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geoscienceau-my.sharepoint.com/personal/jonathan_cloutier_ga_gov_au/Documents/GA/Mineral deposit database/Australian mineral deposit dataset_2024 update/Australian mineral deposit dataset 2024/"/>
    </mc:Choice>
  </mc:AlternateContent>
  <xr:revisionPtr revIDLastSave="2944" documentId="13_ncr:1_{EEEF51C5-A9BE-458A-AE9E-35190FEA973F}" xr6:coauthVersionLast="47" xr6:coauthVersionMax="47" xr10:uidLastSave="{A3D9F8AC-20B5-4BB2-AAF7-8BBC462D347E}"/>
  <bookViews>
    <workbookView xWindow="-28920" yWindow="-120" windowWidth="29040" windowHeight="15840" xr2:uid="{00000000-000D-0000-FFFF-FFFF00000000}"/>
  </bookViews>
  <sheets>
    <sheet name="Australia" sheetId="1" r:id="rId1"/>
    <sheet name="References" sheetId="4" r:id="rId2"/>
  </sheets>
  <definedNames>
    <definedName name="_xlnm._FilterDatabase" localSheetId="0" hidden="1">Australia!$A$1:$KT$1095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64" i="1" l="1"/>
  <c r="Q864" i="1"/>
  <c r="R863" i="1"/>
  <c r="Q863" i="1"/>
  <c r="R862" i="1"/>
  <c r="Q862" i="1"/>
  <c r="R856" i="1"/>
  <c r="Q856" i="1"/>
  <c r="R854" i="1"/>
  <c r="Q854" i="1"/>
  <c r="R852" i="1"/>
  <c r="Q852" i="1"/>
  <c r="R851" i="1"/>
  <c r="Q851" i="1"/>
  <c r="R850" i="1"/>
  <c r="Q850" i="1"/>
  <c r="R849" i="1"/>
  <c r="Q849" i="1"/>
  <c r="R848" i="1"/>
  <c r="Q848" i="1"/>
  <c r="R846" i="1"/>
  <c r="Q846" i="1"/>
  <c r="R845" i="1"/>
  <c r="Q845" i="1"/>
  <c r="R116" i="1"/>
  <c r="Q116" i="1"/>
  <c r="R115" i="1"/>
  <c r="Q115" i="1"/>
  <c r="R112" i="1"/>
  <c r="Q112" i="1"/>
  <c r="R111" i="1"/>
  <c r="Q111" i="1"/>
  <c r="R110" i="1"/>
  <c r="Q110" i="1"/>
  <c r="R109" i="1"/>
  <c r="Q109" i="1"/>
  <c r="GP211" i="1"/>
  <c r="DZ211" i="1" s="1"/>
  <c r="GP204" i="1"/>
  <c r="DZ204" i="1" s="1"/>
  <c r="GP235" i="1"/>
  <c r="DZ235" i="1" s="1"/>
  <c r="GP791" i="1"/>
  <c r="DZ791" i="1" s="1"/>
  <c r="GP205" i="1"/>
  <c r="DZ205" i="1" s="1"/>
  <c r="GP206" i="1"/>
  <c r="DZ206" i="1" s="1"/>
  <c r="GP375" i="1"/>
  <c r="GP255" i="1"/>
  <c r="DZ255" i="1" s="1"/>
  <c r="GP207" i="1"/>
  <c r="DZ207" i="1" s="1"/>
  <c r="GP208" i="1"/>
  <c r="DZ208" i="1" s="1"/>
  <c r="GP792" i="1"/>
  <c r="GP357" i="1"/>
  <c r="DZ357" i="1" s="1"/>
  <c r="GP794" i="1"/>
  <c r="GP930" i="1"/>
  <c r="DZ930" i="1" s="1"/>
  <c r="FP770" i="1"/>
  <c r="GT13" i="1"/>
  <c r="EM751" i="1"/>
  <c r="EH985" i="1"/>
  <c r="EI985" i="1"/>
  <c r="EJ985" i="1"/>
  <c r="EK985" i="1"/>
  <c r="EL985" i="1"/>
  <c r="BP858" i="1"/>
  <c r="CL858" i="1"/>
  <c r="CK858" i="1"/>
  <c r="CE858" i="1"/>
  <c r="FN363" i="1"/>
  <c r="EN363" i="1"/>
  <c r="EY363" i="1"/>
  <c r="EK872" i="1"/>
  <c r="CK872" i="1"/>
  <c r="EH872" i="1"/>
  <c r="BR872" i="1" s="1"/>
  <c r="FA872" i="1"/>
  <c r="CL872" i="1" s="1"/>
  <c r="FA867" i="1"/>
  <c r="EH867" i="1"/>
  <c r="EY380" i="1"/>
  <c r="FL380" i="1"/>
  <c r="FC380" i="1"/>
  <c r="EL610" i="1"/>
  <c r="EL462" i="1"/>
  <c r="BV458" i="1"/>
  <c r="BP458" i="1"/>
  <c r="EK458" i="1" s="1"/>
  <c r="ET113" i="1"/>
  <c r="GA113" i="1"/>
  <c r="GD113" i="1"/>
  <c r="GE113" i="1"/>
  <c r="GF113" i="1"/>
  <c r="GG113" i="1"/>
  <c r="GI113" i="1"/>
  <c r="GJ113" i="1"/>
  <c r="GK113" i="1"/>
  <c r="GL113" i="1"/>
  <c r="GM113" i="1"/>
  <c r="GN113" i="1"/>
  <c r="FE113" i="1"/>
  <c r="GR113" i="1"/>
  <c r="GQ113" i="1"/>
  <c r="DR113" i="1"/>
  <c r="GH113" i="1" s="1"/>
  <c r="DM113" i="1"/>
  <c r="GC113" i="1" s="1"/>
  <c r="DL113" i="1"/>
  <c r="EY423" i="1"/>
  <c r="EL423" i="1"/>
  <c r="EH423" i="1"/>
  <c r="EI1038" i="1"/>
  <c r="FA858" i="1" l="1"/>
  <c r="ET858" i="1"/>
  <c r="EZ858" i="1"/>
  <c r="DY113" i="1"/>
  <c r="GB113" i="1"/>
  <c r="EK388" i="1"/>
  <c r="EH388" i="1"/>
  <c r="FM395" i="1"/>
  <c r="EK395" i="1"/>
  <c r="EJ395" i="1"/>
  <c r="EI395" i="1"/>
  <c r="EH395" i="1"/>
  <c r="GO113" i="1" l="1"/>
  <c r="GP113" i="1" s="1"/>
  <c r="DZ113" i="1" s="1"/>
  <c r="EK141" i="1"/>
  <c r="EJ141" i="1"/>
  <c r="EI141" i="1"/>
  <c r="EK127" i="1"/>
  <c r="EJ127" i="1"/>
  <c r="EI127" i="1"/>
  <c r="FK813" i="1"/>
  <c r="FY813" i="1"/>
  <c r="EH813" i="1"/>
  <c r="EZ813" i="1"/>
  <c r="FA813" i="1"/>
  <c r="I111" i="1"/>
  <c r="H111" i="1"/>
  <c r="AT810" i="1"/>
  <c r="AS810" i="1"/>
  <c r="AT807" i="1"/>
  <c r="AS807" i="1"/>
  <c r="EH878" i="1"/>
  <c r="FA878" i="1"/>
  <c r="EZ878" i="1"/>
  <c r="CL820" i="1" l="1"/>
  <c r="BP820" i="1"/>
  <c r="I819" i="1"/>
  <c r="H819" i="1"/>
  <c r="FA819" i="1"/>
  <c r="BP560" i="1"/>
  <c r="BV560" i="1" s="1"/>
  <c r="EL560" i="1" s="1"/>
  <c r="BP537" i="1"/>
  <c r="BV537" i="1" s="1"/>
  <c r="EL537" i="1" s="1"/>
  <c r="CL825" i="1"/>
  <c r="BP825" i="1"/>
  <c r="CL823" i="1"/>
  <c r="BP823" i="1"/>
  <c r="CL815" i="1"/>
  <c r="BP815" i="1"/>
  <c r="EL607" i="1"/>
  <c r="EL634" i="1"/>
  <c r="FO634" i="1"/>
  <c r="EL716" i="1"/>
  <c r="BV245" i="1" l="1"/>
  <c r="BP245" i="1"/>
  <c r="BV956" i="1"/>
  <c r="BU956" i="1"/>
  <c r="BT956" i="1"/>
  <c r="BR956" i="1"/>
  <c r="BP956" i="1"/>
  <c r="EK491" i="1"/>
  <c r="BV438" i="1"/>
  <c r="BU438" i="1"/>
  <c r="BP438" i="1"/>
  <c r="BV437" i="1"/>
  <c r="BU437" i="1"/>
  <c r="BT437" i="1"/>
  <c r="BS437" i="1"/>
  <c r="BR437" i="1"/>
  <c r="BP437" i="1"/>
  <c r="EI434" i="1"/>
  <c r="EL434" i="1"/>
  <c r="EK434" i="1"/>
  <c r="EJ434" i="1"/>
  <c r="EL449" i="1"/>
  <c r="EL438" i="1" l="1"/>
  <c r="EL442" i="1"/>
  <c r="EL697" i="1"/>
  <c r="I880" i="1"/>
  <c r="H880" i="1"/>
  <c r="EW876" i="1"/>
  <c r="EZ879" i="1" l="1"/>
  <c r="FA879" i="1"/>
  <c r="EH879" i="1"/>
  <c r="EL413" i="1"/>
  <c r="I284" i="1"/>
  <c r="H284" i="1"/>
  <c r="EL603" i="1"/>
  <c r="EK489" i="1" l="1"/>
  <c r="AF5" i="1"/>
  <c r="AE5" i="1"/>
  <c r="AF4" i="1"/>
  <c r="AE4" i="1"/>
  <c r="AE3" i="1"/>
  <c r="AF3" i="1"/>
  <c r="AE2" i="1"/>
  <c r="AF2" i="1"/>
  <c r="AF9" i="1"/>
  <c r="AE9" i="1"/>
  <c r="FE2" i="1"/>
  <c r="GN2" i="1"/>
  <c r="GM2" i="1"/>
  <c r="GL2" i="1"/>
  <c r="GK2" i="1"/>
  <c r="GJ2" i="1"/>
  <c r="GI2" i="1"/>
  <c r="GH2" i="1"/>
  <c r="GG2" i="1"/>
  <c r="GF2" i="1"/>
  <c r="GE2" i="1"/>
  <c r="GD2" i="1"/>
  <c r="GA2" i="1"/>
  <c r="FE3" i="1"/>
  <c r="GN3" i="1"/>
  <c r="GM3" i="1"/>
  <c r="GL3" i="1"/>
  <c r="GK3" i="1"/>
  <c r="GJ3" i="1"/>
  <c r="GI3" i="1"/>
  <c r="GH3" i="1"/>
  <c r="GG3" i="1"/>
  <c r="GF3" i="1"/>
  <c r="GE3" i="1"/>
  <c r="GD3" i="1"/>
  <c r="GA3" i="1"/>
  <c r="FB5" i="1"/>
  <c r="EV5" i="1"/>
  <c r="FB4" i="1"/>
  <c r="EV4" i="1"/>
  <c r="FB9" i="1"/>
  <c r="EV9" i="1"/>
  <c r="CQ2" i="1"/>
  <c r="CQ3" i="1"/>
  <c r="DM2" i="1"/>
  <c r="GC2" i="1" s="1"/>
  <c r="DM3" i="1"/>
  <c r="GC3" i="1" s="1"/>
  <c r="DL3" i="1"/>
  <c r="DL2" i="1"/>
  <c r="FT374" i="1"/>
  <c r="FT372" i="1"/>
  <c r="EH1052" i="1"/>
  <c r="EH374" i="1"/>
  <c r="EH372" i="1"/>
  <c r="EL591" i="1"/>
  <c r="DY2" i="1" l="1"/>
  <c r="GB2" i="1"/>
  <c r="GO2" i="1" s="1"/>
  <c r="DY3" i="1"/>
  <c r="GB3" i="1"/>
  <c r="GO3" i="1" s="1"/>
  <c r="EV233" i="1"/>
  <c r="FT392" i="1"/>
  <c r="FN401" i="1"/>
  <c r="EH401" i="1"/>
  <c r="EL562" i="1"/>
  <c r="GP2" i="1" l="1"/>
  <c r="DZ2" i="1" s="1"/>
  <c r="GP3" i="1"/>
  <c r="DZ3" i="1" s="1"/>
  <c r="BV682" i="1"/>
  <c r="BP682" i="1"/>
  <c r="EL689" i="1"/>
  <c r="BV586" i="1"/>
  <c r="BP586" i="1"/>
  <c r="BV674" i="1"/>
  <c r="BP674" i="1"/>
  <c r="EL557" i="1"/>
  <c r="FF209" i="1"/>
  <c r="FE209" i="1"/>
  <c r="GO209" i="1"/>
  <c r="GM209" i="1"/>
  <c r="GK209" i="1"/>
  <c r="GI209" i="1"/>
  <c r="GG209" i="1"/>
  <c r="DR209" i="1"/>
  <c r="GH209" i="1" s="1"/>
  <c r="EL651" i="1"/>
  <c r="EL657" i="1"/>
  <c r="EL664" i="1"/>
  <c r="EL542" i="1"/>
  <c r="ES40" i="1"/>
  <c r="ES41" i="1"/>
  <c r="EX69" i="1"/>
  <c r="EX76" i="1"/>
  <c r="EX73" i="1"/>
  <c r="EX72" i="1"/>
  <c r="BP627" i="1"/>
  <c r="BV627" i="1"/>
  <c r="BV597" i="1"/>
  <c r="BP597" i="1"/>
  <c r="EL543" i="1"/>
  <c r="BP545" i="1"/>
  <c r="BV545" i="1" s="1"/>
  <c r="BP658" i="1"/>
  <c r="BV658" i="1" s="1"/>
  <c r="EL658" i="1"/>
  <c r="EL660" i="1"/>
  <c r="BV678" i="1"/>
  <c r="BV672" i="1"/>
  <c r="BP672" i="1"/>
  <c r="BV667" i="1"/>
  <c r="BP667" i="1"/>
  <c r="BV692" i="1"/>
  <c r="BP692" i="1"/>
  <c r="EL574" i="1"/>
  <c r="BV578" i="1"/>
  <c r="BP578" i="1"/>
  <c r="EL723" i="1"/>
  <c r="EL706" i="1"/>
  <c r="EL647" i="1"/>
  <c r="AF67" i="1"/>
  <c r="AE67" i="1"/>
  <c r="GP209" i="1" l="1"/>
  <c r="DZ209" i="1" s="1"/>
  <c r="EL545" i="1"/>
  <c r="CI66" i="1"/>
  <c r="BP66" i="1"/>
  <c r="EX74" i="1"/>
  <c r="EY149" i="1"/>
  <c r="EX149" i="1"/>
  <c r="EY70" i="1"/>
  <c r="EX70" i="1"/>
  <c r="EY71" i="1"/>
  <c r="EX71" i="1"/>
  <c r="EX75" i="1"/>
  <c r="EY75" i="1"/>
  <c r="EB155" i="1"/>
  <c r="BP155" i="1"/>
  <c r="EL711" i="1"/>
  <c r="EY353" i="1"/>
  <c r="EL353" i="1"/>
  <c r="EL528" i="1"/>
  <c r="CZ517" i="1"/>
  <c r="BP517" i="1"/>
  <c r="BS433" i="1"/>
  <c r="BR433" i="1"/>
  <c r="BV433" i="1"/>
  <c r="BU433" i="1"/>
  <c r="BP433" i="1"/>
  <c r="EL636" i="1"/>
  <c r="EL278" i="1"/>
  <c r="EH278" i="1"/>
  <c r="FY869" i="1"/>
  <c r="FQ869" i="1"/>
  <c r="BV480" i="1"/>
  <c r="BP480" i="1"/>
  <c r="BV556" i="1"/>
  <c r="BP556" i="1"/>
  <c r="BU556" i="1"/>
  <c r="BR556" i="1"/>
  <c r="BU1053" i="1"/>
  <c r="BV1053" i="1"/>
  <c r="BS1053" i="1"/>
  <c r="BR1053" i="1"/>
  <c r="BP1053" i="1"/>
  <c r="EK140" i="1"/>
  <c r="EL724" i="1"/>
  <c r="EL313" i="1"/>
  <c r="EH313" i="1"/>
  <c r="EL500" i="1"/>
  <c r="EL691" i="1"/>
  <c r="EL596" i="1"/>
  <c r="EL592" i="1"/>
  <c r="EL588" i="1"/>
  <c r="EL518" i="1"/>
  <c r="EK976" i="1"/>
  <c r="EJ976" i="1"/>
  <c r="EI976" i="1"/>
  <c r="EH976" i="1"/>
  <c r="BV1001" i="1"/>
  <c r="BU1001" i="1"/>
  <c r="BT1001" i="1"/>
  <c r="BS1001" i="1"/>
  <c r="BR1001" i="1"/>
  <c r="BP1001" i="1"/>
  <c r="I1026" i="1"/>
  <c r="EZ1024" i="1"/>
  <c r="EK1019" i="1"/>
  <c r="BP980" i="1"/>
  <c r="BR980" i="1"/>
  <c r="BS980" i="1"/>
  <c r="BT980" i="1"/>
  <c r="BU980" i="1"/>
  <c r="BV980" i="1"/>
  <c r="I1006" i="1"/>
  <c r="H1006" i="1"/>
  <c r="H977" i="1"/>
  <c r="EL343" i="1"/>
  <c r="EL1051" i="1"/>
  <c r="EK1051" i="1"/>
  <c r="EJ1051" i="1"/>
  <c r="EI1051" i="1"/>
  <c r="EH1051" i="1"/>
  <c r="EH343" i="1"/>
  <c r="BV1022" i="1"/>
  <c r="BU1022" i="1"/>
  <c r="BR1022" i="1"/>
  <c r="BS1022" i="1"/>
  <c r="BT1022" i="1"/>
  <c r="BP1022" i="1"/>
  <c r="BV1005" i="1"/>
  <c r="BU1005" i="1"/>
  <c r="BT1005" i="1"/>
  <c r="BS1005" i="1"/>
  <c r="BR1005" i="1"/>
  <c r="BP1005" i="1"/>
  <c r="BP943" i="1"/>
  <c r="BV989" i="1"/>
  <c r="BU989" i="1"/>
  <c r="BT989" i="1"/>
  <c r="BS989" i="1"/>
  <c r="BR989" i="1"/>
  <c r="BP989" i="1"/>
  <c r="BU941" i="1"/>
  <c r="FO517" i="1" l="1"/>
  <c r="EJ1001" i="1"/>
  <c r="EX66" i="1"/>
  <c r="EL480" i="1"/>
  <c r="EX67" i="1"/>
  <c r="EY67" i="1"/>
  <c r="EL1053" i="1"/>
  <c r="EK1053" i="1"/>
  <c r="EI1053" i="1"/>
  <c r="EH1053" i="1"/>
  <c r="EI433" i="1"/>
  <c r="EH433" i="1"/>
  <c r="EL980" i="1"/>
  <c r="EK980" i="1"/>
  <c r="EJ980" i="1"/>
  <c r="BR943" i="1"/>
  <c r="EH943" i="1" s="1"/>
  <c r="DJ943" i="1"/>
  <c r="BU943" i="1"/>
  <c r="EK943" i="1" s="1"/>
  <c r="BV943" i="1"/>
  <c r="EL943" i="1" s="1"/>
  <c r="BP947" i="1"/>
  <c r="BU947" i="1" s="1"/>
  <c r="EK947" i="1" s="1"/>
  <c r="BR947" i="1" l="1"/>
  <c r="EH947" i="1" s="1"/>
  <c r="BV947" i="1"/>
  <c r="EL947" i="1" s="1"/>
  <c r="DJ947" i="1"/>
  <c r="EH1037" i="1"/>
  <c r="EL939" i="1"/>
  <c r="I1054" i="1"/>
  <c r="H1054" i="1"/>
  <c r="DB1014" i="1"/>
  <c r="FQ1014" i="1" s="1"/>
  <c r="EL944" i="1"/>
  <c r="EL1012" i="1"/>
  <c r="EK1012" i="1"/>
  <c r="EJ1012" i="1"/>
  <c r="EL935" i="1"/>
  <c r="BV934" i="1"/>
  <c r="BU966" i="1" l="1"/>
  <c r="BS966" i="1"/>
  <c r="BR966" i="1"/>
  <c r="BP966" i="1"/>
  <c r="I964" i="1"/>
  <c r="H964" i="1"/>
  <c r="BV725" i="1" l="1"/>
  <c r="BP725" i="1"/>
  <c r="BU981" i="1"/>
  <c r="BT981" i="1"/>
  <c r="BS981" i="1"/>
  <c r="BR981" i="1"/>
  <c r="BP981" i="1"/>
  <c r="EL981" i="1" s="1"/>
  <c r="EL895" i="1"/>
  <c r="EL1034" i="1"/>
  <c r="EK1033" i="1"/>
  <c r="EK1045" i="1"/>
  <c r="BP198" i="1"/>
  <c r="BU198" i="1" s="1"/>
  <c r="EK198" i="1" s="1"/>
  <c r="I20" i="1"/>
  <c r="H20" i="1"/>
  <c r="I19" i="1"/>
  <c r="H19" i="1"/>
  <c r="I18" i="1"/>
  <c r="H18" i="1"/>
  <c r="I17" i="1"/>
  <c r="H17" i="1"/>
  <c r="EY18" i="1"/>
  <c r="EY19" i="1"/>
  <c r="EY20" i="1"/>
  <c r="EY17" i="1"/>
  <c r="CJ53" i="1"/>
  <c r="EY53" i="1" s="1"/>
  <c r="CJ56" i="1"/>
  <c r="EY56" i="1" s="1"/>
  <c r="CJ88" i="1"/>
  <c r="BP88" i="1"/>
  <c r="EM780" i="1"/>
  <c r="FH780" i="1"/>
  <c r="FS780" i="1"/>
  <c r="FN780" i="1"/>
  <c r="FS782" i="1"/>
  <c r="FS776" i="1"/>
  <c r="FN776" i="1"/>
  <c r="FS775" i="1"/>
  <c r="FS762" i="1"/>
  <c r="FN772" i="1"/>
  <c r="FS783" i="1"/>
  <c r="FN783" i="1"/>
  <c r="I783" i="1"/>
  <c r="H783" i="1"/>
  <c r="EM741" i="1"/>
  <c r="DD741" i="1"/>
  <c r="FS741" i="1" s="1"/>
  <c r="EM769" i="1"/>
  <c r="DD769" i="1"/>
  <c r="FS769" i="1" s="1"/>
  <c r="EM759" i="1"/>
  <c r="FS759" i="1"/>
  <c r="EM750" i="1"/>
  <c r="DD750" i="1"/>
  <c r="FS750" i="1" s="1"/>
  <c r="I750" i="1"/>
  <c r="H750" i="1"/>
  <c r="EM758" i="1"/>
  <c r="DD758" i="1"/>
  <c r="FS758" i="1" s="1"/>
  <c r="EM763" i="1"/>
  <c r="DD763" i="1"/>
  <c r="FS763" i="1" s="1"/>
  <c r="FS752" i="1"/>
  <c r="EM752" i="1"/>
  <c r="EM746" i="1"/>
  <c r="EM754" i="1"/>
  <c r="DD746" i="1"/>
  <c r="FS746" i="1" s="1"/>
  <c r="DD754" i="1"/>
  <c r="FS754" i="1" s="1"/>
  <c r="H760" i="1"/>
  <c r="I760" i="1"/>
  <c r="CY760" i="1"/>
  <c r="FN760" i="1" s="1"/>
  <c r="CS760" i="1"/>
  <c r="FH760" i="1" s="1"/>
  <c r="DD760" i="1"/>
  <c r="FS760" i="1" s="1"/>
  <c r="H789" i="1"/>
  <c r="I789" i="1"/>
  <c r="I748" i="1"/>
  <c r="H748" i="1"/>
  <c r="DD748" i="1"/>
  <c r="BP748" i="1"/>
  <c r="I773" i="1"/>
  <c r="H773" i="1"/>
  <c r="DD742" i="1"/>
  <c r="BW742" i="1"/>
  <c r="BP742" i="1"/>
  <c r="FS778" i="1"/>
  <c r="FN778" i="1"/>
  <c r="I786" i="1"/>
  <c r="H786" i="1"/>
  <c r="I757" i="1"/>
  <c r="H757" i="1"/>
  <c r="EM743" i="1"/>
  <c r="BW744" i="1"/>
  <c r="BP744" i="1"/>
  <c r="EM767" i="1"/>
  <c r="EM745" i="1"/>
  <c r="BV172" i="1"/>
  <c r="EM747" i="1"/>
  <c r="EM739" i="1"/>
  <c r="BP894" i="1"/>
  <c r="BP906" i="1"/>
  <c r="BR906" i="1" s="1"/>
  <c r="I290" i="1"/>
  <c r="H290" i="1"/>
  <c r="H289" i="1"/>
  <c r="I289" i="1"/>
  <c r="EK1031" i="1"/>
  <c r="AF1039" i="1"/>
  <c r="AE1039" i="1"/>
  <c r="EL1039" i="1"/>
  <c r="EK1039" i="1"/>
  <c r="EJ1039" i="1"/>
  <c r="EI1039" i="1"/>
  <c r="EH1039" i="1"/>
  <c r="EL991" i="1"/>
  <c r="EL1008" i="1"/>
  <c r="EK1008" i="1"/>
  <c r="EJ1008" i="1"/>
  <c r="EI1008" i="1"/>
  <c r="EH1008" i="1"/>
  <c r="EL1027" i="1"/>
  <c r="EJ1027" i="1"/>
  <c r="BV1010" i="1"/>
  <c r="BU1010" i="1"/>
  <c r="BT1010" i="1"/>
  <c r="BS1010" i="1"/>
  <c r="BR1010" i="1"/>
  <c r="BP1010" i="1"/>
  <c r="BV320" i="1"/>
  <c r="BR320" i="1"/>
  <c r="BP320" i="1"/>
  <c r="EL324" i="1"/>
  <c r="EL319" i="1"/>
  <c r="EK324" i="1"/>
  <c r="EK319" i="1"/>
  <c r="FI330" i="1"/>
  <c r="EH330" i="1"/>
  <c r="FI324" i="1"/>
  <c r="EH324" i="1"/>
  <c r="FI319" i="1"/>
  <c r="EH319" i="1"/>
  <c r="BP171" i="1"/>
  <c r="BR171" i="1" s="1"/>
  <c r="EH171" i="1" s="1"/>
  <c r="CK177" i="1"/>
  <c r="BU177" i="1"/>
  <c r="BT177" i="1"/>
  <c r="BS177" i="1"/>
  <c r="BR177" i="1"/>
  <c r="CK172" i="1"/>
  <c r="CT172" i="1"/>
  <c r="BR172" i="1"/>
  <c r="EL172" i="1"/>
  <c r="CK162" i="1"/>
  <c r="I425" i="1"/>
  <c r="H425" i="1"/>
  <c r="BV427" i="1"/>
  <c r="BP427" i="1"/>
  <c r="BP162" i="1"/>
  <c r="EL308" i="1"/>
  <c r="EH308" i="1"/>
  <c r="BP168" i="1"/>
  <c r="CK168" i="1" s="1"/>
  <c r="EZ168" i="1" s="1"/>
  <c r="BP163" i="1"/>
  <c r="BR163" i="1" s="1"/>
  <c r="GU256" i="1"/>
  <c r="EG256" i="1"/>
  <c r="GX256" i="1" s="1"/>
  <c r="EF256" i="1"/>
  <c r="GV256" i="1" s="1"/>
  <c r="CF256" i="1"/>
  <c r="EU256" i="1" s="1"/>
  <c r="CR256" i="1"/>
  <c r="FG256" i="1" s="1"/>
  <c r="CP256" i="1"/>
  <c r="FE256" i="1" s="1"/>
  <c r="DW256" i="1"/>
  <c r="GM256" i="1" s="1"/>
  <c r="DV256" i="1"/>
  <c r="GL256" i="1" s="1"/>
  <c r="DU256" i="1"/>
  <c r="GK256" i="1" s="1"/>
  <c r="DS256" i="1"/>
  <c r="GI256" i="1" s="1"/>
  <c r="DR256" i="1"/>
  <c r="GH256" i="1" s="1"/>
  <c r="DQ256" i="1"/>
  <c r="GG256" i="1" s="1"/>
  <c r="DP256" i="1"/>
  <c r="GF256" i="1" s="1"/>
  <c r="DO256" i="1"/>
  <c r="GE256" i="1" s="1"/>
  <c r="DN256" i="1"/>
  <c r="GD256" i="1" s="1"/>
  <c r="DM256" i="1"/>
  <c r="GC256" i="1" s="1"/>
  <c r="DL257" i="1"/>
  <c r="GB257" i="1" s="1"/>
  <c r="DL256" i="1"/>
  <c r="GB256" i="1" s="1"/>
  <c r="DK256" i="1"/>
  <c r="GA256" i="1" s="1"/>
  <c r="GU257" i="1"/>
  <c r="CR257" i="1"/>
  <c r="FG257" i="1" s="1"/>
  <c r="CF257" i="1"/>
  <c r="EU257" i="1" s="1"/>
  <c r="EG257" i="1"/>
  <c r="GX257" i="1" s="1"/>
  <c r="EF257" i="1"/>
  <c r="GV257" i="1" s="1"/>
  <c r="CP257" i="1"/>
  <c r="CQ257" i="1" s="1"/>
  <c r="FF257" i="1" s="1"/>
  <c r="DX257" i="1"/>
  <c r="GN257" i="1" s="1"/>
  <c r="DW257" i="1"/>
  <c r="GM257" i="1" s="1"/>
  <c r="DV257" i="1"/>
  <c r="GL257" i="1" s="1"/>
  <c r="DU257" i="1"/>
  <c r="GK257" i="1" s="1"/>
  <c r="DT257" i="1"/>
  <c r="GJ257" i="1" s="1"/>
  <c r="DS257" i="1"/>
  <c r="GI257" i="1" s="1"/>
  <c r="DR257" i="1"/>
  <c r="GH257" i="1" s="1"/>
  <c r="DQ257" i="1"/>
  <c r="GG257" i="1" s="1"/>
  <c r="DP257" i="1"/>
  <c r="GF257" i="1" s="1"/>
  <c r="DO257" i="1"/>
  <c r="GE257" i="1" s="1"/>
  <c r="DN257" i="1"/>
  <c r="GD257" i="1" s="1"/>
  <c r="DM257" i="1"/>
  <c r="GC257" i="1" s="1"/>
  <c r="DK257" i="1"/>
  <c r="GA257" i="1" s="1"/>
  <c r="EJ402" i="1"/>
  <c r="EI402" i="1"/>
  <c r="EH402" i="1"/>
  <c r="FA865" i="1"/>
  <c r="CK865" i="1"/>
  <c r="EZ865" i="1" s="1"/>
  <c r="CJ865" i="1"/>
  <c r="EY865" i="1" s="1"/>
  <c r="EH340" i="1"/>
  <c r="DE338" i="1"/>
  <c r="CY338" i="1"/>
  <c r="BR338" i="1"/>
  <c r="BP338" i="1"/>
  <c r="EL725" i="1" l="1"/>
  <c r="EM744" i="1"/>
  <c r="BR198" i="1"/>
  <c r="BT198" i="1"/>
  <c r="EJ198" i="1" s="1"/>
  <c r="BV198" i="1"/>
  <c r="EL198" i="1" s="1"/>
  <c r="EM742" i="1"/>
  <c r="FS742" i="1"/>
  <c r="CK894" i="1"/>
  <c r="BV894" i="1"/>
  <c r="BR894" i="1"/>
  <c r="EH906" i="1"/>
  <c r="BV162" i="1"/>
  <c r="BR162" i="1"/>
  <c r="BR168" i="1"/>
  <c r="BU168" i="1"/>
  <c r="FE257" i="1"/>
  <c r="DY256" i="1"/>
  <c r="DY257" i="1"/>
  <c r="CQ256" i="1"/>
  <c r="FF256" i="1" s="1"/>
  <c r="GO256" i="1"/>
  <c r="GP256" i="1" s="1"/>
  <c r="DZ256" i="1" s="1"/>
  <c r="GO257" i="1"/>
  <c r="BV984" i="1"/>
  <c r="BP984" i="1"/>
  <c r="H703" i="1"/>
  <c r="I703" i="1"/>
  <c r="EL717" i="1"/>
  <c r="EL679" i="1"/>
  <c r="I593" i="1"/>
  <c r="H593" i="1"/>
  <c r="EL573" i="1"/>
  <c r="GR212" i="1"/>
  <c r="EL561" i="1"/>
  <c r="I555" i="1"/>
  <c r="H555" i="1"/>
  <c r="EL552" i="1"/>
  <c r="I532" i="1"/>
  <c r="H532" i="1"/>
  <c r="I531" i="1"/>
  <c r="H531" i="1"/>
  <c r="I526" i="1"/>
  <c r="H526" i="1"/>
  <c r="EL526" i="1"/>
  <c r="BP223" i="1"/>
  <c r="EB223" i="1" s="1"/>
  <c r="BU1009" i="1"/>
  <c r="BP1009" i="1"/>
  <c r="BS1009" i="1"/>
  <c r="BR1009" i="1"/>
  <c r="EL332" i="1"/>
  <c r="EK332" i="1"/>
  <c r="EL418" i="1"/>
  <c r="EK418" i="1"/>
  <c r="EH418" i="1"/>
  <c r="EH337" i="1"/>
  <c r="FT371" i="1"/>
  <c r="I959" i="1"/>
  <c r="H959" i="1"/>
  <c r="EL432" i="1"/>
  <c r="EH432" i="1"/>
  <c r="EI432" i="1"/>
  <c r="EJ432" i="1"/>
  <c r="EK432" i="1"/>
  <c r="I450" i="1"/>
  <c r="H450" i="1"/>
  <c r="EL450" i="1"/>
  <c r="I144" i="1"/>
  <c r="H144" i="1"/>
  <c r="EL474" i="1"/>
  <c r="EK474" i="1"/>
  <c r="EJ474" i="1"/>
  <c r="EI474" i="1"/>
  <c r="EH474" i="1"/>
  <c r="I474" i="1"/>
  <c r="H474" i="1"/>
  <c r="BV1063" i="1"/>
  <c r="BS1063" i="1"/>
  <c r="BT1063" i="1"/>
  <c r="BU1063" i="1"/>
  <c r="BR1063" i="1"/>
  <c r="BP1063" i="1"/>
  <c r="CP802" i="1"/>
  <c r="FE803" i="1"/>
  <c r="GP803" i="1" s="1"/>
  <c r="DZ803" i="1" s="1"/>
  <c r="EH375" i="1"/>
  <c r="EL375" i="1"/>
  <c r="FE811" i="1"/>
  <c r="GP811" i="1" s="1"/>
  <c r="DZ811" i="1" s="1"/>
  <c r="FE805" i="1"/>
  <c r="GP805" i="1" s="1"/>
  <c r="DZ805" i="1" s="1"/>
  <c r="EH930" i="1"/>
  <c r="EK930" i="1"/>
  <c r="EL930" i="1"/>
  <c r="EH926" i="1"/>
  <c r="EL926" i="1"/>
  <c r="FE797" i="1"/>
  <c r="GP797" i="1" s="1"/>
  <c r="DZ797" i="1" s="1"/>
  <c r="GR957" i="1"/>
  <c r="FC391" i="1"/>
  <c r="AF234" i="1"/>
  <c r="AE234" i="1"/>
  <c r="AF16" i="1"/>
  <c r="AE16" i="1"/>
  <c r="AF15" i="1"/>
  <c r="AE15" i="1"/>
  <c r="AF14" i="1"/>
  <c r="AE14" i="1"/>
  <c r="AF12" i="1"/>
  <c r="AE12" i="1"/>
  <c r="AF11" i="1"/>
  <c r="AE11" i="1"/>
  <c r="AF10" i="1"/>
  <c r="AE10" i="1"/>
  <c r="GP257" i="1" l="1"/>
  <c r="DZ257" i="1" s="1"/>
  <c r="FE802" i="1"/>
  <c r="GP802" i="1" s="1"/>
  <c r="DZ802" i="1" s="1"/>
  <c r="BT123" i="1"/>
  <c r="BS123" i="1"/>
  <c r="BP123" i="1"/>
  <c r="EL419" i="1"/>
  <c r="EH419" i="1"/>
  <c r="EL923" i="1"/>
  <c r="EK923" i="1"/>
  <c r="EH923" i="1"/>
  <c r="EL917" i="1"/>
  <c r="EK917" i="1"/>
  <c r="EH917" i="1"/>
  <c r="EK194" i="1"/>
  <c r="EJ194" i="1"/>
  <c r="EI194" i="1"/>
  <c r="EH194" i="1"/>
  <c r="EL191" i="1"/>
  <c r="EK191" i="1"/>
  <c r="EJ191" i="1"/>
  <c r="EI191" i="1"/>
  <c r="EH191" i="1"/>
  <c r="EK199" i="1"/>
  <c r="EJ199" i="1"/>
  <c r="EI199" i="1"/>
  <c r="EL203" i="1"/>
  <c r="EK203" i="1"/>
  <c r="EJ203" i="1"/>
  <c r="EI203" i="1"/>
  <c r="EK193" i="1"/>
  <c r="EJ193" i="1"/>
  <c r="EI193" i="1"/>
  <c r="EI197" i="1"/>
  <c r="EK202" i="1"/>
  <c r="EJ202" i="1"/>
  <c r="EI202" i="1"/>
  <c r="EH202" i="1"/>
  <c r="EL1036" i="1"/>
  <c r="EH1036" i="1"/>
  <c r="EJ123" i="1" l="1"/>
  <c r="EI123" i="1"/>
  <c r="AF8" i="1" l="1"/>
  <c r="AE8" i="1"/>
  <c r="AF995" i="1"/>
  <c r="AE995" i="1"/>
  <c r="AF428" i="1"/>
  <c r="AE428" i="1"/>
  <c r="AF901" i="1"/>
  <c r="AE901" i="1"/>
  <c r="AF7" i="1"/>
  <c r="AE7" i="1"/>
  <c r="AF6" i="1"/>
  <c r="AE6" i="1"/>
  <c r="AF964" i="1"/>
  <c r="AE964" i="1"/>
  <c r="AF108" i="1" l="1"/>
  <c r="AE108" i="1"/>
  <c r="AF981" i="1"/>
  <c r="AE981" i="1"/>
  <c r="AF148" i="1" l="1"/>
  <c r="AE148" i="1"/>
  <c r="AT809" i="1"/>
  <c r="AS809" i="1"/>
  <c r="AT808" i="1"/>
  <c r="AS808" i="1"/>
  <c r="AT806" i="1"/>
  <c r="AS806" i="1"/>
  <c r="EZ860" i="1" l="1"/>
  <c r="FA860" i="1"/>
  <c r="EZ849" i="1"/>
  <c r="FA849" i="1"/>
  <c r="BP861" i="1"/>
  <c r="CK861" i="1"/>
  <c r="CL861" i="1"/>
  <c r="AT861" i="1"/>
  <c r="AS861" i="1"/>
  <c r="FA861" i="1" l="1"/>
  <c r="EZ861" i="1"/>
  <c r="AS846" i="1"/>
  <c r="AT846" i="1"/>
  <c r="AS863" i="1" l="1"/>
  <c r="AT863" i="1"/>
  <c r="AT862" i="1"/>
  <c r="AS862" i="1"/>
  <c r="AS851" i="1"/>
  <c r="AT851" i="1"/>
  <c r="AS845" i="1"/>
  <c r="AT845" i="1"/>
  <c r="AS854" i="1"/>
  <c r="AT854" i="1"/>
  <c r="AT852" i="1"/>
  <c r="AS852" i="1"/>
  <c r="FK846" i="1"/>
  <c r="FY846" i="1"/>
  <c r="ET846" i="1"/>
  <c r="CK855" i="1" l="1"/>
  <c r="CL855" i="1"/>
  <c r="CK848" i="1"/>
  <c r="CL848" i="1"/>
  <c r="EZ846" i="1"/>
  <c r="FA846" i="1"/>
  <c r="EZ863" i="1"/>
  <c r="FA863" i="1"/>
  <c r="BP855" i="1"/>
  <c r="BP848" i="1"/>
  <c r="FA864" i="1"/>
  <c r="EZ864" i="1"/>
  <c r="FA856" i="1"/>
  <c r="EZ856" i="1"/>
  <c r="FA847" i="1"/>
  <c r="EZ847" i="1"/>
  <c r="FA843" i="1"/>
  <c r="EZ843" i="1"/>
  <c r="FA850" i="1"/>
  <c r="EZ850" i="1"/>
  <c r="EZ862" i="1"/>
  <c r="FA862" i="1"/>
  <c r="FA851" i="1"/>
  <c r="EZ851" i="1"/>
  <c r="ET851" i="1"/>
  <c r="FA854" i="1"/>
  <c r="EZ854" i="1"/>
  <c r="ET854" i="1"/>
  <c r="ET852" i="1"/>
  <c r="EZ852" i="1"/>
  <c r="FA852" i="1"/>
  <c r="CE845" i="1"/>
  <c r="CK845" i="1"/>
  <c r="CL845" i="1"/>
  <c r="BP845" i="1"/>
  <c r="FN779" i="1"/>
  <c r="EL1003" i="1"/>
  <c r="EK1003" i="1"/>
  <c r="EJ1003" i="1"/>
  <c r="EI1003" i="1"/>
  <c r="EH1003" i="1"/>
  <c r="EL999" i="1"/>
  <c r="EK999" i="1"/>
  <c r="EJ999" i="1"/>
  <c r="EI999" i="1"/>
  <c r="EH999" i="1"/>
  <c r="EL998" i="1"/>
  <c r="EK998" i="1"/>
  <c r="EJ998" i="1"/>
  <c r="EI998" i="1"/>
  <c r="EH998" i="1"/>
  <c r="EL994" i="1"/>
  <c r="EK994" i="1"/>
  <c r="EJ994" i="1"/>
  <c r="EI994" i="1"/>
  <c r="EH994" i="1"/>
  <c r="BV993" i="1"/>
  <c r="BR993" i="1"/>
  <c r="BP993" i="1"/>
  <c r="EL992" i="1"/>
  <c r="EK992" i="1"/>
  <c r="EI992" i="1"/>
  <c r="EL984" i="1"/>
  <c r="BV983" i="1"/>
  <c r="BU983" i="1"/>
  <c r="BT983" i="1"/>
  <c r="BS983" i="1"/>
  <c r="BR983" i="1"/>
  <c r="BP983" i="1"/>
  <c r="FT403" i="1"/>
  <c r="FN403" i="1"/>
  <c r="FN402" i="1"/>
  <c r="FN391" i="1"/>
  <c r="FN390" i="1"/>
  <c r="EH390" i="1"/>
  <c r="DE386" i="1"/>
  <c r="CY386" i="1"/>
  <c r="BP386" i="1"/>
  <c r="EK514" i="1"/>
  <c r="EJ514" i="1"/>
  <c r="EI514" i="1"/>
  <c r="BV511" i="1"/>
  <c r="BU511" i="1"/>
  <c r="BT511" i="1"/>
  <c r="EK508" i="1"/>
  <c r="EJ508" i="1"/>
  <c r="EI508" i="1"/>
  <c r="BT507" i="1"/>
  <c r="BS507" i="1"/>
  <c r="BP507" i="1"/>
  <c r="CL515" i="1"/>
  <c r="BP515" i="1"/>
  <c r="BU510" i="1"/>
  <c r="BT510" i="1"/>
  <c r="BS510" i="1"/>
  <c r="BR510" i="1"/>
  <c r="BP510" i="1"/>
  <c r="EK506" i="1"/>
  <c r="EJ506" i="1"/>
  <c r="EI506" i="1"/>
  <c r="EH506" i="1"/>
  <c r="EK505" i="1"/>
  <c r="EJ505" i="1"/>
  <c r="EI505" i="1"/>
  <c r="CJ961" i="1"/>
  <c r="BP961" i="1"/>
  <c r="EH170" i="1"/>
  <c r="FZ352" i="1"/>
  <c r="EL352" i="1"/>
  <c r="FN364" i="1"/>
  <c r="EY356" i="1"/>
  <c r="EH362" i="1"/>
  <c r="CJ362" i="1"/>
  <c r="EY362" i="1" s="1"/>
  <c r="FN339" i="1"/>
  <c r="EO369" i="1"/>
  <c r="FT369" i="1"/>
  <c r="FN369" i="1"/>
  <c r="FT368" i="1"/>
  <c r="CJ354" i="1"/>
  <c r="BP354" i="1"/>
  <c r="EY355" i="1"/>
  <c r="FX840" i="1"/>
  <c r="FW840" i="1"/>
  <c r="FV840" i="1"/>
  <c r="FY840" i="1"/>
  <c r="CL868" i="1"/>
  <c r="BR868" i="1"/>
  <c r="BP868" i="1"/>
  <c r="FX841" i="1"/>
  <c r="EL687" i="1"/>
  <c r="EL625" i="1"/>
  <c r="BV615" i="1"/>
  <c r="BP615" i="1"/>
  <c r="CJ909" i="1"/>
  <c r="EY909" i="1" s="1"/>
  <c r="FN486" i="1"/>
  <c r="EL486" i="1"/>
  <c r="EK486" i="1"/>
  <c r="EH486" i="1"/>
  <c r="AE479" i="1"/>
  <c r="FN304" i="1"/>
  <c r="EK304" i="1"/>
  <c r="EI304" i="1"/>
  <c r="FN301" i="1"/>
  <c r="CY280" i="1"/>
  <c r="BP280" i="1"/>
  <c r="BU146" i="1"/>
  <c r="BT146" i="1"/>
  <c r="BS146" i="1"/>
  <c r="BP146" i="1"/>
  <c r="AF146" i="1"/>
  <c r="AE146" i="1"/>
  <c r="EK145" i="1"/>
  <c r="EJ145" i="1"/>
  <c r="EI145" i="1"/>
  <c r="AF145" i="1"/>
  <c r="AE145" i="1"/>
  <c r="EL1009" i="1"/>
  <c r="EJ1009" i="1"/>
  <c r="EK1009" i="1"/>
  <c r="EI1009" i="1"/>
  <c r="EH1009" i="1"/>
  <c r="EL1043" i="1"/>
  <c r="EK1043" i="1"/>
  <c r="EI1043" i="1"/>
  <c r="EH1043" i="1"/>
  <c r="EL974" i="1"/>
  <c r="EK974" i="1"/>
  <c r="EI974" i="1"/>
  <c r="EH974" i="1"/>
  <c r="CT412" i="1"/>
  <c r="BP412" i="1"/>
  <c r="FI337" i="1"/>
  <c r="EK337" i="1"/>
  <c r="EH332" i="1"/>
  <c r="EH325" i="1"/>
  <c r="FN766" i="1"/>
  <c r="EL703" i="1"/>
  <c r="EL683" i="1"/>
  <c r="EL581" i="1"/>
  <c r="CZ555" i="1"/>
  <c r="BV555" i="1"/>
  <c r="BP555" i="1"/>
  <c r="EL532" i="1"/>
  <c r="EL585" i="1"/>
  <c r="FN234" i="1"/>
  <c r="FN299" i="1"/>
  <c r="AT299" i="1"/>
  <c r="AS299" i="1"/>
  <c r="I299" i="1"/>
  <c r="H299" i="1"/>
  <c r="EK1070" i="1"/>
  <c r="EJ1070" i="1"/>
  <c r="EI1070" i="1"/>
  <c r="EH1070" i="1"/>
  <c r="EH1049" i="1"/>
  <c r="BV1069" i="1"/>
  <c r="BU1069" i="1"/>
  <c r="BT1069" i="1"/>
  <c r="BS1069" i="1"/>
  <c r="BR1069" i="1"/>
  <c r="BP1069" i="1"/>
  <c r="EK1068" i="1"/>
  <c r="EJ1068" i="1"/>
  <c r="EI1068" i="1"/>
  <c r="EH1068" i="1"/>
  <c r="BR1047" i="1"/>
  <c r="BP1047" i="1"/>
  <c r="BV1046" i="1"/>
  <c r="BU1046" i="1"/>
  <c r="BR1046" i="1"/>
  <c r="BP1046" i="1"/>
  <c r="EL1045" i="1"/>
  <c r="EH1045" i="1"/>
  <c r="EL1066" i="1"/>
  <c r="EK1066" i="1"/>
  <c r="EJ1066" i="1"/>
  <c r="EI1066" i="1"/>
  <c r="EH1066" i="1"/>
  <c r="EL1064" i="1"/>
  <c r="EK1064" i="1"/>
  <c r="EJ1064" i="1"/>
  <c r="EI1064" i="1"/>
  <c r="EL1062" i="1"/>
  <c r="EK1062" i="1"/>
  <c r="EJ1062" i="1"/>
  <c r="EI1062" i="1"/>
  <c r="EH1062" i="1"/>
  <c r="BR1042" i="1"/>
  <c r="BP1042" i="1"/>
  <c r="EK1060" i="1"/>
  <c r="EJ1060" i="1"/>
  <c r="EI1060" i="1"/>
  <c r="EH1060" i="1"/>
  <c r="EH1040" i="1"/>
  <c r="EL1058" i="1"/>
  <c r="EK1058" i="1"/>
  <c r="EJ1058" i="1"/>
  <c r="EI1058" i="1"/>
  <c r="EH1058" i="1"/>
  <c r="EK981" i="1"/>
  <c r="EJ981" i="1"/>
  <c r="EI981" i="1"/>
  <c r="EH981" i="1"/>
  <c r="EL1057" i="1"/>
  <c r="EH1057" i="1"/>
  <c r="EL1035" i="1"/>
  <c r="EK1035" i="1"/>
  <c r="EI1035" i="1"/>
  <c r="EH1035" i="1"/>
  <c r="BU973" i="1"/>
  <c r="BT973" i="1"/>
  <c r="BS973" i="1"/>
  <c r="BR973" i="1"/>
  <c r="BP973" i="1"/>
  <c r="EI972" i="1"/>
  <c r="EH972" i="1"/>
  <c r="BV971" i="1"/>
  <c r="BU971" i="1"/>
  <c r="BT971" i="1"/>
  <c r="BS971" i="1"/>
  <c r="BR971" i="1"/>
  <c r="BP971" i="1"/>
  <c r="EH1034" i="1"/>
  <c r="EL1033" i="1"/>
  <c r="EH1033" i="1"/>
  <c r="EL969" i="1"/>
  <c r="EK969" i="1"/>
  <c r="EJ969" i="1"/>
  <c r="EI969" i="1"/>
  <c r="EH969" i="1"/>
  <c r="EL1032" i="1"/>
  <c r="EK1032" i="1"/>
  <c r="EH1032" i="1"/>
  <c r="EL1031" i="1"/>
  <c r="EH1031" i="1"/>
  <c r="EL1030" i="1"/>
  <c r="EK1030" i="1"/>
  <c r="EH1030" i="1"/>
  <c r="FT416" i="1"/>
  <c r="FN387" i="1"/>
  <c r="EK513" i="1"/>
  <c r="EJ513" i="1"/>
  <c r="CX504" i="1"/>
  <c r="CY504" i="1"/>
  <c r="BU504" i="1"/>
  <c r="BT504" i="1"/>
  <c r="BS504" i="1"/>
  <c r="BR504" i="1"/>
  <c r="BP504" i="1"/>
  <c r="EL451" i="1"/>
  <c r="EL958" i="1"/>
  <c r="EK958" i="1"/>
  <c r="EI958" i="1"/>
  <c r="EH958" i="1"/>
  <c r="EK201" i="1"/>
  <c r="EJ201" i="1"/>
  <c r="EI201" i="1"/>
  <c r="EL192" i="1"/>
  <c r="EK192" i="1"/>
  <c r="EJ192" i="1"/>
  <c r="EI192" i="1"/>
  <c r="EH192" i="1"/>
  <c r="FT373" i="1"/>
  <c r="CY373" i="1"/>
  <c r="FN373" i="1" s="1"/>
  <c r="EL349" i="1"/>
  <c r="EK349" i="1"/>
  <c r="EH349" i="1"/>
  <c r="EL473" i="1"/>
  <c r="EK473" i="1"/>
  <c r="EH473" i="1"/>
  <c r="EY279" i="1"/>
  <c r="BR472" i="1"/>
  <c r="EL471" i="1"/>
  <c r="BU470" i="1"/>
  <c r="BT470" i="1"/>
  <c r="BS470" i="1"/>
  <c r="BR470" i="1"/>
  <c r="BP470" i="1"/>
  <c r="EL469" i="1"/>
  <c r="EL468" i="1"/>
  <c r="EH468" i="1"/>
  <c r="EH467" i="1"/>
  <c r="EL377" i="1"/>
  <c r="EK377" i="1"/>
  <c r="EJ377" i="1"/>
  <c r="EI377" i="1"/>
  <c r="EH377" i="1"/>
  <c r="EL342" i="1"/>
  <c r="EH342" i="1"/>
  <c r="BU381" i="1"/>
  <c r="BT381" i="1"/>
  <c r="BS381" i="1"/>
  <c r="BR381" i="1"/>
  <c r="BP381" i="1"/>
  <c r="EL382" i="1"/>
  <c r="EK382" i="1"/>
  <c r="EJ382" i="1"/>
  <c r="EI382" i="1"/>
  <c r="EL466" i="1"/>
  <c r="EK466" i="1"/>
  <c r="EL378" i="1"/>
  <c r="EK378" i="1"/>
  <c r="EJ378" i="1"/>
  <c r="EI378" i="1"/>
  <c r="EH378" i="1"/>
  <c r="CY359" i="1"/>
  <c r="BP359" i="1"/>
  <c r="EL465" i="1"/>
  <c r="EK465" i="1"/>
  <c r="EH465" i="1"/>
  <c r="EL464" i="1"/>
  <c r="EH464" i="1"/>
  <c r="EL346" i="1"/>
  <c r="EL341" i="1"/>
  <c r="EH341" i="1"/>
  <c r="FI367" i="1"/>
  <c r="FT367" i="1"/>
  <c r="ET869" i="1"/>
  <c r="EZ869" i="1"/>
  <c r="FA869" i="1"/>
  <c r="EL318" i="1"/>
  <c r="EH318" i="1"/>
  <c r="FI334" i="1"/>
  <c r="EL334" i="1"/>
  <c r="EK334" i="1"/>
  <c r="EH334" i="1"/>
  <c r="BV317" i="1"/>
  <c r="BR317" i="1"/>
  <c r="BP317" i="1"/>
  <c r="BV316" i="1"/>
  <c r="BR316" i="1"/>
  <c r="BP316" i="1"/>
  <c r="EL315" i="1"/>
  <c r="EH315" i="1"/>
  <c r="AF315" i="1"/>
  <c r="AE315" i="1"/>
  <c r="FI336" i="1"/>
  <c r="EL328" i="1"/>
  <c r="EH328" i="1"/>
  <c r="EL314" i="1"/>
  <c r="EH314" i="1"/>
  <c r="EL312" i="1"/>
  <c r="EH312" i="1"/>
  <c r="EL311" i="1"/>
  <c r="EH311" i="1"/>
  <c r="EL323" i="1"/>
  <c r="EH323" i="1"/>
  <c r="EL321" i="1"/>
  <c r="EH321" i="1"/>
  <c r="BV310" i="1"/>
  <c r="BR310" i="1"/>
  <c r="BP310" i="1"/>
  <c r="AF310" i="1"/>
  <c r="AE310" i="1"/>
  <c r="BV309" i="1"/>
  <c r="BR309" i="1"/>
  <c r="BP309" i="1"/>
  <c r="BU737" i="1"/>
  <c r="BT737" i="1"/>
  <c r="BR737" i="1"/>
  <c r="BP737" i="1"/>
  <c r="EL709" i="1"/>
  <c r="BV691" i="1"/>
  <c r="BP691" i="1"/>
  <c r="EL735" i="1"/>
  <c r="EK735" i="1"/>
  <c r="EJ735" i="1"/>
  <c r="EI735" i="1"/>
  <c r="EH735" i="1"/>
  <c r="EL662" i="1"/>
  <c r="EL732" i="1"/>
  <c r="EK732" i="1"/>
  <c r="BU732" i="1" s="1"/>
  <c r="EJ732" i="1"/>
  <c r="BT732" i="1" s="1"/>
  <c r="EI732" i="1"/>
  <c r="BS732" i="1" s="1"/>
  <c r="EH732" i="1"/>
  <c r="BR732" i="1" s="1"/>
  <c r="BV732" i="1"/>
  <c r="EL635" i="1"/>
  <c r="EL1063" i="1"/>
  <c r="EK1063" i="1"/>
  <c r="EJ1063" i="1"/>
  <c r="EI1063" i="1"/>
  <c r="EH1063" i="1"/>
  <c r="BV731" i="1"/>
  <c r="BU731" i="1"/>
  <c r="BT731" i="1"/>
  <c r="BS731" i="1"/>
  <c r="BR731" i="1"/>
  <c r="BP731" i="1"/>
  <c r="FT516" i="1"/>
  <c r="FO516" i="1"/>
  <c r="EL516" i="1"/>
  <c r="EH730" i="1"/>
  <c r="EL572" i="1"/>
  <c r="EK729" i="1"/>
  <c r="EJ729" i="1"/>
  <c r="EI729" i="1"/>
  <c r="EL565" i="1"/>
  <c r="EL919" i="1"/>
  <c r="EH919" i="1"/>
  <c r="EL488" i="1"/>
  <c r="BV351" i="1"/>
  <c r="BP351" i="1"/>
  <c r="FT290" i="1"/>
  <c r="CT290" i="1"/>
  <c r="FI290" i="1" s="1"/>
  <c r="CY290" i="1"/>
  <c r="FN290" i="1" s="1"/>
  <c r="EK556" i="1"/>
  <c r="EH556" i="1"/>
  <c r="EL556" i="1"/>
  <c r="FN305" i="1"/>
  <c r="EK305" i="1"/>
  <c r="EH305" i="1"/>
  <c r="FN293" i="1"/>
  <c r="FI292" i="1"/>
  <c r="AF275" i="1"/>
  <c r="AE275" i="1"/>
  <c r="FN289" i="1"/>
  <c r="FN288" i="1"/>
  <c r="BV439" i="1"/>
  <c r="BU439" i="1"/>
  <c r="BT439" i="1"/>
  <c r="BP439" i="1"/>
  <c r="EL457" i="1"/>
  <c r="EK457" i="1"/>
  <c r="EL429" i="1"/>
  <c r="BP429" i="1"/>
  <c r="BV453" i="1"/>
  <c r="BP453" i="1"/>
  <c r="EL427" i="1"/>
  <c r="BV446" i="1"/>
  <c r="BP446" i="1"/>
  <c r="EL444" i="1"/>
  <c r="AF444" i="1"/>
  <c r="AE444" i="1"/>
  <c r="BV443" i="1"/>
  <c r="BP443" i="1"/>
  <c r="EL425" i="1"/>
  <c r="CA114" i="1"/>
  <c r="BP114" i="1"/>
  <c r="EK144" i="1"/>
  <c r="CK1095" i="1"/>
  <c r="EZ1095" i="1" s="1"/>
  <c r="GR1094" i="1"/>
  <c r="FI1094" i="1"/>
  <c r="EB1093" i="1"/>
  <c r="BP1093" i="1"/>
  <c r="FI1093" i="1" s="1"/>
  <c r="EL1007" i="1"/>
  <c r="EK1007" i="1"/>
  <c r="EJ1007" i="1"/>
  <c r="EI1007" i="1"/>
  <c r="EH1007" i="1"/>
  <c r="EL995" i="1"/>
  <c r="EK995" i="1"/>
  <c r="EI995" i="1"/>
  <c r="EH995" i="1"/>
  <c r="BR1044" i="1"/>
  <c r="EH1044" i="1" s="1"/>
  <c r="EL1022" i="1"/>
  <c r="EK1022" i="1"/>
  <c r="EJ1022" i="1"/>
  <c r="EI1022" i="1"/>
  <c r="EH1022" i="1"/>
  <c r="EL990" i="1"/>
  <c r="EK990" i="1"/>
  <c r="EJ990" i="1"/>
  <c r="EI990" i="1"/>
  <c r="EH990" i="1"/>
  <c r="EL989" i="1"/>
  <c r="EK989" i="1"/>
  <c r="EJ989" i="1"/>
  <c r="EI989" i="1"/>
  <c r="EH989" i="1"/>
  <c r="EL986" i="1"/>
  <c r="EH986" i="1"/>
  <c r="EL982" i="1"/>
  <c r="EK982" i="1"/>
  <c r="EJ982" i="1"/>
  <c r="EI982" i="1"/>
  <c r="EH982" i="1"/>
  <c r="BV975" i="1"/>
  <c r="BU975" i="1"/>
  <c r="BT975" i="1"/>
  <c r="BS975" i="1"/>
  <c r="BR975" i="1"/>
  <c r="BP975" i="1"/>
  <c r="BV967" i="1"/>
  <c r="BU967" i="1"/>
  <c r="BT967" i="1"/>
  <c r="BS967" i="1"/>
  <c r="BR967" i="1"/>
  <c r="BP967" i="1"/>
  <c r="BR1048" i="1"/>
  <c r="FT417" i="1"/>
  <c r="FN396" i="1"/>
  <c r="FM388" i="1"/>
  <c r="FN388" i="1"/>
  <c r="AF512" i="1"/>
  <c r="AE512" i="1"/>
  <c r="EB225" i="1"/>
  <c r="BP225" i="1"/>
  <c r="BP177" i="1"/>
  <c r="EK180" i="1"/>
  <c r="EJ180" i="1"/>
  <c r="EI180" i="1"/>
  <c r="EK200" i="1"/>
  <c r="EJ200" i="1"/>
  <c r="EI200" i="1"/>
  <c r="EH169" i="1"/>
  <c r="EK188" i="1"/>
  <c r="EJ188" i="1"/>
  <c r="EI188" i="1"/>
  <c r="BU186" i="1"/>
  <c r="BT186" i="1"/>
  <c r="BS186" i="1"/>
  <c r="BP186" i="1"/>
  <c r="EK185" i="1"/>
  <c r="EJ185" i="1"/>
  <c r="EI185" i="1"/>
  <c r="BU184" i="1"/>
  <c r="BT184" i="1"/>
  <c r="BS184" i="1"/>
  <c r="BP184" i="1"/>
  <c r="EK181" i="1"/>
  <c r="EJ181" i="1"/>
  <c r="EI181" i="1"/>
  <c r="EY366" i="1"/>
  <c r="FN366" i="1"/>
  <c r="BV376" i="1"/>
  <c r="BU376" i="1"/>
  <c r="BT376" i="1"/>
  <c r="BS376" i="1"/>
  <c r="BR376" i="1"/>
  <c r="BP376" i="1"/>
  <c r="BV350" i="1"/>
  <c r="BR350" i="1"/>
  <c r="BP350" i="1"/>
  <c r="EK384" i="1"/>
  <c r="EJ384" i="1"/>
  <c r="EI384" i="1"/>
  <c r="EH384" i="1"/>
  <c r="BV379" i="1"/>
  <c r="BU379" i="1"/>
  <c r="BT379" i="1"/>
  <c r="BS379" i="1"/>
  <c r="BR379" i="1"/>
  <c r="BP379" i="1"/>
  <c r="EK380" i="1"/>
  <c r="EJ380" i="1"/>
  <c r="EI380" i="1"/>
  <c r="EH380" i="1"/>
  <c r="EY360" i="1"/>
  <c r="FN360" i="1"/>
  <c r="EY358" i="1"/>
  <c r="FN358" i="1"/>
  <c r="EL383" i="1"/>
  <c r="EK383" i="1"/>
  <c r="EJ383" i="1"/>
  <c r="EI383" i="1"/>
  <c r="EH383" i="1"/>
  <c r="EZ859" i="1"/>
  <c r="FA859" i="1"/>
  <c r="CE857" i="1"/>
  <c r="CK857" i="1"/>
  <c r="CL857" i="1"/>
  <c r="BP857" i="1"/>
  <c r="EY837" i="1"/>
  <c r="CG837" i="1"/>
  <c r="EV837" i="1" s="1"/>
  <c r="CF837" i="1"/>
  <c r="EU837" i="1" s="1"/>
  <c r="CE853" i="1"/>
  <c r="ET853" i="1" s="1"/>
  <c r="CK853" i="1"/>
  <c r="CL853" i="1"/>
  <c r="BP853" i="1"/>
  <c r="EY835" i="1"/>
  <c r="CG835" i="1"/>
  <c r="EV835" i="1" s="1"/>
  <c r="CF835" i="1"/>
  <c r="EU835" i="1" s="1"/>
  <c r="EZ844" i="1"/>
  <c r="FA844" i="1"/>
  <c r="ET839" i="1"/>
  <c r="CC839" i="1"/>
  <c r="ES839" i="1" s="1"/>
  <c r="CF839" i="1"/>
  <c r="EU839" i="1" s="1"/>
  <c r="EH322" i="1"/>
  <c r="FI335" i="1"/>
  <c r="FI333" i="1"/>
  <c r="EK333" i="1"/>
  <c r="EH333" i="1"/>
  <c r="DE333" i="1"/>
  <c r="FT333" i="1" s="1"/>
  <c r="EU243" i="1"/>
  <c r="FG243" i="1"/>
  <c r="EL695" i="1"/>
  <c r="EL690" i="1"/>
  <c r="EL654" i="1"/>
  <c r="BV640" i="1"/>
  <c r="BP640" i="1"/>
  <c r="EL589" i="1"/>
  <c r="EL551" i="1"/>
  <c r="EK551" i="1"/>
  <c r="ER116" i="1"/>
  <c r="ER115" i="1"/>
  <c r="ER110" i="1"/>
  <c r="CB109" i="1"/>
  <c r="BP109" i="1"/>
  <c r="EQ226" i="1"/>
  <c r="BP226" i="1"/>
  <c r="BV951" i="1"/>
  <c r="BR951" i="1"/>
  <c r="BP951" i="1"/>
  <c r="BV910" i="1"/>
  <c r="BR910" i="1"/>
  <c r="BP910" i="1"/>
  <c r="I910" i="1"/>
  <c r="H910" i="1"/>
  <c r="EZ913" i="1"/>
  <c r="EL913" i="1"/>
  <c r="EH913" i="1"/>
  <c r="EL948" i="1"/>
  <c r="EH948" i="1"/>
  <c r="BV915" i="1"/>
  <c r="BR915" i="1"/>
  <c r="BP915" i="1"/>
  <c r="EL921" i="1"/>
  <c r="EH921" i="1"/>
  <c r="EL918" i="1"/>
  <c r="EH918" i="1"/>
  <c r="FI916" i="1"/>
  <c r="EL916" i="1"/>
  <c r="EH916" i="1"/>
  <c r="EL922" i="1"/>
  <c r="EH922" i="1"/>
  <c r="EL912" i="1"/>
  <c r="EH912" i="1"/>
  <c r="EL920" i="1"/>
  <c r="EH920" i="1"/>
  <c r="EL914" i="1"/>
  <c r="EH914" i="1"/>
  <c r="I914" i="1"/>
  <c r="H914" i="1"/>
  <c r="EL490" i="1"/>
  <c r="EK490" i="1"/>
  <c r="EL484" i="1"/>
  <c r="FI306" i="1"/>
  <c r="FI297" i="1"/>
  <c r="FT297" i="1"/>
  <c r="EL460" i="1"/>
  <c r="EL459" i="1"/>
  <c r="EK438" i="1"/>
  <c r="EL437" i="1"/>
  <c r="EK437" i="1"/>
  <c r="EJ437" i="1"/>
  <c r="EI437" i="1"/>
  <c r="EH437" i="1"/>
  <c r="EL455" i="1"/>
  <c r="BV454" i="1"/>
  <c r="BP454" i="1"/>
  <c r="EL441" i="1"/>
  <c r="EL440" i="1"/>
  <c r="BV908" i="1"/>
  <c r="BR908" i="1"/>
  <c r="BP908" i="1"/>
  <c r="EH891" i="1"/>
  <c r="EL903" i="1"/>
  <c r="EJ903" i="1"/>
  <c r="EI903" i="1"/>
  <c r="EH903" i="1"/>
  <c r="BR902" i="1"/>
  <c r="BP902" i="1"/>
  <c r="FU901" i="1"/>
  <c r="FI901" i="1"/>
  <c r="EH901" i="1"/>
  <c r="EL899" i="1"/>
  <c r="EH899" i="1"/>
  <c r="EH898" i="1"/>
  <c r="BP897" i="1"/>
  <c r="CK897" i="1" s="1"/>
  <c r="BV896" i="1"/>
  <c r="BR896" i="1"/>
  <c r="BP896" i="1"/>
  <c r="I896" i="1"/>
  <c r="H896" i="1"/>
  <c r="I893" i="1"/>
  <c r="H893" i="1"/>
  <c r="EZ894" i="1"/>
  <c r="EH894" i="1"/>
  <c r="EV8" i="1"/>
  <c r="FA8" i="1"/>
  <c r="FI8" i="1"/>
  <c r="EV7" i="1"/>
  <c r="FA7" i="1"/>
  <c r="FI7" i="1"/>
  <c r="I7" i="1"/>
  <c r="H7" i="1"/>
  <c r="EV6" i="1"/>
  <c r="FA6" i="1"/>
  <c r="FI6" i="1"/>
  <c r="I6" i="1"/>
  <c r="H6" i="1"/>
  <c r="EB890" i="1"/>
  <c r="EB888" i="1"/>
  <c r="EB887" i="1"/>
  <c r="EB886" i="1"/>
  <c r="EB885" i="1"/>
  <c r="EB884" i="1"/>
  <c r="EB883" i="1"/>
  <c r="EB882" i="1"/>
  <c r="EB881" i="1"/>
  <c r="EY1089" i="1"/>
  <c r="EY1088" i="1"/>
  <c r="EK176" i="1"/>
  <c r="EH176" i="1"/>
  <c r="BR166" i="1"/>
  <c r="BP166" i="1"/>
  <c r="EZ160" i="1"/>
  <c r="EK160" i="1"/>
  <c r="EH160" i="1"/>
  <c r="BR158" i="1"/>
  <c r="BP158" i="1"/>
  <c r="GR155" i="1"/>
  <c r="GR154" i="1"/>
  <c r="GR153" i="1"/>
  <c r="EB153" i="1"/>
  <c r="EL718" i="1"/>
  <c r="EK718" i="1"/>
  <c r="EL708" i="1"/>
  <c r="EL702" i="1"/>
  <c r="EL700" i="1"/>
  <c r="BV684" i="1"/>
  <c r="BP684" i="1"/>
  <c r="EL568" i="1"/>
  <c r="EL550" i="1"/>
  <c r="BV931" i="1"/>
  <c r="BU931" i="1"/>
  <c r="BR931" i="1"/>
  <c r="BP931" i="1"/>
  <c r="EL927" i="1"/>
  <c r="EK927" i="1"/>
  <c r="EH927" i="1"/>
  <c r="EB927" i="1"/>
  <c r="GR927" i="1" s="1"/>
  <c r="EL925" i="1"/>
  <c r="EK925" i="1"/>
  <c r="EH925" i="1"/>
  <c r="EK435" i="1"/>
  <c r="EJ435" i="1"/>
  <c r="EK431" i="1"/>
  <c r="EJ431" i="1"/>
  <c r="EI431" i="1"/>
  <c r="BR904" i="1"/>
  <c r="BP904" i="1"/>
  <c r="BR900" i="1"/>
  <c r="BP900" i="1"/>
  <c r="EH892" i="1"/>
  <c r="CA65" i="1"/>
  <c r="BP65" i="1"/>
  <c r="EY107" i="1"/>
  <c r="CA64" i="1"/>
  <c r="EQ64" i="1" s="1"/>
  <c r="CA63" i="1"/>
  <c r="BP63" i="1"/>
  <c r="CA62" i="1"/>
  <c r="EQ62" i="1" s="1"/>
  <c r="EY55" i="1"/>
  <c r="CA61" i="1"/>
  <c r="BP61" i="1"/>
  <c r="EY54" i="1"/>
  <c r="CA60" i="1"/>
  <c r="BP60" i="1"/>
  <c r="EY52" i="1"/>
  <c r="CA59" i="1"/>
  <c r="EQ59" i="1" s="1"/>
  <c r="CA58" i="1"/>
  <c r="BP58" i="1"/>
  <c r="CJ101" i="1"/>
  <c r="BP101" i="1"/>
  <c r="EY51" i="1"/>
  <c r="EY97" i="1"/>
  <c r="EY50" i="1"/>
  <c r="EY92" i="1"/>
  <c r="CJ91" i="1"/>
  <c r="BP91" i="1"/>
  <c r="EY48" i="1"/>
  <c r="EY89" i="1"/>
  <c r="EY88" i="1"/>
  <c r="CA57" i="1"/>
  <c r="BP57" i="1"/>
  <c r="I57" i="1"/>
  <c r="H57" i="1"/>
  <c r="EY82" i="1"/>
  <c r="CJ81" i="1"/>
  <c r="BP81" i="1"/>
  <c r="EY80" i="1"/>
  <c r="GT16" i="1"/>
  <c r="GT15" i="1"/>
  <c r="GT14" i="1"/>
  <c r="GT12" i="1"/>
  <c r="GT11" i="1"/>
  <c r="GT10" i="1"/>
  <c r="EI1067" i="1"/>
  <c r="EH1067" i="1"/>
  <c r="BV1065" i="1"/>
  <c r="BU1065" i="1"/>
  <c r="BT1065" i="1"/>
  <c r="BS1065" i="1"/>
  <c r="BR1065" i="1"/>
  <c r="BP1065" i="1"/>
  <c r="BV1059" i="1"/>
  <c r="BU1059" i="1"/>
  <c r="BT1059" i="1"/>
  <c r="BS1059" i="1"/>
  <c r="BR1059" i="1"/>
  <c r="BP1059" i="1"/>
  <c r="EL987" i="1"/>
  <c r="EK987" i="1"/>
  <c r="EJ987" i="1"/>
  <c r="EI987" i="1"/>
  <c r="EH987" i="1"/>
  <c r="EZ1050" i="1"/>
  <c r="EH1050" i="1"/>
  <c r="EK966" i="1"/>
  <c r="EJ966" i="1"/>
  <c r="EI966" i="1"/>
  <c r="EH966" i="1"/>
  <c r="EH410" i="1"/>
  <c r="EH392" i="1"/>
  <c r="EI509" i="1"/>
  <c r="EH509" i="1"/>
  <c r="GR224" i="1"/>
  <c r="GR223" i="1"/>
  <c r="GR222" i="1"/>
  <c r="GR219" i="1"/>
  <c r="EL219" i="1"/>
  <c r="EL217" i="1"/>
  <c r="EL216" i="1"/>
  <c r="EB216" i="1"/>
  <c r="BP216" i="1"/>
  <c r="FK215" i="1"/>
  <c r="FY215" i="1"/>
  <c r="GR215" i="1"/>
  <c r="EL215" i="1"/>
  <c r="GR214" i="1"/>
  <c r="EL963" i="1"/>
  <c r="CK178" i="1"/>
  <c r="EB178" i="1"/>
  <c r="BR178" i="1"/>
  <c r="BP178" i="1"/>
  <c r="EJ190" i="1"/>
  <c r="EI190" i="1"/>
  <c r="GR173" i="1"/>
  <c r="EJ189" i="1"/>
  <c r="EI189" i="1"/>
  <c r="CK167" i="1"/>
  <c r="CL167" i="1"/>
  <c r="EB167" i="1"/>
  <c r="BR167" i="1"/>
  <c r="BP167" i="1"/>
  <c r="EK187" i="1"/>
  <c r="EJ187" i="1"/>
  <c r="EI187" i="1"/>
  <c r="EH187" i="1"/>
  <c r="BU196" i="1"/>
  <c r="BT196" i="1"/>
  <c r="BS196" i="1"/>
  <c r="BR196" i="1"/>
  <c r="BP196" i="1"/>
  <c r="BR161" i="1"/>
  <c r="BP161" i="1"/>
  <c r="GR159" i="1"/>
  <c r="CK157" i="1"/>
  <c r="CL157" i="1"/>
  <c r="BT157" i="1"/>
  <c r="BS157" i="1"/>
  <c r="BR157" i="1"/>
  <c r="BP157" i="1"/>
  <c r="CK156" i="1"/>
  <c r="CL156" i="1"/>
  <c r="BT156" i="1"/>
  <c r="BR156" i="1"/>
  <c r="BP156" i="1"/>
  <c r="CI147" i="1"/>
  <c r="BP147" i="1"/>
  <c r="EV152" i="1"/>
  <c r="GR152" i="1"/>
  <c r="GR150" i="1"/>
  <c r="EY370" i="1"/>
  <c r="EH370" i="1"/>
  <c r="BU385" i="1"/>
  <c r="BT385" i="1"/>
  <c r="BS385" i="1"/>
  <c r="BP385" i="1"/>
  <c r="EU814" i="1"/>
  <c r="FA877" i="1"/>
  <c r="EH877" i="1"/>
  <c r="EV838" i="1"/>
  <c r="EY838" i="1"/>
  <c r="CF838" i="1"/>
  <c r="EU838" i="1" s="1"/>
  <c r="GS801" i="1"/>
  <c r="BP801" i="1"/>
  <c r="EM771" i="1"/>
  <c r="GR233" i="1"/>
  <c r="GR232" i="1"/>
  <c r="EL721" i="1"/>
  <c r="EL720" i="1"/>
  <c r="EK736" i="1"/>
  <c r="EJ736" i="1"/>
  <c r="EI736" i="1"/>
  <c r="EL710" i="1"/>
  <c r="EL701" i="1"/>
  <c r="EL682" i="1"/>
  <c r="BP678" i="1"/>
  <c r="EL667" i="1"/>
  <c r="EL656" i="1"/>
  <c r="EL645" i="1"/>
  <c r="EL630" i="1"/>
  <c r="BV629" i="1"/>
  <c r="BP629" i="1"/>
  <c r="EL608" i="1"/>
  <c r="EL598" i="1"/>
  <c r="EL586" i="1"/>
  <c r="EL582" i="1"/>
  <c r="BP579" i="1"/>
  <c r="EL579" i="1" s="1"/>
  <c r="EL578" i="1"/>
  <c r="EL571" i="1"/>
  <c r="EL559" i="1"/>
  <c r="EL541" i="1"/>
  <c r="EL540" i="1"/>
  <c r="EH953" i="1"/>
  <c r="EL942" i="1"/>
  <c r="EH942" i="1"/>
  <c r="EK895" i="1"/>
  <c r="EH895" i="1"/>
  <c r="EH938" i="1"/>
  <c r="EL475" i="1"/>
  <c r="FI307" i="1"/>
  <c r="BZ122" i="1"/>
  <c r="BP122" i="1"/>
  <c r="EZ907" i="1"/>
  <c r="FA907" i="1"/>
  <c r="EH907" i="1"/>
  <c r="EY23" i="1"/>
  <c r="EY22" i="1"/>
  <c r="EY21" i="1"/>
  <c r="BP68" i="1"/>
  <c r="EX68" i="1" s="1"/>
  <c r="CJ87" i="1"/>
  <c r="BP87" i="1"/>
  <c r="EK139" i="1"/>
  <c r="EJ139" i="1"/>
  <c r="EI139" i="1"/>
  <c r="BU130" i="1"/>
  <c r="BT130" i="1"/>
  <c r="BS130" i="1"/>
  <c r="BP130" i="1"/>
  <c r="EJ129" i="1"/>
  <c r="EI129" i="1"/>
  <c r="EJ125" i="1"/>
  <c r="EI125" i="1"/>
  <c r="EH128" i="1"/>
  <c r="FC515" i="1" l="1"/>
  <c r="EZ515" i="1"/>
  <c r="FA845" i="1"/>
  <c r="FA855" i="1"/>
  <c r="EZ855" i="1"/>
  <c r="FA848" i="1"/>
  <c r="EZ848" i="1"/>
  <c r="EZ845" i="1"/>
  <c r="EH178" i="1"/>
  <c r="ET845" i="1"/>
  <c r="EI1061" i="1"/>
  <c r="EK146" i="1"/>
  <c r="EQ61" i="1"/>
  <c r="FA515" i="1"/>
  <c r="EL615" i="1"/>
  <c r="EI973" i="1"/>
  <c r="EZ853" i="1"/>
  <c r="EI376" i="1"/>
  <c r="EL443" i="1"/>
  <c r="EI385" i="1"/>
  <c r="EH1047" i="1"/>
  <c r="EI967" i="1"/>
  <c r="FA853" i="1"/>
  <c r="GR225" i="1"/>
  <c r="EK379" i="1"/>
  <c r="EL678" i="1"/>
  <c r="EK731" i="1"/>
  <c r="EK130" i="1"/>
  <c r="EK893" i="1"/>
  <c r="EI510" i="1"/>
  <c r="EH915" i="1"/>
  <c r="EC801" i="1"/>
  <c r="GR216" i="1"/>
  <c r="EQ65" i="1"/>
  <c r="EL454" i="1"/>
  <c r="EL433" i="1"/>
  <c r="EZ157" i="1"/>
  <c r="EL1005" i="1"/>
  <c r="BV897" i="1"/>
  <c r="EL310" i="1"/>
  <c r="EH902" i="1"/>
  <c r="EH309" i="1"/>
  <c r="BR897" i="1"/>
  <c r="EK381" i="1"/>
  <c r="EH161" i="1"/>
  <c r="EI1005" i="1"/>
  <c r="FO555" i="1"/>
  <c r="EL555" i="1"/>
  <c r="EQ57" i="1"/>
  <c r="EL896" i="1"/>
  <c r="GR1093" i="1"/>
  <c r="FN359" i="1"/>
  <c r="EK1046" i="1"/>
  <c r="EX147" i="1"/>
  <c r="EH967" i="1"/>
  <c r="EL317" i="1"/>
  <c r="EH1046" i="1"/>
  <c r="FI412" i="1"/>
  <c r="ER112" i="1"/>
  <c r="EH910" i="1"/>
  <c r="EJ973" i="1"/>
  <c r="EL1069" i="1"/>
  <c r="EY101" i="1"/>
  <c r="EH158" i="1"/>
  <c r="EL1046" i="1"/>
  <c r="EY87" i="1"/>
  <c r="EL975" i="1"/>
  <c r="FN280" i="1"/>
  <c r="EY91" i="1"/>
  <c r="EH904" i="1"/>
  <c r="EH166" i="1"/>
  <c r="EL908" i="1"/>
  <c r="EI470" i="1"/>
  <c r="EI1010" i="1"/>
  <c r="FA868" i="1"/>
  <c r="EJ196" i="1"/>
  <c r="EJ975" i="1"/>
  <c r="EK737" i="1"/>
  <c r="EJ381" i="1"/>
  <c r="EL971" i="1"/>
  <c r="EH868" i="1"/>
  <c r="EM753" i="1"/>
  <c r="FA167" i="1"/>
  <c r="EL350" i="1"/>
  <c r="EH975" i="1"/>
  <c r="EL309" i="1"/>
  <c r="EH344" i="1"/>
  <c r="EJ146" i="1"/>
  <c r="EL162" i="1"/>
  <c r="EL627" i="1"/>
  <c r="FA156" i="1"/>
  <c r="EQ60" i="1"/>
  <c r="EL684" i="1"/>
  <c r="EL640" i="1"/>
  <c r="EL376" i="1"/>
  <c r="EL439" i="1"/>
  <c r="EJ737" i="1"/>
  <c r="EI507" i="1"/>
  <c r="EL692" i="1"/>
  <c r="EY81" i="1"/>
  <c r="EH162" i="1"/>
  <c r="EI379" i="1"/>
  <c r="EK975" i="1"/>
  <c r="EH737" i="1"/>
  <c r="EJ507" i="1"/>
  <c r="EP122" i="1"/>
  <c r="EL672" i="1"/>
  <c r="EZ178" i="1"/>
  <c r="EH900" i="1"/>
  <c r="EK931" i="1"/>
  <c r="EL967" i="1"/>
  <c r="EI975" i="1"/>
  <c r="EL1061" i="1"/>
  <c r="EH1010" i="1"/>
  <c r="EI146" i="1"/>
  <c r="EK507" i="1"/>
  <c r="EJ1061" i="1"/>
  <c r="GR178" i="1"/>
  <c r="EH163" i="1"/>
  <c r="EK182" i="1"/>
  <c r="EJ184" i="1"/>
  <c r="BV429" i="1"/>
  <c r="EL351" i="1"/>
  <c r="EL731" i="1"/>
  <c r="EH317" i="1"/>
  <c r="EL629" i="1"/>
  <c r="EL1065" i="1"/>
  <c r="EQ63" i="1"/>
  <c r="EL458" i="1"/>
  <c r="CA226" i="1"/>
  <c r="EK967" i="1"/>
  <c r="EH310" i="1"/>
  <c r="EH973" i="1"/>
  <c r="FT386" i="1"/>
  <c r="EL993" i="1"/>
  <c r="BP153" i="1"/>
  <c r="EQ58" i="1"/>
  <c r="EH428" i="1"/>
  <c r="EL910" i="1"/>
  <c r="ER109" i="1"/>
  <c r="FA857" i="1"/>
  <c r="EK433" i="1"/>
  <c r="EH381" i="1"/>
  <c r="EL1010" i="1"/>
  <c r="EY354" i="1"/>
  <c r="EY961" i="1"/>
  <c r="EL983" i="1"/>
  <c r="EI130" i="1"/>
  <c r="EH896" i="1"/>
  <c r="EH908" i="1"/>
  <c r="EL951" i="1"/>
  <c r="EH379" i="1"/>
  <c r="EJ182" i="1"/>
  <c r="EI381" i="1"/>
  <c r="EI971" i="1"/>
  <c r="EH1069" i="1"/>
  <c r="EK510" i="1"/>
  <c r="EH731" i="1"/>
  <c r="EI1059" i="1"/>
  <c r="EI157" i="1"/>
  <c r="EL491" i="1"/>
  <c r="EL379" i="1"/>
  <c r="EH350" i="1"/>
  <c r="EK184" i="1"/>
  <c r="EI186" i="1"/>
  <c r="EL446" i="1"/>
  <c r="EK439" i="1"/>
  <c r="EJ470" i="1"/>
  <c r="EK973" i="1"/>
  <c r="EI1069" i="1"/>
  <c r="EL646" i="1"/>
  <c r="EK385" i="1"/>
  <c r="EL931" i="1"/>
  <c r="EL915" i="1"/>
  <c r="EJ177" i="1"/>
  <c r="EH1005" i="1"/>
  <c r="EL453" i="1"/>
  <c r="EI731" i="1"/>
  <c r="EL316" i="1"/>
  <c r="EH1042" i="1"/>
  <c r="EJ510" i="1"/>
  <c r="EH983" i="1"/>
  <c r="FT354" i="1"/>
  <c r="EH510" i="1"/>
  <c r="EI983" i="1"/>
  <c r="EH993" i="1"/>
  <c r="FN386" i="1"/>
  <c r="EJ983" i="1"/>
  <c r="EH338" i="1"/>
  <c r="EK983" i="1"/>
  <c r="FN338" i="1"/>
  <c r="FT338" i="1"/>
  <c r="EJ971" i="1"/>
  <c r="EK470" i="1"/>
  <c r="EK971" i="1"/>
  <c r="EK1061" i="1"/>
  <c r="EI737" i="1"/>
  <c r="EJ439" i="1"/>
  <c r="EJ731" i="1"/>
  <c r="EH316" i="1"/>
  <c r="EJ1069" i="1"/>
  <c r="EJ1010" i="1"/>
  <c r="EH470" i="1"/>
  <c r="EH971" i="1"/>
  <c r="EK1069" i="1"/>
  <c r="EK1010" i="1"/>
  <c r="EK428" i="1"/>
  <c r="EZ857" i="1"/>
  <c r="EL182" i="1"/>
  <c r="EJ186" i="1"/>
  <c r="EH198" i="1"/>
  <c r="EH177" i="1"/>
  <c r="EJ1005" i="1"/>
  <c r="EL428" i="1"/>
  <c r="ET857" i="1"/>
  <c r="EH376" i="1"/>
  <c r="EK186" i="1"/>
  <c r="EI177" i="1"/>
  <c r="EK1005" i="1"/>
  <c r="EJ376" i="1"/>
  <c r="EK177" i="1"/>
  <c r="EH951" i="1"/>
  <c r="EJ379" i="1"/>
  <c r="EK376" i="1"/>
  <c r="EH182" i="1"/>
  <c r="EZ177" i="1"/>
  <c r="EJ967" i="1"/>
  <c r="EI182" i="1"/>
  <c r="EI184" i="1"/>
  <c r="EH931" i="1"/>
  <c r="EH168" i="1"/>
  <c r="EK168" i="1"/>
  <c r="EH156" i="1"/>
  <c r="EJ1059" i="1"/>
  <c r="EZ156" i="1"/>
  <c r="EK196" i="1"/>
  <c r="EH196" i="1"/>
  <c r="EZ167" i="1"/>
  <c r="EJ385" i="1"/>
  <c r="EJ156" i="1"/>
  <c r="EI196" i="1"/>
  <c r="EK1059" i="1"/>
  <c r="EH1065" i="1"/>
  <c r="EH157" i="1"/>
  <c r="EL1059" i="1"/>
  <c r="EI1065" i="1"/>
  <c r="EJ1065" i="1"/>
  <c r="EJ157" i="1"/>
  <c r="EK1065" i="1"/>
  <c r="EJ130" i="1"/>
  <c r="FA157" i="1"/>
  <c r="EH167" i="1"/>
  <c r="GR167" i="1"/>
  <c r="EH1059" i="1"/>
  <c r="EL483" i="1" l="1"/>
  <c r="FT296" i="1" l="1"/>
  <c r="FI296" i="1"/>
  <c r="EK296" i="1"/>
  <c r="EL296" i="1"/>
  <c r="EH296" i="1"/>
  <c r="EL482" i="1" l="1"/>
  <c r="EH482" i="1"/>
  <c r="EL501" i="1"/>
  <c r="EH501" i="1"/>
  <c r="BV613" i="1" l="1"/>
  <c r="BP613" i="1"/>
  <c r="BT137" i="1" l="1"/>
  <c r="BP137" i="1"/>
  <c r="EL704" i="1" l="1"/>
  <c r="FA870" i="1" l="1"/>
  <c r="AS833" i="1" l="1"/>
  <c r="AT833" i="1"/>
  <c r="AS804" i="1"/>
  <c r="AT804" i="1"/>
  <c r="CB806" i="1" l="1"/>
  <c r="CB807" i="1"/>
  <c r="BP810" i="1"/>
  <c r="ER810" i="1" s="1"/>
  <c r="ER833" i="1"/>
  <c r="ER804" i="1"/>
  <c r="ER808" i="1"/>
  <c r="BP809" i="1"/>
  <c r="ER809" i="1" s="1"/>
  <c r="BP807" i="1"/>
  <c r="BP806" i="1"/>
  <c r="ER807" i="1" l="1"/>
  <c r="ER806" i="1"/>
  <c r="EH874" i="1" l="1"/>
  <c r="CD121" i="1" l="1"/>
  <c r="GW119" i="1"/>
  <c r="CD119" i="1"/>
  <c r="BQ119" i="1"/>
  <c r="GW117" i="1"/>
  <c r="CD117" i="1"/>
  <c r="BQ117" i="1"/>
  <c r="EL245" i="1" l="1"/>
  <c r="BP83" i="1" l="1"/>
  <c r="BP148" i="1"/>
  <c r="EX148" i="1" s="1"/>
  <c r="BP1041" i="1"/>
  <c r="BP713" i="1"/>
  <c r="BP535" i="1"/>
  <c r="BP968" i="1"/>
  <c r="BP1004" i="1"/>
  <c r="BP996" i="1"/>
  <c r="BP331" i="1"/>
  <c r="BP85" i="1"/>
  <c r="BP78" i="1"/>
  <c r="BP98" i="1"/>
  <c r="GR791" i="1" l="1"/>
  <c r="ES791" i="1"/>
  <c r="FS748" i="1" l="1"/>
  <c r="EY148" i="1" l="1"/>
  <c r="EL652" i="1"/>
  <c r="EL527" i="1" l="1"/>
  <c r="BU331" i="1" l="1"/>
  <c r="CT331" i="1"/>
  <c r="BR331" i="1"/>
  <c r="EZ489" i="1"/>
  <c r="EH487" i="1"/>
  <c r="EK487" i="1"/>
  <c r="EL487" i="1"/>
  <c r="EL476" i="1"/>
  <c r="EK476" i="1"/>
  <c r="EH476" i="1"/>
  <c r="GR218" i="1"/>
  <c r="EZ165" i="1"/>
  <c r="EH165" i="1"/>
  <c r="EH331" i="1" l="1"/>
  <c r="FI331" i="1"/>
  <c r="EK331" i="1"/>
  <c r="EH489" i="1"/>
  <c r="EL489" i="1"/>
  <c r="I977" i="1"/>
  <c r="EH329" i="1"/>
  <c r="BV996" i="1"/>
  <c r="BU996" i="1"/>
  <c r="BS996" i="1"/>
  <c r="EY229" i="1" l="1"/>
  <c r="EY228" i="1"/>
  <c r="EY231" i="1"/>
  <c r="EY227" i="1"/>
  <c r="CJ83" i="1"/>
  <c r="EY93" i="1"/>
  <c r="EY96" i="1"/>
  <c r="EY105" i="1"/>
  <c r="EY104" i="1"/>
  <c r="CJ78" i="1"/>
  <c r="CJ98" i="1"/>
  <c r="EY90" i="1"/>
  <c r="EY103" i="1"/>
  <c r="CJ85" i="1"/>
  <c r="EY106" i="1"/>
  <c r="EY86" i="1"/>
  <c r="EY230" i="1"/>
  <c r="EY84" i="1"/>
  <c r="EY83" i="1" l="1"/>
  <c r="EY85" i="1"/>
  <c r="EY78" i="1"/>
  <c r="EY98" i="1"/>
  <c r="EY102" i="1"/>
  <c r="GS798" i="1" l="1"/>
  <c r="BV968" i="1"/>
  <c r="BU968" i="1"/>
  <c r="BS968" i="1"/>
  <c r="BR968" i="1"/>
  <c r="BU1004" i="1"/>
  <c r="BS1004" i="1"/>
  <c r="BR1004" i="1"/>
  <c r="EL715" i="1" l="1"/>
  <c r="EK1020" i="1"/>
  <c r="EJ1020" i="1"/>
  <c r="EK1027" i="1"/>
  <c r="EM764" i="1" l="1"/>
  <c r="FN752" i="1"/>
  <c r="EL611" i="1" l="1"/>
  <c r="EL674" i="1"/>
  <c r="EL563" i="1" l="1"/>
  <c r="EH563" i="1"/>
  <c r="EL576" i="1"/>
  <c r="BV535" i="1" l="1"/>
  <c r="BV713" i="1" l="1"/>
  <c r="EL696" i="1"/>
  <c r="EL713" i="1" l="1"/>
  <c r="EL538" i="1"/>
  <c r="EL649" i="1" l="1"/>
  <c r="EL577" i="1" l="1"/>
  <c r="EL631" i="1" l="1"/>
  <c r="EL522" i="1"/>
  <c r="EL659" i="1"/>
  <c r="EL519" i="1"/>
  <c r="EL524" i="1"/>
  <c r="EL549" i="1"/>
  <c r="EL587" i="1"/>
  <c r="EL575" i="1"/>
  <c r="EL670" i="1"/>
  <c r="EL633" i="1"/>
  <c r="EL520" i="1" l="1"/>
  <c r="EL685" i="1" l="1"/>
  <c r="EL606" i="1"/>
  <c r="EV834" i="1" l="1"/>
  <c r="EU834" i="1"/>
  <c r="EY834" i="1"/>
  <c r="FJ842" i="1"/>
  <c r="FA828" i="1"/>
  <c r="EH828" i="1"/>
  <c r="FK842" i="1"/>
  <c r="FY842" i="1"/>
  <c r="FA842" i="1"/>
  <c r="EL842" i="1"/>
  <c r="EH842" i="1"/>
  <c r="FY876" i="1"/>
  <c r="FK876" i="1"/>
  <c r="FA876" i="1"/>
  <c r="EL876" i="1"/>
  <c r="EH876" i="1"/>
  <c r="FA880" i="1" l="1"/>
  <c r="FA873" i="1"/>
  <c r="FK880" i="1"/>
  <c r="FY880" i="1"/>
  <c r="EL880" i="1"/>
  <c r="EH880" i="1"/>
  <c r="FK873" i="1"/>
  <c r="FY873" i="1"/>
  <c r="EL873" i="1"/>
  <c r="EZ873" i="1"/>
  <c r="EH873" i="1"/>
  <c r="EZ874" i="1"/>
  <c r="FA825" i="1"/>
  <c r="FA832" i="1"/>
  <c r="FA818" i="1"/>
  <c r="FA823" i="1"/>
  <c r="FA821" i="1"/>
  <c r="FA817" i="1" l="1"/>
  <c r="FA827" i="1"/>
  <c r="FA826" i="1"/>
  <c r="FA816" i="1"/>
  <c r="FA824" i="1"/>
  <c r="FA815" i="1"/>
  <c r="FA820" i="1"/>
  <c r="FA829" i="1"/>
  <c r="FA831" i="1" l="1"/>
  <c r="FA830" i="1" l="1"/>
  <c r="FA822" i="1"/>
  <c r="EL320" i="1" l="1"/>
  <c r="EH320" i="1"/>
  <c r="EL956" i="1" l="1"/>
  <c r="EK956" i="1"/>
  <c r="EJ956" i="1"/>
  <c r="EH956" i="1"/>
  <c r="EK733" i="1"/>
  <c r="EJ733" i="1"/>
  <c r="EI733" i="1"/>
  <c r="EJ371" i="1"/>
  <c r="EI371" i="1"/>
  <c r="EH371" i="1"/>
  <c r="EJ137" i="1"/>
  <c r="EK142" i="1"/>
  <c r="EJ142" i="1"/>
  <c r="EI142" i="1"/>
  <c r="EK138" i="1"/>
  <c r="EJ138" i="1"/>
  <c r="EI138" i="1"/>
  <c r="EK136" i="1"/>
  <c r="EJ136" i="1"/>
  <c r="EI136" i="1"/>
  <c r="EK135" i="1"/>
  <c r="EJ135" i="1"/>
  <c r="EI135" i="1"/>
  <c r="EJ134" i="1"/>
  <c r="EI134" i="1"/>
  <c r="EJ133" i="1"/>
  <c r="EI133" i="1"/>
  <c r="EK132" i="1"/>
  <c r="EJ132" i="1"/>
  <c r="EI132" i="1"/>
  <c r="EK131" i="1"/>
  <c r="EJ131" i="1"/>
  <c r="EI131" i="1"/>
  <c r="EJ126" i="1"/>
  <c r="EI126" i="1"/>
  <c r="EK124" i="1"/>
  <c r="EJ124" i="1"/>
  <c r="EI124" i="1"/>
  <c r="EJ140" i="1"/>
  <c r="EI140" i="1"/>
  <c r="EL1002" i="1"/>
  <c r="EK1002" i="1"/>
  <c r="EJ1002" i="1"/>
  <c r="EI1002" i="1"/>
  <c r="EH1002" i="1"/>
  <c r="EI1026" i="1"/>
  <c r="EK1024" i="1"/>
  <c r="EI1024" i="1"/>
  <c r="EH1024" i="1"/>
  <c r="EL1021" i="1"/>
  <c r="EK1021" i="1"/>
  <c r="EI1021" i="1"/>
  <c r="EH1021" i="1"/>
  <c r="EL1019" i="1"/>
  <c r="EH1019" i="1"/>
  <c r="EL1018" i="1"/>
  <c r="EK1018" i="1"/>
  <c r="EH1018" i="1"/>
  <c r="EI980" i="1"/>
  <c r="EH980" i="1"/>
  <c r="EL1011" i="1"/>
  <c r="EK1011" i="1"/>
  <c r="EI1011" i="1"/>
  <c r="EH1011" i="1"/>
  <c r="EK1004" i="1"/>
  <c r="EI1004" i="1"/>
  <c r="EH1004" i="1"/>
  <c r="EK988" i="1"/>
  <c r="EI988" i="1"/>
  <c r="EH988" i="1"/>
  <c r="EL968" i="1"/>
  <c r="EK968" i="1"/>
  <c r="EI968" i="1"/>
  <c r="EH968" i="1"/>
  <c r="EK965" i="1"/>
  <c r="EI965" i="1"/>
  <c r="EH965" i="1"/>
  <c r="EL996" i="1"/>
  <c r="EK996" i="1"/>
  <c r="EI996" i="1"/>
  <c r="EI1028" i="1"/>
  <c r="EH1028" i="1"/>
  <c r="EI1012" i="1"/>
  <c r="EH1012" i="1"/>
  <c r="EL1000" i="1"/>
  <c r="EK1000" i="1"/>
  <c r="EJ1000" i="1"/>
  <c r="EI1000" i="1"/>
  <c r="EH1000" i="1"/>
  <c r="EK991" i="1"/>
  <c r="EJ991" i="1"/>
  <c r="EI991" i="1"/>
  <c r="EH991" i="1"/>
  <c r="EI1027" i="1"/>
  <c r="EH1027" i="1"/>
  <c r="EL1025" i="1"/>
  <c r="EK1025" i="1"/>
  <c r="EJ1025" i="1"/>
  <c r="EI1025" i="1"/>
  <c r="EI1020" i="1"/>
  <c r="EH1020" i="1"/>
  <c r="EL1017" i="1"/>
  <c r="EK1017" i="1"/>
  <c r="EJ1017" i="1"/>
  <c r="EI1017" i="1"/>
  <c r="EH1017" i="1"/>
  <c r="EL1015" i="1"/>
  <c r="EK1015" i="1"/>
  <c r="EJ1015" i="1"/>
  <c r="EI1015" i="1"/>
  <c r="EK1014" i="1"/>
  <c r="EJ1014" i="1"/>
  <c r="EI1014" i="1"/>
  <c r="EH1014" i="1"/>
  <c r="EJ1013" i="1"/>
  <c r="EI1013" i="1"/>
  <c r="EH1013" i="1"/>
  <c r="BV1041" i="1"/>
  <c r="BR1041" i="1"/>
  <c r="EL1001" i="1"/>
  <c r="EK1001" i="1"/>
  <c r="EI1001" i="1"/>
  <c r="EH1001" i="1"/>
  <c r="EL997" i="1"/>
  <c r="EK997" i="1"/>
  <c r="EJ997" i="1"/>
  <c r="EI997" i="1"/>
  <c r="EH997" i="1"/>
  <c r="EH1041" i="1" l="1"/>
  <c r="EL1041" i="1"/>
  <c r="EB889" i="1"/>
</calcChain>
</file>

<file path=xl/sharedStrings.xml><?xml version="1.0" encoding="utf-8"?>
<sst xmlns="http://schemas.openxmlformats.org/spreadsheetml/2006/main" count="48441" uniqueCount="10259">
  <si>
    <t>Deposit</t>
  </si>
  <si>
    <t>Deposit environment 1</t>
  </si>
  <si>
    <t>Deposit group 1</t>
  </si>
  <si>
    <t>Deposit type 1</t>
  </si>
  <si>
    <t>ENO</t>
  </si>
  <si>
    <t>MINLOCNO</t>
  </si>
  <si>
    <t>State</t>
  </si>
  <si>
    <t>Longitude</t>
  </si>
  <si>
    <t>Latitude</t>
  </si>
  <si>
    <t>District</t>
  </si>
  <si>
    <t>Element</t>
  </si>
  <si>
    <t>Province</t>
  </si>
  <si>
    <t>Subprovince</t>
  </si>
  <si>
    <t>Zone</t>
  </si>
  <si>
    <t>Timing 1</t>
  </si>
  <si>
    <t>Contribution 1</t>
  </si>
  <si>
    <t>Age 1 (Ma)</t>
  </si>
  <si>
    <t>Error 1 (Ma)</t>
  </si>
  <si>
    <t>Age type 1</t>
  </si>
  <si>
    <t>Age basis 1</t>
  </si>
  <si>
    <t>Mineral dated 1</t>
  </si>
  <si>
    <t>Age system 1</t>
  </si>
  <si>
    <t>Radiometric age type 1</t>
  </si>
  <si>
    <t>Age instrumentation 1</t>
  </si>
  <si>
    <t>Age confidence 1</t>
  </si>
  <si>
    <t>Timing 2</t>
  </si>
  <si>
    <t>Contribution 2</t>
  </si>
  <si>
    <t>Deposit environment 2</t>
  </si>
  <si>
    <t>Deposit group 2</t>
  </si>
  <si>
    <t>Deposit type 2</t>
  </si>
  <si>
    <t>Age 2 (Ma)</t>
  </si>
  <si>
    <t>Error 2 (Ma)</t>
  </si>
  <si>
    <t>Age type 2</t>
  </si>
  <si>
    <t>Age basis 2</t>
  </si>
  <si>
    <t>Mineral dated 2</t>
  </si>
  <si>
    <t>Age system 2</t>
  </si>
  <si>
    <t>Radiometric age type 2</t>
  </si>
  <si>
    <t>Age instrumentation 2</t>
  </si>
  <si>
    <t>Age confidence 2</t>
  </si>
  <si>
    <t>Timing 3</t>
  </si>
  <si>
    <t>Contribution 3</t>
  </si>
  <si>
    <t>Deposit environment 3</t>
  </si>
  <si>
    <t>Deposit group 3</t>
  </si>
  <si>
    <t>Deposit type 3</t>
  </si>
  <si>
    <t>Age 3 (Ma)</t>
  </si>
  <si>
    <t>Error 3 (Ma)</t>
  </si>
  <si>
    <t>Age type 3</t>
  </si>
  <si>
    <t>Age basis 3</t>
  </si>
  <si>
    <t>Mineral dated 3</t>
  </si>
  <si>
    <t>Age system 3</t>
  </si>
  <si>
    <t>Radiometric age type 3</t>
  </si>
  <si>
    <t>Age instrumentation 3</t>
  </si>
  <si>
    <t>Age confidence 3</t>
  </si>
  <si>
    <t>Tonnage (Mt)</t>
  </si>
  <si>
    <r>
      <t>Brine volume (Mm</t>
    </r>
    <r>
      <rPr>
        <vertAlign val="superscript"/>
        <sz val="9"/>
        <rFont val="Times New Roman"/>
        <family val="1"/>
      </rPr>
      <t>3</t>
    </r>
    <r>
      <rPr>
        <sz val="9"/>
        <rFont val="Times New Roman"/>
        <family val="1"/>
      </rPr>
      <t>)</t>
    </r>
  </si>
  <si>
    <t>Cu (%)</t>
  </si>
  <si>
    <t>Zn (%)</t>
  </si>
  <si>
    <t>Pb (%)</t>
  </si>
  <si>
    <t>Ag (g/t)</t>
  </si>
  <si>
    <t>Au (g/t)</t>
  </si>
  <si>
    <r>
      <t>Li</t>
    </r>
    <r>
      <rPr>
        <vertAlign val="subscript"/>
        <sz val="9"/>
        <rFont val="Times New Roman"/>
        <family val="1"/>
      </rPr>
      <t>2</t>
    </r>
    <r>
      <rPr>
        <sz val="9"/>
        <rFont val="Times New Roman"/>
        <family val="1"/>
      </rPr>
      <t>O (%)</t>
    </r>
  </si>
  <si>
    <t>F (%)</t>
  </si>
  <si>
    <r>
      <t>CaF</t>
    </r>
    <r>
      <rPr>
        <vertAlign val="subscript"/>
        <sz val="9"/>
        <rFont val="Times New Roman"/>
        <family val="1"/>
      </rPr>
      <t>2</t>
    </r>
    <r>
      <rPr>
        <sz val="9"/>
        <rFont val="Times New Roman"/>
        <family val="1"/>
      </rPr>
      <t xml:space="preserve"> (%)</t>
    </r>
  </si>
  <si>
    <t>NaCl (%)</t>
  </si>
  <si>
    <t>Mg (%)</t>
  </si>
  <si>
    <r>
      <t>Al</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</si>
  <si>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P</t>
    </r>
    <r>
      <rPr>
        <vertAlign val="subscript"/>
        <sz val="9"/>
        <rFont val="Times New Roman"/>
        <family val="1"/>
      </rPr>
      <t>2</t>
    </r>
    <r>
      <rPr>
        <sz val="9"/>
        <rFont val="Times New Roman"/>
        <family val="1"/>
      </rPr>
      <t>O</t>
    </r>
    <r>
      <rPr>
        <vertAlign val="subscript"/>
        <sz val="9"/>
        <rFont val="Times New Roman"/>
        <family val="1"/>
      </rPr>
      <t>5</t>
    </r>
    <r>
      <rPr>
        <sz val="9"/>
        <rFont val="Times New Roman"/>
        <family val="1"/>
      </rPr>
      <t xml:space="preserve"> (%)</t>
    </r>
  </si>
  <si>
    <t>K (mg/l)</t>
  </si>
  <si>
    <t>Sc (ppm)</t>
  </si>
  <si>
    <t>Ti (%)</t>
  </si>
  <si>
    <r>
      <t>V</t>
    </r>
    <r>
      <rPr>
        <vertAlign val="subscript"/>
        <sz val="9"/>
        <rFont val="Times New Roman"/>
        <family val="1"/>
      </rPr>
      <t>2</t>
    </r>
    <r>
      <rPr>
        <sz val="9"/>
        <rFont val="Times New Roman"/>
        <family val="1"/>
      </rPr>
      <t>O</t>
    </r>
    <r>
      <rPr>
        <vertAlign val="subscript"/>
        <sz val="9"/>
        <rFont val="Times New Roman"/>
        <family val="1"/>
      </rPr>
      <t>5</t>
    </r>
    <r>
      <rPr>
        <sz val="9"/>
        <rFont val="Times New Roman"/>
        <family val="1"/>
      </rPr>
      <t xml:space="preserve"> (%)</t>
    </r>
  </si>
  <si>
    <r>
      <t>Cr</t>
    </r>
    <r>
      <rPr>
        <vertAlign val="subscript"/>
        <sz val="9"/>
        <rFont val="Times New Roman"/>
        <family val="1"/>
      </rPr>
      <t>2</t>
    </r>
    <r>
      <rPr>
        <sz val="9"/>
        <rFont val="Times New Roman"/>
        <family val="1"/>
      </rPr>
      <t>O</t>
    </r>
    <r>
      <rPr>
        <vertAlign val="subscript"/>
        <sz val="9"/>
        <rFont val="Times New Roman"/>
        <family val="1"/>
      </rPr>
      <t>5</t>
    </r>
    <r>
      <rPr>
        <sz val="9"/>
        <rFont val="Times New Roman"/>
        <family val="1"/>
      </rPr>
      <t xml:space="preserve"> (%)</t>
    </r>
  </si>
  <si>
    <t>Mn (%)</t>
  </si>
  <si>
    <t>Fe (%)</t>
  </si>
  <si>
    <t>Co (%)</t>
  </si>
  <si>
    <t>Ni (%)</t>
  </si>
  <si>
    <t>Ga (ppm)</t>
  </si>
  <si>
    <t>As (%)</t>
  </si>
  <si>
    <r>
      <t>Rb</t>
    </r>
    <r>
      <rPr>
        <vertAlign val="subscript"/>
        <sz val="9"/>
        <rFont val="Times New Roman"/>
        <family val="1"/>
      </rPr>
      <t>2</t>
    </r>
    <r>
      <rPr>
        <sz val="9"/>
        <rFont val="Times New Roman"/>
        <family val="1"/>
      </rPr>
      <t>O (%)</t>
    </r>
  </si>
  <si>
    <r>
      <t>Y</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</si>
  <si>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t>Y (ppm)</t>
  </si>
  <si>
    <t>Zr (%)</t>
  </si>
  <si>
    <t>Nb (ppm)</t>
  </si>
  <si>
    <t>Mo (%)</t>
  </si>
  <si>
    <t>Rh (g/t)</t>
  </si>
  <si>
    <t>Pd (g/t)</t>
  </si>
  <si>
    <t>Cd (ppm)</t>
  </si>
  <si>
    <t>In (ppm)</t>
  </si>
  <si>
    <t>Sn (%)</t>
  </si>
  <si>
    <t>Sb (%)</t>
  </si>
  <si>
    <r>
      <t>Cs</t>
    </r>
    <r>
      <rPr>
        <vertAlign val="subscript"/>
        <sz val="9"/>
        <rFont val="Times New Roman"/>
        <family val="1"/>
      </rPr>
      <t>2</t>
    </r>
    <r>
      <rPr>
        <sz val="9"/>
        <rFont val="Times New Roman"/>
        <family val="1"/>
      </rPr>
      <t>O (%)</t>
    </r>
  </si>
  <si>
    <r>
      <t>BaSO</t>
    </r>
    <r>
      <rPr>
        <vertAlign val="subscript"/>
        <sz val="9"/>
        <rFont val="Times New Roman"/>
        <family val="1"/>
      </rPr>
      <t>4</t>
    </r>
    <r>
      <rPr>
        <sz val="9"/>
        <rFont val="Times New Roman"/>
        <family val="1"/>
      </rPr>
      <t xml:space="preserve"> (%)</t>
    </r>
  </si>
  <si>
    <t>Hf (ppm)</t>
  </si>
  <si>
    <t>Ta (ppm)</t>
  </si>
  <si>
    <r>
      <t>WO</t>
    </r>
    <r>
      <rPr>
        <vertAlign val="subscript"/>
        <sz val="9"/>
        <rFont val="Times New Roman"/>
        <family val="1"/>
      </rPr>
      <t>3</t>
    </r>
    <r>
      <rPr>
        <sz val="9"/>
        <rFont val="Times New Roman"/>
        <family val="1"/>
      </rPr>
      <t xml:space="preserve"> (%)</t>
    </r>
  </si>
  <si>
    <t>Re (ppm)</t>
  </si>
  <si>
    <t>Ir (g/t)</t>
  </si>
  <si>
    <t>Os (g/t)</t>
  </si>
  <si>
    <t>Pt (g/t)</t>
  </si>
  <si>
    <t>Bi (%)</t>
  </si>
  <si>
    <r>
      <t>La</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</si>
  <si>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Ce</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</si>
  <si>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Pr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</si>
  <si>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Nd</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</si>
  <si>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Sm</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</si>
  <si>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Eu</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</si>
  <si>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Gd</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</si>
  <si>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Tb</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</si>
  <si>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Dy</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</si>
  <si>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Ho</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</si>
  <si>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Er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</si>
  <si>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Tm</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</si>
  <si>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Yb</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</si>
  <si>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Lu</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</si>
  <si>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r>
      <t>Ln</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t>
    </r>
  </si>
  <si>
    <t>REO (%)</t>
  </si>
  <si>
    <r>
      <t>ThO</t>
    </r>
    <r>
      <rPr>
        <vertAlign val="subscript"/>
        <sz val="9"/>
        <rFont val="Times New Roman"/>
        <family val="1"/>
      </rPr>
      <t>2</t>
    </r>
    <r>
      <rPr>
        <sz val="9"/>
        <rFont val="Times New Roman"/>
        <family val="1"/>
      </rPr>
      <t xml:space="preserve"> (%)</t>
    </r>
  </si>
  <si>
    <r>
      <t>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t>
    </r>
  </si>
  <si>
    <t>Diamonds (ct/t)</t>
  </si>
  <si>
    <t>Graphite (%)</t>
  </si>
  <si>
    <t>Heavy minerals (%)</t>
  </si>
  <si>
    <t>Monazite (%)</t>
  </si>
  <si>
    <t>Xenotime (%)</t>
  </si>
  <si>
    <t>Cu (Mt)</t>
  </si>
  <si>
    <t>Zn (Mt)</t>
  </si>
  <si>
    <t>Pb (Mt)</t>
  </si>
  <si>
    <t>Ag (kt)</t>
  </si>
  <si>
    <t>Au (t)</t>
  </si>
  <si>
    <t>Li (Mt)</t>
  </si>
  <si>
    <t>F (kt)</t>
  </si>
  <si>
    <r>
      <t>CaF</t>
    </r>
    <r>
      <rPr>
        <vertAlign val="subscript"/>
        <sz val="9"/>
        <rFont val="Times New Roman"/>
        <family val="1"/>
      </rPr>
      <t>2</t>
    </r>
    <r>
      <rPr>
        <sz val="9"/>
        <rFont val="Times New Roman"/>
        <family val="1"/>
      </rPr>
      <t xml:space="preserve"> (kt)</t>
    </r>
  </si>
  <si>
    <t>NaCl (Mt)</t>
  </si>
  <si>
    <t>Mg (Mt)</t>
  </si>
  <si>
    <r>
      <t>Al</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</si>
  <si>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P</t>
    </r>
    <r>
      <rPr>
        <vertAlign val="subscript"/>
        <sz val="9"/>
        <rFont val="Times New Roman"/>
        <family val="1"/>
      </rPr>
      <t>2</t>
    </r>
    <r>
      <rPr>
        <sz val="9"/>
        <rFont val="Times New Roman"/>
        <family val="1"/>
      </rPr>
      <t>O</t>
    </r>
    <r>
      <rPr>
        <vertAlign val="subscript"/>
        <sz val="9"/>
        <rFont val="Times New Roman"/>
        <family val="1"/>
      </rPr>
      <t>5</t>
    </r>
    <r>
      <rPr>
        <sz val="9"/>
        <rFont val="Times New Roman"/>
        <family val="1"/>
      </rPr>
      <t xml:space="preserve"> (Mt)</t>
    </r>
  </si>
  <si>
    <t>Sc (kt)</t>
  </si>
  <si>
    <t>Ti (Mt)</t>
  </si>
  <si>
    <r>
      <t>V</t>
    </r>
    <r>
      <rPr>
        <vertAlign val="subscript"/>
        <sz val="9"/>
        <rFont val="Times New Roman"/>
        <family val="1"/>
      </rPr>
      <t>2</t>
    </r>
    <r>
      <rPr>
        <sz val="9"/>
        <rFont val="Times New Roman"/>
        <family val="1"/>
      </rPr>
      <t>O</t>
    </r>
    <r>
      <rPr>
        <vertAlign val="subscript"/>
        <sz val="9"/>
        <rFont val="Times New Roman"/>
        <family val="1"/>
      </rPr>
      <t>5</t>
    </r>
    <r>
      <rPr>
        <sz val="9"/>
        <rFont val="Times New Roman"/>
        <family val="1"/>
      </rPr>
      <t xml:space="preserve"> (kt)</t>
    </r>
  </si>
  <si>
    <r>
      <t>Cr</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3</t>
    </r>
    <r>
      <rPr>
        <sz val="9"/>
        <color rgb="FF000000"/>
        <rFont val="Times New Roman"/>
        <family val="1"/>
      </rPr>
      <t xml:space="preserve"> (kt)</t>
    </r>
  </si>
  <si>
    <t>Mn (Mt)</t>
  </si>
  <si>
    <t>Fe (Mt)</t>
  </si>
  <si>
    <t>Co (kt)</t>
  </si>
  <si>
    <t>Ni (Mt)</t>
  </si>
  <si>
    <t>Ga (kt)</t>
  </si>
  <si>
    <t>As (kt)</t>
  </si>
  <si>
    <r>
      <t>Rb</t>
    </r>
    <r>
      <rPr>
        <vertAlign val="subscript"/>
        <sz val="9"/>
        <rFont val="Times New Roman"/>
        <family val="1"/>
      </rPr>
      <t>2</t>
    </r>
    <r>
      <rPr>
        <sz val="9"/>
        <rFont val="Times New Roman"/>
        <family val="1"/>
      </rPr>
      <t>O (kt)</t>
    </r>
  </si>
  <si>
    <r>
      <t>Y</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</si>
  <si>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t>Y (kt)</t>
  </si>
  <si>
    <t>Zr (Mt)</t>
  </si>
  <si>
    <t>Nb (kt)</t>
  </si>
  <si>
    <t>Mo (kt)</t>
  </si>
  <si>
    <t>Rh (t)</t>
  </si>
  <si>
    <t>Pd (t)</t>
  </si>
  <si>
    <t>Cd (t)</t>
  </si>
  <si>
    <t>In (kt)</t>
  </si>
  <si>
    <t>Sn (kt)</t>
  </si>
  <si>
    <t>Sb (kt)</t>
  </si>
  <si>
    <r>
      <t>Cs</t>
    </r>
    <r>
      <rPr>
        <vertAlign val="subscript"/>
        <sz val="9"/>
        <rFont val="Times New Roman"/>
        <family val="1"/>
      </rPr>
      <t>2</t>
    </r>
    <r>
      <rPr>
        <sz val="9"/>
        <rFont val="Times New Roman"/>
        <family val="1"/>
      </rPr>
      <t>O (kt)</t>
    </r>
  </si>
  <si>
    <r>
      <t>BaSO</t>
    </r>
    <r>
      <rPr>
        <vertAlign val="subscript"/>
        <sz val="9"/>
        <rFont val="Times New Roman"/>
        <family val="1"/>
      </rPr>
      <t>4</t>
    </r>
    <r>
      <rPr>
        <sz val="9"/>
        <rFont val="Times New Roman"/>
        <family val="1"/>
      </rPr>
      <t xml:space="preserve"> (kt)</t>
    </r>
  </si>
  <si>
    <t>Hf (kt)</t>
  </si>
  <si>
    <t>Ta (kt)</t>
  </si>
  <si>
    <r>
      <t>WO</t>
    </r>
    <r>
      <rPr>
        <vertAlign val="subscript"/>
        <sz val="9"/>
        <rFont val="Times New Roman"/>
        <family val="1"/>
      </rPr>
      <t>3</t>
    </r>
    <r>
      <rPr>
        <sz val="9"/>
        <rFont val="Times New Roman"/>
        <family val="1"/>
      </rPr>
      <t xml:space="preserve"> (kt)</t>
    </r>
  </si>
  <si>
    <t>Re (t)</t>
  </si>
  <si>
    <t>Ir (t)</t>
  </si>
  <si>
    <t>Os (t)</t>
  </si>
  <si>
    <t>Osmiridium (t)</t>
  </si>
  <si>
    <t>Pt (t)</t>
  </si>
  <si>
    <t>Bi (kt)</t>
  </si>
  <si>
    <r>
      <t>La</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</si>
  <si>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Ce</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</si>
  <si>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Pr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</si>
  <si>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Nd</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</si>
  <si>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Sm</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</si>
  <si>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Eu</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</si>
  <si>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Gd</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</si>
  <si>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Tb</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</si>
  <si>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Dy</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</si>
  <si>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Ho</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</si>
  <si>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Er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</si>
  <si>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Tm</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</si>
  <si>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Yb</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</si>
  <si>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Lu</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</si>
  <si>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r>
      <t>Ln</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(Mt)</t>
    </r>
  </si>
  <si>
    <t>REO (Mt)</t>
  </si>
  <si>
    <r>
      <t>ThO</t>
    </r>
    <r>
      <rPr>
        <vertAlign val="subscript"/>
        <sz val="9"/>
        <rFont val="Times New Roman"/>
        <family val="1"/>
      </rPr>
      <t>2</t>
    </r>
    <r>
      <rPr>
        <sz val="9"/>
        <rFont val="Times New Roman"/>
        <family val="1"/>
      </rPr>
      <t xml:space="preserve"> (kt)</t>
    </r>
  </si>
  <si>
    <r>
      <t>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(kt)</t>
    </r>
  </si>
  <si>
    <t>Diamonds (Mct)</t>
  </si>
  <si>
    <t>Graphite (Mt)</t>
  </si>
  <si>
    <t>Heavy minerals (Mt)</t>
  </si>
  <si>
    <t>Monazite (Mt)</t>
  </si>
  <si>
    <t>Sulfate of potash (Mt)</t>
  </si>
  <si>
    <t>Xenotime (Mt)</t>
  </si>
  <si>
    <t>CRIRSCO-compliant</t>
  </si>
  <si>
    <t>Major/co-products</t>
  </si>
  <si>
    <t>Known by-products (10-20%)</t>
  </si>
  <si>
    <t>Known by-products (&lt;10%)</t>
  </si>
  <si>
    <t>Potential by-products</t>
  </si>
  <si>
    <t>Host rock 1 - unit name</t>
  </si>
  <si>
    <t>Host rock 1 - STRATNO</t>
  </si>
  <si>
    <t>Host rock 1 - lithology</t>
  </si>
  <si>
    <t>Host rock 1 - age</t>
  </si>
  <si>
    <t>Host rock 2 - unit name</t>
  </si>
  <si>
    <t>Host rock 2 - STRATNO</t>
  </si>
  <si>
    <t>Host rock 2 - lithology</t>
  </si>
  <si>
    <t>Host rock 2 - age</t>
  </si>
  <si>
    <t>Host rock 3 - unit name</t>
  </si>
  <si>
    <t>Host rock 3 - STRATNO</t>
  </si>
  <si>
    <t>Host rock 3 - lithology</t>
  </si>
  <si>
    <t>Host rock 3 - age</t>
  </si>
  <si>
    <t>Host rock 4 - unit name</t>
  </si>
  <si>
    <t>Host rock 4 - STRATNO</t>
  </si>
  <si>
    <t>Host rock 4 - lithology</t>
  </si>
  <si>
    <t>Host rock 4 - age</t>
  </si>
  <si>
    <t>Host rock 5 - unit name</t>
  </si>
  <si>
    <t>Host rock 5 - STRATNO</t>
  </si>
  <si>
    <t>Host rock 5 - lithology</t>
  </si>
  <si>
    <t>Host rock 5 - age</t>
  </si>
  <si>
    <t>Host rock 6 - unit name</t>
  </si>
  <si>
    <t>Host rock 6 - STRATNO</t>
  </si>
  <si>
    <t>Host rock 6 - lithology</t>
  </si>
  <si>
    <t>Host rock 6 - age</t>
  </si>
  <si>
    <t>Associated igneous rock 1 - unit name</t>
  </si>
  <si>
    <t>Associated igneous rock 1 - STRATNO</t>
  </si>
  <si>
    <t>Associated igneous rock 1 - lithology</t>
  </si>
  <si>
    <t>Associated igneous rock 1 - age</t>
  </si>
  <si>
    <t>Associated igneous rock 1 - timing relative to mineralisation</t>
  </si>
  <si>
    <t>Associated igneous rock 2 - unit name</t>
  </si>
  <si>
    <t>Associated igneous rock 2 - STRATNO</t>
  </si>
  <si>
    <t>Associated igneous rock 2 - lithology</t>
  </si>
  <si>
    <t>Associated igneous rock 2 - age</t>
  </si>
  <si>
    <t>Associated igneous rock 2 - timing relative to mineralisation</t>
  </si>
  <si>
    <t>Associated igneous rock 3 - unit name</t>
  </si>
  <si>
    <t>Associated igneous rock 3 - STRATNO</t>
  </si>
  <si>
    <t>Associated igneous rock 3 - lithology</t>
  </si>
  <si>
    <t>Associated igneous rock 3 - age</t>
  </si>
  <si>
    <t>Associated igneous rock 3 - timing relative to mineralisation</t>
  </si>
  <si>
    <t>Associated igneous rock 4 - unit name</t>
  </si>
  <si>
    <t>Associated igneous rock 4 - STRATNO</t>
  </si>
  <si>
    <t>Associated igneous rock 4 - lithology</t>
  </si>
  <si>
    <t>Associated igneous rock 4 - age</t>
  </si>
  <si>
    <t>Associated igneous rock 4 - timing relative to mineralisation</t>
  </si>
  <si>
    <t>Associated igneous rock 5 - unit name</t>
  </si>
  <si>
    <t>Associated igneous rock 5 - STRATNO</t>
  </si>
  <si>
    <t>Associated igneous rock 5 - lithology</t>
  </si>
  <si>
    <t>Associated igneous rock 5 - age</t>
  </si>
  <si>
    <t>Associated igneous rock 5 - timing relative to mineralisation</t>
  </si>
  <si>
    <t>Associated igneous rock 6 - unit name</t>
  </si>
  <si>
    <t>Associated igneous rock 6 - STRATNO</t>
  </si>
  <si>
    <t>Associated igneous rock 6 - lithology</t>
  </si>
  <si>
    <t>Associated igneous rock 6 - age</t>
  </si>
  <si>
    <t>Associated igneous rock 6 - timing relative to mineralisation</t>
  </si>
  <si>
    <t>Associated igneous rock 7 - unit name</t>
  </si>
  <si>
    <t>Associated igneous rock 7 - STRATNO</t>
  </si>
  <si>
    <t>Associated igneous rock 7 - lithology</t>
  </si>
  <si>
    <t>Associated igneous rock 7 - age</t>
  </si>
  <si>
    <t>Associated igneous rock 7 - timing relative to mineralisation</t>
  </si>
  <si>
    <t>Associated igneous rock 8 - unit name</t>
  </si>
  <si>
    <t>Associated igneous rock 8 - STRATNO</t>
  </si>
  <si>
    <t>Associated igneous rock 8 - lithology</t>
  </si>
  <si>
    <t>Associated igneous rock 8 - age</t>
  </si>
  <si>
    <t>Associated igneous rock 8 - timing relative to mineralisation</t>
  </si>
  <si>
    <t>Associated igneous rock 9 - unit name</t>
  </si>
  <si>
    <t>Associated igneous rock 9 - STRATNO</t>
  </si>
  <si>
    <t>Associated igneous rock 9 - lithology</t>
  </si>
  <si>
    <t>Associated igneous rock 9 - age</t>
  </si>
  <si>
    <t>Associated igneous rock 9 - timing relative to mineralisation</t>
  </si>
  <si>
    <t>Regional alteration assemblages</t>
  </si>
  <si>
    <t>Proximal alteration assemblages</t>
  </si>
  <si>
    <t>Alteration assemblage group</t>
  </si>
  <si>
    <t>Fe-S-O mineral 1</t>
  </si>
  <si>
    <t>Fe-S-O mineral relationship 1-2</t>
  </si>
  <si>
    <t>Fe-S-O mineral 2</t>
  </si>
  <si>
    <t>Fe-S-O mineral relationship 2-3</t>
  </si>
  <si>
    <t>Fe-S-O mineral 3</t>
  </si>
  <si>
    <t>Fe-S-O mineral relationship 3-4</t>
  </si>
  <si>
    <t>Fe-S-O mineral 4</t>
  </si>
  <si>
    <t>Fe-S-O mineral relationship 4-5</t>
  </si>
  <si>
    <t>Fe-S-O mineral 5</t>
  </si>
  <si>
    <t>Sulfate mineral 1</t>
  </si>
  <si>
    <t>Sulfate mineral 1 - abundance</t>
  </si>
  <si>
    <t>Sulfate mineral 2</t>
  </si>
  <si>
    <t>Sulfate mineral 2 - abundance</t>
  </si>
  <si>
    <t>Sulfate mineral 3</t>
  </si>
  <si>
    <t>Sulfate mineral 3 - abundance</t>
  </si>
  <si>
    <t>Peak metamorphic grade - lower limit</t>
  </si>
  <si>
    <t>Peak metamorphic grade - upper limit</t>
  </si>
  <si>
    <t>Timing of peak metamorphism</t>
  </si>
  <si>
    <t>Source(s) of data - location</t>
  </si>
  <si>
    <t>Source(s) of data - geology</t>
  </si>
  <si>
    <t>Source(s) of data - age</t>
  </si>
  <si>
    <t>Source(s) of data - resources/endowment</t>
  </si>
  <si>
    <t>Comments</t>
  </si>
  <si>
    <t>Aberfoyle-Story's Creek (including Lutwyche)</t>
  </si>
  <si>
    <t xml:space="preserve">Magmatic-hydrothermal </t>
  </si>
  <si>
    <t>Vein/breccia pipe</t>
  </si>
  <si>
    <t>Vein tin ± copper</t>
  </si>
  <si>
    <t>Tasmania</t>
  </si>
  <si>
    <t>Story's Creek</t>
  </si>
  <si>
    <t>Tasman</t>
  </si>
  <si>
    <t>Lachlan</t>
  </si>
  <si>
    <t>East Tasmania</t>
  </si>
  <si>
    <t>Primary</t>
  </si>
  <si>
    <t>Total</t>
  </si>
  <si>
    <t>Direct</t>
  </si>
  <si>
    <t>Ore mineral</t>
  </si>
  <si>
    <t>Cassiterite</t>
  </si>
  <si>
    <t>U-Pb</t>
  </si>
  <si>
    <t>Pooled</t>
  </si>
  <si>
    <t>LA-ICP-MS</t>
  </si>
  <si>
    <t>N</t>
  </si>
  <si>
    <t>Sn-W</t>
  </si>
  <si>
    <t>Bi-In</t>
  </si>
  <si>
    <t>Mathinna Supergroup</t>
  </si>
  <si>
    <t>Clastic sedimentary successions including shale, mudstone, siltstone, sandstone and turbiditic sandstones.</t>
  </si>
  <si>
    <t>Early Ordovician-Early Devonian</t>
  </si>
  <si>
    <t>Ben Lomond Batholith (Henbury Granite)</t>
  </si>
  <si>
    <t>1453 (40854)</t>
  </si>
  <si>
    <t>Mostly coarse-grained, porphyritic biotite granite with local textural variations and contains muscovite, tourmaline and topaz.</t>
  </si>
  <si>
    <t>Late Devonian</t>
  </si>
  <si>
    <t>Syn-ore</t>
  </si>
  <si>
    <t>py</t>
  </si>
  <si>
    <t>,</t>
  </si>
  <si>
    <t>po</t>
  </si>
  <si>
    <t>Not reported</t>
  </si>
  <si>
    <t>Green et al. (2014)</t>
  </si>
  <si>
    <t>Black et al. (2005); Taheri and Bottrill (2005); Green et al. (2014); Denholm et al. (2021)</t>
  </si>
  <si>
    <t>Black et al. (2005); Denholm et al. (2021)</t>
  </si>
  <si>
    <r>
      <t>Cited location is the Aberfoyle deposit. Cited age for the Aberfoyle deposit (Denholm et al., 2021) overlaps with that (383 ± 8 Ma (LA-ICP-MS cassiterite U-Pb: Denholm et al., 2021) of the Storeys Creek deposit and also with that of the Henbury Granite (376.5 ± 2.7 (SHRIMP zircon U-Pb): Black et al., 2005), which the deposits are spatially associated. This granite is traditionally known as the Ben Lomond Granite. Endowment includes production of 2.1 Mt at 0.91% Sn and 0.28% WO</t>
    </r>
    <r>
      <rPr>
        <vertAlign val="subscript"/>
        <sz val="9"/>
        <color rgb="FF000000"/>
        <rFont val="Times New Roman"/>
        <family val="1"/>
      </rPr>
      <t>3</t>
    </r>
    <r>
      <rPr>
        <sz val="9"/>
        <color rgb="FF000000"/>
        <rFont val="Times New Roman"/>
        <family val="1"/>
      </rPr>
      <t xml:space="preserve"> (Aberfoyle) and 1.1 Mt at 0.91% Sn and 1.09% WO</t>
    </r>
    <r>
      <rPr>
        <vertAlign val="subscript"/>
        <sz val="9"/>
        <color rgb="FF000000"/>
        <rFont val="Times New Roman"/>
        <family val="1"/>
      </rPr>
      <t>3</t>
    </r>
    <r>
      <rPr>
        <sz val="9"/>
        <color rgb="FF000000"/>
        <rFont val="Times New Roman"/>
        <family val="1"/>
      </rPr>
      <t xml:space="preserve"> (Storeys Creek), and a pre-JORC mineral resource of 1.1 Mt at 0.45% Sn and 0.45% WO</t>
    </r>
    <r>
      <rPr>
        <vertAlign val="subscript"/>
        <sz val="9"/>
        <color rgb="FF000000"/>
        <rFont val="Times New Roman"/>
        <family val="1"/>
      </rPr>
      <t>3</t>
    </r>
    <r>
      <rPr>
        <sz val="9"/>
        <color rgb="FF000000"/>
        <rFont val="Times New Roman"/>
        <family val="1"/>
      </rPr>
      <t xml:space="preserve"> (Lutwyche).</t>
    </r>
  </si>
  <si>
    <t>Abra</t>
  </si>
  <si>
    <t>Uncertain</t>
  </si>
  <si>
    <t>Western Australia</t>
  </si>
  <si>
    <t>West Australian</t>
  </si>
  <si>
    <t>Capricorn</t>
  </si>
  <si>
    <t>Edmund Basin</t>
  </si>
  <si>
    <t xml:space="preserve">Inferred </t>
  </si>
  <si>
    <t>Ore-related mineral</t>
  </si>
  <si>
    <t>Xenotime</t>
  </si>
  <si>
    <t>SHRIMP</t>
  </si>
  <si>
    <t>Y</t>
  </si>
  <si>
    <t>Pb</t>
  </si>
  <si>
    <t>Cu-Ag-Au</t>
  </si>
  <si>
    <t>Edmund Group - Irregully Formation</t>
  </si>
  <si>
    <t>Stromatolitic dolostone, massive dolostone, parallel-laminated dolomitic siltstone, siltstone, silty sandstone, quartz sandstone, and conglomerate. Abra is localised along the disconformable contact between the Irregully Formation and overlying Kiangi Creek Formation.</t>
  </si>
  <si>
    <t>Paleo- to Mesoproterozoic</t>
  </si>
  <si>
    <t>Edmund Group - Kiangi Creek Formation</t>
  </si>
  <si>
    <t>Siltstone, fine- to very coarse-grained sandstone, dolostone, with minor conglomerate, chert, felsic volcanic rock. In the vicinity of Abra the Kiangi Creek Formation is dominated by siliciclastic alluvial fan deposits, and not the marine facies .Abra is localised along the disconformable contact between the Irregully Formation and overlying Kiangi Creek Formation.</t>
  </si>
  <si>
    <t>Tangadee Rhyolite</t>
  </si>
  <si>
    <t>Rhyolite within Kiangi Creek Formation</t>
  </si>
  <si>
    <t>~1500 Ma dolerite sills intruding Irregully Formation</t>
  </si>
  <si>
    <t>Mesoproterozoic</t>
  </si>
  <si>
    <t>Post-ore</t>
  </si>
  <si>
    <t>qtz-chl-pre-car-ab, jas, mt-hm</t>
  </si>
  <si>
    <t>chl-ser</t>
  </si>
  <si>
    <t>mt</t>
  </si>
  <si>
    <t>&gt;</t>
  </si>
  <si>
    <t>hm</t>
  </si>
  <si>
    <t>Barite</t>
  </si>
  <si>
    <t>Abundant</t>
  </si>
  <si>
    <t>https://portal.ga.gov.au</t>
  </si>
  <si>
    <t>Vogt and Stumpfl (1995); Austen (2007); Zi et al. (2015); Pirajno et al. (2015); Galena Mining Limited (2018, 2023)</t>
  </si>
  <si>
    <t>Zi et al. (2015)</t>
  </si>
  <si>
    <t>Pirajno et al. (2015); Galena Mining Limited (2023)</t>
  </si>
  <si>
    <t>The dated mineral xenotime is intergrown with magnetite and hematite, which, elsewhere are intergrown with galena, leading to the conclusion that the xenotime is coeval with base metal mineralisation (Zi et al., 2015). Cited endowment includes JORC-compliant mineral resource for the lead-rich part of the deposit of 33.4 Mt at 7.1% Pb and 17 g/t Ag (Galena Mining Limited, 2023) and a copper-rich zone .with 14 Mt grading 0.62% Cu and 0.5 g/t Au (Pirajno et al., 2015). The dated mineral xenotime is intergrown with magnetite and hematite, which, elsewhere are intergrown with galena, leading to the conclusion that the xenotime is coeval with base metal mineralisation (Zi et al., 2015).</t>
  </si>
  <si>
    <t>Abydos (including Triggs and Mettams)</t>
  </si>
  <si>
    <t>Volcanic basin - hydrothermal</t>
  </si>
  <si>
    <t>Volcanogenic</t>
  </si>
  <si>
    <t>Algoma-type banded iron formation</t>
  </si>
  <si>
    <t>Abydos</t>
  </si>
  <si>
    <t>Pilbara</t>
  </si>
  <si>
    <t>East Pilbara</t>
  </si>
  <si>
    <t>Precursor</t>
  </si>
  <si>
    <t>Residual</t>
  </si>
  <si>
    <t>Age of host succession</t>
  </si>
  <si>
    <t>Zircon</t>
  </si>
  <si>
    <t>Hydrothermal upgrading</t>
  </si>
  <si>
    <t>Dominant</t>
  </si>
  <si>
    <t>Regional metasomatic</t>
  </si>
  <si>
    <t>Hypogene modified</t>
  </si>
  <si>
    <t>Hypogene-upgraded iron ore</t>
  </si>
  <si>
    <t>Inferred</t>
  </si>
  <si>
    <t>Regional correlation</t>
  </si>
  <si>
    <t>Secondary</t>
  </si>
  <si>
    <t>Significant</t>
  </si>
  <si>
    <t>Erosional and supergene</t>
  </si>
  <si>
    <t>Supergene</t>
  </si>
  <si>
    <t>Supergene iron</t>
  </si>
  <si>
    <t>Fe</t>
  </si>
  <si>
    <t>Cleaverville Formation</t>
  </si>
  <si>
    <t>Chert and banded iron formation, minor felsic volcaniclastic rock, shale and siltstone; metamorphosed</t>
  </si>
  <si>
    <t>Mesoarchean</t>
  </si>
  <si>
    <t>goe</t>
  </si>
  <si>
    <t>Greenschist</t>
  </si>
  <si>
    <t>Nelson (1998); Duuring et al. (2017)</t>
  </si>
  <si>
    <t>Nelson (1998)</t>
  </si>
  <si>
    <t>Duuring et al. (2017)</t>
  </si>
  <si>
    <t>Dominantly supergene-enriched ore with lesser hypogene-enriched ore. The hypogene-enriched ores are characterised by recrystallised magnetite. Local pisolitic ores.</t>
  </si>
  <si>
    <t>Adamsfield</t>
  </si>
  <si>
    <t>Orthomagmatic</t>
  </si>
  <si>
    <t xml:space="preserve">Related to mafic-ultramafic magmatism </t>
  </si>
  <si>
    <t>Ultramafic layered intrusion chromite ± PGE</t>
  </si>
  <si>
    <t>Delamerian</t>
  </si>
  <si>
    <t>West Tasmania</t>
  </si>
  <si>
    <t>Minor</t>
  </si>
  <si>
    <t>Placer</t>
  </si>
  <si>
    <t>Paleoplacer osmiridium</t>
  </si>
  <si>
    <t>Fluvial placer osmiridium</t>
  </si>
  <si>
    <t>Active process</t>
  </si>
  <si>
    <t>N/A</t>
  </si>
  <si>
    <t>PGE</t>
  </si>
  <si>
    <t>Ir</t>
  </si>
  <si>
    <t>Au-Cr-Ni</t>
  </si>
  <si>
    <t>Alluvium</t>
  </si>
  <si>
    <t>Quaternary</t>
  </si>
  <si>
    <t>Adamsfield Beds</t>
  </si>
  <si>
    <t>Serpentine-rich quartzose sandstone</t>
  </si>
  <si>
    <t>Late Cambrian</t>
  </si>
  <si>
    <t>Adamsfield (Ultramafic) Complex</t>
  </si>
  <si>
    <t>Consists almost entirely of partly serpentinised dunite, olivine orthopyroxenite and orthopyroxenite. Ultramafics - layered dunite and harzburgite, layered pyroxenite and dunite; volcanics - boninite (high Mg andesite), low Ti tholeiite.</t>
  </si>
  <si>
    <t>Middle Cambrian</t>
  </si>
  <si>
    <t>Hoatson et al. (2014)</t>
  </si>
  <si>
    <t>Reid (1921); Black et al. (1997); Bottrill (2014); Hoatson et al. (2014)</t>
  </si>
  <si>
    <t>Black et al. (1997)</t>
  </si>
  <si>
    <t>Primary age is by analogy with the Heazlewood Complex (Black et al., 1997). Paleoplacer age based on the Late Cambrian inferred age of the host Adamsfield Beds. Endowment includes production of 16,000 oz alluvial osmiridium, 200-400 oz of production from the Halls Open Cut and a mineral resource at the Halls Open Cut of 14,500 t at 6.5 g/t Ir, 7.3 g/t Os and O.13 g/t Pt. The average osimiridium analysis (based on 30 analyses) is 41.65% Ir, 45.51% Os, 6.40% Ru, 1.12% Pt and 0.29% Rh (Reid, 1921; Bottrill, 2014).</t>
  </si>
  <si>
    <t>Adelong</t>
  </si>
  <si>
    <t>Metamorphic - hydrothermal</t>
  </si>
  <si>
    <t>Orogenic</t>
  </si>
  <si>
    <t>Orogenic gold</t>
  </si>
  <si>
    <t>New South Wales</t>
  </si>
  <si>
    <t>Central Lachlan</t>
  </si>
  <si>
    <t>Alteration mineral</t>
  </si>
  <si>
    <t>Sericite</t>
  </si>
  <si>
    <t>Ar-Ar</t>
  </si>
  <si>
    <t>Plateau</t>
  </si>
  <si>
    <t>Supergene/oxide gold</t>
  </si>
  <si>
    <t>Fluvial placer gold</t>
  </si>
  <si>
    <t>P</t>
  </si>
  <si>
    <t>Au</t>
  </si>
  <si>
    <t>Ag-As-Bi-Sb-Te</t>
  </si>
  <si>
    <t>Wondalga Granodiorite</t>
  </si>
  <si>
    <t>Light- to medium-grey, medium- to coarse-grained biotite granodiorite that is locally porphyritic</t>
  </si>
  <si>
    <t>Late Ordovician</t>
  </si>
  <si>
    <t>Strongly sheared and altered mafic dykes</t>
  </si>
  <si>
    <t>Donkey Hill Norite (Avenal Basic Igneous Complex)</t>
  </si>
  <si>
    <t>Noritic/gabbroic cores that grade outward to hornblende diorite/quartz diorite rims</t>
  </si>
  <si>
    <t>Silurian</t>
  </si>
  <si>
    <t>Pre-ore</t>
  </si>
  <si>
    <t>Unaltered and undeformed mafic dykes</t>
  </si>
  <si>
    <t>chl-bt-car (mafic dykes), sil-ser-ab-car (granodiorite)</t>
  </si>
  <si>
    <t>&gt;&gt;</t>
  </si>
  <si>
    <t>Downes et al. (2021)</t>
  </si>
  <si>
    <t>Perkins et al. (1995); Rankin (2016) in 3D Resources Limited (2020); Downes et al. (2021)</t>
  </si>
  <si>
    <t>Perkins et al. (1995); Downes et al. (2021)</t>
  </si>
  <si>
    <t>Downes et al. (2021); Adelong Gold Limited (2023)</t>
  </si>
  <si>
    <t>Cited location is that of the Challenger deposit. Multiple ages are now available for Adelong ranging from 396.7 ± 0.9 (Downes et al., 2021; 395.7 ± 0.3 Ma preferred) to 389.3 ± 2.0 Ma (Perkins et al., 1995). Endowment includes production of 13.140 t of alluvial gold, 11.759 t of reef gold and mineral resources of 0.664 Mt at 3.77 g/t Au (Challenger), 0.533 Mt at 2.62 g/t Au (Currajong West and Currajong East), (0.103 Mt @ 5.03 g/t Au (Donkey Hill), 0.250 Mt at 3.48 g/t (Caledonian), and 0.270 Mt at 2.10 g/t (Perkins West, Gibraltor).</t>
  </si>
  <si>
    <t>Admiral Bay</t>
  </si>
  <si>
    <t>Basin - hydrothermal</t>
  </si>
  <si>
    <t>Carbonate-hosted</t>
  </si>
  <si>
    <t>Mississippi Valley-type zinc-lead</t>
  </si>
  <si>
    <t>Canning Basin</t>
  </si>
  <si>
    <t>Broome Platform</t>
  </si>
  <si>
    <t>Geological relationships (see comments)</t>
  </si>
  <si>
    <t>Zn-Pb</t>
  </si>
  <si>
    <t>Ag</t>
  </si>
  <si>
    <t>Co-F-Ga-Ge-In</t>
  </si>
  <si>
    <t>Nita Formation - Leo Member</t>
  </si>
  <si>
    <t>Biohermal dolostone. Host to lower Pb-rich zone</t>
  </si>
  <si>
    <t>Ordovician</t>
  </si>
  <si>
    <t>Nita Formation - Cudalgarra Member</t>
  </si>
  <si>
    <t>Bioclastic and micritic limestone. Host to upper Zn-rich zone</t>
  </si>
  <si>
    <t>dol</t>
  </si>
  <si>
    <t>~</t>
  </si>
  <si>
    <t>Sub-greenschist</t>
  </si>
  <si>
    <t>McCracken et al. (1996); Reynolds and Copp (2017b)</t>
  </si>
  <si>
    <t>Reynolds and Copp (2017b)</t>
  </si>
  <si>
    <t>Cited age is based upon the timing of mineralisation relative to the burial history observed in drill core that intersected the deposit and upon the interpretation that mineralisation pre-dates the ~410-400 Ma Prices Creek Compressional Event. Endowment includes mineral resources only.</t>
  </si>
  <si>
    <t>Agate Creek (includes Sherwood and Sherwood West)</t>
  </si>
  <si>
    <t xml:space="preserve">Magmatic-related - hydrothermal </t>
  </si>
  <si>
    <t>Epithermal</t>
  </si>
  <si>
    <t>Low-sulfidation gold-silver</t>
  </si>
  <si>
    <t>Queensland</t>
  </si>
  <si>
    <t>Agate Creek</t>
  </si>
  <si>
    <t>North Australian</t>
  </si>
  <si>
    <t>Etheridge</t>
  </si>
  <si>
    <t>Age of associated magmatic rock</t>
  </si>
  <si>
    <t>Ag-As-F</t>
  </si>
  <si>
    <t>Forsayth Granite</t>
  </si>
  <si>
    <t>Grey to pink, medium to coarse-grained, generally strongly porphyritic biotite granite, commonly foliated, with tabular K-feldspar megacrysts to 5cm.</t>
  </si>
  <si>
    <t>Calymmian</t>
  </si>
  <si>
    <t>Robertson River Subgroup</t>
  </si>
  <si>
    <t>Mainly cleaved mudstone, siltstone, fine-grained sandstone, and metabasalt grading eastwards into mica schist, quartzite and amphibolite; sedimentary rocks are locally calcareous and finer grained rocks are locally variably carbonaceous.</t>
  </si>
  <si>
    <t>Statherian</t>
  </si>
  <si>
    <t>Rhyolite sills and dykes</t>
  </si>
  <si>
    <t>Rhyolite</t>
  </si>
  <si>
    <t>Permian</t>
  </si>
  <si>
    <t>il-smc-car, sil</t>
  </si>
  <si>
    <t>Morrison et al. (2019)</t>
  </si>
  <si>
    <t>Laneway Resources Limited (2020)</t>
  </si>
  <si>
    <t>Endowment includes pre-mining mineral resources (cited at 0.3 g/t Au cut-off grade) and exclude minor historic production.</t>
  </si>
  <si>
    <t>Agnew district (including Crusader Complex, Fairyland, Genesis-New Holland, Lawlers, North Pit, Redeemer, Songvang, Vivien and Waroonga Complex)</t>
  </si>
  <si>
    <t>Agnew</t>
  </si>
  <si>
    <t>Yilgarn</t>
  </si>
  <si>
    <t>Eastern Goldfields</t>
  </si>
  <si>
    <t>Agnew-Wiluna</t>
  </si>
  <si>
    <t>Titanite</t>
  </si>
  <si>
    <t>Monazite</t>
  </si>
  <si>
    <t>Eastern Goldfields Superterrane - mafic intrusive rocks (Lawlers basalts)</t>
  </si>
  <si>
    <t>Mafic intrusive rock dominant; gabbro; may include iron formation and sedimentary rock; metamorphosed</t>
  </si>
  <si>
    <t>Neoarchean</t>
  </si>
  <si>
    <t>Scotty Creek Formation</t>
  </si>
  <si>
    <t>Sandstone, siltstone and conglomerate. The unit is metamorphosed and locally schistose.</t>
  </si>
  <si>
    <t>Archean</t>
  </si>
  <si>
    <t>Agnew Komatiite</t>
  </si>
  <si>
    <t>Spinifex-orthocumulate (1m thick komatiite sheet flows), massive ultrabasic cumulate (intrusion?). Fragmental komatiite commonly at top contact. Subaqueous komatiite flows (and comagmatic intrusion?); fragmental komatiite interpreted as cataclasite</t>
  </si>
  <si>
    <t>Lawlers Granitic Complex</t>
  </si>
  <si>
    <t>Granite</t>
  </si>
  <si>
    <t>Neoarchean (2690 ± 6 Ma)</t>
  </si>
  <si>
    <t>Biotite-titanite granodiorite</t>
  </si>
  <si>
    <t>Neoarchean (2655 ± 4 Ma)</t>
  </si>
  <si>
    <t>Syn-ore (early stage)</t>
  </si>
  <si>
    <t>chl-tc-act</t>
  </si>
  <si>
    <t>asp-py-bt (general); bt-amp (ore) → amp-bt-chl → amp-chl (peripheral) (Redeemer); ep-mt-chl±act±bt (Crusader Complex); bt-asp±cal±qtz, mus-chl (New Holland)</t>
  </si>
  <si>
    <t>Upper greenschist</t>
  </si>
  <si>
    <t>Lower amphibolite</t>
  </si>
  <si>
    <t>Broome et al. (1998); Inwood (1998); Vielreicher et al. (2015); Porter (2017b); Thebaud et al. (2018)</t>
  </si>
  <si>
    <t>Porter (2017b)</t>
  </si>
  <si>
    <t>Porter (2017b); Gold Fields (2013, 2014, 2015, 2016, 2017, 2018, 2019, 2020, 2021, 2022, 2023)</t>
  </si>
  <si>
    <t>Location cited is that of the Redeemer deposit. Thebaud et al. (2018) present a 2661 ± 8 Ma for the Songvang deposit based on a SHRIMP titanite U-Pb pooled age, and interpreted this age to be granite-related (to biotite-titanite granodiorite). Cited age of orogenic mineralisation is that of the Redeemer deposit and is consistent with another age of 2633 ± 20 Ma (monazite SHRIMP U-Pb, Vielreicher et al. 2015) and an unpublished gold-related molybdenite Re-Os age of 2636 ± 8 Ma reported by Thebaud et al (2018: cited as written communication from Colgan 2002). Thebaud et al. (2018) also cite a molybdenite Re-Os age of 2622 ± 12 Ma for the Turret deposit. The ca 2630 Ma event was interpreted as a typical orogenic gold system (Thebaud et al., 2018). Endowment includes pre-2013 historical figure of 163 Mt Au (Porter (2017b), production of 82.53 Mt Au between 2013-2023 (Gold Fields, 2013-2023) and mineral reserves of 56.98 t Au (Gold Fields, 2023).</t>
  </si>
  <si>
    <t>Ah Hoy</t>
  </si>
  <si>
    <t>Pegmatite</t>
  </si>
  <si>
    <t>LCT pegmatite</t>
  </si>
  <si>
    <t>Northern Territory</t>
  </si>
  <si>
    <t>Observation Hill</t>
  </si>
  <si>
    <t>Pine Creek</t>
  </si>
  <si>
    <t>Litchfield</t>
  </si>
  <si>
    <t>Li</t>
  </si>
  <si>
    <t>Be-Hf-Nb-Sn-Ta</t>
  </si>
  <si>
    <t>Burrell Creek Formation</t>
  </si>
  <si>
    <t>Fine to coarse feldspathic metagreywacke; minor phyllite, slate, mudstone, lenses of volcanilithic pebble conglomerate, quartz-mica schist.</t>
  </si>
  <si>
    <t>Paleoproterozoic</t>
  </si>
  <si>
    <t>Observation Hill pegmatite swarm</t>
  </si>
  <si>
    <t>Two Sisters Granite</t>
  </si>
  <si>
    <t>Grey to pink, medium to coarsely crystalline, weakly to strongly foliated, commonly garnetiferous granite, quartz monzonite and granodiorite.</t>
  </si>
  <si>
    <t>Middle greenschist</t>
  </si>
  <si>
    <t>Core Lithium Limited (2023a)</t>
  </si>
  <si>
    <t>Pietsch and Clayton (1990); Frater (2005); Ahmad and Hollis (2013); Ahmad and Khan (2013); Core Lithium Ltd (2020, 2022a, 2023)</t>
  </si>
  <si>
    <t>Frater (2005)</t>
  </si>
  <si>
    <t>Core Lithium Ltd (2023)</t>
  </si>
  <si>
    <t>One of numerous Li-bearing intrusions in the Bynoe Pegmatite Field. Cited age is by analogy with the Hang Gong pegmatite (Frater, 2005). Endowment includes mineral resources only.</t>
  </si>
  <si>
    <t>Ajax</t>
  </si>
  <si>
    <t>Volcanic-hosted massive sulfide</t>
  </si>
  <si>
    <t>Bimodal-felsic volcanic-hosted massive sulfide</t>
  </si>
  <si>
    <t>Mount Morgan</t>
  </si>
  <si>
    <t>New England</t>
  </si>
  <si>
    <t>Calliope</t>
  </si>
  <si>
    <t>Capella</t>
  </si>
  <si>
    <t>Faunal assemblage</t>
  </si>
  <si>
    <t>Supergene/oxide zinc</t>
  </si>
  <si>
    <t>Mount Warner Volcanics</t>
  </si>
  <si>
    <t>Sandstone and granule to pebble breccia (andesitic to basaltic sources); a locally-interbedded succession of rhyolite lava, sandstone, jasper, siltstone and rare peperite (rhyolitic source); sandstone, conglomerate and rare limestone.</t>
  </si>
  <si>
    <t>Eifelian</t>
  </si>
  <si>
    <t>Station Creek Quartz Monzonite</t>
  </si>
  <si>
    <t>Biotite-hornblende quartz monzonite; biotite granite</t>
  </si>
  <si>
    <t>Triassic</t>
  </si>
  <si>
    <t>qtz-ser</t>
  </si>
  <si>
    <t>Large (1980)</t>
  </si>
  <si>
    <t>Large (1980); Donchak et al. (2013)</t>
  </si>
  <si>
    <t>Donchak et al. (2013)</t>
  </si>
  <si>
    <t>Cited age is based on the presence of Eifelian faunal assemblages in limestone lens within host Warner Volcanics.</t>
  </si>
  <si>
    <t>Alaric</t>
  </si>
  <si>
    <t>Golden Highway</t>
  </si>
  <si>
    <t>Yamarna</t>
  </si>
  <si>
    <t>Greenstone</t>
  </si>
  <si>
    <t>Fuller et al. (2014); Osborne et al. (2017); Gold Road Resources (2019)</t>
  </si>
  <si>
    <t>Fuller et al. (2014)</t>
  </si>
  <si>
    <t>Gold Road Resources (2024)</t>
  </si>
  <si>
    <t>Age inferred by correlation with Central Bore deposit. Endowment includes total mineral resources as of December 2023.</t>
  </si>
  <si>
    <t>Alexandria</t>
  </si>
  <si>
    <t>Basin - chemical</t>
  </si>
  <si>
    <t>Chemical sediment</t>
  </si>
  <si>
    <t>Phosphorite</t>
  </si>
  <si>
    <t>Centralian Superbasin</t>
  </si>
  <si>
    <t>Georgina Basin</t>
  </si>
  <si>
    <t>Supergene phosphate</t>
  </si>
  <si>
    <t>REE</t>
  </si>
  <si>
    <t>Wonarah Formation</t>
  </si>
  <si>
    <t>Chertified limestone and mudstone, dolostone (silty dolostone, dolosparstone, calci/dolomudstone-siliciclastic mudstone interbeds)</t>
  </si>
  <si>
    <t>Ahmad and Khan (2013)</t>
  </si>
  <si>
    <t>Ahmad and Khan (2013); Kruse et al. (2013)</t>
  </si>
  <si>
    <t>Valetich et al. (2021)</t>
  </si>
  <si>
    <t>Endowment includes pre-JORC mineral resources only and is NOT code-compliant. Rare earth element endowment has not been determined.</t>
  </si>
  <si>
    <t>Alford</t>
  </si>
  <si>
    <t>Iron oxide copper-gold</t>
  </si>
  <si>
    <t>Olympic Dam-type copper-gold-uranium</t>
  </si>
  <si>
    <t>South Australia</t>
  </si>
  <si>
    <t>Moonta-Wallaroo</t>
  </si>
  <si>
    <t>South Australian</t>
  </si>
  <si>
    <t>Gawler</t>
  </si>
  <si>
    <t>Olympic</t>
  </si>
  <si>
    <t>Molybdenite</t>
  </si>
  <si>
    <t>Re-Os</t>
  </si>
  <si>
    <t>Model</t>
  </si>
  <si>
    <t>mt-bt-ab-act-ti-tm (early) → qtz-ksp-chl-hm (late)</t>
  </si>
  <si>
    <t>Skirrow et al. (2007)</t>
  </si>
  <si>
    <t>Cited age is average of two replicate analyses of same samples, with uncertainties added in quadrature for combine uncertainty. The sample is a molybdenite-bearing quartz-pyrite vein that cuts biotite-albite-magnetite-altered wall rock.</t>
  </si>
  <si>
    <t>Alroy</t>
  </si>
  <si>
    <t>Ambrosia-Jacinth</t>
  </si>
  <si>
    <t>Paleoplacer heavy mineral sands</t>
  </si>
  <si>
    <t>Eucla Basin</t>
  </si>
  <si>
    <t>Ti-Zr</t>
  </si>
  <si>
    <t>Ooldea Sand</t>
  </si>
  <si>
    <t>Marine: sand, silt; commonly forms strand lines. Littoral to near shore marine deposits of clay, silt, fine to coarse-grained quartz sand, minor quartz gravel, minor heavy mineral sands.</t>
  </si>
  <si>
    <t>Middle Eocene</t>
  </si>
  <si>
    <t>Standing et al. (2017)</t>
  </si>
  <si>
    <t>https://asud.ga.gov.au/search-stratigraphic-units/results/14596</t>
  </si>
  <si>
    <t>Cited age is based on Lutetian age of host Ooldea Sand (asud.ga.gov.au). Endowment includes total mineral resources as reported by Standing et al. (2017) and includes 293 Mt at 4.7% heavy minerals comprising 39% zircon, 40% ilmenite and 4% rutile.</t>
  </si>
  <si>
    <t>Ammaroo (Barrow Creek 1 and Arganara)</t>
  </si>
  <si>
    <t>Ammaroo</t>
  </si>
  <si>
    <t>Arthur Creek Formation</t>
  </si>
  <si>
    <t>Foetid pyritic-carbonaceous black shale and laminated dolostone with minor dolomitic quartz sandstone and conglomerate</t>
  </si>
  <si>
    <t>Dunster and Munson (2017)</t>
  </si>
  <si>
    <t>Ahmad and Khan (2013); Kruse et al. (2013); Dunster and Munson (2017)</t>
  </si>
  <si>
    <t>Endowment includes mineral resources only. Rare earth element endowment has not been determined.</t>
  </si>
  <si>
    <t>Ammaroo South</t>
  </si>
  <si>
    <t>Anaconda</t>
  </si>
  <si>
    <t>Murrin</t>
  </si>
  <si>
    <t>Kurnalpi</t>
  </si>
  <si>
    <t>Cu-Zn</t>
  </si>
  <si>
    <t>Bi-Co-Ga-Ge-In-Se-Te</t>
  </si>
  <si>
    <t>Epiclastic shales and lithic wackes</t>
  </si>
  <si>
    <t>Pillowed, tholeiitic basalt</t>
  </si>
  <si>
    <t>Murrin Murrin Igneous Complex</t>
  </si>
  <si>
    <t>Dunitic and gabbroic sills</t>
  </si>
  <si>
    <t>chl-car</t>
  </si>
  <si>
    <t>Fergusson (1999)</t>
  </si>
  <si>
    <t>Barley (1992); Ferguson (1999); Hollis et al. (2017a)</t>
  </si>
  <si>
    <t>Hollis et al. (2017a)</t>
  </si>
  <si>
    <t>Endowment includes a pre-JORC mineral resource (Ferguson, 1999) and does not include production of 4320 t of copper in 1899-1908.</t>
  </si>
  <si>
    <t>Anchor</t>
  </si>
  <si>
    <t>Greisen tin-tungsten-molybdenum</t>
  </si>
  <si>
    <t>Sn</t>
  </si>
  <si>
    <t>Be-Bi-F-Li-Mo-W</t>
  </si>
  <si>
    <t>Lottah Granite</t>
  </si>
  <si>
    <t>S-type biotite alkali-feldspar granite - pink to cream equigranular to porphyritic with K-feldspar phenocrysts.</t>
  </si>
  <si>
    <t>qtz-top-fl±zin±tm (early) → ser-sid-sul (late)</t>
  </si>
  <si>
    <t>gre</t>
  </si>
  <si>
    <t>Denholm et al. (2021)</t>
  </si>
  <si>
    <t>Cited age (Denholm et al., 2021) overlaps with that of the Lottah Granite (377.8 ± 2.4 Ma (SHRIMP zircon U-Pb): Black et al., 2005), with which the deposit is spatially associated. Endowment includes production of 2.15 Mt at 0.23% Sn and remnant resources of approximately 0.236 Mt at 0.5% Sn (Green et al., 2014).</t>
  </si>
  <si>
    <t>Anderson's Lode</t>
  </si>
  <si>
    <t>Alkali-calcic</t>
  </si>
  <si>
    <t>Albitite-hosted uranium</t>
  </si>
  <si>
    <t>Andersons</t>
  </si>
  <si>
    <t>North Australian Basin System</t>
  </si>
  <si>
    <t>Leichhardt Superbasin</t>
  </si>
  <si>
    <t>Biotite</t>
  </si>
  <si>
    <t>U</t>
  </si>
  <si>
    <t>Sc</t>
  </si>
  <si>
    <t>Eastern Creek Volcanics</t>
  </si>
  <si>
    <t>Dominantly metabasalt with lesser interbedded siltstone and sandstone</t>
  </si>
  <si>
    <t>Dolerite</t>
  </si>
  <si>
    <t>ep-qtz-sph±act±cp±py±hm (early) → cal-ab-hm (late)</t>
  </si>
  <si>
    <t>ap-chl-bt-mt-tit</t>
  </si>
  <si>
    <t>Wyborn (1987); Bain et al. (1992); Heinrich et al. (1995); Perkins et al. (1999); Gregory et al. (2005); Kositcin et al. (2009); Wilde et al. (2013)</t>
  </si>
  <si>
    <t>Perkins et al., (1999)</t>
  </si>
  <si>
    <t>Wilde et al. (2013); Paladin Energy (2023)</t>
  </si>
  <si>
    <r>
      <t xml:space="preserve">Cited age is a biotite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from uranium-mineralised biotite-chlorite-magnetite-hematite-altered basalt (Perkins et al., 1999). Endowment includes mineral resources only. Tourmaline is associate with shear zone and the hanging wall basalts are epidote-altered, but relationship to mineralised zone is unclear.</t>
    </r>
  </si>
  <si>
    <t>Andover</t>
  </si>
  <si>
    <t>West Pilbara</t>
  </si>
  <si>
    <t>Andover Intrusion</t>
  </si>
  <si>
    <t>Gabbro, leucogabbro, serpentinised peridotite and dunite, pyroxenite, and minor anorthosite; metamorphosed; pegmatites hosted by ultramafic portion of intrusion</t>
  </si>
  <si>
    <t>Andover pegmatite swarm</t>
  </si>
  <si>
    <t>Spodumene-rich LCT pegmatite</t>
  </si>
  <si>
    <t>Azure Minerals Limited (2023)</t>
  </si>
  <si>
    <t>Azure Minerals Limited (2022, 2023)</t>
  </si>
  <si>
    <t>Cited location is the approximate centre of the pegmatite swarm, with has a length of ~9 km and a width of ~ 5 km and has an east-northeast orientation. The cited age is by analogy with LCT pegmatites in the East Pilbara Superterrane. The pegmatite swarm intrudes ultramafic phases of the Andover Intrusion. Azure Minerals Limited (2023) report a JORC-compliant exploration target of 100-240 Mt grading 1.0-1.5% Li2O.</t>
  </si>
  <si>
    <t>Andy Well</t>
  </si>
  <si>
    <t>Meekatharra</t>
  </si>
  <si>
    <t>Youanmi</t>
  </si>
  <si>
    <t>Murchison</t>
  </si>
  <si>
    <t>Golconda Formation</t>
  </si>
  <si>
    <t>Pillow basalt, gabbro, high-Cr basalt (ore host), ultramafic rock, sedimentary rocks and dolerite</t>
  </si>
  <si>
    <t>Pillow basalt, gabbro, high-Cr basalt (ore host), ultramafic rock and dolerite</t>
  </si>
  <si>
    <t>fch-chl</t>
  </si>
  <si>
    <t>Wellman et al. (2017)</t>
  </si>
  <si>
    <t>Wellman et al. (2017); Meeka Metals (2024)</t>
  </si>
  <si>
    <t>Age inferred by correlation with Reedy deposit. Endowment includes production up to and total mineral resources at 6 May 2024.</t>
  </si>
  <si>
    <t>Angas</t>
  </si>
  <si>
    <t>Shale-hosted</t>
  </si>
  <si>
    <t>Siliciclastic-mafic shale-hosted zinc-lead</t>
  </si>
  <si>
    <t>Kanmantoo</t>
  </si>
  <si>
    <t>Adelaide Rift System</t>
  </si>
  <si>
    <t>Age of host succession (see comments)</t>
  </si>
  <si>
    <t>Au-Cu-Ag</t>
  </si>
  <si>
    <t>Bi-Ga-In-Sb</t>
  </si>
  <si>
    <t>Tapanappa Formation (Kanmantoo Group)</t>
  </si>
  <si>
    <t>Fine- to coarse-grained metasandstone interbedded with siltstone and mudstone</t>
  </si>
  <si>
    <t>Early Cambrian</t>
  </si>
  <si>
    <t>Truro Volcanics</t>
  </si>
  <si>
    <t>Dark green fine grained basalt and andesite flows; cream quartz-phyric metarhyolite dykes and sills; dark green metadolerite dykes and sills; grey-green metadiorite dykes and sills; dark grey-green mafic volcaniclastic sandstones and granulestone</t>
  </si>
  <si>
    <t>Cambrian</t>
  </si>
  <si>
    <t>Kanmantoo Group - mafic volcanics 79296</t>
  </si>
  <si>
    <t>Mafic volcanic rocks; intercalated with Kanmantoo Group metasediments.</t>
  </si>
  <si>
    <t>gt-gah-sul-str-and-slm-chl-bt-mus-qtz (proximal) → gt-str-and-slm-chl-bt-mus-qtz±crd±sul (distal)</t>
  </si>
  <si>
    <t>Amphibolite</t>
  </si>
  <si>
    <t>Belpario et al. (1998); Jenkins et al. (2002); Foden et al. (2006); Haines et al. (2009); Cowley (2017); Porter (2017e)</t>
  </si>
  <si>
    <t>Jenkins et al. (2002); Foden et al. (2006)</t>
  </si>
  <si>
    <t>Porter (2017e)</t>
  </si>
  <si>
    <t>The Angas mineralisation lies within the "Host Unit" which is defined by the presence of minor (1-2%) to common fine grained garnet, believed to be of hydrothermal origin, which varies from about 50m to 200m in thickness and occurs as a continuous planar body discordant to stratigraphy, over a strike length of at least 2km and a dip extent of more than 500m. Age of the host Kanmantoo Group is constrained by a maximum age of 522 ± 2 Ma from tuff in the underlying Heatherdale Shale (Jenkins et al., 2002) and by a minimum age of 514 ± 3 Ma from magmatism associated with the overprinting Delamerian Orogeny (Foden et al., 2006). Two interpretations have been proposed for the origin of Kanmantoo Zn-Pb deposits, syn-sedimentary (e.g. Belperio et al., 1998) and syn-tectonic, emplaced prior to peak metamorphism (i.e. 514 ± 3 Ma: Porter, 2017e). Both interpretations are accommodated by the cited age when uncertainties are considered. Endowment includes mineral resources prior to commencement of mining in 2007.</t>
  </si>
  <si>
    <t>Angela</t>
  </si>
  <si>
    <t>Sandstone-hosted</t>
  </si>
  <si>
    <t>Sandstone-hosted uranium</t>
  </si>
  <si>
    <t>Amadeus Basin</t>
  </si>
  <si>
    <t>Supergene/oxide uranium</t>
  </si>
  <si>
    <t>Mo-Se</t>
  </si>
  <si>
    <t>Brewer Conglomerate, Undandita Member</t>
  </si>
  <si>
    <t>Conglomerate with sedimentary clasts, sandstone lenses. Organic matter, including spores, leaves and woody material, is commonly preserved in beds with an early diagenetic carbonate cement.</t>
  </si>
  <si>
    <t>Carboniferous</t>
  </si>
  <si>
    <t>Lally and Bajwah (2006); Edgoose (2013a, 2017)</t>
  </si>
  <si>
    <t>Edgoose (2017)</t>
  </si>
  <si>
    <t>Endowment includes mineral resources only.</t>
  </si>
  <si>
    <t>Angularli</t>
  </si>
  <si>
    <t>Unconformity-related</t>
  </si>
  <si>
    <t>Unconformity-related uranium</t>
  </si>
  <si>
    <t>Alligator Rivers uranium field</t>
  </si>
  <si>
    <t>Uraninite</t>
  </si>
  <si>
    <t>Cahill Formation</t>
  </si>
  <si>
    <t>Interbedded and well foliated, medium-grained mica-feldspar-quartz schist, feldspathic quartzite, meta-arkose, feldspar-quartz schist, mica schist, garnet-mica schist and quartzite; minor conglomerate; commonly magnetitic, locally chloritised</t>
  </si>
  <si>
    <t>Mamadawerre Sandstone</t>
  </si>
  <si>
    <t>White, thickly bedded, commonly tabular or trough cross-bedded, poorly sorted, medium to coarse quartz sandstone with pebble or granule bands; minor siltstone; polymictic pebble to boulder conglomerate at base</t>
  </si>
  <si>
    <t>ser-sil-py → tm-dsp (sandstone above unconformity); py-sil-ser proximal) → chl (distal) (basement); pyr-cl (parallel to unconformity above mineralised zone)</t>
  </si>
  <si>
    <t>Browne (2017); Vimy Resources Limited (2018); Sinclair (2019)</t>
  </si>
  <si>
    <t>Deep Yellow Limited (2023)</t>
  </si>
  <si>
    <t>Endowments maiden resource estimate update from Deep Yellow Limited 2023 annual report.</t>
  </si>
  <si>
    <t>Anomaly A</t>
  </si>
  <si>
    <t>Daly River</t>
  </si>
  <si>
    <t>Zn-Cu</t>
  </si>
  <si>
    <t>Warrs Volcanic Member</t>
  </si>
  <si>
    <t xml:space="preserve"> Dacite, rhyolite, felsic tuff, andesite, basalt and minor tuffaceous phyllite, schist and agglomerate</t>
  </si>
  <si>
    <t>chl-po-cal-qtz-mt</t>
  </si>
  <si>
    <t>mar</t>
  </si>
  <si>
    <t>Ahmad and Hollis (2013)</t>
  </si>
  <si>
    <t>Ferenczi (2004); Ahmad and Hollis (2013)</t>
  </si>
  <si>
    <t>Worden et al. (2008a)</t>
  </si>
  <si>
    <t>Ferenczi (2004)</t>
  </si>
  <si>
    <t>Endowment includes pre-JORC mineral resources only of 0.213 Mt grading 18.7% Zn and 0.65% Cu (W26 lens) and 0.550 Mt at 6.6% Zn , 2.2% Cu and 19 g/t Ag (A26 lens).</t>
  </si>
  <si>
    <t>Ant Hill-Sunday Hill</t>
  </si>
  <si>
    <t>Sedimentary manganese</t>
  </si>
  <si>
    <t>Southwest Oakover</t>
  </si>
  <si>
    <t>Oakover Basin</t>
  </si>
  <si>
    <t>Supergene/oxide manganese</t>
  </si>
  <si>
    <t>Mn</t>
  </si>
  <si>
    <t>Co-Ni</t>
  </si>
  <si>
    <t>Manganese Group - Coondoon Formation</t>
  </si>
  <si>
    <t>Conglomerate, sandstone, wacke, dolostone, shale</t>
  </si>
  <si>
    <t>Pinjian Chert Breccia</t>
  </si>
  <si>
    <t>Angular fragments of chert and layered chert in a siliceous matrix; locally rich in iron and manganese oxides giving the rock a black to dark-brown colour and semimetallic lustre</t>
  </si>
  <si>
    <t>Jones (2017a)</t>
  </si>
  <si>
    <t>Location is that of Ant Hill and approximate. Cited age is by correlation with the Butcherbird deposit (Collier Basin). This is preferred over correlation with Woodie Woodie as mineralisation at Ant Hill-Sundary Hill is stratiform.</t>
  </si>
  <si>
    <t>Anthony</t>
  </si>
  <si>
    <t>Porphyry</t>
  </si>
  <si>
    <t>Porphyry molybdenum</t>
  </si>
  <si>
    <t>Thomson</t>
  </si>
  <si>
    <t>Anakie</t>
  </si>
  <si>
    <t>Supergene/oxide molybdenum</t>
  </si>
  <si>
    <t>Mo</t>
  </si>
  <si>
    <t>Re</t>
  </si>
  <si>
    <t>Crowded quartz-feldspar-biotite porphyry</t>
  </si>
  <si>
    <t>Early Permian</t>
  </si>
  <si>
    <t>qtz-mus</t>
  </si>
  <si>
    <t>Huston et al. (2022)</t>
  </si>
  <si>
    <t>Zamia Metals Limited (2012); Huston et al. (2022)</t>
  </si>
  <si>
    <t>Zamia Metals Limited (2012)</t>
  </si>
  <si>
    <t>Cited location is that analysed by Huston et al. (20220). Endowment includes mineral resources only.</t>
  </si>
  <si>
    <t>Ararat goldfield</t>
  </si>
  <si>
    <t>Victoria</t>
  </si>
  <si>
    <t>Ararat</t>
  </si>
  <si>
    <t>West Lachlan</t>
  </si>
  <si>
    <t>Stawell</t>
  </si>
  <si>
    <t>Paleoplacer gold ± uranium</t>
  </si>
  <si>
    <t>Moornambool Metamorphic Complex</t>
  </si>
  <si>
    <t>Upper greenschist (biotite grade) to amphibolite grade. Characterised by schist, quartzite and amphibolite.</t>
  </si>
  <si>
    <t>Stawell Granite</t>
  </si>
  <si>
    <t>Pale, medium to coarse grained, hornblende-biotite granite; occasional diorite, granodiorite and hornfels xenoliths; weakly foliated; oxidised.</t>
  </si>
  <si>
    <t>Early Devonian</t>
  </si>
  <si>
    <t>chl</t>
  </si>
  <si>
    <t>https://www.latlong.net/place/ararat-vic-australia-29665.html (accessed March 2024)</t>
  </si>
  <si>
    <t>Hunter (1913); Phillips et al. (2003); Navarre Resources Limited (2015)</t>
  </si>
  <si>
    <t>Phillips et al. (2003)</t>
  </si>
  <si>
    <t>Cited location is of Ararat city. Cited age is by correlation with the Stawell district, 30 km to north. Endowment includes &lt;1 t of hard rock, 14 t of shallow paleoplacer and placer, and 5 t of deep place production.</t>
  </si>
  <si>
    <t>Archer</t>
  </si>
  <si>
    <t>Ta</t>
  </si>
  <si>
    <t>Be-Hf-Nb-Sn</t>
  </si>
  <si>
    <t>Warrawoona Group</t>
  </si>
  <si>
    <t>Paleoarchean</t>
  </si>
  <si>
    <t>Emu Pool Supersuite</t>
  </si>
  <si>
    <t>Monzogranite, hornblende-biotite monzogranite, syenogranite, tonalite, granodiorite, mafic tonalite, quartz diorite</t>
  </si>
  <si>
    <t>Archer pegmatite swarm</t>
  </si>
  <si>
    <t>Spodumene-bearing LCT pegmatite</t>
  </si>
  <si>
    <t>Global Lithium Resources (2022)</t>
  </si>
  <si>
    <t>Cited location is approximate centre of mineral resource. Cited age is by analogy with other East Pilbara pegmatites.</t>
  </si>
  <si>
    <t>Ardlethan</t>
  </si>
  <si>
    <t>Omeo-Wagga</t>
  </si>
  <si>
    <t>Supergene/oxide tin</t>
  </si>
  <si>
    <t>Fluvial placer tin ± niobium ± tantalum</t>
  </si>
  <si>
    <t>Sprys Tank Granite (formerly Mine Granite)</t>
  </si>
  <si>
    <t>Weakly foliated, medium- to coarse-grained monzogranite composed of subequal quartz, plagioclase and alkali feldspar, with lesser biotite and muscovite</t>
  </si>
  <si>
    <t>Middle Silurian</t>
  </si>
  <si>
    <t>Garnet porphyry</t>
  </si>
  <si>
    <t>Garnet-bearing quartz-feldspar porphyry, comprising phenocrysts of alkali feldspar, quartz, plagioclase and garnet in a fine grained matrix</t>
  </si>
  <si>
    <t>Ardlethan Granite</t>
  </si>
  <si>
    <t>Medium- to coarse-grained syenogranite containing subequal quartz and alkali feldspar, lesser sodic plagioclase, and accessory apatite, zircon and tourmaline</t>
  </si>
  <si>
    <t>Syn-ore (?)</t>
  </si>
  <si>
    <t>Cassiterite porphyry</t>
  </si>
  <si>
    <t>Grey-coloured porphyry, comprising feldspar phenocrysts in an aphanitic groundmass</t>
  </si>
  <si>
    <t>qtz-chl-ser±tm±py±sul, qtz-ser-car±tm±py±sul (proximal) → qtz-bt-ser-top±tm±py±sul (distal)</t>
  </si>
  <si>
    <t>Richards et al. (1982); Paterson (1990); Ren et al. (1995); Bodorkos et al. (2013); New South Wales Department of Planning, Industry and Environment (2019)</t>
  </si>
  <si>
    <t>Bodorkos et al. (2013)</t>
  </si>
  <si>
    <t>Paterson (1990); New South Wales Department of Planning, Industry and Environment (2019)</t>
  </si>
  <si>
    <t>Cited age is that of the 'cassiterite porphyry' which is intimately associated with the breccia pipes that host tin ore. This is the youngest (412.0 ± 1.9 Ma) of four granites present at the Addlethan mine site. The oldest at 428.1 ± 2.8 Ma is the Mine Granite, which hosts mineralisation. This is followed by the 'garnet porphyry' with an age of 417.8 ± 2.3 Ma, and then by the Ardlethan Granite with an age of 414.7 ± 2.3 Ma that overlaps the age of the 'cassiterite porphyry' (Bodorkos et al. (2013). The age of the 'cassiterite porphyry' is slightly older than an unpublished ICP-MS age of cassiterite (~402 Ma: M Norman and P Blevin in Bodorkos et al., 2013). Endowment includes historic production of 6120 t Sn from 1912 to 1966 and 25,448 t from 1964 to mine closure in 1986, and mineral resources of 10.7 Mt at 0.20% Sn (tailings), 21.3 Mt at 0.09% Sn (waste material) and 5.5 Mt @ 0.45% Sn (underground total resources). The production data are based on actual production and not head grades as current tailings resources are also included in the endowment.</t>
  </si>
  <si>
    <t>Ardmore</t>
  </si>
  <si>
    <t>Beetle Creek Formation (Simpson Creek Phosphorite Member)</t>
  </si>
  <si>
    <t>Phosphorites (mainly pelletal) interbedded with chert and siliceous shale. The Beetle Creek Formation is subdivided into the Lower Siltstone Member, which comprises black shales and cherts, and the upper Simpson Creek Phosphorite Member, which hosts the phosphate deposits.</t>
  </si>
  <si>
    <t>Valenta (2020b)</t>
  </si>
  <si>
    <t>Freeman et al. (1990); Valenta (2020b); Valetich et al. (2021)</t>
  </si>
  <si>
    <t xml:space="preserve">Endowment includes mineral resources only (Valenta, 2020c). </t>
  </si>
  <si>
    <t>Area 55</t>
  </si>
  <si>
    <t>Shale-hosted copper ± cobalt</t>
  </si>
  <si>
    <t>Rum Jungle</t>
  </si>
  <si>
    <t>Supergene/oxide copper</t>
  </si>
  <si>
    <t>Cu-Co-Ni</t>
  </si>
  <si>
    <t>Bi-Re</t>
  </si>
  <si>
    <t>Whites Formation</t>
  </si>
  <si>
    <t>Sericite-biotite-talc schist and silicified dolomudstone.</t>
  </si>
  <si>
    <t>Rum Jungle Complex</t>
  </si>
  <si>
    <t>Granitic gneiss, migmatite, metadiorite; fine to coarse granite, porphyritic K-feldspar granite, garnetiferous granite, leucocratic granite</t>
  </si>
  <si>
    <t>hm-qtz-ap-chl-mag±py</t>
  </si>
  <si>
    <t>chl-qtz-mus-tc-fls (gangue)</t>
  </si>
  <si>
    <t>Lower greenschist</t>
  </si>
  <si>
    <t>Ahmad et al. (2006); Compass Resources (2008)</t>
  </si>
  <si>
    <t>Compass Resources (2008)</t>
  </si>
  <si>
    <t>Endowment includes mineral resources only. These include a sulfide resource of 12.2 Mt at 0.49% Cu, 0.56% Pb, 0.14% Co and 0.14% Ni, and an oxide resource of 5.48 Mt at 0.78% Cu, 0.14% Co and 0.15% Ni.</t>
  </si>
  <si>
    <t>Argo</t>
  </si>
  <si>
    <t>Tennant Creek-type copper-gold</t>
  </si>
  <si>
    <t>Tennant Creek</t>
  </si>
  <si>
    <t>Tennant</t>
  </si>
  <si>
    <t>Warramunga</t>
  </si>
  <si>
    <t>Muscovite</t>
  </si>
  <si>
    <t>Bi-Se</t>
  </si>
  <si>
    <t>Warramunga Formation</t>
  </si>
  <si>
    <t>Tuffaceous arenite/wacke ("metagreywacke") and siltstone; shale, including argillaceous banded ironstone ("haematite shale"); slate.</t>
  </si>
  <si>
    <t>Tennant Suite Supersuite</t>
  </si>
  <si>
    <t>Granite: biotite and biotite-muscovite bearing; porphyritic; xenolithic; leucogranite.</t>
  </si>
  <si>
    <t>Yungkulungu Formation - volcanic lithofacies</t>
  </si>
  <si>
    <t>Welded and non-welded felsic crystal-lithic tuff and lapilli tuff; minor felsic volcanic lava and ignimbrite; felsic crystal-lithic tuff and lapilli tuff; rhyolitic and rhyodacitic lava and ignimbrite; tuffaceous arenite with interbedded siltstone</t>
  </si>
  <si>
    <t>chl-mt, mt-dol</t>
  </si>
  <si>
    <t>Meade (1986); Compston and McDougall (1994); Kwon et al. (2002); Fraser et al. (2008); Donnellan (2013a)</t>
  </si>
  <si>
    <t>Compston and McDougall (1994)</t>
  </si>
  <si>
    <t>Donnellan (2013a)</t>
  </si>
  <si>
    <t>Cited age has been recalculated from original data of Compston and McDougall (1994) using revised decay constants of Kwon et al. (2002). Endowment includes production only, with the grades cited the recovered grades.</t>
  </si>
  <si>
    <t>Argos</t>
  </si>
  <si>
    <t>Argyle (including AK1 diamond pipe and alluvial deposits along Upper Smoke and Limestone Creeks)</t>
  </si>
  <si>
    <t>Related to alkaline and associated magmatism</t>
  </si>
  <si>
    <t>Diamond</t>
  </si>
  <si>
    <t>Argyle</t>
  </si>
  <si>
    <t>Tanami</t>
  </si>
  <si>
    <t>Discordia</t>
  </si>
  <si>
    <t>Placer diamond</t>
  </si>
  <si>
    <t>Argyle Lamproite</t>
  </si>
  <si>
    <t>Volcaniclastic olivine lamproite with olivine-phlogopite dykes</t>
  </si>
  <si>
    <t>Pidgeon et al. (1986); Boxer et al. (2017)</t>
  </si>
  <si>
    <t>Olierook et al. (2023)</t>
  </si>
  <si>
    <t>Cited endowment includes production from alluvial deposits in Upper Smoke Creek and Limestone Creek in 1983-1985 and 1989-2002, production from the Argyle diamond pipe from 1985 to 2016, and ore reserves and mineral resources at 31 December 2016.</t>
  </si>
  <si>
    <t>Aries</t>
  </si>
  <si>
    <t>Kimberley</t>
  </si>
  <si>
    <t>Phlogopite</t>
  </si>
  <si>
    <t>Aries kimberlite</t>
  </si>
  <si>
    <t>Massive, clast-supported, lithic-rich, volcaniclastic kimberlite breccias, and intruded by associated hypabyssal kimberlite dykes and plugs</t>
  </si>
  <si>
    <t>Neoproterozoic</t>
  </si>
  <si>
    <t>Kimberlite pipe</t>
  </si>
  <si>
    <t>https://www.mindat.org/loc-250969.html (accessed may 2024)</t>
  </si>
  <si>
    <t>Downes et al. (2006)</t>
  </si>
  <si>
    <t>Arltunga (includes Arltunga, Claraville and Mount Chapman vein camps, but excludes White Range camp)</t>
  </si>
  <si>
    <t>Arltunga</t>
  </si>
  <si>
    <t>Atnarpa Igneous Complex</t>
  </si>
  <si>
    <t>Tonalite, diorite, trondhjemite, granodiorite, granite and aplite.</t>
  </si>
  <si>
    <t>Cadney Metamorphics</t>
  </si>
  <si>
    <t>Calc-silicate rock, marble, sillimanite and biotite gneiss; minor quartzofeldspathic gneiss, felsic granulite, mafic granulite, garnet-biotite gneiss, quartzite, amphibolite</t>
  </si>
  <si>
    <t>Cavenagh Metamorphics</t>
  </si>
  <si>
    <t>Well layered and massive quartzofeldspathic gneiss, para-amphibolite, amphibolite; rare calc-silicate rock, hematite quartzite</t>
  </si>
  <si>
    <t>Granulite</t>
  </si>
  <si>
    <t>https://www.mindat.org/loc-208603.html (accessed May 2024)</t>
  </si>
  <si>
    <t>Stewart (1971); Mackie (1984); Ahmad et al. (2009)</t>
  </si>
  <si>
    <t>Stewart (1971)</t>
  </si>
  <si>
    <t>Mackie (1984); Ahmad et al. (2009)</t>
  </si>
  <si>
    <t>Uncertainty of age measurement not reported. Endowment includes alluvial production and 19% of hard rock production between 1899 and 1934 (Mackie, 1984).</t>
  </si>
  <si>
    <t>Attila</t>
  </si>
  <si>
    <t>Attunga copper mine</t>
  </si>
  <si>
    <t>Replacement</t>
  </si>
  <si>
    <t>Skarn copper</t>
  </si>
  <si>
    <t>Attunga</t>
  </si>
  <si>
    <t>Tablelands</t>
  </si>
  <si>
    <t>Glencairn Formation</t>
  </si>
  <si>
    <t>Bioclastic limestone unit within Glencairn Formation which is dominated by volcaniclastic conglomerate, cross-bedded sandstone and minor siltstone.</t>
  </si>
  <si>
    <t>Early-Late Devonian</t>
  </si>
  <si>
    <t>Inlet Monzonite</t>
  </si>
  <si>
    <t>Medium- to coarse-grained hornblende-biotite monzonite with prominent pink K-feldspar crystals, and minor titanite and magnetite grains.</t>
  </si>
  <si>
    <t>Late Permian-Early Triassic</t>
  </si>
  <si>
    <t>Post-ore (?)</t>
  </si>
  <si>
    <t>Attunga Creek Monzogranite</t>
  </si>
  <si>
    <t>Massive, medium- to coarse-grained biotite and hornblende monzogranite with prominent pink K-feldspar crystals, and minor titanite and magnetite grains.</t>
  </si>
  <si>
    <t>gt-px-cal-cal-tit (prograde) → ep-amp-sul (retrograde; ore-bearing)</t>
  </si>
  <si>
    <t>calc-sil</t>
  </si>
  <si>
    <t>Pumpellyite-prehnite</t>
  </si>
  <si>
    <t>Vickery et al. (2010)</t>
  </si>
  <si>
    <t>No production or resources are recorded from this prospect. Cited metamorphic grade is the regional grade and is higher within thermal aureoles of granites.</t>
  </si>
  <si>
    <t>Attunga tungsten skarn</t>
  </si>
  <si>
    <t>Skarn tungsten ± molybdenite</t>
  </si>
  <si>
    <t>W</t>
  </si>
  <si>
    <t>In-Sn</t>
  </si>
  <si>
    <t>Hornfelsed limestone unit within Glencairn Formation which is dominated by volcaniclastic conglomerate, cross-bedded sandstone and minor siltstone.</t>
  </si>
  <si>
    <t>sch-gt-qtz-mt-tit (prograde; ore-bearing) → ep-act-cal (retrograde)</t>
  </si>
  <si>
    <t>Vickery et al. (2010); Chisholm et al. (2014a)</t>
  </si>
  <si>
    <t>Chisholm et al. (2014a)</t>
  </si>
  <si>
    <t>Cited age is that of the Inlet Monzonite. The deposit occurs within 100 m of this granite. Endowment includes mineral resources only. Cited metamorphic grade is the regional grade and is higher within thermal aureoles of granites.</t>
  </si>
  <si>
    <t>Aubils</t>
  </si>
  <si>
    <t>Ultramafic rock</t>
  </si>
  <si>
    <t>Yerilla</t>
  </si>
  <si>
    <t>Laterite</t>
  </si>
  <si>
    <t>Laterite nickel</t>
  </si>
  <si>
    <t>Ni</t>
  </si>
  <si>
    <t>Co</t>
  </si>
  <si>
    <t>Ardea Resource Limited (2023a)</t>
  </si>
  <si>
    <t>Ardea Resources Limited (2023a)</t>
  </si>
  <si>
    <t>Aurari North (King River)</t>
  </si>
  <si>
    <t>Kukalak Gneiss</t>
  </si>
  <si>
    <t>Microbrecciated gneiss, feldspar-biotite gneiss and foliated biotite granodiorite/tonalite</t>
  </si>
  <si>
    <t>ser-hm-chl-tm-qtz (proximal) → chl-ser (distal)</t>
  </si>
  <si>
    <t>Vimy Resources Limited (2018)</t>
  </si>
  <si>
    <t>Polito et al. (2011); Vimy Resources Limited (2018)</t>
  </si>
  <si>
    <t>Polito et al. (2011)</t>
  </si>
  <si>
    <r>
      <t xml:space="preserve">Cited age is the oldest </t>
    </r>
    <r>
      <rPr>
        <vertAlign val="superscript"/>
        <sz val="9"/>
        <rFont val="Times New Roman"/>
        <family val="1"/>
      </rPr>
      <t>207</t>
    </r>
    <r>
      <rPr>
        <sz val="9"/>
        <rFont val="Times New Roman"/>
        <family val="1"/>
      </rPr>
      <t>Pb-</t>
    </r>
    <r>
      <rPr>
        <vertAlign val="superscript"/>
        <sz val="9"/>
        <rFont val="Times New Roman"/>
        <family val="1"/>
      </rPr>
      <t>206</t>
    </r>
    <r>
      <rPr>
        <sz val="9"/>
        <rFont val="Times New Roman"/>
        <family val="1"/>
      </rPr>
      <t>Pb age. The U-Pb ages are disturbed. Pyrite (and other sulfide minerals) is interpreted to be post-uranium, whereas hematite is interpreted to be syn-uranium. No endowment to date. Location based on drill hole KRD0783 from Vimy Resources Limited (2018).</t>
    </r>
  </si>
  <si>
    <t>Aurukun</t>
  </si>
  <si>
    <t>Clastic sediment precursor</t>
  </si>
  <si>
    <t>Great Artesian Basin</t>
  </si>
  <si>
    <t>Carpentaria Basin</t>
  </si>
  <si>
    <t>Bauxite</t>
  </si>
  <si>
    <t>Al</t>
  </si>
  <si>
    <t>Ga</t>
  </si>
  <si>
    <t>Bulimba Formation</t>
  </si>
  <si>
    <t>White to pale grey or reddish brown, poorly indurated, clayey quartzose to feldspathic sandstone, poorly sorted granule to (locally) pebble conglomerate and sandy claystone; commonly ferruginised.</t>
  </si>
  <si>
    <t>Paleocene-Eocene</t>
  </si>
  <si>
    <t>Glencore plc (2020); www.https://portergeo.com.au/database/mineinfo-mb.asp?mineid=mn807 (accessed March 2024); https://asud.ga.gov.au/search-stratigraphic-units/results/25817</t>
  </si>
  <si>
    <t>https://asud.ga.gov.au/search-stratigraphic-units/results/25817</t>
  </si>
  <si>
    <t>Glencore plc (2020)</t>
  </si>
  <si>
    <t>Cited age of host unit is the midpoint of the age range assigned to the Bulimba Formation; the uncertainties cover the total possible age range. Interpretation that bauxitisation is current is based on interpretation at Weipa. Endowment include mineral resources only.</t>
  </si>
  <si>
    <t>Austin</t>
  </si>
  <si>
    <t>Bimodal-mafic volcanic-hosted massive sulfide</t>
  </si>
  <si>
    <t>Quinns</t>
  </si>
  <si>
    <t>Norie Group - Yaloginda Formation</t>
  </si>
  <si>
    <t>Banded iron formation</t>
  </si>
  <si>
    <t>Felsic volcanic rocks</t>
  </si>
  <si>
    <t>Basalt</t>
  </si>
  <si>
    <t>chl-tc-py → chl-py → qtz-mus±chl</t>
  </si>
  <si>
    <t>Duuring et al. (2016); Hollis et al. (2017a)</t>
  </si>
  <si>
    <t>Avebury</t>
  </si>
  <si>
    <t>Vein</t>
  </si>
  <si>
    <t>Vein/replacive nickel</t>
  </si>
  <si>
    <t>Zeehan</t>
  </si>
  <si>
    <t>As-Co</t>
  </si>
  <si>
    <t>McIvor Hill Complex</t>
  </si>
  <si>
    <t>Ophiolite sheet. Low Ti tholeiites and related gabbros. Serpentinised dunite, faulted against laminated and massive gabbro which is faulted against pillowed to massive flows of low-Ti basalt and boninite.</t>
  </si>
  <si>
    <t>Early-Middle Cambrian</t>
  </si>
  <si>
    <t>Heemskirk Red Granite</t>
  </si>
  <si>
    <t>I-type. Red, fine- to very coarse-grained biotite-hornblende adamellite/alkali feldspar granite</t>
  </si>
  <si>
    <t>[act-dp-tm (proximal) → act (distal)] (surrounding metasedimentary rocks - Crimson Creek Formation and Dundas Group); [ani±chr±mt±pen (less altered), trm/act-dp±mt±chr±sul] (McIvor Hill Complex - ultramafic rocks)</t>
  </si>
  <si>
    <t>Hoatson et al. (2006); Keays and Jowitt (2013); Callaghan et al. (2017a)</t>
  </si>
  <si>
    <t>Blake et al. (2005)</t>
  </si>
  <si>
    <t>Callaghan et al. (2017a); Mallee Resources Limited (2022)</t>
  </si>
  <si>
    <t>Cited age is that of the red phase of the Heemskirk Granite (Black et al., 2005). The Avebury deposit is within the Zeehan district and is assumed to be of similar age, with Ni mineralisation of hydrothermal origin and driven by emplacement of granite. Endowment includes production (2008-2009) of 0.464 Mt at 0.97% Ni and total mineral resources (2011) of 29.3 Mt at 0.9% Ni.</t>
  </si>
  <si>
    <t>Avoca goldfield</t>
  </si>
  <si>
    <t>Avoca</t>
  </si>
  <si>
    <t>Saint Arnauld Group - Beaufort Formation</t>
  </si>
  <si>
    <t>Marine turbiditic interbedded siltstone &amp; mudstone with minor sandstone; mudstone is thin-bedded, pyritic; slightly higher regional magnetic response than other sediments; gravity response mostly moderate to high; high K, moderate to high Th, U.</t>
  </si>
  <si>
    <t>Natte Yallock Granite</t>
  </si>
  <si>
    <t>Magnetic oxidised, medium grained, I-type, biotite-hornblende tonalite; equigranular; includes enclave-rich hornblende biotite orthopyroxene quartz diorite</t>
  </si>
  <si>
    <t>Early-Middle Devonian</t>
  </si>
  <si>
    <t>https://latitude.to/articles-by-country/au/australia/63878/avoca-victoria (accessed March 2024)</t>
  </si>
  <si>
    <t>Phillips et al. (2003); Peters (2016)</t>
  </si>
  <si>
    <t>Cited location is of Avoca town. Cited age is by correlation with the Stawell district. Endowment includes 18 t of shallow paleoplacer and placer, and 5 t of deep placer production (Phillips et al., 2003).</t>
  </si>
  <si>
    <t>Avoca Tank</t>
  </si>
  <si>
    <t>Mafic-siliciclastic volcanic-hosted massive sulfide</t>
  </si>
  <si>
    <t>Girilambone</t>
  </si>
  <si>
    <t>Hydrothermal overprint</t>
  </si>
  <si>
    <t>Epigenetic copper</t>
  </si>
  <si>
    <t>Vein/breccia copper-cobalt</t>
  </si>
  <si>
    <t>Cu</t>
  </si>
  <si>
    <t>Narrama Formation</t>
  </si>
  <si>
    <t>Variably metamorphosed micaceous, quartzose and quartz-lithic turbiditic sedimentary rocks and chert with minor polymictic conglomerate, siltstone and quartzite, together with mafic intrusive, extrusive and volcaniclastic rocks.</t>
  </si>
  <si>
    <t>Early-Middle Ordovician</t>
  </si>
  <si>
    <t>Mafic intrusive, extrusive and volcaniclastic rocks within dominantly sedimentary unit.</t>
  </si>
  <si>
    <t>mt-chl-tit</t>
  </si>
  <si>
    <t>https://www.mindat.org/loc-98775.html Accessed April 2024)</t>
  </si>
  <si>
    <t>Iwata et al. (1995); Jones (2012; pers. comm., 2014); Straits Resources Limited (2014); Gilmore et al. (2015); Downes et al. (2017a); Fitzherbert and Huang (2019); Aeris Resources Limited (2023)</t>
  </si>
  <si>
    <t>Iwata et al. (1995); Fitzherbert and Huang (2019)</t>
  </si>
  <si>
    <t>Aeris Resources Limited (2023)</t>
  </si>
  <si>
    <t>Cited primary age is based on the age of the faunal assemblage reported by Iwata et al. (1995) for the host succession. Cited hydrothermal overprint age is the more precise of two titanite U-Pb ages reported by Fitzherbert and Huang (2019; second age: 424 ± 15 Ma). Endowment includes mineral resources only (Aeris Resources Limited, 2020b) and does not include minor historical production.</t>
  </si>
  <si>
    <t>Ayshia</t>
  </si>
  <si>
    <t>Whundo</t>
  </si>
  <si>
    <t>Au-Ag-Pb</t>
  </si>
  <si>
    <t>Nallana Formation</t>
  </si>
  <si>
    <t>Basalt, with minor ultramafic, felsic, and sedimentary units; metamorphosed.</t>
  </si>
  <si>
    <t>Tozer Formation</t>
  </si>
  <si>
    <t>Alternating metamorphosed basalt, andesite, dacite, rhyolite and thin sedimentary units including chert and BIF.</t>
  </si>
  <si>
    <t>Greentech Metals Limited (2022)</t>
  </si>
  <si>
    <t>Smith (1998a); Fox Resources Limited (2007); Hickman (2016); Greentech Metals Limited (2022)</t>
  </si>
  <si>
    <t>Hickman (2016)</t>
  </si>
  <si>
    <t>Endowment includes is JORC-compliant mineral resources. Deposit is interpreted to be located along the contact between the Nallana Formation and overlying Tozer Formation. Endowment includes mineral resources only.</t>
  </si>
  <si>
    <t>Baal Gammon</t>
  </si>
  <si>
    <t>Herberton-Emuville-Mount Garnet</t>
  </si>
  <si>
    <t>Mossman</t>
  </si>
  <si>
    <t>Hodgkinson</t>
  </si>
  <si>
    <t>Cu-Sn</t>
  </si>
  <si>
    <t>In</t>
  </si>
  <si>
    <t>Bi</t>
  </si>
  <si>
    <t>Hodgkinson Formation</t>
  </si>
  <si>
    <t>Mainly pale to dark or greenish grey, fine to medium-grained, medium to thick-bedded, quartz-intermediate arenite, rhythmically interbedded with siltstone and mudstone; minor conglomerate, conglomeratic arenite. Sparsely fossiliferous.</t>
  </si>
  <si>
    <t>Late Silurian</t>
  </si>
  <si>
    <t>UNA porphyry</t>
  </si>
  <si>
    <t>Granitic in composition, and intrudes the Hodgkinson Formation as an irregularly shaped dyke dipping shallowly to moderately south</t>
  </si>
  <si>
    <t>Slaughter Yard Creek</t>
  </si>
  <si>
    <t>Slightly porphyritic rhyolitic lava, highly porph.microgranite and intrusive rhyolite; minor volcanic conglomerate, breccia</t>
  </si>
  <si>
    <t>Porphyry dykes</t>
  </si>
  <si>
    <t>Watsonville Granite</t>
  </si>
  <si>
    <t>Pale grey to cream, medium to coarse-grained, even-grained to slightly porphyritic biotite granite.</t>
  </si>
  <si>
    <t>ser-chl -&gt; mag-cassiterite -&gt; Py-Apy-Stannite-Po-Cpy-Sph</t>
  </si>
  <si>
    <t>cpy</t>
  </si>
  <si>
    <t>sph</t>
  </si>
  <si>
    <t>Apy</t>
  </si>
  <si>
    <t>Chang et al. (2017); Kumar et al. (2022)</t>
  </si>
  <si>
    <t>Kumar et al. (2022)</t>
  </si>
  <si>
    <t>Chang et al. (2017)</t>
  </si>
  <si>
    <t>Endowment includes mineral resources only (Chang et al., 2017). The deposit is described as a hydrothermal breccia with clasts of Hodgkinson Formation and altered porphyry. It is spatially associated with the Early Permian Watsonville Granite, but the Herberton - Emuford - Mount Garnet district elsewhere has ages of ~325 Ma. Kumar et al. (2022) states that the timing of tin mineralization is related to the magmatic activity at ca. 320 Ma, whereas the sulfide and indium mineralization are most likely associated with the emplacement of porphyry dykes at ca. 290 Ma.</t>
  </si>
  <si>
    <t>Babbling Brooke Hill</t>
  </si>
  <si>
    <t>Highland Plains</t>
  </si>
  <si>
    <t>Border Waterhole Formation</t>
  </si>
  <si>
    <t>Siliceous shale, siltstone, chertified limestone, bedded to nodular chert; basal quartz-lithic sandstone, granule to pebble conglomerate.</t>
  </si>
  <si>
    <t>Freeman et al. (1990)</t>
  </si>
  <si>
    <t>Balcooma</t>
  </si>
  <si>
    <t>Charters Towers</t>
  </si>
  <si>
    <t>Supergene/oxide lead ± silver</t>
  </si>
  <si>
    <t>Zn</t>
  </si>
  <si>
    <t>Au-Pb-Ag</t>
  </si>
  <si>
    <t>Clayhole Schist</t>
  </si>
  <si>
    <t>Metapelitic dominantly metapsammitic succession with minor felsic volcaniclastic rocks</t>
  </si>
  <si>
    <t>Minor felsic volcaniclastic rocks within host succession to deposit.</t>
  </si>
  <si>
    <t>Quartz-feldspar-phyric rhyolitic sills that cut ore zones</t>
  </si>
  <si>
    <t>qtz-chl-mt±str±gt±bt → qtz-mus±bt±py</t>
  </si>
  <si>
    <t>Huston (1988); Withnall et al. (1991); Huston et al. (1992); Rea (2000); Beams et al. (2017)</t>
  </si>
  <si>
    <t>Withnall et al. (1991); Rea (2000)</t>
  </si>
  <si>
    <t>Beams et al. (2017)</t>
  </si>
  <si>
    <t>Cited age is constrained by zircon U-Pb SHRIMP ages from a volcaniclastic unit underlying the Dry River South-Surveyor deposit (Rea, 2000) and a porphyritic rhyolite dyke that cross-cuts the Balcooma deposit (Withnall et al., 1991). Endowment includes pre-mining mineral resources and includes the copper and polymetallic lenses (Beams et al., 2017).</t>
  </si>
  <si>
    <t>Bald Hill</t>
  </si>
  <si>
    <t>Kalgoorlie</t>
  </si>
  <si>
    <t>Tantalite</t>
  </si>
  <si>
    <t>Metasedimentary rocks</t>
  </si>
  <si>
    <t>Tawana Resources NL (2018)</t>
  </si>
  <si>
    <t>Fetherston (2004); Tawana Resources NL (2018); Kendall-Langley et al. (2020)</t>
  </si>
  <si>
    <t>Kendall-Langley et al. (2020)</t>
  </si>
  <si>
    <t>Cited location is approximated centre of surface extent of indicated and inferred mineral resources. Endowment includes mineral resources at 6 June 2018, and do not include minor production prior to this date. The include 26.5 Mt of Li resources grading 0.96% Li2O and 149 ppm Ta2O5 and an additional Ta resource of 4.4 Mt grading 0.16% Li2O and 336 ppm Ta2O5.</t>
  </si>
  <si>
    <t>Baldrick</t>
  </si>
  <si>
    <t>Ultramafic-mafic intrusion nickel-copper-PGE</t>
  </si>
  <si>
    <t>Irindina</t>
  </si>
  <si>
    <t>Age of host intrusion</t>
  </si>
  <si>
    <t>Lloyd Gabbronorite</t>
  </si>
  <si>
    <t>Medium- to coarse-grained gabbronorite and olivine gabbro</t>
  </si>
  <si>
    <t>Lower Devonian</t>
  </si>
  <si>
    <t>Whelan et al. (2010)</t>
  </si>
  <si>
    <t>Mithril Resources Ltd (2009); Whelan et al. (2010); Scrimgeour (2013b)</t>
  </si>
  <si>
    <t>Balla Balla</t>
  </si>
  <si>
    <t>Ultramafic intrusion iron-titanium-vanadium</t>
  </si>
  <si>
    <t>Whole rock</t>
  </si>
  <si>
    <t>Pb-Pb</t>
  </si>
  <si>
    <t>Isochron</t>
  </si>
  <si>
    <t>Ti</t>
  </si>
  <si>
    <t>Fe-V</t>
  </si>
  <si>
    <t>Balla Balla Complex</t>
  </si>
  <si>
    <t>Titaniferous magnetite layer (mineralised rock) occurs at contact between lower unit of anorthositic gabbro, anorthosite, norite and minor pyroxenite and upper unit of granophyre and leucogabbro.</t>
  </si>
  <si>
    <t>Anorthositic gabbro, anorthosite, norite, granophyre, leucogabbro and minor pyroxenite and magnetite-rich layer.</t>
  </si>
  <si>
    <t>Korsch and Gulson (1986); Hoatson et al. (1992); Hoatson and Sun (2002); Forge Resources Limited (2012)</t>
  </si>
  <si>
    <t>Korsch and Gulson (1986)</t>
  </si>
  <si>
    <t>Forge Resources Limited (2012)</t>
  </si>
  <si>
    <t>Age is recalculated from original data from Korsch and Gulson (1986). Age is supported by model 3 Nd-Sm isochron age of 2866 ± 66 Ma. Endowment includes mineral resources reported by Forge Resources Limited (2012).</t>
  </si>
  <si>
    <t>Ballarat goldfield</t>
  </si>
  <si>
    <t>Ballarat</t>
  </si>
  <si>
    <t>Bendigo</t>
  </si>
  <si>
    <t>Slate</t>
  </si>
  <si>
    <t>Castlemaine Group</t>
  </si>
  <si>
    <t>Marine turbiditic sandstone, siltstone, mudstone, black shale; minor granule conglomerate.</t>
  </si>
  <si>
    <t>Mount Egerton Granodiorite</t>
  </si>
  <si>
    <t>Nonmagnetic, pale grey, fine- to coarse-grained biotite granodiorite; reduced I-type; occasionally porphyritic in feldspar; mafic microgranular enclaves and mineral clots</t>
  </si>
  <si>
    <t>sil-car-chl-ser</t>
  </si>
  <si>
    <t>https://www.travelvictoria.com.au/ballarat/maps/ (accessed March 2024)</t>
  </si>
  <si>
    <t>Taylor (1998); Bierlein et al. (1999a); Phillips et al. (2003, 2012a); Taylor et al. (2017b); Shi et al. (2021)</t>
  </si>
  <si>
    <t>Bierlein et al. (1999a); Phillips et al. (2012a)</t>
  </si>
  <si>
    <t>Phillips et al. (2003); Taylor et al. (2017b); Shi et al. (2021); Shen Yao Holdings Limited, 2021, 2022)</t>
  </si>
  <si>
    <t>Cited location is that of the city of Ballarat. Cited age (recalculated from original data presented in Bierlein et al., 1999a) is from an altered slate from the Ballarat West deposit; samples of unaltered slate yield older ages interpreted as mixtures between detrital and metamorphic ages. A younger age (366 ± 4 Ma) from a mineralised porphyritic dyke indicates either a second period of gold mineralisation (at ~370 Ma, c.f. Linton goldfield) or gold remobilisation. Endowment includes production to the end of 2000 (Phillips et al., 2003: 65 t primary, 273 t shallow paleoplacer and placer, and 70 t deep paleoplacer (included with placer production)), production from 2006 to 30 June 2022 (Shi et al., 2021; Shen Yao Holdings Limited, 2021, 2022: 419,146 oz) and mineral resources at 30 June 2022 (Shen Yao Holdings Limited, 2022: 6.0 Mt grading 3.84 g/t).</t>
  </si>
  <si>
    <t>Balranald district (includes West Balranald, Endeavor and Nepean)</t>
  </si>
  <si>
    <t>Balranald</t>
  </si>
  <si>
    <t>Murray Basin</t>
  </si>
  <si>
    <t>Zr</t>
  </si>
  <si>
    <t>Loxton Sand</t>
  </si>
  <si>
    <t>Quartz sandstone: well sorted, fine to medium grained; well bedded; abundant lag horizons containing shelly fossils, pebble beds, rounded ironstone fragments; some heavy mineral concentrations; dissected or remobilised strand lines.</t>
  </si>
  <si>
    <t>Upper Miocene-Middle Pliocene</t>
  </si>
  <si>
    <t>Keeling et al. (2016); Standing et al. (2017); Iluka Resources Limited (2017)</t>
  </si>
  <si>
    <t>Keeling et al. (2016)</t>
  </si>
  <si>
    <t>Iluka Resources Limited (2017)</t>
  </si>
  <si>
    <t>Cited location is that of the West Balranald deposit. Cited age is based on Late Miocene-Early Pliocene (7.2-5.0 Ma) age of host Loxton Sand as reported by Keeling et al. (2016). Endowment includes mineral resources only as reported by Iluka Resources Limited (2017).</t>
  </si>
  <si>
    <t>Bamboo Creek (includes Bamboo Creek, Bonnie Doon, Kitchener and Mount Prophesy)</t>
  </si>
  <si>
    <t>Bamboo Creek</t>
  </si>
  <si>
    <t>Galena</t>
  </si>
  <si>
    <t>Ag-Cu</t>
  </si>
  <si>
    <t>As-Bi-Sb-Te</t>
  </si>
  <si>
    <t>Salgash Subgroup</t>
  </si>
  <si>
    <t>Talc-chlorite mylonitic schist</t>
  </si>
  <si>
    <t>qtz-car-sul (gold lode) → qtz-chl (hanging wall), fch-car (footwall) → chl-car (outer boudin) → tc-chl (external to boudins, but within Bamboo Creek shear zone)</t>
  </si>
  <si>
    <t>Thorpe et al. (1992b); Huston et al. (2002a); Zegers et al. (2002); Geological Survey of Western Australia mineral deposits database.</t>
  </si>
  <si>
    <t>Thorpe et al. (1992b)</t>
  </si>
  <si>
    <t>Huston et al. (2002a); Geological Survey of Western Australia mineral deposits database.</t>
  </si>
  <si>
    <t>Lead isotope evolution model used is Western Superior (Wabigoon-Uchi) of Thorpe et al. (1992b). Endowment includes production of 7.05 t (Huston, 2002a) and resources as reported in the Geological Survey of Western Australia mineral deposits database.</t>
  </si>
  <si>
    <t>Bamford Hill</t>
  </si>
  <si>
    <t>Dimbulah</t>
  </si>
  <si>
    <t>Be-Bi-F-Li-Mo-Sn</t>
  </si>
  <si>
    <t>Bamford Granite</t>
  </si>
  <si>
    <t>Pale to medium-grey or pink, medium-to coarse-grained biotite granite; variably/locally extensively altered (greisenised) with patchy W-Mo-Bi mineralisation (concentrated in pipes).</t>
  </si>
  <si>
    <t>Late Carboniferous</t>
  </si>
  <si>
    <t>qtz-mus±fl±car → (proximal) → mus-qtz±fl±car → mus (distal)</t>
  </si>
  <si>
    <t>Morrison and Beams (1995); Chang et al. (2017)</t>
  </si>
  <si>
    <t>Morrison and Beams (1995)</t>
  </si>
  <si>
    <t>Endowment includes production only (Morrison and Beams, 1995).</t>
  </si>
  <si>
    <t>Ban Ban</t>
  </si>
  <si>
    <t>Skarn zinc-lead-silver</t>
  </si>
  <si>
    <t>Gympie</t>
  </si>
  <si>
    <t>Ag-Cu-Pb</t>
  </si>
  <si>
    <t>Mount Clara beds (formerly Biggenden beds)</t>
  </si>
  <si>
    <t>Basic to intermediate metavolcanics, siltstone, mudstone, conglomerate, sandstone, rare limestone</t>
  </si>
  <si>
    <t>Early Carboniferous-Late Devonian</t>
  </si>
  <si>
    <t>Mungore Granite</t>
  </si>
  <si>
    <t>Fine- to medium-grained, miarolitic, granophyric biotite-hornblende syenogranite.</t>
  </si>
  <si>
    <t xml:space="preserve">Late Triassic </t>
  </si>
  <si>
    <t>gt-hed-qtz-cal (garnet stage) → py-sl-po-mt-qtz-cal-cp-ep (sulfide stage) → chl-cal-py-mar (chlorite stage)</t>
  </si>
  <si>
    <t>Ashley (1980); Ashley and Plimer (1989); Seccombe et al. (2005); Cross et al. (2012)</t>
  </si>
  <si>
    <t>Cross et al. (2012)</t>
  </si>
  <si>
    <t>Seccombe et al. (2005)</t>
  </si>
  <si>
    <t>Cited age is that of the Mungore Granite (Cross et al., 2012). Endowment includes mineral resources only.</t>
  </si>
  <si>
    <t>Banshee</t>
  </si>
  <si>
    <t>Unconformity-related rare earth elements</t>
  </si>
  <si>
    <t>Browns Range</t>
  </si>
  <si>
    <t>District correlation</t>
  </si>
  <si>
    <t>Browns Range Metamorphics</t>
  </si>
  <si>
    <t>Arkose metamorphosed to quartzofeldspathic granofels with sparse to abundant pebbles and cobbles; minor banded ironstone, siltstone, and foliated conglomeratic calc-silicate rocks.</t>
  </si>
  <si>
    <t>Gardiner Sandstone</t>
  </si>
  <si>
    <t>Immature quartz-feldspar meta-arkosic sandstones, with minor interbedded conglomerates and semipelitic schists</t>
  </si>
  <si>
    <t>Nazari-Dehkordi et al. (2020)</t>
  </si>
  <si>
    <t>Nazari-Dehkordi et al. (2018, 2020); Northern Minerals Limited (2020)</t>
  </si>
  <si>
    <t>Northern Minerals Limited (2020)</t>
  </si>
  <si>
    <t>Resources are JORC-complaint.</t>
  </si>
  <si>
    <t>Barns</t>
  </si>
  <si>
    <t>Nuyts</t>
  </si>
  <si>
    <t>Unnamed granite (Tunkillia Suite)</t>
  </si>
  <si>
    <t>Granodiorite</t>
  </si>
  <si>
    <t>Unnamed quartzite</t>
  </si>
  <si>
    <t>Quartzite</t>
  </si>
  <si>
    <t>Unnamed gneiss</t>
  </si>
  <si>
    <t>Gneiss</t>
  </si>
  <si>
    <t>Unnamed mafic dykes (Tunkillia Suite)</t>
  </si>
  <si>
    <t>Mafic dykes</t>
  </si>
  <si>
    <t>Unnamed pegmatite</t>
  </si>
  <si>
    <t>ser-py (proximal) → chl-ep-ser-rut-hm (distal)</t>
  </si>
  <si>
    <t>Adelaide Resources Limited (2016)</t>
  </si>
  <si>
    <t>Fraser et al. (2007)</t>
  </si>
  <si>
    <t>Cited age is supported by two other sericite Ar-Ar ages of 1574 ± 8 Ma and 1568 ± 8 Ma.</t>
  </si>
  <si>
    <t>Barossa goldfield</t>
  </si>
  <si>
    <t>Barossa Complex</t>
  </si>
  <si>
    <t>Metamorphic rocks with retrograde metamorphism; metasediments, strongly banded parallel to gneissic foliation; minor intrusive granitic, pegmatitic and amphibolitic dykes. Granulite facies metapelites.</t>
  </si>
  <si>
    <t>https://www.energymining.sa.gov.au/industry/minerals-and-mining/mineral-commodities/gold#sa (accessed May 2024)</t>
  </si>
  <si>
    <t>Cited age is by analogy with that of the Deloraine district. Endowment includes historic production (1968 to 1930s) mostly from alluvial deposits</t>
  </si>
  <si>
    <t>Basil</t>
  </si>
  <si>
    <t>Mafic-ultramafic volcanic-hosted massive sulfide</t>
  </si>
  <si>
    <t>Cu-Co</t>
  </si>
  <si>
    <t>Ag-Bi-Ga-Ge-In-Se-Te</t>
  </si>
  <si>
    <t>Riddock Amphibolite</t>
  </si>
  <si>
    <t>Amphibolite, garnet-rich amphibolite, clinopyroxene-amphibole schist and weakly-foliated amphibolite</t>
  </si>
  <si>
    <t>car-chl</t>
  </si>
  <si>
    <t>Upper amphibolite</t>
  </si>
  <si>
    <t>Kohler (2020)</t>
  </si>
  <si>
    <t>Sharrad et al. (2014)</t>
  </si>
  <si>
    <t>Mithril Resources Limited (2012)</t>
  </si>
  <si>
    <t>Cited location is the approximate centre of drill hoes used to define mineral resource. Cited age is the average of age constraints provided by the minimum age of detrital zircons and the age of the overprinting Larapinta Orogeny. The uncertainty covers the total range of possible ages. Endowment includes mineral resources only.</t>
  </si>
  <si>
    <t>Battery Tank district (including Good Friday, Homeward Bound, Republic, The Girl in Blue, The Lone Hand, The Reward, The Sunrise and The Victoria)</t>
  </si>
  <si>
    <t>Girilambone Group</t>
  </si>
  <si>
    <t>Deformed and metamorphosed, micaceous, quartzose and quartz-lithic sandstone, pelite, chert; minor intercalations of polymictic conglomerate, siltstone, quartzite, and mafic and intermediate volcanics; black shale.</t>
  </si>
  <si>
    <t>Early Ordovician</t>
  </si>
  <si>
    <t>qtz-chl</t>
  </si>
  <si>
    <t>Gilligan and Byrnes (1995)</t>
  </si>
  <si>
    <t>Alteration assemblages based on descriptions of The Reward deposit.</t>
  </si>
  <si>
    <t>Bauxite Hills</t>
  </si>
  <si>
    <t>Metro Mining Limited (2017); https://portergeo.com.au/database/mineinfo-mb.asp?mineid=mn807 (accessed March 2024); https://asud.ga.gov.au/search-stratigraphic-units/results/25817</t>
  </si>
  <si>
    <t>Metro Mining Limited (2017)</t>
  </si>
  <si>
    <t>Cited age of host unit is the midpoint of the age range assigned to the Bulimba Formation; the uncertainties cover the total possible age range. Interpretation that bauxitisation is current is based on interpretation at Weipa. Endowment includes pre-mining mineral resources (2017).</t>
  </si>
  <si>
    <t>Beatons Creek</t>
  </si>
  <si>
    <t>Nullagine</t>
  </si>
  <si>
    <t>Mosquito Creek Basin</t>
  </si>
  <si>
    <t>Beatons Creek Member</t>
  </si>
  <si>
    <t>Poorly-stratified, poorly-sorted, polymictic, pebble-to-boulder ferruginous conglomerate</t>
  </si>
  <si>
    <t>Hickman (1983); Blake et al. (2004); Dominy and Hennigh (2019)</t>
  </si>
  <si>
    <t>Blake et al. (2004)</t>
  </si>
  <si>
    <t>Novo Resources Corporation (2022)</t>
  </si>
  <si>
    <t>Endowment includes mineral resources but excludes minor historical production. Hickman (1983) estimated this as about half of total production to 1971 of the Nullagine district of 0.846 t. Alternatively Dominy and Hennigh (2019) estimate production at less than 4000 oz (&lt;0.124 t). Cited age is that of felsic tuff immediately overlying host succession.</t>
  </si>
  <si>
    <t>Beaufort goldfield</t>
  </si>
  <si>
    <t>Beaufort</t>
  </si>
  <si>
    <t>Marine turbiditic interbedded siltstone and mudstone with minor sandstone; mudstone is thin-bedded, pyritic; slightly higher regional magnetic response than other sediments; gravity response mostly moderate to high; high K, moderate to high Th, U.</t>
  </si>
  <si>
    <t>Saint Arnauld Group - Pyrenees Formation</t>
  </si>
  <si>
    <t>Sandstone and mudstone: sand-rich turbidite facies; moderately to well sorted, variably rounded quartz with minor feldspar and lithic grains in quartz silt or clay matrix; medium to thick bedded; unfossiliferous; weathered to partly kaolinised.</t>
  </si>
  <si>
    <t>https://www.travelvictoria.com.au/beaufort/maps/ (accessed March 2024)</t>
  </si>
  <si>
    <t>Cayley and McDonald (1995); Phillips et al. (2003)</t>
  </si>
  <si>
    <t>Cited location is that of Beaufort town. Cited age is by correlation with the Stawell district. Endowment includes "major" alluvial production, including 8 t of deep placer production. Phillips et al. (2003) highlight the Beaufort district as an example where official production figures significantly understate likely true production (probably much greater that 10 t). Very minor hard rock production.</t>
  </si>
  <si>
    <t>Bell Creek</t>
  </si>
  <si>
    <t>SCONI</t>
  </si>
  <si>
    <t>Laterite nickel - oxide-silica type</t>
  </si>
  <si>
    <t>Sandalwood Serpentinite</t>
  </si>
  <si>
    <t>Serpentinite; minor clinopyroxenite and metagabbro.</t>
  </si>
  <si>
    <t>Neoproterozoic-Middle Cambrian</t>
  </si>
  <si>
    <t>Metallica Minerals Limited (2013); Australian Mines Limited (2020)</t>
  </si>
  <si>
    <t>Lateritisation interpreted as post-Cretaceous. Endowment includes mineral resources only.</t>
  </si>
  <si>
    <t>Beltana district (includes Aroona, Beltana, North Moolooloo and Reliance)</t>
  </si>
  <si>
    <t>Carbonate-hosted non-sulfide zinc-lead</t>
  </si>
  <si>
    <t>Beltana</t>
  </si>
  <si>
    <t xml:space="preserve">Direct </t>
  </si>
  <si>
    <t>Coronadite</t>
  </si>
  <si>
    <t>K-Ar</t>
  </si>
  <si>
    <t>Wilkawillina Limestone</t>
  </si>
  <si>
    <t>Light to dark grey, massive, bedded lime mudstone, wackestone, grainstone.</t>
  </si>
  <si>
    <t>Woodendinna Dolostone</t>
  </si>
  <si>
    <t>Microbialites, oncolites and low stromatolite bioherms. Includes thin shale interbeds.</t>
  </si>
  <si>
    <t>Zincian dol-hm along 20 km of strike length (Zn content increases toward ore)</t>
  </si>
  <si>
    <t>Zincian dol-hm (adjacent to ore dol contains 1-3% Zn)</t>
  </si>
  <si>
    <t>Not present</t>
  </si>
  <si>
    <t>Groves et al. (2003); Harkins et al. (2008); Groves and Carman (2017)</t>
  </si>
  <si>
    <t>Harkins et al. (2008)</t>
  </si>
  <si>
    <t>Groves and Carman (2017)</t>
  </si>
  <si>
    <t>Endowment includes pre-mining non-sulfide zinc resources of 0.86 Mt at 37.9% Zn at Beltana, 0.15 Mt at 34.4% Zn at Aroona, 0.308 Mt at 27.9% Zn and 1.5% Pb at Reliance, 0.214 Mt at 34.35% Zn and 1.35% Pb at North Moolooloo, and 0.80 Mt of sub-economic mineralisation at 3.9% Zn and 8.9% Pb at Beltana. Sulfide and mixed prospects are known in the Beltana district.</t>
  </si>
  <si>
    <t>Belyando</t>
  </si>
  <si>
    <t>Clermont</t>
  </si>
  <si>
    <t>Anakie Metamorphic Group</t>
  </si>
  <si>
    <t>Siltstone, fine sandstone, phyllite, schist, commonly cleaved and multiply deformed; plus two unnamed subunits.</t>
  </si>
  <si>
    <t>Neoproterozoic-Cambrian</t>
  </si>
  <si>
    <t>Silver Hills Volcanics</t>
  </si>
  <si>
    <t>Rhyolite, dacite, rhyolitic ignimbrite, volcaniclastic sediments, sinter, minor sandstone and siltstone.</t>
  </si>
  <si>
    <t>Late Devonian to Visean</t>
  </si>
  <si>
    <t>sil±ser±py±asp (proximal) → ser±sil±py → chl-sid-ser-py (distal)</t>
  </si>
  <si>
    <t>Mustard (1998)</t>
  </si>
  <si>
    <t>Cited age is by correlation with epithermal deposits in the Drummond Basin. Endowment includes pre-mining mineral resources. The Clermont district (Anakie region) had total production to July 1996 of 14.9 t Au.</t>
  </si>
  <si>
    <t>Ben Lomond</t>
  </si>
  <si>
    <t>U-Mo</t>
  </si>
  <si>
    <t>Saint James Volcanics</t>
  </si>
  <si>
    <t>Quartz-feldspar porphyry</t>
  </si>
  <si>
    <t>Early Carboniferous</t>
  </si>
  <si>
    <t>hm (proximal) → il (distal)</t>
  </si>
  <si>
    <t>Andrews and Parker (2017); OZMIN dataset (September 2020)</t>
  </si>
  <si>
    <t>Andrews and Parker (2017)</t>
  </si>
  <si>
    <t>Cite age is by analogy with the Maureen deposit. Endowment includes mineral resources only.</t>
  </si>
  <si>
    <t>Bendigo goldfield</t>
  </si>
  <si>
    <t>https://www.travelvictoria.com.au/bendigo/maps/ (accessed March 2024)</t>
  </si>
  <si>
    <t>Turnbull and McDermott (1998); Arne et al. (2001); Bierlein et al. (2001); Phillips et al. (2003, 2012a); Taylor et al. (2017b)</t>
  </si>
  <si>
    <t>Arne et al. (2001); Bierlein et al. (2001); Phillips et al. (2012a)</t>
  </si>
  <si>
    <t>Phillips et al. (2003); Taylor et al. (2017b)</t>
  </si>
  <si>
    <t>Cited location is that of Bendigo city. Cited age is the oldest of three similar ages (recalculated from original data presented in Bierlein et al., 2001) from altered slate from the Central Deborah deposit. It is supported by pyrite Re-Os isochron and model ages for pyrite (438 ± 6 Ma) and arsenopyrite (447 ± 7 Ma and 444 ± 7 Ma), respectively (Arne et al., 2001). Endowment includes production to the end of 2000 (Phillips et al., 2003: 540 t primary, 157 t shallow paleoplacer and placer) and production in 2007-2011 (Taylor et al., 2017b: 3.77 t Au primary).</t>
  </si>
  <si>
    <t>Benmara North - rare earth elements</t>
  </si>
  <si>
    <t>Black shale</t>
  </si>
  <si>
    <t>Black shale rare earth element</t>
  </si>
  <si>
    <t>Barkly</t>
  </si>
  <si>
    <t>Stratigraphic</t>
  </si>
  <si>
    <t>Mullaman beds</t>
  </si>
  <si>
    <t>Quartz sandstone and conglomerate, sandy claystone and siltstone</t>
  </si>
  <si>
    <t>Cretaceous</t>
  </si>
  <si>
    <t>Transition Minerals Limited (2023)</t>
  </si>
  <si>
    <t>Cited age of the host unit is interpreted as late Aptian, which is the basis of the assigned age. Rare earth elements are hosted as diagenetic crandalite group APS minerals (gorceixite, goyazite and florencite) in sandstone unit. The REE-bearing sandstone underlies the V-enriched units.</t>
  </si>
  <si>
    <t>Benmara North - vanadium</t>
  </si>
  <si>
    <t>Black shale vanadium ± nickel</t>
  </si>
  <si>
    <t>Supergene/oxide vanadium</t>
  </si>
  <si>
    <t>V</t>
  </si>
  <si>
    <t>Ni-Mo</t>
  </si>
  <si>
    <t>Cited age of the host unit is interpreted as late Aptian, which is the basis of the assigned age. Mineralisation is hosted by laterites and ferruginous sandstone, the latter of which may represent a secondary ferricrete.</t>
  </si>
  <si>
    <t>Benmara South - vanadium</t>
  </si>
  <si>
    <t>Bentley</t>
  </si>
  <si>
    <t>Teutonic Bore</t>
  </si>
  <si>
    <t>ID-TIMS</t>
  </si>
  <si>
    <t>Teutonic Bore Complex</t>
  </si>
  <si>
    <t>Basalt, iron formation, andesite and rare rhyolite</t>
  </si>
  <si>
    <t>Rhyolite (basal unit)</t>
  </si>
  <si>
    <t>Footwall basalt (tholeiitic/transitional affinity)</t>
  </si>
  <si>
    <t>Upper basalt and andesite</t>
  </si>
  <si>
    <t>Dolerite-gabbro sill network (geochemically similar to upper basalt/andesite)</t>
  </si>
  <si>
    <t>Upper rhyolite</t>
  </si>
  <si>
    <t>Proterozoic</t>
  </si>
  <si>
    <t>ser-qtz-py-car±chl±ctd</t>
  </si>
  <si>
    <t>ser-chl-car</t>
  </si>
  <si>
    <t>Parker et al. (2017b)</t>
  </si>
  <si>
    <t>Nelson (1995); Haymon et al. (2014); Huston et al. (2014); Hollis et al. (2015, 2017a); Parker et al. (2017b)</t>
  </si>
  <si>
    <t>Cited age is of immediate footwall to the ore zone and is consistent with earlier SHRIMP zircon U-Pb age for the host succession (2692 ± 4 Ma: Nelson, 1995). Endowment includes production from 2011 to 30 June 2016, and total mineral resources at 30 June 2016.</t>
  </si>
  <si>
    <t>Bernts</t>
  </si>
  <si>
    <t>Panorama</t>
  </si>
  <si>
    <t>Kangaroo Caves Formation</t>
  </si>
  <si>
    <t>Olistostrome megabreccia; banded iron-formation; layered chert (ore host); shale; andesite; andesitic volcanic sandstone; dacite and rhyodacite; felsic volcanic rocks; felsic volcanic breccia and volcaniclastic sandstone; rhyolite lava and pumice breccia (ore host).</t>
  </si>
  <si>
    <t>Andesite; andesitic volcanic sandstone; dacite and rhyodacite; felsic volcanic rocks; felsic volcanic breccia and volcaniclastic sandstone; rhyolite lava and pumice breccia.</t>
  </si>
  <si>
    <t>Strelley Monzogranite</t>
  </si>
  <si>
    <t>Hornblende-biotite monzogranite, granophyric monzogranite, and subvolcanic granitoid intrusions; metamorphosed.</t>
  </si>
  <si>
    <t>chl-ab → chl-qtz → ser-qtz → ksp-ser (from base to top of volcanic pile)</t>
  </si>
  <si>
    <t>Present</t>
  </si>
  <si>
    <t>Brauhart et al. (1998)</t>
  </si>
  <si>
    <t>Brauhart et al. (1998); Morant (1998); Buick et al. (2002); Huston et al. (2002a; 2007c)</t>
  </si>
  <si>
    <t>Buick et al. (2002)</t>
  </si>
  <si>
    <t>Huston et al. (2007c)</t>
  </si>
  <si>
    <t>Berringa goldfield</t>
  </si>
  <si>
    <t>Berringa</t>
  </si>
  <si>
    <t>https://www.mindat.org/loc-230036.html (accessed March 2024)</t>
  </si>
  <si>
    <t>Cited age is by analogy with the Bendigo, Ballarat and Castlemaine districts. Endowment includes 18 t of hard rock and 12 t of deep paleoplacer production (Phillips et al., 2003).</t>
  </si>
  <si>
    <t>Beverley</t>
  </si>
  <si>
    <t>Frome</t>
  </si>
  <si>
    <t>Eromanga Basin</t>
  </si>
  <si>
    <t>Callobanna Sub-basin</t>
  </si>
  <si>
    <t>Coffinite</t>
  </si>
  <si>
    <t>Namba Formation</t>
  </si>
  <si>
    <t>Mudstone (Alpha Mudstone) overlain by sands (Beverley sands - ore host) and then by clay (Beverley Clays)</t>
  </si>
  <si>
    <t>Miocene</t>
  </si>
  <si>
    <t>Wülser et al. (2011)</t>
  </si>
  <si>
    <r>
      <t>Cited age is that of the oldest (and only concordant) coffinite grain; uncertainty estimated from concordia diagram. Carnotite analyses yielded ages of ~5.5 to 3.4 Ma. Endowment includes production of 7.4 kt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and mineral resources of 10.0 kt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in December 2010.</t>
    </r>
  </si>
  <si>
    <t>Beyondie</t>
  </si>
  <si>
    <t>Basin - evaporative</t>
  </si>
  <si>
    <t>Brine</t>
  </si>
  <si>
    <t>Lacustrine brine potash</t>
  </si>
  <si>
    <t>Hamersley Basin</t>
  </si>
  <si>
    <t>K</t>
  </si>
  <si>
    <t>Beyondie paleochannel succession</t>
  </si>
  <si>
    <t>Beyondie paleochannel succession, including from top to bottom: (1) Quaternary sand, (2) alluvium, (3) clay, silt and minor sand, and (4) Archean to Paleoproterozoic basement.</t>
  </si>
  <si>
    <t>Tertiary and Quaternary</t>
  </si>
  <si>
    <t>Kalium Lakes Limited (2019); www.kaliumlakes.com.au (accessed April 2020)</t>
  </si>
  <si>
    <t xml:space="preserve">Cited location is approximate centre of resource. Endowment includes pre-extraction drainable brine resources only. </t>
  </si>
  <si>
    <t>Big Bell</t>
  </si>
  <si>
    <t>Mine sequence (Gabanintha Formation)</t>
  </si>
  <si>
    <t>Amphibolite, felsic rocks and biotite-muscovite-K-feldspar schist (Mine schist)</t>
  </si>
  <si>
    <t>Amphibolite, felsic rocks and biotite-muscovite-K-feldspar schist (Mine schist - probable mafic precursor)</t>
  </si>
  <si>
    <t>Granodiorite-tonalite dykes</t>
  </si>
  <si>
    <t>ksp-mus-qtz-py (proximal) → bt-crd-qtz-py-po (distal) (in Mine schist); alm-cum-hbd-bt (skarn)</t>
  </si>
  <si>
    <t>Mueller et al. (1996); Stein and Markey (2001); Metals X Limited (2014a); Phillips et al. (2017b)</t>
  </si>
  <si>
    <t>Mueller et al. (1996); Stein and Markey (2001)</t>
  </si>
  <si>
    <t>Westgold Resources Limited (2021, 2023)</t>
  </si>
  <si>
    <t>The cited age is a poorly described molybdenite Re-Os model age reported by Stein and Markey (2001). Mueller et al. (1996) report a TIMS U-Pb pooled age of 2662 ± 5 Ma for garnet in a gold-mineralised cummingtonite-hornblende-almandine skarn in the hangingwall of the main lode, and interpreted this age as the mineralisation age. They also report a combined Ar-Ar plateau age of 2639 ± 16 Ma for muscovite from a quartz-muscovite-andalusite vein with stibnite, sphalerite, arsenopyrite, tennantite, scheelite and native gold in the mine schist, which is consistent with the molybdenite Re-Os age. Mueller et al. (1996) also reported a 2614 ± 4 Ma rutile TIMS U-Pb age from andradite-diopside skarn in foliated amphibolite with a low gold tenor, as well as some younger Paleoproterozoic ages. The cited age is interpreted as the timing of main stage mineralisation, with the likelihood of an earlier skarn event. However, it must be stressed that due to the complexities of the Big Bell deposit, the timing of mineralisation is still uncertain. Cited endowment is historical production, production since the mine reopening in 2022, mineral resources and reserve (Westgold Resources Limited, 2023).</t>
  </si>
  <si>
    <t>Big Cadia</t>
  </si>
  <si>
    <t>Cadia Valley</t>
  </si>
  <si>
    <t>East Lachlan</t>
  </si>
  <si>
    <t>Macquarie Arc</t>
  </si>
  <si>
    <t>Cu-Au</t>
  </si>
  <si>
    <t>In-Se</t>
  </si>
  <si>
    <t>Forest Reefs Volcanics</t>
  </si>
  <si>
    <t>Grey-cream to green, fine- to medium-grained, volcanic-derived calcareous sandstone</t>
  </si>
  <si>
    <t>Late Ordovician-Early Silurian</t>
  </si>
  <si>
    <t>Cadia Intrusive complex - quartz monzonite porphyry</t>
  </si>
  <si>
    <t>Quartz monzonite porphyry</t>
  </si>
  <si>
    <t>Cadia Intrusive complex - monzodiorite and diorite</t>
  </si>
  <si>
    <t>Monzodiorite and diorite</t>
  </si>
  <si>
    <t>Cadia Intrusive complex - aplite dykes</t>
  </si>
  <si>
    <t>Fine-grained, moderately porphyritic aplite dykes</t>
  </si>
  <si>
    <t>hm-cal-qtz-px±scp±ab (stage 1: anhydrous skarn; early) → py-qtz-mt-ep-sul-gt±scp±ksp±ap±act (stage 2: main ore stage) → chl-cal-py-ep-sul±act (stage 3) → cal-qtz-ser-sul-hm-chl±act (stage 4; minor ore stage) → cal (stage 5)</t>
  </si>
  <si>
    <t>Wilson et al. (2007)</t>
  </si>
  <si>
    <t>Holliday et al. (2002); Forster et al. (2004)</t>
  </si>
  <si>
    <t>Holliday et al. (2002)</t>
  </si>
  <si>
    <t>Location is centre of surface extent of magnetite skarn. Endowment includes mineral resources only.</t>
  </si>
  <si>
    <t>Big Four-Scotia Dam</t>
  </si>
  <si>
    <t>Goongarrie</t>
  </si>
  <si>
    <t>Ni-Co</t>
  </si>
  <si>
    <t>Walter Williams Formation</t>
  </si>
  <si>
    <t>Peridotite; relict olivine cumulate texture; commonly serpentinised or silicified</t>
  </si>
  <si>
    <t>Ardea Resources Limited (2023a,b); www.https://asud.ga.gov.au/search-stratigraphic-units/results/24071</t>
  </si>
  <si>
    <t>Anand and Paine (2002); Ardea Resources Limited (2023b); www.https://asud.ga.gov.au/search-stratigraphic-units/results/24071</t>
  </si>
  <si>
    <t>Cited location is approximate centroid of mineralised zone. Cited age of precursor is midpoint between the maximum and minimum ages of host as indicated by www.https://asud.ga.gov.au/search-stratigraphic-units/results/24071. Cited precursor age uncertainty encompasses the entire range. Cited age of mineralisation is based on the inferred Eocene age of ore-related lateritisation (Ardea Resources, 2023b). Anand and Paine (2002) indicate subtropical to tropical, climate in the region prevailed between 65 Ma and 15 Ma. The cited age is the midpoint of the Eocene Epoch, with the error including the entire epoch.</t>
  </si>
  <si>
    <t>Big Stubby</t>
  </si>
  <si>
    <t>Zn-Ag</t>
  </si>
  <si>
    <t>BaSO4-Cu</t>
  </si>
  <si>
    <t>Duffer Formation</t>
  </si>
  <si>
    <t>Predominantly dacitic volcaniclastic rocks; grades up to rhyolite; feldspar-porphyritic subvolcanic intrusions are common and voluminous; also pillow basalt and layered red and white sedimentary chert; metamorphosed.</t>
  </si>
  <si>
    <t>Predominantly dacitic volcaniclastic rocks; grades up to rhyolite; feldspar-porphyritic subvolcanic intrusions are common and voluminous.</t>
  </si>
  <si>
    <t>Mount Edgar Granitoid Complex (Emu Pool Supersuite)</t>
  </si>
  <si>
    <t>Metamorphosed medium- to coarse-grained monzogranite, granodiorite, tonalite, and trondhjemite; massive, seriate, and porphyritic varieties; weakly foliated.</t>
  </si>
  <si>
    <t>Paleaoarchean</t>
  </si>
  <si>
    <t>qtz-ser-py-car</t>
  </si>
  <si>
    <t>Reynolds et al. (1975); Lambert et al. (1978); Richards et al. (1981); Thorpe et al. (1992a); Samieyani (1993); Huston et al. (2007b)</t>
  </si>
  <si>
    <t>Thorpe et al. (1992a)</t>
  </si>
  <si>
    <t>Reynolds et al. (1975)</t>
  </si>
  <si>
    <t>Very poorly constrained endowment includes pre-JORC mineral resources; barite grade converted from Ba grade assuming the ideal composition of barite.</t>
  </si>
  <si>
    <t>Bigrlyi</t>
  </si>
  <si>
    <t>Ngalia Basin</t>
  </si>
  <si>
    <t>Electron microprobe - chemical date</t>
  </si>
  <si>
    <t>Mount Eclipse Sandstone</t>
  </si>
  <si>
    <t>Arkosic sandstone and conglomeratic sandstone, greywacke, minor conglomerate; plant and trace fossils.</t>
  </si>
  <si>
    <t>cal-hm-mtr</t>
  </si>
  <si>
    <t>Alumina-phosphate-sulfate minerals</t>
  </si>
  <si>
    <t>Schmid et al. (2012); Edgoose (2013b); Taylor and Schmid (2017)</t>
  </si>
  <si>
    <t>Taylor and Schmid (2017)</t>
  </si>
  <si>
    <r>
      <t xml:space="preserve">Cited age is the oldest of microprobe chemical ages; other analyses give younger apparent ages. The cited age is supported by a total gas fusion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of 325 ± 8 Ma from vanadian mica. Endowment includes mineral resources only.</t>
    </r>
  </si>
  <si>
    <t>Bikini</t>
  </si>
  <si>
    <t>Valhalla</t>
  </si>
  <si>
    <t>Dominantly metabasalt with lesser interbedded siltstone</t>
  </si>
  <si>
    <t>ab-qtz-car-chl-ser (early) → brn-ksp-bt (late, mineralised)</t>
  </si>
  <si>
    <t>Wyborn (1987); Bain et al. (1992); Heinrich et al. (1995); Kositcin et al. (2009); Polito et al. (2009); Wilde et al. (2013); Wilde and Andrews (2017)</t>
  </si>
  <si>
    <t>Endowment includes JORC-compliant mineral resources.</t>
  </si>
  <si>
    <t>Bilatos</t>
  </si>
  <si>
    <t>River Annie</t>
  </si>
  <si>
    <t>River Annie pegmatite swarm</t>
  </si>
  <si>
    <t>Pietsch and Clayton (1990); Frater (2005); Ahmad and Hollis (2013); Ahmad and Khan (2013); Core Lithium Ltd (2020)</t>
  </si>
  <si>
    <t>Ahmad and Hollis (2013); Core Lithium Ltd (2023)</t>
  </si>
  <si>
    <t>One of numerous Li-bearing intrusions in the Bynoe Pegmatite Field. Cited age is by analogy with the Saffrums 1 pegmatite (Frater, 2005). Endowment includes mineral resources only.</t>
  </si>
  <si>
    <t>Bimba Sulphide Member</t>
  </si>
  <si>
    <t>Curnamona</t>
  </si>
  <si>
    <t>Sulphide-rich ironstone and banded iron silicate formation. Forms a marker unit. Now part of the Bimba Formation.</t>
  </si>
  <si>
    <t>Ashley et al. (1998); Page et al. (2005a)</t>
  </si>
  <si>
    <t>Page et al. (2005a)</t>
  </si>
  <si>
    <t>Cited age is that of the overlying Plumbago Formation. Asheley et al. (1998) do not describe sulfides in the Bimba Formation.</t>
  </si>
  <si>
    <t>Bindi</t>
  </si>
  <si>
    <t>Calc-alkalic porphyry copper</t>
  </si>
  <si>
    <t>Calingiri</t>
  </si>
  <si>
    <t>Southwest</t>
  </si>
  <si>
    <t>Lake Grace</t>
  </si>
  <si>
    <t>Au-Ag</t>
  </si>
  <si>
    <t>As-HPA-In-Re-Se-Te</t>
  </si>
  <si>
    <t>Dasher granite gneiss</t>
  </si>
  <si>
    <t>Banded, K-felspar-phyric, banded orthogneiss with a monzogranite to granodiorite composition. SHRIMP zircon U-Pb analyses give an age of 3010 ± 4 Ma.</t>
  </si>
  <si>
    <t>Dasher granite dykes</t>
  </si>
  <si>
    <t>Syeno- to monzogranite. SHRIMP zircon U-Pb analyses give an age of 2673 ± 5 Ma.</t>
  </si>
  <si>
    <t>Biotite-poor granite dykes that cut Dasher granite gneiss but not observed to cut the Dasher granite</t>
  </si>
  <si>
    <t>Middle amphibolite</t>
  </si>
  <si>
    <t>Caravel Minerals Limited (2023)</t>
  </si>
  <si>
    <t>Caravel Minerals Limited (2016)</t>
  </si>
  <si>
    <t>Caravel Minerals Limited (2016, 2023)</t>
  </si>
  <si>
    <t>Cited age is that of the Dasher prospect. Endowment includes mineral resources as of November 2023) at a cutoff grade of 0.10% Cu.</t>
  </si>
  <si>
    <t>Binduli (includes Binduli and Centurion)</t>
  </si>
  <si>
    <t>Black Flag Group</t>
  </si>
  <si>
    <t>Felsic volcanic and volcaniclastic rocks</t>
  </si>
  <si>
    <t>Intrusive feldspar-quartz porphyry</t>
  </si>
  <si>
    <t>sil-ser-py±bt±car</t>
  </si>
  <si>
    <t>Ivey et al. (1998)</t>
  </si>
  <si>
    <t>Vielreicher et al. (2010)</t>
  </si>
  <si>
    <t>Age correlation is with the Golden Mile deposit 10 km to NE. Endowment includes production to July 1997 and mineral resources at July 1997.</t>
  </si>
  <si>
    <t>Birdwood goldfield (includes Argosy, Black Snake, Hynes Reef and Lucky Hit)</t>
  </si>
  <si>
    <t>Birdwood goldfield</t>
  </si>
  <si>
    <t>Burra Group</t>
  </si>
  <si>
    <t>Siltstone, laminated; shale; sandstone, heavy mineral lamination, quartzose to feldspathic, cross bedding; dolomite, blue-grey to pale pink, lenticular.</t>
  </si>
  <si>
    <t>Kanmantoo Group</t>
  </si>
  <si>
    <t>Marine metasandstone, phyllite, schist, gneiss, minor calcsilicate and marble. Sandstone; siltstone, occasionally sulphidic; metamorphosed.</t>
  </si>
  <si>
    <t>https://www.mindat.org/loc-164.html (accessed May 2024)</t>
  </si>
  <si>
    <t>Cited age is by analogy with that of the Deloraine district. Cited location is that of Hynes Reef. Endowment includes historic (1869 to 1930s) production from both quartz veins and alluvial deposits.</t>
  </si>
  <si>
    <t>Black Mountain</t>
  </si>
  <si>
    <t>Miners Gap Granite</t>
  </si>
  <si>
    <t>Pale pink, fine to medium-grained muscovite-biotite granite</t>
  </si>
  <si>
    <t>Late Carboniferous-Early Permian</t>
  </si>
  <si>
    <t>Charters Towers Metamorphics</t>
  </si>
  <si>
    <t>Low grade: muscovite-biotite schist, phyllite, quartzite, porphyroblastic cordierite-quartz-biotite schist; calc-silicate; high grade: biotite gneiss, migmatite.</t>
  </si>
  <si>
    <t>Black Range</t>
  </si>
  <si>
    <t>Siberia</t>
  </si>
  <si>
    <t>Ni-Co-PGE</t>
  </si>
  <si>
    <t>Ora Banda Gabbro - ultramafic rocks</t>
  </si>
  <si>
    <t>Gabbro to leucogabbro dominant; granophyric segregations; pyroxenite or dunite basal segregations; metamorphosed. Mineralised laterite developed over ultramafic rocks, including bronzite and norite.</t>
  </si>
  <si>
    <t>Ardea Resources Limited (2017)</t>
  </si>
  <si>
    <t>Ardea Resources Limited (2017); www.https://asud.ga.gov.au/search-stratigraphic-units/results/79353</t>
  </si>
  <si>
    <t>Ardea Resources Limited (2023b); www.https://asud.ga.gov.au/search-stratigraphic-units/results/79353</t>
  </si>
  <si>
    <t>Cited location is approximate centre of mineralised laterite. Cited age of precursor is midpoint between the maximum and minimum ages of host as indicated by www.https://asud.ga.gov.au/search-stratigraphic-units/results/79353. Cited precursor age uncertainty encompasses the entire range. Cited age of mineralisation is based on the inferred Eocene age of ore-related lateritisation (Ardea Resources, 2023b). Anand and Paine (2002) indicate subtropical to tropical, climate in the region prevailed between 65 Ma and 15 Ma. The cited age is the midpoint of the Eocene Epoch, with the error including the entire epoch.</t>
  </si>
  <si>
    <t>Black Swan (includes Black Swan, Cygnet and Silver Swan)</t>
  </si>
  <si>
    <t>Komatiite nickel-copper-PGE</t>
  </si>
  <si>
    <t>Black Swan</t>
  </si>
  <si>
    <t>Co-Cu-Pd-Pt</t>
  </si>
  <si>
    <t>Gindalbie Formation; Black Swan Ultramafic Complex</t>
  </si>
  <si>
    <t>Talc-carbonate rock after olivine cumulate, serpentinite after olivine cumulate and spinifex-textured flows</t>
  </si>
  <si>
    <t>Kositcin et al. (2008); Hicks and Balfe (1998); Barnes et al. (2017)</t>
  </si>
  <si>
    <t>Kositcin et al. (2008)</t>
  </si>
  <si>
    <t>Poseidon Nickel Limited, (2023; https://poseidon-nickel.com.au/black-swan/; accessed May 2024)</t>
  </si>
  <si>
    <t>Cited age is that of the host succession (Kositicin et al., 2008). Some magnetite at Black Swan appears to be primary and magmatic in origin. Endowment includes production from 1997 to 2008 of 5.9 Mt at 0.7% Ni at Black Swan and 2.7 Mt at 5.1% Ni at Silver Swan (https://poseidon-nickel.com.au/black-swan/; accessed May 2024), and mineral resources at 7 June 2023 of 26.3 Mt at 0.72% Ni (Poseidon Nickel Limited, 2023).</t>
  </si>
  <si>
    <t>Black Swan South (Cuddingwarra)</t>
  </si>
  <si>
    <t>Cuddingwarra</t>
  </si>
  <si>
    <t>Quartz-feldspar porphyry intrusive into Gabanintha Formation basalt and ultramafic rocks</t>
  </si>
  <si>
    <t>Gabanintha Formation</t>
  </si>
  <si>
    <t>Basalt and ultramafic rocks</t>
  </si>
  <si>
    <t>sil-car</t>
  </si>
  <si>
    <t>car</t>
  </si>
  <si>
    <t>Winnal et al. (1998); Metals X Limited (2014a)</t>
  </si>
  <si>
    <t>Metals X Limited (2014a)</t>
  </si>
  <si>
    <t>Westgold Resources Limited (2017)</t>
  </si>
  <si>
    <t>Age is based on correlation with the Reedys district ~40 km to the NNE. Cited endowment includes mineral resources (Metals X Limited, 2014a). Endowment include mineral resources and reserve as 30 June 2017 (Westgold Resources Limited, 2017).</t>
  </si>
  <si>
    <t>Bleechmore Carbonatite</t>
  </si>
  <si>
    <t>Carbonatite and related rare earth elements</t>
  </si>
  <si>
    <t>Aileron</t>
  </si>
  <si>
    <t>Biotite and garnet gneiss</t>
  </si>
  <si>
    <t>Flinders Diamonds Limited (2003a,b)</t>
  </si>
  <si>
    <t>Very little information available, but targeted as a vermiculite deposit.</t>
  </si>
  <si>
    <t>Blind Calf</t>
  </si>
  <si>
    <t>Intrusion-related copper</t>
  </si>
  <si>
    <t>Cobar</t>
  </si>
  <si>
    <t>Majuba Volcanics</t>
  </si>
  <si>
    <t>In the north: feldspar +/- quartz phyric, locally flow-banded rhyolitic to dacitic lavas. In the south: dacitic lava, moderately crystal-rich rhyolite, poorly sorted often pumiceous volcaniclastic sandstone and siltstone.</t>
  </si>
  <si>
    <t>Devonian</t>
  </si>
  <si>
    <t>Kidson Resources Limited (2011)</t>
  </si>
  <si>
    <t>Kidson Resources Limited (2011); Fitzherbert et al (2019)</t>
  </si>
  <si>
    <t>Fitzherbert et al (2019)</t>
  </si>
  <si>
    <t>Blinman</t>
  </si>
  <si>
    <t>Recovery Formation</t>
  </si>
  <si>
    <t>Siltstone: dark grey, thinly bedded to laminated, micaceous, with mudcracks; sandstone: grey, flaggy, with halite and/or gypsum casts; minor dolomite; rare domal stromatolites.</t>
  </si>
  <si>
    <t>bar-cal-qtz-dol (gangue)</t>
  </si>
  <si>
    <t>Dickinson (1953b); Robertson (1995); Huston and Connolly (2011)</t>
  </si>
  <si>
    <t>Huston and Connolly (2011)</t>
  </si>
  <si>
    <t>Endowment includes production only.</t>
  </si>
  <si>
    <t>Bluebird-South Junction (Yaloginda)</t>
  </si>
  <si>
    <t>Yaloginda</t>
  </si>
  <si>
    <t>Komatiite, dunite and peridotite</t>
  </si>
  <si>
    <t>Granitoid, felsic porphyry</t>
  </si>
  <si>
    <t>qtz-ank-fch±ser±py±lim±gn</t>
  </si>
  <si>
    <t>Winnal et al. (1998); Metals X Limited (2014a); Westgold Resources Limited (2023)</t>
  </si>
  <si>
    <t>Age is based on correlation with the Reedys district ~40 km to the NNE. Cited endowment includes mineral resources in 2014 (Metals X Limited; 2014a); Winnal et al. (1998) cite an earlier resource; Westgold Resources Limited state a MRE for the stockpile of 0.656 Mt at 1.5 g/t Au. Production is reported as a group of deposits and therefore we used the figures from Metals X Limited (2014a).</t>
  </si>
  <si>
    <t>Boda</t>
  </si>
  <si>
    <t>Alkalic porphyry copper</t>
  </si>
  <si>
    <t>Northern Molong</t>
  </si>
  <si>
    <t>Au-Cu</t>
  </si>
  <si>
    <t>Mo-Se-Te-Pd-Pt</t>
  </si>
  <si>
    <t>Cheesemans Creek Formation</t>
  </si>
  <si>
    <t>Basaltic andesite, mafic and quartz latite, siltstone, sandstone, breccia, conglomerate.</t>
  </si>
  <si>
    <t>Upper Ordovician (Katian)</t>
  </si>
  <si>
    <t>Boda Intrusive Complex - Diorite porphyry</t>
  </si>
  <si>
    <t>Diorite porphyry</t>
  </si>
  <si>
    <t>Boda Intrusive Complex - Group 1 - monzodiorite porphyry intrusive</t>
  </si>
  <si>
    <t>Monzodiorite porphyry</t>
  </si>
  <si>
    <t>Boda Intrusive Complex - Group 2 - monzodiorite porphyry intrusive</t>
  </si>
  <si>
    <t>bt-act-ep-mt-cp±ksp±bn (proximal) → ab-ep-chl-py±cp (distal)</t>
  </si>
  <si>
    <t>Alkane Resources Limited (2024)</t>
  </si>
  <si>
    <t>Alkane Resources Limited (2020a, 2023b)</t>
  </si>
  <si>
    <t>Alkane Resources Limited (2023b)</t>
  </si>
  <si>
    <t>Cited location is approximated centre of resource outline. Cited age is by analogy with other porphyry Cu-Au deposits in the Macquarie Arc.</t>
  </si>
  <si>
    <t>Bodangora district (includes Mitchells Creek and Dicks Reward)</t>
  </si>
  <si>
    <t>Bodangora</t>
  </si>
  <si>
    <t>Hill End Trough</t>
  </si>
  <si>
    <t>Oakdale Formation</t>
  </si>
  <si>
    <t>Mafic volcanic sandstone; basalt, basaltic andesite, latite lavas and intrusions; volcaniclastic breccia and conglomerate, siltstone, shale, chert; minor allochthonous limestone and calcareous sediments.</t>
  </si>
  <si>
    <t>Middle to Late Ordovician</t>
  </si>
  <si>
    <t>Mafic volcanic sandstone; basalt, basaltic andesite, latite lavas and intrusions; volcaniclastic breccia</t>
  </si>
  <si>
    <t>Middle-Late Ordovician</t>
  </si>
  <si>
    <t>qtz-ank-ser-ab-py (proximal) → chl-pre-qtz-cal-ep-act-sid-pla (regional)</t>
  </si>
  <si>
    <t>Downes (2003)</t>
  </si>
  <si>
    <t>Cited age is based on correlation with the main gold event at Hill End. Endowment includes undifferentiated production and resources.</t>
  </si>
  <si>
    <t>Boddington-Wandoo</t>
  </si>
  <si>
    <t>Boddington</t>
  </si>
  <si>
    <t>Magmatic-hydrothermal</t>
  </si>
  <si>
    <t>Intrusion-related</t>
  </si>
  <si>
    <t>Intrusion-related gold</t>
  </si>
  <si>
    <t>As-HPA-In-Mo-Re-Se-Te</t>
  </si>
  <si>
    <t>Wells Formation</t>
  </si>
  <si>
    <t>Interfingered basaltic, andesitic, dacitic and rhyolitic lavas, tuff, breccia, agglomerate and minor sedimentary rock.</t>
  </si>
  <si>
    <t>Pre-2696 Ma diorite (first mineralising phase)</t>
  </si>
  <si>
    <t>Syn-ore (first event)</t>
  </si>
  <si>
    <t>Wourahming Monzogranite</t>
  </si>
  <si>
    <t>Unmineralised monzogranite to northeast of deposit (2612 ± 3 Ma)</t>
  </si>
  <si>
    <t>Syn-ore (second event)</t>
  </si>
  <si>
    <t>First mineralising phase: sil-bt; second mineralizing phase (vein paragenesis): qtz-ab-mol±mus±bt±fl±clz±cp (main Mo introduction) → clz-sul-qtz-bt (main Cu introduction) → act-sul±qtz, car-chl-sul, sul (main Au introduction)</t>
  </si>
  <si>
    <t>pot, calc-sil</t>
  </si>
  <si>
    <t>Porter (2017a)</t>
  </si>
  <si>
    <t>McCuaig et al. (2001); Stein et al. (2001); Porter (2017a)</t>
  </si>
  <si>
    <t>McCuaig et al. (2001); Stein et al. (2001)</t>
  </si>
  <si>
    <t>The age of the earliest porphyry Cu-Au deposit is an isochron (assuming zero point) molybdenite Re-Os age of 2707 ± 17 Ma, which is consistent with the weighted average Re-Os model age (from four analyses) of 2707 ± 13 Ma. The cited age of the second, overprinting mineralising event, which is interpreted as the main event, is the "most rigorous estimate" (McCuaig et al., 2001). This age does not assume a zero point. If a zero point is assumed, the isochron age is 2623 ± 26 Ma. The most precise individual molybdenite age is 2615 ± 9 Ma. All ages for the second event overlap with the 2612 ± 3 Ma (SHRIMP zircon U-Pb) age of the unmineralised Wourahming monzogranite. Endowment includes the sum of production to 2001 and 2009 resources prior to re-opening in a 2009 pre-mining resources estimate. Porter (2017a) cite a lower total metal endowment (e.g. 725 t Au) as he considered metal recoveries in making estimate.</t>
  </si>
  <si>
    <t>Bons Rush</t>
  </si>
  <si>
    <t>Zamu Dolerite</t>
  </si>
  <si>
    <t>Grey, medium to coarse quartz dolerite, minor hornblende granophyre; rare biotite-hornblende-augite pegmatite.</t>
  </si>
  <si>
    <t>Cullen Supersuite</t>
  </si>
  <si>
    <t>Predominantly I-type granites. I-type, granodioritic, consisting of 3 major pluton types: leucogranites, uniform granodiorite to granite suites and concentrically zoned plutons.</t>
  </si>
  <si>
    <t>Pre- to syn-ore</t>
  </si>
  <si>
    <t>Ahmad and Hollis (2013); Edwards and Keily (2017)</t>
  </si>
  <si>
    <t>Edwards and Kelley (2017)</t>
  </si>
  <si>
    <t>Endowment includes mineral resources only (Edwards and Keily, 2017).</t>
  </si>
  <si>
    <t>Bonya</t>
  </si>
  <si>
    <t>Siliciclastic-felsic volcanic-hosted massive sulfide</t>
  </si>
  <si>
    <t>Se</t>
  </si>
  <si>
    <t>Bonya Schist</t>
  </si>
  <si>
    <t>Porphyroblastic schists, mica schists, mica-bearing metasandstones, garnet schists, quartz-magnetite-hematite rocks and tourmalinites.</t>
  </si>
  <si>
    <t>https://www.mindat.org/loc-87918.html (accessed May 2023)</t>
  </si>
  <si>
    <t>Scrimgeour (2013a); Thor Mining PLC (2018); https://www.mindat.org/loc-87918.html (accessed May 2023)</t>
  </si>
  <si>
    <t>Kositcin et al. (2015)</t>
  </si>
  <si>
    <t>Thor Mining PLC (2018)</t>
  </si>
  <si>
    <t>Interpreted as a volcanic-hosted massive sulfide deposit by Thor Mining PLC (2018).</t>
  </si>
  <si>
    <t>Boolgeeda Iron Formation</t>
  </si>
  <si>
    <t>Superior-type banded iron formation</t>
  </si>
  <si>
    <t>Hamersley</t>
  </si>
  <si>
    <t>Fine-grained, finely laminated, dark grey-brown to black flaggy iron-formation, minor chert, jaspilite, shale; metamorphosed.</t>
  </si>
  <si>
    <t>Barley et al. (1997)</t>
  </si>
  <si>
    <t>Records reflects age of the Woongarra supersequence 
BIF deposition.</t>
  </si>
  <si>
    <t>Boomerang</t>
  </si>
  <si>
    <t>Vein tungsten ± molybdenum</t>
  </si>
  <si>
    <t>Ollera</t>
  </si>
  <si>
    <t>Mo-W</t>
  </si>
  <si>
    <t>Running River Metamorphics</t>
  </si>
  <si>
    <t>Biotite gneiss, migmatite and amphibolite</t>
  </si>
  <si>
    <t>Coane Range Granite</t>
  </si>
  <si>
    <t>Pink, grey, cream, and orange, fine to coarse-grained, equigranular, seriate, and porphyritic biotite granite and common microgranite; local greisen.</t>
  </si>
  <si>
    <t>Lower Carboniferous</t>
  </si>
  <si>
    <t>Kallandra Granite</t>
  </si>
  <si>
    <t>Pink, orange, or cream, fine to coarse-grained, porphyritic to seriate biotite granite; common microgranite and abundant greisen and chloritic alteration zones.</t>
  </si>
  <si>
    <t>Cheng et al. (2017)</t>
  </si>
  <si>
    <t>Draper and Lang (1994); Gunther and Withnall (1995); Kositsin et al. (2015); Cheng et al. (2017)</t>
  </si>
  <si>
    <r>
      <t xml:space="preserve">Cheng et al. (2017) also reported a molybdenite Re-Os model age of 391 ± 2 Ma, but this is significantly older than the cited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and the age of the nearby Ollera group of deposits. The cited age is within error of both the Kallanda Granite (330 ± 4 Ma (Gunther and Withnall, 1995) to 340.6 ± 2.3 Ma (Kositcin et al., 2015); both SHRIMP zircon U-Pb) and Coane Range Granite (331 ± 2 Ma: Rb-Sr, biotite-whole rock (Draper and Lang, 1994)).</t>
    </r>
  </si>
  <si>
    <t>Booth-Lees</t>
  </si>
  <si>
    <t>Bootu Creek district</t>
  </si>
  <si>
    <t>Sandstone-hosted manganese</t>
  </si>
  <si>
    <t>Bootu Creek</t>
  </si>
  <si>
    <t>Thompkinson</t>
  </si>
  <si>
    <t>Bootu Formation</t>
  </si>
  <si>
    <t>Medium- to very coarse-grained sandstone and pebbly sandstone; minor thinly bedded siltstone and mudstone; calcareous siltstone and sandstone; minor carbonaceous shale and manganiferous sandstone, stromatolites and halite pseudomorphs.</t>
  </si>
  <si>
    <t>cl</t>
  </si>
  <si>
    <t>Armstrong (1998); Hussey et al. (2001); Donnellan (2013c); Harvey et al. (2017)</t>
  </si>
  <si>
    <t>Hussey et al. (2001)</t>
  </si>
  <si>
    <t>Harvey et al. (2017)</t>
  </si>
  <si>
    <t xml:space="preserve">Cited age is that of a tuff from the underlying Attack Creek Formation (Hussey et al., 2001). Endowment includes historic production of 13280 t at 42% Mn, recent production of 20.9 Mt at 21.8% Mn at close of mining operations in December 2015, and mineral resources at 31 December 2014 of 20.4 Mt at 22.3% Mn less and assumed production of 2.5 Mt (annual capacity) for 2015. </t>
  </si>
  <si>
    <t>Boyce Creek</t>
  </si>
  <si>
    <t>Unnamed</t>
  </si>
  <si>
    <t>Tremolite-chlorite-talc amphibolite, metapyroxenite, pyroxenite, peridotite, serpentinite, ultramafic schists, komatiite, high-Mg basalt; also chalcedony, silica, jasper, silcrete, silica cap rock on ultramafic rocks</t>
  </si>
  <si>
    <t>https://www.mindat.org/loc-269508.html</t>
  </si>
  <si>
    <t>Ardea Resource Limited (2023); https://asud.ga.gov.au/search-stratigraphic-units/results/74475</t>
  </si>
  <si>
    <t>BP33</t>
  </si>
  <si>
    <t>Breakfast (Mole)</t>
  </si>
  <si>
    <t>Mole</t>
  </si>
  <si>
    <t>Mole Granite</t>
  </si>
  <si>
    <t>Coarse- to very-coarse-grained seriate leucocratic granite and minor microleucogranite. Marginal porphyritic leucogranite and microgranite; greisen.</t>
  </si>
  <si>
    <t>Early Triassic</t>
  </si>
  <si>
    <t>Coarse to very coarse grained seriate leucocratic granite and minor microleucogranite. Marginal porphyritic leucogranite and microgranite; greisen.</t>
  </si>
  <si>
    <t>chl-mus</t>
  </si>
  <si>
    <t>Schaltegger et al. (2005)</t>
  </si>
  <si>
    <t>The cited age is slightly younger than the host Mole Granite, which has TIMS U-Pb zircon and monazite ages of 247.6 ± 0.4 Ma and 247.7 ± 0.5 Ma. No production or resources are recorded from this prospect.</t>
  </si>
  <si>
    <t>Bridge Creek</t>
  </si>
  <si>
    <t>Koolpin Formation</t>
  </si>
  <si>
    <t>Hematitic metasiltstone and phyllite with chert bands, lenses and nodules; graphitic phyllite and slate; silicified dololutite with rare stromatolites, chert breccia; minor banded iron formation and quartz metagreywacke.</t>
  </si>
  <si>
    <t>act-ab-chl-bt-car-sul</t>
  </si>
  <si>
    <t>Ahmad et al. (2009); Ahmad and Hollis (2013)</t>
  </si>
  <si>
    <t>Cited age is by analogy with other Pine Creek orogenic gold deposits (e.g., Cleo, Goodall, Howley and Mount Todd). Cited pre-mining resources include mineral resources only. Main ore host is the Koolpin Formation, in the upper gradational transition into Gerowrie Tuff.</t>
  </si>
  <si>
    <t>Brockman</t>
  </si>
  <si>
    <t>Peralkaline volcanic HFSE-REE</t>
  </si>
  <si>
    <t>Nb-Ta-Zr</t>
  </si>
  <si>
    <t>Be-F-Hf-REE</t>
  </si>
  <si>
    <t>Butchers Gully Member</t>
  </si>
  <si>
    <t>May be a mylonitic metasedimentary or metavolcaniclastic rock. The sampled rock is a fine-grained, strongly foliated rock with angular fragments of quartz, microcline, and vesicular volcanic rock containing fluorite.</t>
  </si>
  <si>
    <t>https://www.mindat.org/loc-289402.html (accessed January 2014)</t>
  </si>
  <si>
    <t>Ramsden et al. (1993); Taylor et al. (1995); Phillips et al. (2016); Hastings Technology Metals Limited (2022)</t>
  </si>
  <si>
    <t>Taylor et al. (1995); Phillips et al. (2016)</t>
  </si>
  <si>
    <t>Hastings Technology Metals Limited (2022)</t>
  </si>
  <si>
    <t>The Butchers Gully Member of the Olympio Formation hosts the rock unit informally known as "Niobium Tuff". Endowment includes mineral resources only. The resource grades 0.17% HREO of the 0.20% TREO. Nb and Zr grades/endowment converted from reported Nb2O5 and ZrO2 grades. The 1870 ± 4 Ma age reported by Taylor et al. (1995) is older than the underlying Maude Hedley Mbr, and thus is interpreted as reflecting detrital ages. A non-mineralised lava within the Butchers Gully Member has a SHRIMP Pb-Pb age of 1846 ± 4 Ma, which is likely close to the age of the Niobium Tuff (Phillips et al., 2016).</t>
  </si>
  <si>
    <t>Brockman 4</t>
  </si>
  <si>
    <t>Brockman Iron Formation - Dales Gorge Member</t>
  </si>
  <si>
    <t>Predominantly well-banded banded iron formation made up almost entirely of chert and iron oxides.</t>
  </si>
  <si>
    <t>Brockman Iron Formation - Joffre Member</t>
  </si>
  <si>
    <t>Comprises well-banded BIF made up of chert and iron oxide</t>
  </si>
  <si>
    <t>Brockman Iron Formation - Whaleback Shale Member</t>
  </si>
  <si>
    <t>Thin band of iron formation rocks with significant sheet-silicate content causing a shaly appearance.</t>
  </si>
  <si>
    <t>mrt</t>
  </si>
  <si>
    <t>Pickard (2002); Thorne et al. (2017); Rio Tinto Limited (2019)</t>
  </si>
  <si>
    <t>Pickard (2002); Müller et al. (2005)</t>
  </si>
  <si>
    <t>Rio Tinto Limited (2019)</t>
  </si>
  <si>
    <t>Cited precursor age is from Pickard (2002). Cited endowment is ore reserves at 31 December 2018. The resources also include minor secondary surficial ironstone.</t>
  </si>
  <si>
    <t>Brockman Iron Formation</t>
  </si>
  <si>
    <t>Banded iron-formation, chert, mudstone and siltstone. Includes crocidolite.</t>
  </si>
  <si>
    <t>Pickard (2002)</t>
  </si>
  <si>
    <t>Brockman-Mount Bradley Goldfield (including Mount Bradley and Palm Springs)</t>
  </si>
  <si>
    <t>Brockman-Mount Bradley Goldfield</t>
  </si>
  <si>
    <t>Olympio Formation, Butchers Gully Member</t>
  </si>
  <si>
    <t>Metamorphosed and chlorite altered trachytic and trachyandesitic volcanics and volcaniclastics</t>
  </si>
  <si>
    <t>ab-ank-ser-chl-qtz±py Intense) ; chl-ab±ank (weaker)</t>
  </si>
  <si>
    <t>Sanders (1999); Hassan (2000); Kohanpour et al. (2020); Meteoric Resources Limited (2021)</t>
  </si>
  <si>
    <t>Kohanpour et al. (2020)</t>
  </si>
  <si>
    <t>Sanders (1999); Hassan (2000); Meteoric Resources Limited (2021)</t>
  </si>
  <si>
    <t>Cited location is that of the Palm Springs deposit. Cited age is for the Mount Bradley deposit. Resource data include historic production (mostly from the Palm Springs deposit), a pre-JORC mineral resource for the Golden Crown deposit, and JORC-compliant resources for the Butchers Creek and Golden Crown deposits (5.6 Mt at 2.0 g/t Au).</t>
  </si>
  <si>
    <t>Brocks Creek district (includes Alligator, Brocks Creek (Zapopan), Faded Lily, North Point, Princess Louise and Rising Tide; excludes Fountain Head-Tally Ho)</t>
  </si>
  <si>
    <t>Brocks Creek</t>
  </si>
  <si>
    <t>Gerowie Tuff</t>
  </si>
  <si>
    <t>Siliceous siltstone and phyllite interbedded with cherty argillite, cherty crystal tuff, feldspathic crystal tuff and lithic tuff; minor felsic ignimbrite and chloritic volcaniclastic shale.</t>
  </si>
  <si>
    <t>Burnside Granite</t>
  </si>
  <si>
    <t>Pink to grey, fine- to medium-grained, porphyritic to equigranular biotite granite, moderately foliated.</t>
  </si>
  <si>
    <t>py-chl-gt-cht (minor); qtz-chl-ser-car-ksp-tm-ap (gangue)</t>
  </si>
  <si>
    <t>Ahmad and Hollis (2013); Edwards and Kelley, 2017)</t>
  </si>
  <si>
    <t xml:space="preserve">Cited age is by analogy with other Pine Creek orogenic gold deposits (e.g., Cleo, Goodall, Howley and Mount Todd). Endowment includes historical production (Ahmad and Hollis, 2013) of 1.028 t Au (Brocks Creek; to 1914) and 0.82 t Au (Zapopan), production between 1996 and 2000 (8.4 t Au (0.24 Moz): Edwards and Kelley, 2017), production in 2006-2007 (1.084 Mt at 2.43 g/t Au for 2.6 t) and total mineral resources of 1.314 Mt at 1.40 g/t Au (1.84 t Au at 31 December 2016 for North Point, Princess Louise and Rising Tide: Edwards and Keily, 2017). The endowment excludes production from 2009 to 2016, which was treated at the Crocodile Gold/Newmarket Gold NT Operations mill and counted as part of the Howley district. </t>
  </si>
  <si>
    <t>Brody's Camp</t>
  </si>
  <si>
    <t>Scardons Volcanic Group</t>
  </si>
  <si>
    <t>Rhyolitic to dacitic ignimbrite and tuff, minor andesite</t>
  </si>
  <si>
    <t>Elizabeth Creek Granite</t>
  </si>
  <si>
    <t>Pink, coarse, equigranular to seriate biotite granite; minor porphyritic biotite granite and microgranite</t>
  </si>
  <si>
    <t>qtz-ksp-mus</t>
  </si>
  <si>
    <t>Ekstrom (1982)</t>
  </si>
  <si>
    <t>Ekstrom (1982); Morrison et al. (2019)</t>
  </si>
  <si>
    <t>The cited molybdenite Re-Os age at 299 Ma, is significantly younger than the accepted age of the Elisabeth Creek Granite (321 ± 4 Ma: Champion and Bultitude, 2013), which hosts the mineralisation and greisen-style alteration. Unknown historical production. Cassiterite and wolframite present along with molybdenite.</t>
  </si>
  <si>
    <t>Broken Hill</t>
  </si>
  <si>
    <t>Pb-Zn</t>
  </si>
  <si>
    <t>Hores Gneiss</t>
  </si>
  <si>
    <t>Quartz-feldspar-biotite-garnet gneiss, interpreted as metadacite. Minor metasediments included. Lithology includes Potosi-type gneiss.</t>
  </si>
  <si>
    <t>Late Paleoproterozoic</t>
  </si>
  <si>
    <t>Tholeiitic mafic sills and dykes</t>
  </si>
  <si>
    <t>ab-qtz-hm</t>
  </si>
  <si>
    <t>qtz-gah-po → qtz-gt±crd</t>
  </si>
  <si>
    <t>Plimer (1977, 1984); Parr et al. (2004); Page et al. (2005b); Huston et al. (2006); Groves et al. (2008)</t>
  </si>
  <si>
    <t>Page et al. (2005b); Parr et al. (2004)</t>
  </si>
  <si>
    <t>Huston et al. (2006)</t>
  </si>
  <si>
    <t>Endowment is based on inferred deposit size prior to weathering. Cited age is that of the host succession (Hores Gneiss: Page et al., 2005b) and consistent with lead isotope model ages (Parr et al., 2004). . Quartz-gahnite-pyrrhotite and quartz-garnet±cordierite gneisses, that have been interpreted by some as exhalites, are interpreted as metamorphosed alteration zones following Groves et al. (2008).</t>
  </si>
  <si>
    <t>Bronzewing-Avocado (including Mount McClure)</t>
  </si>
  <si>
    <t>Bronzewing</t>
  </si>
  <si>
    <t>Tholeiitic basalt</t>
  </si>
  <si>
    <t>act-ep (regional metamorphism)</t>
  </si>
  <si>
    <t>ank-mus-bt → cal-chl (spatial; proximal alteration envelopes up to 100-m-wide); mus/bt and py/po increase with depth</t>
  </si>
  <si>
    <t>Vielreicher et al. (2015); Phillips in Porter (2017b)</t>
  </si>
  <si>
    <t>Vielreicher et al. (2015)</t>
  </si>
  <si>
    <t>Phillips in Porter (2017b)</t>
  </si>
  <si>
    <t>Cited age consistent with another age of 2631 ± 10 Ma (xenotime SHRIMP U-Pb, Vielreicher et al. 2015) from the same deposit. Endowment is from Phillips in Porter (2017b).</t>
  </si>
  <si>
    <t>Brooktown Highway - Bannister Group</t>
  </si>
  <si>
    <t>Darling Range</t>
  </si>
  <si>
    <t>Granite and metagranite</t>
  </si>
  <si>
    <t>van de Graaff et al. (1977); Hickman et al. (1992); Anonymous (1998)</t>
  </si>
  <si>
    <t>van de Graaff et al. (1977)</t>
  </si>
  <si>
    <t>Anonymous (1998)</t>
  </si>
  <si>
    <t>Cited age is based upon the geological interpretation that the laterite profile formed between the late Eocene and early Paleocene (van de Graaff et al., 1977). Cited endowment based on production and resource tonnage data and the typical grade data reported by Anonymous (1998). These data should be considered to be approximations.</t>
  </si>
  <si>
    <t>Browns (includes East Browns)</t>
  </si>
  <si>
    <t>TIMS</t>
  </si>
  <si>
    <t>Pb-Cu</t>
  </si>
  <si>
    <t>Calcareous and carbonaceous pyritic mudstone/siltstone, dolomitic mudstone, rare quartzite.</t>
  </si>
  <si>
    <t>qtz-car (gangue minerals)</t>
  </si>
  <si>
    <t>Von Pechmann (1986); Sun et al. (1996a); McCready et al. (2004); Ahmad et al. (2006); Compass Resources (2008); Johansen and Johnstone (2017)</t>
  </si>
  <si>
    <t>Sun et al. (1996a); Jaireth (2011)</t>
  </si>
  <si>
    <t>Compass Resources (2008); Johansen and Johnstone (2017)</t>
  </si>
  <si>
    <t xml:space="preserve">The cited lead isotope model age uses the Northern Australia model of Sun et al. (1996a) and is similar to the age of the nearby Kylie uranium prospect (1627 ± 45 Ma), which was based on a the upper intercept of whole-rock U-Pb discordia (Von Pechmann, 1986). Endowment includes mineral resources only and include a sulfide resource of 60.9 Mt at 0.51% Cu, 0.62% Pb, 3.28% Pb, 0.10% Co and 0.09% Ni (Johansen and Johnstone, 2017), an oxide copper resources of 2.64 Mt at 1.02% Cu, 0.12% Co and 0.10% Ni, and an oxide lead resource of 0.70 Mt at 0.14% Cu, 4.36% Pb, 0.04% Co and 0.04% Ni (Compass Resources, 2008). </t>
  </si>
  <si>
    <t>Browns Creek</t>
  </si>
  <si>
    <t>Cowriga Limestone Member, Blayney Volcanics</t>
  </si>
  <si>
    <t>Foliated recrystallised grey limestone; corals.</t>
  </si>
  <si>
    <t>Blayney Volcanics</t>
  </si>
  <si>
    <t>Clinopyroxene basalt, agglomeratic in places; volcanic sandstone.</t>
  </si>
  <si>
    <t>Carcoar Granodiorite (including Long Hill Diorite)</t>
  </si>
  <si>
    <t>Hornblende biotite granodiorite and tonalite.</t>
  </si>
  <si>
    <t>Mine Dyke Group</t>
  </si>
  <si>
    <t>Variably textured (porphyritic, aplitic and migmatitic) felsic dykes of variable composition (mostly granitic, but also monzonitic, mozodioritic and granodioritic) that cut the Browns Creek ore zone</t>
  </si>
  <si>
    <t>Post-mineral intrusive</t>
  </si>
  <si>
    <t>Medium-grained, biotite-altered, amphibole granodiorite</t>
  </si>
  <si>
    <t>Baaaltic dykes</t>
  </si>
  <si>
    <t>Sub-porphyritic basaltic to trachybasaltic dykes with aphanitic groundmass</t>
  </si>
  <si>
    <t>Porphyritic monzonite</t>
  </si>
  <si>
    <t>Feldspar-pyroxene-megacrystic mafic monzonite</t>
  </si>
  <si>
    <t>[bi (hornfels) → gt-cpx-wol-ves-qtz-cal (prograde) → ep-act-ab-sul (ore-stage)] (Blayney Volcanics); [wol-gt±dp±qtz±ep (prograde) → ab-ep-act-il-cal-ksp-sul (retrograde ore-stage)] (Cowriga Limestone Member); [gt, gt-px, cpx (endoskarn)] (various intrusive rocks)</t>
  </si>
  <si>
    <t>Perkins et al. (1995); Kovacs (2000); Kaminsky (2017)</t>
  </si>
  <si>
    <t>Perkins et al. (1995); Kovacs (2000)</t>
  </si>
  <si>
    <t>Kaminsky (2017)</t>
  </si>
  <si>
    <r>
      <rPr>
        <sz val="9"/>
        <color rgb="FF000000"/>
        <rFont val="Times New Roman"/>
      </rPr>
      <t xml:space="preserve">Cited age is weighted mean age of three statistically indistinguishable, separate ages of the Carcoar Granite (one age) that predates ore and granitic dykes (two analyses) that crosscut mineralisation. This age is slightly older than two </t>
    </r>
    <r>
      <rPr>
        <vertAlign val="superscript"/>
        <sz val="9"/>
        <color rgb="FF000000"/>
        <rFont val="Times New Roman"/>
      </rPr>
      <t>40</t>
    </r>
    <r>
      <rPr>
        <sz val="9"/>
        <color rgb="FF000000"/>
        <rFont val="Times New Roman"/>
      </rPr>
      <t>Ar-</t>
    </r>
    <r>
      <rPr>
        <vertAlign val="superscript"/>
        <sz val="9"/>
        <color rgb="FF000000"/>
        <rFont val="Times New Roman"/>
      </rPr>
      <t>39</t>
    </r>
    <r>
      <rPr>
        <sz val="9"/>
        <color rgb="FF000000"/>
        <rFont val="Times New Roman"/>
      </rPr>
      <t>Ar plateau-like-segment ages (426.9 ± 0.6 Ma and 423.6 ± 1.0 Ma) of alteration biotite (Perkins et al., 1995). Endowment includes production and mineral resources.</t>
    </r>
  </si>
  <si>
    <t>Browns Reef</t>
  </si>
  <si>
    <t>Orogenic zinc-lead-silver-copper</t>
  </si>
  <si>
    <t>Cobar Superasin</t>
  </si>
  <si>
    <t>Preston Formation</t>
  </si>
  <si>
    <t>Volcaniclastic and fossiliferous sandstone. Interbedded mudstone, quartz sandstone, lithic sandstone with rare conglomerate lenses and rhyolite sills.</t>
  </si>
  <si>
    <t>Late Silurian-Early Devonian</t>
  </si>
  <si>
    <t>qtz-mus-chl-car</t>
  </si>
  <si>
    <t>Downes et al. (2004a)</t>
  </si>
  <si>
    <t>Cited age is by analogy with other Zn-Pb deposits in the Cobar Basin.</t>
  </si>
  <si>
    <t>Buccaneer</t>
  </si>
  <si>
    <t>Twin Bonanza</t>
  </si>
  <si>
    <t>Ag-As-Bi-Cu</t>
  </si>
  <si>
    <t>Buccaneer Porphyry (local name)</t>
  </si>
  <si>
    <t>Multiphase porphyritic rock, including syenogranite, monzogranite and two porphyritic quartz monzonite phases</t>
  </si>
  <si>
    <t>Killi Killi Formation</t>
  </si>
  <si>
    <t>Schistose to phyllitic greywacke, siltstone and shale; minor lithic sandstone, granule conglomerate, quartzite, banded chert, basalt and dolerite.</t>
  </si>
  <si>
    <t>ser-cal-chl</t>
  </si>
  <si>
    <t>ser-chl</t>
  </si>
  <si>
    <t>Huston et al. (2007a); Ahmad and Khan (2013); Ahmad et al. (2013b); Bagas et al. (2014); Li (2014); Wygralak et al. (2017)</t>
  </si>
  <si>
    <t>Li et al. (2014)</t>
  </si>
  <si>
    <t>Prodigy Gold Limited (2023)</t>
  </si>
  <si>
    <t>The cited monazite mineralisation age overlaps with ages of 1796 ± 7 Ma, 1795 ± 10 Ma and 1793 ± 9 Ma for three phases of the host Buccaneer intrusion. Endowment includes mineral resources only.</t>
  </si>
  <si>
    <t>Buchanan Dam</t>
  </si>
  <si>
    <t>Budgery</t>
  </si>
  <si>
    <t>sil</t>
  </si>
  <si>
    <t>https://www.mindat.org/loc-295685.html (accessed April 2024)</t>
  </si>
  <si>
    <t>Iwata et al. (1995); Fogarty (1998); Jones (2012; pers. comm., 2014); P. Gilmore (pers. comm., 2013); Gilmore et al. (2015); Downes et al. (2017a); Fitzherbert and Huang (2019); Aeris Resources Limited (2020b)</t>
  </si>
  <si>
    <t>Aeris Resources Limited (2020b)</t>
  </si>
  <si>
    <t>Cited primary age is based on the age of the faunal assemblage reported by Iwata et al. (1995) for the host succession. Cited hydrothermal age is by analogy with the Avoca Tank deposit (Fitzherbert and Huang, 2019). Endowment includes mineral resources only (Aeris Resources Limited, 2020b).</t>
  </si>
  <si>
    <t>Budgerygar</t>
  </si>
  <si>
    <t>https://www.mindat.org/loc-99752.html (accessed April 2024)</t>
  </si>
  <si>
    <t>Cited primary age is based on the age of the faunal assemblage reported by Iwata et al. (1995) for the host succession. Cited hydrothermal age is by analogy with the Avoca Tank deposit (Fitzherbert and Huang, 2019). Endowment includes mineral resources only (Aeris Resources Limited, 2020b) and does not include minor historical production.</t>
  </si>
  <si>
    <t>Buldania (Anna)</t>
  </si>
  <si>
    <t>Norseman-Wiluna greenstone belt</t>
  </si>
  <si>
    <t>Komatiite, high-Mg basalt, dolerite and carbonaceous shale</t>
  </si>
  <si>
    <t>Anna pegmatite swarm</t>
  </si>
  <si>
    <t>Liontown Resources Limited (2019)</t>
  </si>
  <si>
    <t>Liontown Resources Limited (2019); Phelps-Barber et al. (2022)</t>
  </si>
  <si>
    <t>Cited location is approximate centre of surface expression of pegmatite swarm. Cited age is through correlation with other Youanmi pegmatites.</t>
  </si>
  <si>
    <t>Bulgunnia Iron</t>
  </si>
  <si>
    <t>Wilgena Hill Jaspilite</t>
  </si>
  <si>
    <t>At surface the jaspilite consists of alternating mesobands of iron oxide (now hematite) and red jasper. It is interlayered with subordinate carbonate, calci-silicate and quartzite</t>
  </si>
  <si>
    <t>Davies and Twining (2018)</t>
  </si>
  <si>
    <t>Daly (1979); Daly et al. (1998); Davies and Twining (2018)</t>
  </si>
  <si>
    <t>Daly (1979); Daly et al. (1998)</t>
  </si>
  <si>
    <t>The Wignea Hill Jaspilite unconformably overlies Archean paragneiss and orthogneiss with a metamorphic age of 2488 ± 130 Ma (Daly, 1979) and is included as clasts within clastic rocks of the overlying Labyrith Formation, which contains a 1723 ± 10 Ma rhyolite. The age is constrained between ~2488 Ma and ~1723 Ma. Endowment includes mineral resources only.</t>
  </si>
  <si>
    <t>Bullabulling goldfield</t>
  </si>
  <si>
    <t>Bullabulling</t>
  </si>
  <si>
    <t>Mine sequence</t>
  </si>
  <si>
    <t>Metamorphosed mafic and ultramafic rocks, metasedimentary rocks and felsic amphibolite</t>
  </si>
  <si>
    <t>Metamorphosed mafic and ultramafic rocks and felsic amphibolite</t>
  </si>
  <si>
    <t>hbd-dp-bt-ab-car-qtz</t>
  </si>
  <si>
    <t>Partington et al. (2017)</t>
  </si>
  <si>
    <t>Partington et al. (2017); Norton Gold Fields Limited (2023)</t>
  </si>
  <si>
    <t>Age is inferred by correlation with the Coolgardie goldfield 25 km to the east. Endowment includes production and mineral resources.</t>
  </si>
  <si>
    <t>Bullfinch (including Copperhead)</t>
  </si>
  <si>
    <t>Southern Cross</t>
  </si>
  <si>
    <t>Bullfinch greenstone belt</t>
  </si>
  <si>
    <t>Banded iron formation (Banded iron, or Southern Series, lodes)</t>
  </si>
  <si>
    <t>Ultramafic rocks, metabasalt (Dolomite, or Northern Series, lode)</t>
  </si>
  <si>
    <t>Ultramafic rocks, metabasalt</t>
  </si>
  <si>
    <t>tc (around BIF-hosted lodes); dol (dolomite lode)</t>
  </si>
  <si>
    <t>Carter and Grayson (1990); http://www.portergeo.com.au/database/mineinfo.asp?mineid=mn755 (accessed February 2021)</t>
  </si>
  <si>
    <t>Age correlation is with the Nevoria deposit. Endowment includes production to 1998 (when mine closed) plus mineral resource in July 2016.</t>
  </si>
  <si>
    <t>Bulman district</t>
  </si>
  <si>
    <t>Bulman</t>
  </si>
  <si>
    <t>McArthur Basin</t>
  </si>
  <si>
    <t>Dook Creek Formation</t>
  </si>
  <si>
    <t>Laminated stromatolitic dolostone, chert, sandstone and cherty breccia; mineralisation hosted by dolostone</t>
  </si>
  <si>
    <t>Sun et al. (1996a); Carr et al. (2001); Ahmad et al. (2013c)</t>
  </si>
  <si>
    <t>Sun et al. (1996a); Carr et al. (2001)</t>
  </si>
  <si>
    <t>Ahmad et al. (2013c)</t>
  </si>
  <si>
    <t>Endowment includes pre-JORC mineral resources only, cited as 1.2 Mt at 6.5% Pb and 0.93 Mt at 11% Zn; grade and tonnage calculated assuming the two resources are separate. Cited age is Pb isotope model age using North Australian model (Sun et al., 1996a) and data of Carr et al. (2001).</t>
  </si>
  <si>
    <t>Bulong East</t>
  </si>
  <si>
    <t>Bulong</t>
  </si>
  <si>
    <t>Laterite nickel - smectite type</t>
  </si>
  <si>
    <t>Bulong Complex</t>
  </si>
  <si>
    <t>Komatiitic and high MgO dolerite rocks structurally interleaved with calc-alkaline feldspathic sandstones.</t>
  </si>
  <si>
    <t>Ardea Resources Limited (2021)</t>
  </si>
  <si>
    <t>Elias et al. (1981); Wells and Butt (2017); Ardea Resources Limited (2023a); www.https://asud.ga.gov.au/search-stratigraphic-units/results/2934</t>
  </si>
  <si>
    <t>www.https://asud.ga.gov.au/search-stratigraphic-units/results/24071</t>
  </si>
  <si>
    <t>Cited location is the approximate centre of the East Bulong nickel laterite resource indicated on Figure 2 of Ardea Resources Limited (2021). Cited age of precursor is midpoint between the maximum and minimum ages of host as indicated by www.https://asud.ga.gov.au/search-stratigraphic-units/results/2934. Cited precursor age uncertainty encompasses the entire range, including errors associated with individual analyses. The age of lateritisation has not been assigned. Cited endowment does not include production from failed development in the late 1990s.</t>
  </si>
  <si>
    <t>Bungalow-Minbrie</t>
  </si>
  <si>
    <t>Cleve</t>
  </si>
  <si>
    <t>Lower Middleback Jaspilite</t>
  </si>
  <si>
    <t>Alternating magnetite-rich and quartz-rich bands with minor hematite and pyrite replacing magnetite.</t>
  </si>
  <si>
    <t>Unnamed granite</t>
  </si>
  <si>
    <t>Unnamed amphibolite</t>
  </si>
  <si>
    <t>Amphibolite sills and dykes</t>
  </si>
  <si>
    <t>Jagodzinski et al. (2011); Szpunar et al. (2011); Cronin (2017); Davies and Twining (2018)</t>
  </si>
  <si>
    <t>Cited location is that of the Bungalow deposit. Cited age the maximum depositional age quartz-biotite-garnet metasedimentary rock interbedded with oxide-facies iron formation (Jagodzinski et al., 2011). The host is intruded by granite with ages of 1731 ± 6 Ma and 1723 ± 13 Ma (Jagodzinski et al. (2011). Endowment includes mineral resources only.</t>
  </si>
  <si>
    <t>Burra</t>
  </si>
  <si>
    <t>Bi-Co-Re</t>
  </si>
  <si>
    <t>Skillogalee Dolomite</t>
  </si>
  <si>
    <t>Lower part: pale hued to white dolomite; minor quartzite and slate, interbedded with minor tuffaceous units, grits, rhyolites and rhyolitic tuffs. Upper part: dark grey, fine-grained dolomite with ripple marks, slumps and mudcracks.</t>
  </si>
  <si>
    <t>Unnamed rhyolite</t>
  </si>
  <si>
    <t>Intrusive rhyolite</t>
  </si>
  <si>
    <t>ksp, chl-qtz</t>
  </si>
  <si>
    <t>Preiss et al. (2009); Huston and Connolly (2011)</t>
  </si>
  <si>
    <t>Preiss et al. (2009)</t>
  </si>
  <si>
    <t>Cited age is that of a mineralised rhyolitic intrusive rock that intrudes the Skillogalee Dolomite. Detrital zircons from a tuffaceous part of this unit have an age of 787 ± 7 Ma, indicating felsic magmatism accompanied and shortly post-dated sedimentation. Endowment includes production only.</t>
  </si>
  <si>
    <t>Burraga (Lloyd)</t>
  </si>
  <si>
    <t>Au-Zn-Ag</t>
  </si>
  <si>
    <t>Rockley Volcanics</t>
  </si>
  <si>
    <t>Massive to flow banded, coarsely to finely porphyritic, andesite to basalt with phenocrysts of plagioclase, pyroxene and hornblende; minor andesitic volcanic sandstone and siltstone.</t>
  </si>
  <si>
    <t>Carr et al. (1995); Downes (1998); Downes et al. (2013)</t>
  </si>
  <si>
    <t>Carr et al. (1995); Downes (1998)</t>
  </si>
  <si>
    <t>Paterson Resources Limited (2021)</t>
  </si>
  <si>
    <t>Cited endowment is production for the period 1880 to 1919 of 19433 ton Cu from 469626 ton of ore, and total mineral resources as of 23 June 2015 of 1.68 Mt grading 0.9% Cu, 0.2% Zn, 7 g/t Ag and 0.1 g/t Au (Paterson Resources Limited, 2021).</t>
  </si>
  <si>
    <t>Butcherbird</t>
  </si>
  <si>
    <t>Collier Basin</t>
  </si>
  <si>
    <t>Ilgarari Formation</t>
  </si>
  <si>
    <t>Greenish-grey to black, parallel-planar laminated, pyritic and carbonaceous siltstone, locally silicified. Thin interbeds of sandstone occur in upper parts; also includes chert (silicified lutite), minor limestone and calcareous siltstone.</t>
  </si>
  <si>
    <t>Element29 Limited (2019)</t>
  </si>
  <si>
    <t>Armandola et al. (2018); Element29 Limited (2019, 2024); Spinks et al. (2023)</t>
  </si>
  <si>
    <t>Wingate (2003); Armandola et al. (2018)</t>
  </si>
  <si>
    <t>Cited location is the approximate centre of the resource outline. Cited age is the midpoint between the maximum depositional age of the host succession (1117 ± 34 Ma (zircon, U-Pb, SHRIMP): Armandola et al., 2018) and the age of widespread dolerite dykes that intrude the Collier Group (1068 ± 20 Ma (baddeleyite, U-Pb, SHRIMP: Windgate, 2003). Cited endowment includes pre-production mineral resources.</t>
  </si>
  <si>
    <t>Cadia East-Cadia Far East</t>
  </si>
  <si>
    <t>Basaltic- clast breccia and conglomerate with lesser pyroxene- and feldspar-phyric lava, debris-flow volcaniclastic rock, sandstone, siltstone and minor limestone</t>
  </si>
  <si>
    <t>Cadia Intrusive complex - pre-mineral quartz monzonite porphyry</t>
  </si>
  <si>
    <t>Quartz Monzonite Porphyry</t>
  </si>
  <si>
    <t>Cadia Intrusive complex - inter-mineral and late-mineral intrusions</t>
  </si>
  <si>
    <t>Late-mineral hornblende diorite and inter-mineral quartz monzonite porphyry</t>
  </si>
  <si>
    <t>bt-ort-ab-mt±act (proximal) → sil-ab-ort±hm → ep-mt-hm-chl (distal) (lower zone); bt-tm (early) → qtz-ort-ab-mus-cal±tm, ser-sil-ab (late) (upper zone)</t>
  </si>
  <si>
    <t>Holliday et a. (2002); Forster et al. (2004); Squire and Crawford (2007); Wilson et al. (2007); Porter (2017f)</t>
  </si>
  <si>
    <t>Squire and Crawford (2007); Wilson et al. (2007)</t>
  </si>
  <si>
    <t>Porter (2017f)</t>
  </si>
  <si>
    <t>Cited location is the approximate centre of surface project of Cadia East orebody. Cited age slightly older, but within error of the U-Pb age of the Cadia Far-East Monzonite (437 ± 4 Ma: Squire and Crawford, 2007). Endowment includes production to and mineral resources at 31 December 2016 (Porter, 2017f). Note that the alteration assemblages are described spatially in the lower mineralised zone but temporally in the upper mineralised zone.</t>
  </si>
  <si>
    <t>Cadia Hill-Cadia Quarry</t>
  </si>
  <si>
    <t>chl-ab-ep-cal (dominant), ort (minor adjacent to veins) (early, syn-ore) → ser-py (late mineral) → chl (late- to pot-mineral)</t>
  </si>
  <si>
    <t>Holliday et a. (2002); Forster et al. (2004); Wilson et al. (2007); Porter (2017f)</t>
  </si>
  <si>
    <t>Cited location is the approximate centre of surface project of orebody. The cited primary mineralising age (Wilson et al., 2007) is the average of two overlapping ages from sample NCO83-035; a third replicate analysis of this samples was excluded as the age (466.6 ± 1.5 Ma) was older than and outside of error of the age (456.4 ± 5.1 Ma; 453.4 ± 4.3 Ma) of the quartz monzonite hosting the molybdenite-bearing vein. Another older age (459.7 ± 1.4 Ma) was excluded because it is slightly older, although within error of the age of this host. The cited age for the overprinting hydrothermal event is that of sample NC486-487 and is similar to the age determined for Cadia East (Wilson et al., 2007). The molybdenite Re-Os ages cited are slightly older than, but within error of zircon U-Pb ages of the interpreted causative intrusions. Endowment includes production to June 2012 and mineral resources at 31 December 2016 attributed to "other" by Porter (2017f). Although "other" is mainly Cadia Hill and Cadia Quarry, it includes resources from Big Cadia.</t>
  </si>
  <si>
    <t>Cadjebut</t>
  </si>
  <si>
    <t>Lennard Shelf</t>
  </si>
  <si>
    <t>Pillara Limestone</t>
  </si>
  <si>
    <t>Lower dolostone (reef and back-reef facies limestone and dolostone)</t>
  </si>
  <si>
    <t>Middle Devonian</t>
  </si>
  <si>
    <t>bar → mar-cal±bar → mar-cal</t>
  </si>
  <si>
    <t>Anhydrite</t>
  </si>
  <si>
    <t>Gypsum</t>
  </si>
  <si>
    <t>Thompkins et al. (1994a,b); Reynolds and Copp (2017a)</t>
  </si>
  <si>
    <t>Reynolds and Copp (2017a)</t>
  </si>
  <si>
    <t>Gypsum and anhydrite are interpreted as pre-existing sulfate minerals; barite is interpreted as hydrothermal. Endowment is approximated pre-development mineral inventory (Reynolds and Copp (1917a)</t>
  </si>
  <si>
    <t>Cairn Hill</t>
  </si>
  <si>
    <t>Magmatic-related - hydrothermal</t>
  </si>
  <si>
    <t>Prominent Hill</t>
  </si>
  <si>
    <t>Mount Woods</t>
  </si>
  <si>
    <t>Major</t>
  </si>
  <si>
    <t>Discordia - lower intercept</t>
  </si>
  <si>
    <t>Metamorphic</t>
  </si>
  <si>
    <t>Maximum</t>
  </si>
  <si>
    <t>Age of high-grade metamorphism</t>
  </si>
  <si>
    <t>Quartz-feldspar-biotite gneiss</t>
  </si>
  <si>
    <t>Quartz-feldspar-biotite-magnetite gneiss with an E-W trending foliation, occasionally garnet-bearing.</t>
  </si>
  <si>
    <t>Statherian-Orosirian</t>
  </si>
  <si>
    <t>Magnetite-biotite schist</t>
  </si>
  <si>
    <t>Balta Granite</t>
  </si>
  <si>
    <t>Granite and monzogranite, even-grained and porphyritic; brick-red granite; hybrid granite and ?diorite</t>
  </si>
  <si>
    <t>Yu et al. (2024)</t>
  </si>
  <si>
    <t>IMX Resources (2008)</t>
  </si>
  <si>
    <t>This "IOCG" deposit is notable because the Fe (magnetite) mineralisation is clearly temporally distinct from the Cu-Au mineralisation, by at least 90 Ma. The Cu-Au sits in brittle fractures and veins, and therefore postdates the ~1490 Ma age for deformation and metamorphism, but has not been dated directly.</t>
  </si>
  <si>
    <t>Calibre</t>
  </si>
  <si>
    <t>Citadel</t>
  </si>
  <si>
    <t>Central Australian</t>
  </si>
  <si>
    <t>Yeneena Basin</t>
  </si>
  <si>
    <t>As-Bi</t>
  </si>
  <si>
    <t>Malu Formation</t>
  </si>
  <si>
    <t>Sandstone; minor conglomerate, siltstone, and shale.</t>
  </si>
  <si>
    <t>Antipa Minerals Limited (2017a, 2021); Maidment et al. (2017a); Prakash et al. (2018)</t>
  </si>
  <si>
    <t>Antipa Minerals Limited (2021)</t>
  </si>
  <si>
    <t>Age is based on correlation with the Magnum deposit. Endowment includes mineral resources only.</t>
  </si>
  <si>
    <t>Cambria</t>
  </si>
  <si>
    <t>Mount Paris Granite</t>
  </si>
  <si>
    <t>S-type biotite alkali-feldspar granite.</t>
  </si>
  <si>
    <t>qtz-mus-top-fl-sul</t>
  </si>
  <si>
    <t>Campoona Shaft</t>
  </si>
  <si>
    <t>Carbonaceous black shale</t>
  </si>
  <si>
    <t>Cleve-Kimba</t>
  </si>
  <si>
    <t>Flake graphite</t>
  </si>
  <si>
    <t>Supergene graphite</t>
  </si>
  <si>
    <t>Graphite</t>
  </si>
  <si>
    <t>Hutchison Supergroup</t>
  </si>
  <si>
    <t>Graphitic schist intercalated with upper amphibolite facies paragneiss</t>
  </si>
  <si>
    <t>Szpunar et al. (2011); Keeling (2017)</t>
  </si>
  <si>
    <t>Szpunar et al. (2011)</t>
  </si>
  <si>
    <t>Keeling (2017)</t>
  </si>
  <si>
    <t>Cited precursor age is the average of age range for the Hutchison Supergroup west of the Kalinjala Mylonite Zone (including the Darke Peak and Cleave groups: 1866 +/- 10 Ma to ca. 1730 Ma: Szpunar et al., 2011). Cited uncertainty encompasses the entire age range. Cited primary age is that of the Kimbin Orogeny, which produced the high grade metamorphism that crystallised the graphite. Endowment includes mineral resources only.</t>
  </si>
  <si>
    <t>Canbelego (includes CZ, Buppe, Ranken, Canbelego Queen, Canbelego/Saunders and Shango)</t>
  </si>
  <si>
    <t>Canbelego-Mineral Hill</t>
  </si>
  <si>
    <t>Minor mafic and intermediate volcanics</t>
  </si>
  <si>
    <t>Helix Resources Limited (2023)</t>
  </si>
  <si>
    <t>Gilligan and Byrnes (1994); Helix Resources Limited (2021, 2023)</t>
  </si>
  <si>
    <t>Cited location is that of the Canbelego Main Lode (CZ).</t>
  </si>
  <si>
    <t>Cannington</t>
  </si>
  <si>
    <t>Cloncurry</t>
  </si>
  <si>
    <t>Calvert Superbasin</t>
  </si>
  <si>
    <t>Ag-Zn-Pb</t>
  </si>
  <si>
    <t>Mount Norna Quartzite</t>
  </si>
  <si>
    <t>Migmatised, quartzo-feldspathic gneiss with local tholeiitic amphibolite. Interpreted as metamorphosed sandstone with metadolerite and amphibolite sills/flows.</t>
  </si>
  <si>
    <t>Tholeiitic metadolerite and amphibolite sills/flows</t>
  </si>
  <si>
    <t>gt-mus</t>
  </si>
  <si>
    <t>Geoscience Australia database</t>
  </si>
  <si>
    <t>Sun et al. (1996a); Walters and Bailey (1998); Bodon (1998); Carr et al. (2001); Mudd et al. (2017); Wright et al. (2017); Valenta (2019a)</t>
  </si>
  <si>
    <t>Sun et al. (1996a)</t>
  </si>
  <si>
    <t>Valenta (2019a), South32 annual report (2019, 2020, 2021, 2022, 2023)</t>
  </si>
  <si>
    <t>Cited age is a lead isotope model age calculated using CSIRO-AGSO North Australia model (Sun et al., 1996a). Endowment and total mineral resources calculated from 2018 figure reported in Valenta et al (2019a) and production from each year reported in South32 annual reports. Resources as 30 June 2023.</t>
  </si>
  <si>
    <t>Cape Lambert</t>
  </si>
  <si>
    <t>Mostly un-enriched quartz-magnetite-rich iron formation with minor supergene-enriched goethite-hematite supergene-enriched and pisolitic ores.</t>
  </si>
  <si>
    <t>Cappers</t>
  </si>
  <si>
    <t>Paleochannel</t>
  </si>
  <si>
    <t>Paleochannel uranium</t>
  </si>
  <si>
    <t>Cenozoic paleochannel</t>
  </si>
  <si>
    <t>Alluvial deposits</t>
  </si>
  <si>
    <t>Cenozoic</t>
  </si>
  <si>
    <t>Edgoose and Ahmad (2013)</t>
  </si>
  <si>
    <t>Capricorn (Previously Gunpowder. Includes, Esperanza, Pluto, Esperanza South, Mammoth and Greenstone)</t>
  </si>
  <si>
    <t>Gunpowder</t>
  </si>
  <si>
    <t>Isa Superbasin</t>
  </si>
  <si>
    <t>Co-Ag-As</t>
  </si>
  <si>
    <t>Whitworth Quartzite</t>
  </si>
  <si>
    <t>Pink coloured, weakly to massively bedded quartzite at least 60 m thick and are overlain by a complex sequence of interbedded sandstone, arkose, siltstone and quartzite</t>
  </si>
  <si>
    <t>Esperanza Formation</t>
  </si>
  <si>
    <t>Black carbonaceous siltstone and shale</t>
  </si>
  <si>
    <t>Paradise Creek Formation</t>
  </si>
  <si>
    <t>Dolomitic siltstone</t>
  </si>
  <si>
    <t>qtz (within 1-2 cm of veins/breccias) → il-chl-hm (very proximal)</t>
  </si>
  <si>
    <t>Richardson and Moy (1998); Clark (2003); Valenta (2019e)</t>
  </si>
  <si>
    <t>Clark (2003)</t>
  </si>
  <si>
    <t xml:space="preserve"> Valenta (2019e); 29 Metals (2022, 2023)</t>
  </si>
  <si>
    <t>Cited age is by analogy with the Mount Isa copper deposit and is consistent with an estimated of ~1540 Ma based on lead isotope relationships (Clark, 2003). Hematite is abundant but interpreted as a supergene mineral (Clark, 2003). Endowment includes historical production (pre-2014) of 12.9 Mt at 4.0%Cu, current production by 29 Metals and mineral resources. Co resources is only for mineral resources and As is only for mineral resources and ore reserve.</t>
  </si>
  <si>
    <t>Captains Flat</t>
  </si>
  <si>
    <t>Goulburn-Captains Flat</t>
  </si>
  <si>
    <t>Goulburn Basin</t>
  </si>
  <si>
    <t>Cu-Ag</t>
  </si>
  <si>
    <t>Kohinoor Volcanics</t>
  </si>
  <si>
    <t>Porphyritic andesitic, dacitic and rhyolitic lava, tuff, volcanic breccias, tuffaceous shale and chert</t>
  </si>
  <si>
    <t>Middle-Late Silurian</t>
  </si>
  <si>
    <t>qtz-ser±chl±py</t>
  </si>
  <si>
    <t>Davis (1975; 1990); Huston et al. (1997); Fraser et al. (2014)</t>
  </si>
  <si>
    <t>Fraser et al. (2014)</t>
  </si>
  <si>
    <t>Davis (1975; 1990)</t>
  </si>
  <si>
    <t>Caramal</t>
  </si>
  <si>
    <t>Quartz-feldspar-mica meta-arkose, quartzite, quartz-chlorite schist and carbonate</t>
  </si>
  <si>
    <t>sil; chl-ser</t>
  </si>
  <si>
    <t>Ahmad and Hollis (2013); Browne (2017)</t>
  </si>
  <si>
    <t>Browne (2017)</t>
  </si>
  <si>
    <t>Cargo</t>
  </si>
  <si>
    <t>Vein-breccia pipe copper-gold</t>
  </si>
  <si>
    <t>Cargo Volcanics</t>
  </si>
  <si>
    <t>Basaltic andesite-dominated succession of massive and pillow lava, volcanic breccia, high-level porphyritic sills and dykes, and a smaller volume of volcaniclastic rocks interpreted as turbidites and debris-flow deposits.</t>
  </si>
  <si>
    <t>Cargo Porphyry Intrusive Complex (local name)</t>
  </si>
  <si>
    <t>Cu–Au mineralised, plagioclase-hornblende-quartz-phyric dacites with medium-K calcalkaline affinities (included in Cargo Volcanics)</t>
  </si>
  <si>
    <t>Cu–Au mineralised, plagioclase-hornblende-quartz-phyric dacites with medium-K calc-alkaline affinities (included in Cargo Volcanics)</t>
  </si>
  <si>
    <t>pot (proximal: ab-bt-mt-ksp (stage I) → ksp-bt-mt (stage II) → chl-ser-py, sil (stage III; ore stage)) → phy (qtz-ser-py) → pro (distal)</t>
  </si>
  <si>
    <t>https://www.mindat.org/loc-227886.html (accessed March 2024)</t>
  </si>
  <si>
    <t>Richardson et al. (1983); Torrey and White (1998); David and Timms (2018)</t>
  </si>
  <si>
    <t>David and Timms (2018)</t>
  </si>
  <si>
    <t>Richardson et al. (1983); David and Timms (2018)</t>
  </si>
  <si>
    <t>Cited age is an unqualified age of the associated intrusive suite provided by David and Timms (2015). Endowment includes production of 318 kg Au and 10 t Cu (1870-1904: David and Timms, 2018), a pre-JORC copper mineral resource of 27 Mt grading 0.2% Cu (Richardson et al., 1983) and a JORC 2012-compliant mineral resource of 4.0 Mt grading 1.19 g/t in the peripheral Dalcoath and Spur deposits (David and Timms, 2018).</t>
  </si>
  <si>
    <t>Carlton</t>
  </si>
  <si>
    <t>Carolina</t>
  </si>
  <si>
    <t>Tottenham</t>
  </si>
  <si>
    <t>Iwata et al. (1995); Gilmore et al. (2015); Downes et al. (2017a); Mincor Resources NL (2018)</t>
  </si>
  <si>
    <t>Iwata et al. (1995)</t>
  </si>
  <si>
    <t>https://locksleyresources.com.au/tottenham-resource (accessed April 2024)</t>
  </si>
  <si>
    <t>Cited age is based on the age of the faunal assemblage reported by Iwata et al. (1995) for the host succession. Endowment includes mineral resources only and does not include minor historical production.</t>
  </si>
  <si>
    <t>Carosue Dam (includes Twin Peaks, Montys Dam, Luvironza, Whirling Dervish and Karari)</t>
  </si>
  <si>
    <t>Carosue Dam</t>
  </si>
  <si>
    <t>Carosue Basin</t>
  </si>
  <si>
    <t>Felsic volcaniclastic siltstone, sandstone and grit</t>
  </si>
  <si>
    <t>Alkalic intrusives (monzodiorite, monzonite, syenite)</t>
  </si>
  <si>
    <t>bt-ab (medial) → mus → chl (distal)</t>
  </si>
  <si>
    <t>ab-ank-py-rut (Karari); hem-sil, qtz-ab-py (Whirling Dervish); mus-ank-sul (proximal) → ank → cal (distal) (Twin Peaks)</t>
  </si>
  <si>
    <t>Witt and Mills (2017)</t>
  </si>
  <si>
    <t>Witt and Mills (2017); Saracen Annual report (2018, 2019, 2020); Northern Star annual report (2021, 2022, 2023)</t>
  </si>
  <si>
    <t>Age is based on correlation with other deposits in the Leonora district. Witt and Mills (2017) inferred an association of low-grade gold-copper mineralisation and potassic alteration assemblages at the Karari, Whirling Dervish, Luvironza and Monty's Dam deposits with subvolcanic alkalic intrusions and a magmatic-hydrothermal origin. For the gold mineralisation associated with sodic alteration, they inferred either an orogenic origin or cooling of the above magmatic-hydrothermal fluids. Endowment includes production to 31 July 2017 (Witt and Mills, 2017) and production from annual reports. Tonnage for historical production was calculated using average of mined and estimated resources since 2017.</t>
  </si>
  <si>
    <t>Carrapateena</t>
  </si>
  <si>
    <t>Pyrite</t>
  </si>
  <si>
    <t>Bi-Co-Mo-REE-Te-U</t>
  </si>
  <si>
    <t>Donington Suite Granite</t>
  </si>
  <si>
    <t>Medium- to coarse-grained granite with weak to moderate foliation</t>
  </si>
  <si>
    <t>Unnamed mafic dykes</t>
  </si>
  <si>
    <t>Unnamed felsic dykes</t>
  </si>
  <si>
    <t>Felsic dykes</t>
  </si>
  <si>
    <t>hm-ser±qtz (upper) → chl±hm (lower)</t>
  </si>
  <si>
    <t>Sawyer et al. (2017)</t>
  </si>
  <si>
    <t>Sawyer et al. (2017); Cave et al. (2024)</t>
  </si>
  <si>
    <t>Supergene/oxide enrichment developed below unconformity between basement and the overlying Neoproterozoic Umbertana Group. Endowment includes mineral resources only. Detailed geochronology by Cave et al. (2024) confirmed the ~1590 Ma age of mineralisation using the U-Pb system in xenotime, apatite and hematite, and uncovered a late hydrothermal event at 500-600 Ma that precipitated uraninite.</t>
  </si>
  <si>
    <t>Carrow</t>
  </si>
  <si>
    <t>Metamorphosed banded iron formation consisting magnetite bands alternating with iron silicate (clino- and minor orthopyroxene, and tremolite-actinolite), dolomitic carbonate and quartz</t>
  </si>
  <si>
    <t>Granite, granite gneiss and feldspathic gneiss sills and dykes</t>
  </si>
  <si>
    <t>Jagodzinski et al. (2011)</t>
  </si>
  <si>
    <t>Cited age the maximum depositional age quartz-biotite-garnet metasedimentary rock interbedded with oxide-facies iron formation at the Bungalow prospect (Jagodzinski et al., 2011). It is supported by a maximum depositional age in overlying Cook Gap Schist of 2566 ± 20 Ma in the Middleback Range (Szpunar et al., 2011). Endowment includes mineral resources only.</t>
  </si>
  <si>
    <t>Castlemaine goldfield</t>
  </si>
  <si>
    <t>Castlemaine</t>
  </si>
  <si>
    <t>Harcourt Granodiorite</t>
  </si>
  <si>
    <t>Nonmagnetic, medium-grained, biotite granodiorite, reduced I-type; equigranular to weakly porphyritic in plagioclase, quartz and K-feldspar.</t>
  </si>
  <si>
    <t>https://www.mindat.org/loc-204980.html (accessed March 2024)</t>
  </si>
  <si>
    <t>Willman (1995); Foster et al. (1998); Phillips et al. (2003, 2012a)</t>
  </si>
  <si>
    <t>Foster et al. (1998); Phillips et al. (2012a)</t>
  </si>
  <si>
    <t>Cited location and ENO are those of the Wattle Gully deposit. Cited age is from the Wattle Gully deposit and was recalculated by Phillips et al. (2012a) using original data of Foster et al. (1998). Endowment includes production to the end of 2000 (Phillips et al., 2003: 27 t primary and 146 t paleoplacer and placer). The paleoplacers are within Tertiary gravels.</t>
  </si>
  <si>
    <t>Cawse</t>
  </si>
  <si>
    <t>Hellsten et al. (1998)</t>
  </si>
  <si>
    <t>Hellsten et al. (1998); www.https://asud.ga.gov.au/search-stratigraphic-units/results/24071</t>
  </si>
  <si>
    <t>Cited location is the UTM coordinates cited in Hellsten et al (1998). Cited age of precursor is midpoint between the maximum and minimum ages of host as indicated by www.https://asud.ga.gov.au/search-stratigraphic-units/results/24071. Cited age uncertainty encompasses the entire range.</t>
  </si>
  <si>
    <t>Cayley</t>
  </si>
  <si>
    <t>Stavely</t>
  </si>
  <si>
    <t>Grampians-Stavely</t>
  </si>
  <si>
    <t>Williamsons Road Serpentinite</t>
  </si>
  <si>
    <t>Serpentinite; serpentine-chromite-quartz-magnetite rock</t>
  </si>
  <si>
    <t>Early-Late Cambrian</t>
  </si>
  <si>
    <t>Mount Stavely Volcanic Complex - Towanway Tuff</t>
  </si>
  <si>
    <t>Dacitic crystal lithic volcanic sandstone. Minor laminated chert, volcanic siltstone.</t>
  </si>
  <si>
    <t>Porphyritic tonalitic to dacitic dykes</t>
  </si>
  <si>
    <t>https://www.stavely.com.au/projects/stavely-project/ (accessed March 2024)</t>
  </si>
  <si>
    <t>Duncan et al. (2018); Stavely Minerals Limited (2020b)</t>
  </si>
  <si>
    <t>Saunders (2022)</t>
  </si>
  <si>
    <t>Cited location is approximate centre of resource outline at surface (https://www.stavely.com.au/projects/stavely-project/). Cited age is based on correlation with the Thursday's Gossan deposit.</t>
  </si>
  <si>
    <t>Central Bore</t>
  </si>
  <si>
    <t>Cited age is from molybdenite intergrown with gold. Cited endowment includes mineral resources as of December 2023.</t>
  </si>
  <si>
    <t>Central Cowal</t>
  </si>
  <si>
    <t>Cowal</t>
  </si>
  <si>
    <t>Cowal Igneous Complex</t>
  </si>
  <si>
    <t>Intermediate to mafic volcanics, volcaniclastic sediments and intrusives.</t>
  </si>
  <si>
    <t>Equigranular granodiorite</t>
  </si>
  <si>
    <t>px-ab (early) → ser-sil (late)</t>
  </si>
  <si>
    <t>skarn</t>
  </si>
  <si>
    <t>Central Hamersley (including Callwingina, Serenity-Cabbage Gum Bore and Solomon East)</t>
  </si>
  <si>
    <t>Central Hamersley</t>
  </si>
  <si>
    <t>Paleochannel deposits</t>
  </si>
  <si>
    <t>Ramanaidou et al. (2017)</t>
  </si>
  <si>
    <t>Age is based on the average ages of the Robe River and Yandicoogina ages. Endowment includes mineral resources only.</t>
  </si>
  <si>
    <t>Century</t>
  </si>
  <si>
    <t>Siliciclastic-carbonate shale-hosted zinc-lead</t>
  </si>
  <si>
    <t>Ga-Ge-Sb</t>
  </si>
  <si>
    <t>Lawn Hill Formation (H4s sub-member of Phm4 member)</t>
  </si>
  <si>
    <t>Siltstone, shale</t>
  </si>
  <si>
    <t>sid</t>
  </si>
  <si>
    <t>Sun et al. (1996a); Broadbent et al. (1998); Carr et al. (2001); O'Rourke et al. (2017); Valenta (2019f)</t>
  </si>
  <si>
    <t>Sun et al. (1996a); Broadbent et al. (1998); Carr et al. (2001)</t>
  </si>
  <si>
    <t>O'Rourke et al. (2017)</t>
  </si>
  <si>
    <t>Lead isotope model age calculated using CSIRO-AGSO North Australia model (Sun et al., 1996). Endowment is the original CRA mineral resource (O'Rourke et al., 2017). The tailings are being reprocessed, but these resources are not included as they were included in the original mineral resource.</t>
  </si>
  <si>
    <t>Chalice</t>
  </si>
  <si>
    <t>Simple pegmatite</t>
  </si>
  <si>
    <t>Higginsville</t>
  </si>
  <si>
    <t>Intercalated tholeiitic and komatiitic basalt</t>
  </si>
  <si>
    <t>dyke 2</t>
  </si>
  <si>
    <t>Quartz-feldspar monzogranite (quartz-albite-diopside altered along margin; locally contains up to 20 g/t disseminated gold). Syn-second stage mineralising event.</t>
  </si>
  <si>
    <t>Basal Pegmatite</t>
  </si>
  <si>
    <t>Quartz-feldspar-biotite pegmatite</t>
  </si>
  <si>
    <t>Bucci et al. (2004)</t>
  </si>
  <si>
    <t>Cited location is that of the Chalice gold deposit.</t>
  </si>
  <si>
    <t>Challenger</t>
  </si>
  <si>
    <t>Christie</t>
  </si>
  <si>
    <t>Mulgathing Complex</t>
  </si>
  <si>
    <t>Garnet-biotite quartzo-feldspathic gneiss with variable amounts of cordierite and orthopyroxene</t>
  </si>
  <si>
    <t>ser-chl (pre-metamorphism)</t>
  </si>
  <si>
    <t>Tomkins et al. (2004); McFarlane (2006); Mc Farlane et al. (2007); Reid (2017); Tomkins (2017)</t>
  </si>
  <si>
    <t>McFarlane (2006); Mc Farlane et al. (2007)</t>
  </si>
  <si>
    <t>Tomkins (2017)</t>
  </si>
  <si>
    <t>The age of the Challenger deposit, which is interpreted to have formed prior to prograde metamorphism, is constrained by the youngest detrital zircon in the host unit which has a SHRIMP U-Pb age of 2484 ± 22 Ma SHRIMP U-Pb: McFarlane et al., 2007), and by the 2454 ± 6 Ma age of the oldest generation of prograde metamorphic monazite (SHRIMP U-Pb: McFarlane, 2006). Although the original alteration assemblage has been destroyed by metamorphism, McFarlane et al. (2007) interpreted a pre-metamorphic assemblage of white mica and chlorite based on whole rock geochemistry. Endowment includes pre-mining resources.</t>
  </si>
  <si>
    <t>Chandler</t>
  </si>
  <si>
    <t>Basin - evaporite</t>
  </si>
  <si>
    <t>Evaporite</t>
  </si>
  <si>
    <t>Marine evaporite salt</t>
  </si>
  <si>
    <t>NaCl</t>
  </si>
  <si>
    <t>K2SO4</t>
  </si>
  <si>
    <t>Chandler Formation</t>
  </si>
  <si>
    <t>Laminated and locally contorted limestone and dolomite with numerous chert laminae, shale and evaporites (Chandler Salt) in subsurface.</t>
  </si>
  <si>
    <t>Cambrian (Toyonian)</t>
  </si>
  <si>
    <t>Livesey (2017)</t>
  </si>
  <si>
    <t>Cited age is converted from stratigraphic age of the host Chandler Formation. Endowment includes mineral resources only.</t>
  </si>
  <si>
    <t>Chariot/Malbec West</t>
  </si>
  <si>
    <t>Ag-Bi-Se</t>
  </si>
  <si>
    <t>chl (proximal) → dol±tc±qtz (distal)</t>
  </si>
  <si>
    <t>Emmerson Resources (2021)</t>
  </si>
  <si>
    <t>Endowment includes production and mineral resources, with the production grades cited the recovered grades.</t>
  </si>
  <si>
    <t>Charley Creek</t>
  </si>
  <si>
    <t>Fluvial placer rare earth elements</t>
  </si>
  <si>
    <t>Zr-REE</t>
  </si>
  <si>
    <t>Quaternary alluvials</t>
  </si>
  <si>
    <t>Endowment includes mineral resources only. The cited resource contains 57,965 t xenotime, 328,135 t monazite and 415,560 t zircon. Zirconium resources calculated from cited zircon content of resource. The resource is rich in heavy rare-earth elements.</t>
  </si>
  <si>
    <t>Charters Towers (includes Black Jack, Brilliant, Day Dawn-Mexican, Golden Alexandra, Great Britain, Maude St Ledger, North Australian, Stockholm and Warrior, among others)</t>
  </si>
  <si>
    <t>Ravenswood Granodiorite Complex (early intrusives)</t>
  </si>
  <si>
    <t>Granite, microgranite, granodiorite, tonalite, foliated in places, with minor quartz diorite, diorite, trondhjemite, gabbro, pegmatite and aplite.</t>
  </si>
  <si>
    <t>Ravenswood Granodiorite Complex (later intrusives)</t>
  </si>
  <si>
    <t>mus-cal-ank-py (proximal) → mon-il-chl-ep (distal)</t>
  </si>
  <si>
    <t>Peters and Golding (1989); Perkins and Kennedy (1998); Kreuzer (2005, 2006); Towsey (2012, 2020)</t>
  </si>
  <si>
    <t>Fergusson et al. (2005); Kruezer (2005)</t>
  </si>
  <si>
    <t>Kruezer (2006), Towsey (2020)</t>
  </si>
  <si>
    <t>Location used is Charters Towers Project. Total fusion age (possibly more reliable) was ~417 Ma. Endowment includes 6.6 Moz Au from historic production (1872-1920; silver production not recorded), 104,000 oz Au and 45,000 oz Ag from modern production (1997-2016), indicated mineral resources of 3.2 Mt grading 7.6 g/t Au and inferred mineral resources of 32 Mt grading 14 g/t Au (as of 8 December 2020) (Towsey, 2020). Towsey (2012) reported an indicated mineral resource of 3.2 Mt at 7.6 g/t Au and 5.1 g/t Ag and an inferred mineral resource of 25.0 Mt at 14 g/t Au and 5 g/t Ag (effective 8 May 2012). Silver endowment has been estimated using the grades reported by Towsey (2012) applied to the mineral resources reported by Towsey (2020).</t>
  </si>
  <si>
    <t>Chesney</t>
  </si>
  <si>
    <t>Great Cobar Slate</t>
  </si>
  <si>
    <t>Carbonaceous mudstone with thin interbeds of fine siltstone, rare graded, medium to fine grained quartzose sandstone.</t>
  </si>
  <si>
    <t>Early Devonian-Late Silurian</t>
  </si>
  <si>
    <t>sil-chl-qtz (early) → qtz-sul → chl-sul (late; associated with Pb-Zn)</t>
  </si>
  <si>
    <t>Stander and Berthelsen (2017)</t>
  </si>
  <si>
    <t>Stegman and Stegman (1996); Brown et al. (2017); Fitzherbert et al. (2017a); Stander and Berthelsen (2017); Fitzherbert and Downes (2020)</t>
  </si>
  <si>
    <t>Endowment includes production of 6 kt Cu and 28 koz Au from 1890 to 1953 and 20 t Cu and 46 koz Au from 2008 to 2016.</t>
  </si>
  <si>
    <t>Chichester (including Cloudbreak and Christmas Creek)</t>
  </si>
  <si>
    <t>Chichester</t>
  </si>
  <si>
    <t>Marra Mamba Iron Formation - Nammuldi Member</t>
  </si>
  <si>
    <t>Yellow-weathering chert, cherty BIF, some shale bands.</t>
  </si>
  <si>
    <t>Trendall et al. (1998); Clout et al. (2017)</t>
  </si>
  <si>
    <t>Trendall et al. (1998)</t>
  </si>
  <si>
    <t>Clout et al. (2017)</t>
  </si>
  <si>
    <t>Cited precursor age is from Trendall et al. (1998). Cited hypogene-enrichment age by analogy with Müller et al. (2005). Dominantly supergene-enriched ores, with minor Proterozoic hypogene-enriched ores. Endowment includes total mineral resources only.</t>
  </si>
  <si>
    <t>Chiltern goldfield</t>
  </si>
  <si>
    <t>Chiltern</t>
  </si>
  <si>
    <t>Tabberabbera</t>
  </si>
  <si>
    <t>Pinnak Sandstone</t>
  </si>
  <si>
    <t>Quartz sandstone; turbiditic; mudstone interbeds and rare black siliceous shale. Thinly bedded chert horizons.</t>
  </si>
  <si>
    <t>Fine-grained to pegmatitic tourmaline granite</t>
  </si>
  <si>
    <t>Gladiator Resources (2020)</t>
  </si>
  <si>
    <t>Hunter (1903); Phillips et al. (2003); Canavan (1988); Gladiator Resources (2020)</t>
  </si>
  <si>
    <t>Cited location is the approximate centre of the Chiltern Lead (Gladiator Resources Limited, 2020). The goldfield extends over an area of 30 km by 20 km. Phillips et al. (2003) indicate that the endowment includes production of 1 t from hard rock deposits and 45 kt from deep paleoplacer deposits; Hunter (1903) indicates significant production from alluvial deposits. Hunter (1903) also describes a narrow, auriferous vein cutting granite. Mineral resources include production data are from Canavan (1988) and the midpoint of a exploration target (260,000-529,000 oz) announced by Gladiator Resources Limited (2020).</t>
  </si>
  <si>
    <t>Chinook</t>
  </si>
  <si>
    <t>Earaheedy Basin</t>
  </si>
  <si>
    <t>Frere Formation (Navajoh Unconformity Unit)</t>
  </si>
  <si>
    <t>Informal name for multi-facies epiclastic sedimentary unit comprising reworked clasts of dolostone (micrite/marl) and shale from underlying Sweetwaters Well Dolomite. Located above the Navajoh Unconformity and, therefore, the basal unit of the Frere Formation.6902)</t>
  </si>
  <si>
    <t>Sweetwaters Well Dolomite</t>
  </si>
  <si>
    <t>Stromatolitic dolomite and limestone; lesser siltstone and sandstone</t>
  </si>
  <si>
    <t>Rumble Resources Limited (2023)</t>
  </si>
  <si>
    <t>Teen (1996); Rumble Resources Limited (2023)</t>
  </si>
  <si>
    <t>Stacey and Kramers( 1975); Teen (1996); Muhling et al. (2012); Sheppard et al. (2016b)</t>
  </si>
  <si>
    <t>Cited location is the approximate centre of the Chinook resource. The cited age is a Stacey and Kramer (1975) model age based on a single analysis of galena from Teen (1996). This analysis is apparently older than the model age from Tonka-Navajoh and the age of the Magellan deposit (ca. 1815 Ma: Muhling et al., 2012).</t>
  </si>
  <si>
    <t>Chloe-Jackson-Stella (Mt Misery)</t>
  </si>
  <si>
    <t>Einasleigh</t>
  </si>
  <si>
    <t>Einasleigh Metamorphics</t>
  </si>
  <si>
    <t>Biotite quartzo-feldspathic±garnet±sillimanite (pelitic) gneiss and interbedded psammitic gneiss and minor calc-silicate rock</t>
  </si>
  <si>
    <t>po-cal-px → gt-px-amp-mt</t>
  </si>
  <si>
    <t>Sun et al. (1996a); Kositcin et al. (2009); Consolidated Tin Mines Limited (2017); Lees and Buckle (2017)</t>
  </si>
  <si>
    <t>Sun et al. (1996a); Huston et al. (2021)</t>
  </si>
  <si>
    <t>Consolidated Tin Mines Limited (2020)</t>
  </si>
  <si>
    <t>Cited age is lead isotope model age calculated using CSIRO-AGSO North Australia model (Sun et al., 1996a). A sample of molybdenite was also dated, which returned a Re-Os model age of ca 412.6 Ma. As molybdenite is unusual in the deposit (unique), this age is considered an overprint related to Pama igneous event. Endowment includes mineral resource only.</t>
  </si>
  <si>
    <t>Christmas Hill</t>
  </si>
  <si>
    <t>Biotite gneiss (grading locally into migmatite) hornblende to hornblende diopside gneiss, mica schist and quartzite; minor leucocratic quartzo-feldspathic gneiss and rare amphibolite with relict pillows.</t>
  </si>
  <si>
    <t>Monzonite porphyry</t>
  </si>
  <si>
    <t>Bagstowe Ring Complex</t>
  </si>
  <si>
    <t>kao-ser, chl-ep, py</t>
  </si>
  <si>
    <t>Cited age is from alteration sericite. Endowment is after Morrison et al. (2019).</t>
  </si>
  <si>
    <t>Cleaverville Formation (including Ninimgarra Iron Formation)</t>
  </si>
  <si>
    <t>Cleaverville</t>
  </si>
  <si>
    <t>Mallina Basin</t>
  </si>
  <si>
    <t>Cited age is strictly a maximum depositional age, but likely to be close to age of deposition as it is from felsic sediments.</t>
  </si>
  <si>
    <t>Cleo</t>
  </si>
  <si>
    <t>Masson Formation</t>
  </si>
  <si>
    <t>Graphitic, schistose sediments</t>
  </si>
  <si>
    <t>Predominantly I-type granites. I-type, granodioritic, consisting of three major pluton types: leucogranites, uniform granodiorite to granite suites and concentrically zoned plutons.</t>
  </si>
  <si>
    <t>Kingsland Minerals Limited (2023)</t>
  </si>
  <si>
    <t>Kingsland Minerals Limited (2023) infer that the granite was linked to mineralisation, as the granite also hosts elevated U. Multiple phases of intrusion seem to have occurred and the associated granites within the Cullen Suite have not been specifically identified.</t>
  </si>
  <si>
    <t>Cleveland (including Foley Zone)</t>
  </si>
  <si>
    <t>Carbonate-replacement tin ± copper</t>
  </si>
  <si>
    <t>Cleveland</t>
  </si>
  <si>
    <t>Halls Formation</t>
  </si>
  <si>
    <t>Light to dark grey and purple shale and fine-grained tuff, with limestone (hosted to carbonate-replacement lenses), grey-green-red chert, greywacke, basic tuff and basalt. Foley Zone is hosted by siliciclastic rocks.</t>
  </si>
  <si>
    <t>Ediacaran-Early Cambrian</t>
  </si>
  <si>
    <t>Greisen-altered quartz-feldspar porphyry stock</t>
  </si>
  <si>
    <t>Meredith Granite</t>
  </si>
  <si>
    <t>I-type biotite granite. Composed of adamellite to alkali-feldspar granite.</t>
  </si>
  <si>
    <t>[qtz-top±mus±fl±cas±tho±sul (core) → py-qtz-top±mar±stn±cas±sul → qtz-mus (margin)] (dyke), [frh-po-qtz-fl±mt±dnl±sch±cas±anr (at depth) → py-tm-qtz-sid-cas±ann±mus±po±sul → po-py-sul (ore zone, distal)] (replacement lenses)</t>
  </si>
  <si>
    <t>calc-sil, gre</t>
  </si>
  <si>
    <t>Collins (1981); Kwak (1987); Jackson et al. (2000); Green et al. (2014); Hong et al. (2017); Denholm et al. (2021)</t>
  </si>
  <si>
    <t>Hong et al. (2017); Denholm et al. (2021)</t>
  </si>
  <si>
    <t>Elementos Limited (2013)</t>
  </si>
  <si>
    <r>
      <t>Cited age (Denholm et al., 2021) overlaps with that of the Meredith Granite (374 ± 4 Ma (LA-ICP-MS U-Pb): Hong et al., 2017), to which the deposit is spatially associated. Endowment includes production (1968-1986) of 5.645 Mt at 0.68% Sn and 0.28% Cu and JORC-compliant mineral resources (at 13 April 2013) of 6.119 Mt grading 0.68% Sn and 0.25% Cu (Cleveland) and JORC-complaint mineral resources of 3.980 Mt at 0.30% WO</t>
    </r>
    <r>
      <rPr>
        <vertAlign val="subscript"/>
        <sz val="9"/>
        <color rgb="FF000000"/>
        <rFont val="Times New Roman"/>
        <family val="1"/>
      </rPr>
      <t>3</t>
    </r>
    <r>
      <rPr>
        <sz val="9"/>
        <color rgb="FF000000"/>
        <rFont val="Times New Roman"/>
        <family val="1"/>
      </rPr>
      <t xml:space="preserve"> (Foley Zone) (Elementos Limited, 2013). Endowment excludes current tailings resources (3.850 Mt at 0.30% Sn and 0.13% Cu) as they were included in the head grade of production. The main Cleveland deposit is a carbonate-replacement deposit whereas the Foley Zone is a stockwork zone centred on a greisenised quartz-feldspar porphyry.</t>
    </r>
  </si>
  <si>
    <t>Cliffs-Charterhall</t>
  </si>
  <si>
    <t>Mount Keith</t>
  </si>
  <si>
    <t>Cliffs Ultramafic Unit</t>
  </si>
  <si>
    <t>Komatiite flows, olivine mesocumulate, olivine-sulfide adcumulate and massive nickel sulfide</t>
  </si>
  <si>
    <t>tc-car</t>
  </si>
  <si>
    <t>Nelson (1997); Perring (2015); Perring et al. (2017)</t>
  </si>
  <si>
    <t>Nelson (1997)</t>
  </si>
  <si>
    <t>Perring et al. (2017)</t>
  </si>
  <si>
    <t>Alteration is post mineralisation. Mining commenced in 2008, with a total endowment exceeding 0.2 Mt Ni (cited value). Total mineral resources at 30 June 2016 was 8.1 Mt at 2.0% Ni.</t>
  </si>
  <si>
    <t>Clunes goldfield</t>
  </si>
  <si>
    <t>Clunes</t>
  </si>
  <si>
    <t>White Hills Gravel</t>
  </si>
  <si>
    <t>Vein quartz conglomerate, sand, silt, clay (fluvial braid plain); compositionally mature, well-rounded pebbles and cobbles of reef quartz, lesser angular vein quartz and bedrock clasts; moderately to well sorted, massive to crudely stratified.</t>
  </si>
  <si>
    <t>Ercildoun Granite</t>
  </si>
  <si>
    <t>Nonmagnetic, medium grained, leucocratic, biotite granite, reduced I-type, commonly porphyritic in quartz, plagioclase and K-feldspar</t>
  </si>
  <si>
    <t>car-mus</t>
  </si>
  <si>
    <t>https://www.mindat.org/loc-258536.html (accessed March 2024)</t>
  </si>
  <si>
    <t>Taylor et al. (2000); Phillips et al. (2003)</t>
  </si>
  <si>
    <t>Cited age is by analogy with the Bendigo, Ballarat and Castlemaine districts. Endowment includes 37 t of hard rock and 10 t of deep paleoplacer production (Phillips et al., 2003).</t>
  </si>
  <si>
    <t>Coalstoun Lakes</t>
  </si>
  <si>
    <t>Gayndah</t>
  </si>
  <si>
    <t>Esk Basin</t>
  </si>
  <si>
    <t>Curtis Island Group</t>
  </si>
  <si>
    <t>Strongly deformed arenite, mudstone, chert and minor mafic volcanics; locally grades into mica schist, gneiss, amphibolite, quartzite.</t>
  </si>
  <si>
    <t>Late Devonian-Carboniferous</t>
  </si>
  <si>
    <t>Coalstoun intrusives</t>
  </si>
  <si>
    <t>Porphyritic biotite microtonalite, porphyritic biotite-hornblende microdiorite/microtonalite, trondhjemite, porphyritic quartz-hornblende microdiorite, porphyritic microdiorite and microdiorite/andesite/dacite dykes</t>
  </si>
  <si>
    <t>ksp-bt-mt-ab (pot) (proximal) → qtz-er-py (phy) → chl-ep (pro (distal; regional assemblage); pot (early) → phy (late)</t>
  </si>
  <si>
    <t>ActivEX Limited (2016)</t>
  </si>
  <si>
    <t>Ashley et al. (1978); ActivEX Limited (2016); activex.com.au (accessed September 2020)</t>
  </si>
  <si>
    <t>activex.com.au (accessed September 2020)</t>
  </si>
  <si>
    <t>Cited location is the centre of the surface extent of the primary zone. The supergene zones extends further to the north. The deposit is interpreted as a calc-alkalic porphyry copper deposit based on geochemical diagrams provided by D Purdy (Geological Survey of Queensland, pers. comm., 2020) showing the composition of the nearby Mongore Granite. Cited molybdenite age was reported on activex.com.au but not formally published. Endowment includes JORC2012-compliant mineral resources.</t>
  </si>
  <si>
    <t>Coastal heavy mineral sand deposits, New South Wales (includes Harrington, Hawks Nest, Stockton, Tomago, Tuncurry and Viney Creek near Newcastle and Kingscliff near Surfers Paradise)</t>
  </si>
  <si>
    <t>Heavy mineral sands</t>
  </si>
  <si>
    <t>Beach sands</t>
  </si>
  <si>
    <t>Holocene</t>
  </si>
  <si>
    <t>Wallis and Oakes (1990)</t>
  </si>
  <si>
    <t>Endowment for New South Wales coastal heavy mineral sand deposits includes production of 4.242 Mt rutile, 4.324 Mt zircon, 0.499 Mt ilmenite and 22 kt monazite from 1941 to 1987. Resources for east coast minerals sands at December 1987 were 6.3 Mt rutile, 6.2 Mt zircon and 13.4 Mt ilmenite could not be attributed by state. Endowment is NOT code-compliant.</t>
  </si>
  <si>
    <t>Coastal heavy mineral sand deposits, Queensland (includes Kirra, Gold Coast, South Stradbroke Island, North Stradbroke Island and Moreton Island near Brisbane, Noosa, Cooloola, Inskip Point and Fraser Island near Gympie-Maryborough, and Rocky Point, Eurimbula, Middle Island, Rodds Peninsula, Hummock Hill Island, Wild Cattle Island, Curtis Island and Byfield on central Queensland Coast)</t>
  </si>
  <si>
    <t>Endowment for Queensland coastal heavy mineral sand deposits includes production of 2.184 Mt rutile, 1.849 Mt zircon, 1.096 Mt ilmenite and 2.83 kt monazite from 1941 to 1987. Resources for east coast minerals sands at December 1987 of 6.3 Mt rutile, 6.2 Mt zircon and 13.4 Mt ilmenite could not be attributed by state.</t>
  </si>
  <si>
    <t>Coles Hill</t>
  </si>
  <si>
    <t>Strangways Ranges</t>
  </si>
  <si>
    <t>Strangways Metamorphic Complex</t>
  </si>
  <si>
    <t xml:space="preserve">Biotite-quartzofeldspathic gneiss, cordierite-quartz granofels, amphibolite and mafic granulite </t>
  </si>
  <si>
    <t>Mafic gneiss</t>
  </si>
  <si>
    <t>qtz-crd</t>
  </si>
  <si>
    <t>qtz-gt-mt</t>
  </si>
  <si>
    <t>Hussey et al. (2005)</t>
  </si>
  <si>
    <t>Lead model age calculated using the Strangways model of Hussey et al. (2005).</t>
  </si>
  <si>
    <t>Collerina Central Zone</t>
  </si>
  <si>
    <t>Helix Resources Limited (2019)</t>
  </si>
  <si>
    <t>Helix Resources Limited (2019, 2021)</t>
  </si>
  <si>
    <t>Endowment includes mineral resources only. Interpreted as a Besshi-type volcanic-hosted massive sulfide deposit by Helix Resources Limited (2019).</t>
  </si>
  <si>
    <t>Collingwood</t>
  </si>
  <si>
    <t>Cooktown</t>
  </si>
  <si>
    <t>Collingwood Granite</t>
  </si>
  <si>
    <t>Mainly white to pale grey, medium to coarse-grained, seriate to slightly porphyritic cordierite-biotite granite; tourmaline and miarolitic cavities locally common; minor fine-grained porphyritic granite and greisen; scattered pegmatitic patches/lenses.</t>
  </si>
  <si>
    <t>Collingwood Granite (Finlayson Granitoid)</t>
  </si>
  <si>
    <t>Mainly white to pale grey, medium to coarse-grained, seriate to slightly porphyritic cordierite-biotite granite; tourmaline and miarolitic cavities locally common; minor fine-grained porphyritic granite and greisen; scattered pegmatitic patches/lenses. Jones et al. (1989) describe several textural varieties, ranging from medium-grained, equigranular to microgranite at the deposit.</t>
  </si>
  <si>
    <t>Dravite aplite that varies from a dravite adamellite to a quartz-dravite±topaz±cassiterite rock</t>
  </si>
  <si>
    <t>Quartz-alkali feldspar-perthite-biotite porphyry</t>
  </si>
  <si>
    <t>qtz-mus-tm-bt-chl-fl-ap-sul</t>
  </si>
  <si>
    <t>Jones et al. (1990); Chang et al. (2017)</t>
  </si>
  <si>
    <t>Cited age is of the ore-hosting Collingwood Granite. Endowment includes production of 5133 t Sn and mineral resources of 0.643 Mt grading 1.19% Sn (Chang et al., 2017).</t>
  </si>
  <si>
    <t>Commonwealth (includes, Main Shaft Commonwealth South and Silica Hill)</t>
  </si>
  <si>
    <t>Wellington</t>
  </si>
  <si>
    <t>Gleneski Formation</t>
  </si>
  <si>
    <t>Rhyolitic, felsic to latitic lava, intrusives and tuff.</t>
  </si>
  <si>
    <t>sil-ser</t>
  </si>
  <si>
    <t>Stevens (1974); Downes (1999); Impact Minerals Limited (2019); www.impactminerals.com.au (accessed November 2020)</t>
  </si>
  <si>
    <t>Impact Minerals Limited (2019)</t>
  </si>
  <si>
    <t>Age is based upon correlation with other regional Silurian volcanic successions. Cited resource includes production in the early 1900s of 6476 t at 2% Cu, 15% Zn, 7% Pb, 150 g/t Ag and 6 g/t Au and mineral resources of 0.912 Mt at 1.2% Zn, 0.5% Pb, 44 g/t Ag and 2.4 g/t Au at the Commonwealth deposit (Main Shaft to Commonwealth South) and 0.710 Mt at 88 g/t Ag and 0.8 g/t Au at Silica Hill.</t>
  </si>
  <si>
    <t>Condobolin (including Surprise, Gold Paint, Mascotte and Phoenix)</t>
  </si>
  <si>
    <t>Intermediate sulfidation silver-gold ± base metals</t>
  </si>
  <si>
    <t>Condobolin</t>
  </si>
  <si>
    <t>sil-chl</t>
  </si>
  <si>
    <t>Downes and Burton (2000)</t>
  </si>
  <si>
    <t>Assigned intermediate-sulfidation epithermal based on metal assemblage and vein textures.</t>
  </si>
  <si>
    <t>Conrad (including Conrad, King Conrad and Greisen zones)</t>
  </si>
  <si>
    <t>Vein zinc-lead-silver</t>
  </si>
  <si>
    <t>Tingha-Gilgai</t>
  </si>
  <si>
    <t>Gilgai Granite</t>
  </si>
  <si>
    <t>Fine to coarse grained porphyritic to equigranular biotite (hornblende) granite and monzogranite.</t>
  </si>
  <si>
    <t>Tingha Monzogranite</t>
  </si>
  <si>
    <t>Porphyritic hornblende-biotite monzogranite.</t>
  </si>
  <si>
    <t>qtz-ser-chl-py±po</t>
  </si>
  <si>
    <t>Meares (2007); Malachite Resources (2008a); Cross and Blevin (2010); Thomson Resources Limited (2021)</t>
  </si>
  <si>
    <t>Cross and Blevin (2010)</t>
  </si>
  <si>
    <t>Malachite Resources (2008a); Thomson Resources Limited (2021)</t>
  </si>
  <si>
    <t>Cited age is the most precise of three zircon U-Pb ages of the host Gilgai Granite (other ages are 252.2 ± 1.8 Ma and 252.6 ± 1.8 Ma: Cross and Blevin, 2010). Endowment includes production of 0.175 Mt at 1.5% Cu, 4% Zn, 8% Pb, 600 g/t Ag and 1.5% Sn (In not recovered; Thomson Resources Limited, 2021) at the Conrad mine and mineral resources of 2.652 Mt @ 0.20% Cu, 0.53% Zn, 1.33% Pb, 105.3 g/t Ag, 0.22% Sn and 6.8 g/t In (Conrad–King Conrad zone) and indicated and inferred resource in the adjacent Greisen zone totalling 0.479 Mt @ 0.02% Cu, 0.75% Zn, 0.88% Pb, 40.6 g/t Ag and 0.13% Sn (Malachite Resources NL, 2008a).</t>
  </si>
  <si>
    <t>Constance Range - deposit A</t>
  </si>
  <si>
    <t>Oolitic iron formation</t>
  </si>
  <si>
    <t>Constance Range</t>
  </si>
  <si>
    <t>South Nicholson Basin</t>
  </si>
  <si>
    <t>Train Range Ironstone Member</t>
  </si>
  <si>
    <t>Oolitic hematite iron formation with siderite and chamosite beds ("Wabana type"). Consists of 3-4 lenticular ironstone beds and thinly bedded, alternating dark grey shales, siltstones and sandstones.</t>
  </si>
  <si>
    <t>Curnow et al. (2022)</t>
  </si>
  <si>
    <t>Ahmad and Munson (2013); Curnow et al. (2022); Carcon et al. (2023)</t>
  </si>
  <si>
    <t>Carcon et al. (2023)</t>
  </si>
  <si>
    <t>Cited age is by correlation with the Roper Group, with is constrained by the age of a tuff in the Mainoru Formation (1492 ± 4 Ma - SHRIMP zircon U-Pb) which is towards the base of the Roper Group and the age of the intrusive Derim Derim Dolerite (1324 ± 4 Ma - SHRIMP baddeleyite U-Pb). Endowment includes mineral resources only that Curnow et al. (2022) do not consider to be up to JORC standards.</t>
  </si>
  <si>
    <t>Constance Range - deposit D</t>
  </si>
  <si>
    <t>Constance Range - deposit I</t>
  </si>
  <si>
    <t>Constance Range - deposit P</t>
  </si>
  <si>
    <t>Cooley II</t>
  </si>
  <si>
    <t>McArthur River</t>
  </si>
  <si>
    <t>Emmerugga Dolostone</t>
  </si>
  <si>
    <t>Massive, dark grey, karstic-weathering, crystalline dololutite; Dololutite, stromatolitic dololutite, dolomitic siltstone, dolarenite and dolomitic breccia; stromatolites; common halite casts and quartz nodules after evaporites.</t>
  </si>
  <si>
    <t>Williams (1978a,b); Kneale et al. (1979); Rye and Williams (1981); Ahmad et al. (2013c)</t>
  </si>
  <si>
    <t>Kneale et al. (1979)</t>
  </si>
  <si>
    <t>Cited age is by analogy with other deposits in the McArthur River district. Cooley II is unusual as it is a copper deposit with minor lead and zinc. It is located closest to the Emu Fault. It is hosted by brecciated Emmerugga Dolostone; Cooley I and III are Zn-Pb-rich. Endowment includes pre-JORC mineral resources only (Kneale et al., 1979).</t>
  </si>
  <si>
    <t>Coolgardie district (including Barbaras Surprise, Bayleys, Bonnievale, Burbanks, MacPhersons, Three Mile Hill, Tindals and many smaller deposits - 60 deposits in total)</t>
  </si>
  <si>
    <t>Coolgardie</t>
  </si>
  <si>
    <t>Basalt (base of host succession), komatiite, felsic volcanic rocks, felsic volcaniclastic rocks and sedimentary rocks (top)</t>
  </si>
  <si>
    <t>Komatiite</t>
  </si>
  <si>
    <t>ab-sil-car-sul (main assemblage); bt-chl-tc-car-tm (e.g. Barbara Surprise); bt-sul±dp±gt (McPhersons Reward)</t>
  </si>
  <si>
    <t>Goodz and Money (2017)</t>
  </si>
  <si>
    <t>Location is taken as that of the largest deposit, Tindals. Age is inferred to be synchronous with peak metamorphism (~2650 Ma). Endowment includes historic production and resources current as December 2016.</t>
  </si>
  <si>
    <t>Coondamar Creek</t>
  </si>
  <si>
    <t>Mosquito Creek formation</t>
  </si>
  <si>
    <t>Sandstone, siltstone, shale and conglomerate</t>
  </si>
  <si>
    <t>Ferguson (1999)</t>
  </si>
  <si>
    <t>Ferguson (1999); Huston et al. (2002a)</t>
  </si>
  <si>
    <t>Huston et al. (2002a)</t>
  </si>
  <si>
    <t>Copernicus</t>
  </si>
  <si>
    <t>Halls Creek</t>
  </si>
  <si>
    <t>Cu-Ni</t>
  </si>
  <si>
    <t>Au-PGE</t>
  </si>
  <si>
    <t>Copernicus pyroxenite</t>
  </si>
  <si>
    <t>Pyroxenite-peridotite body</t>
  </si>
  <si>
    <t>Orosirian</t>
  </si>
  <si>
    <t>Po</t>
  </si>
  <si>
    <t>Cpy</t>
  </si>
  <si>
    <t>Pn</t>
  </si>
  <si>
    <t>Mole et al. (2018)</t>
  </si>
  <si>
    <t>Mole et al. (2018); Le Vaillant et al. (2019)</t>
  </si>
  <si>
    <t>Sally Malay Mining Limited (2007)</t>
  </si>
  <si>
    <t>Resources are pre-mining total resources.</t>
  </si>
  <si>
    <t>Copi district (includes Copi North, Copi South and Springwood)</t>
  </si>
  <si>
    <t>Copi</t>
  </si>
  <si>
    <t>Standing et al. (2017); http://www.relentlessresources.com.au (accessed March 2019)</t>
  </si>
  <si>
    <t>Keeling et al. (2016); Standing et al. (2017)</t>
  </si>
  <si>
    <t>http://www.relentlessresources.com.au (accessed March 2024)</t>
  </si>
  <si>
    <t>Cited location is that of the Copi North deposit. Cited age is based on Late Miocene-Early Pliocene (7.2-5.0 Ma) age of host Loxton Sand as reported by Keeling et al. (2016). Endowment includes mineral resources only as reported by Relentless Resources (http://www.relentlessresources.com.au). To estimate Ti content, leucoxene is conservatively assumed to contain 70% TiO2; to estimate REO it was assumed that the combined monazite+xenotime fraction was 58% REO.</t>
  </si>
  <si>
    <t>Copley (Camel Flat)</t>
  </si>
  <si>
    <t>Sedimentary magnesite</t>
  </si>
  <si>
    <t>Mg</t>
  </si>
  <si>
    <t>Horn et al. (2017)</t>
  </si>
  <si>
    <t>Preiss et al. (2009); Horn et al. (2017)</t>
  </si>
  <si>
    <t xml:space="preserve">Cited age is that of a rhyolitic rock hosted within the Skillogalee Dolomite (Preiss et al., 2009). Endowment includes mineral resources only. </t>
  </si>
  <si>
    <t>Copper Blow</t>
  </si>
  <si>
    <t>Ernest Henry-type copper-gold</t>
  </si>
  <si>
    <t>Ag-Bi-Co-Mo-REE-Te</t>
  </si>
  <si>
    <t>Thackaringa Group</t>
  </si>
  <si>
    <t>Composite gneiss, albite-rich rocks, granitic gneiss, amphibolite, minor quartz-magnetite rocks and garnet-quartz rocks.</t>
  </si>
  <si>
    <t>Broken Hill Group</t>
  </si>
  <si>
    <t>Metasediments, garnetiferous quartzo-feldspathic gneiss, amphibolite, minor garnet and gahnite-rich rocks, banded iron formation.</t>
  </si>
  <si>
    <t>bt-mt-ksp-qtz (early) → ser-chl-car-sul (late)</t>
  </si>
  <si>
    <t>Silver City Minerals Limited (2017, 2021)</t>
  </si>
  <si>
    <t>Silver City Minerals Limited (2017, 2021); J. Fitzherbert, pers. comm.</t>
  </si>
  <si>
    <t>J. Fitzherbert, pers. comm.</t>
  </si>
  <si>
    <t>Silver City Minerals Limited (2021)</t>
  </si>
  <si>
    <t>Endowment includes production of 715 t Cu (1887-1937: Silver City Minerals Limited, 2017) and an exploration target of 10.5-14.5 Mt and 0.6-0.8% Cu, 0.13-0.23 g/t Au (Silver City Minerals Limited, 2021; midpoints used to estimate endowment). Cited age is the oldest age reported by Fitzhertbert et al. (in prep.); the total range in ages ranges from ca 1612 Ma to ca 400 Ma.</t>
  </si>
  <si>
    <t>Copper Hill</t>
  </si>
  <si>
    <t>Hornblende</t>
  </si>
  <si>
    <t>Fairbridge Volcanics</t>
  </si>
  <si>
    <t>Volcaniclastic rocks containing fresh-looking subhedral to euhedral phenocrysts of zoned and sieve-textured plagioclase, subhedral to euhedral clinopyroxene (often with distinct cores), and opaques (magnetite) set in a fine-grained feldspar-rich groundmass.</t>
  </si>
  <si>
    <t>Copper Hill Intrusive Complex</t>
  </si>
  <si>
    <t>Early porphyritic diorite followed by syn-ore multiphase calc-alkaline, porphyritic tonalites.</t>
  </si>
  <si>
    <t>bt-mt, qtz-cal-chl-mt-py (stage 1) → qtz-ser-py (stage 2; low grade) → bt(chl)-act (vein proximal) → ser-chl-mt (distal) (stage 3; high grade)) → ser-chl-car (stage 4; post-ore) → gyp-lau (stage 5) sup (stage 6)</t>
  </si>
  <si>
    <t>https://www.mindat.org/loc-291682.html (accessed March 2024)</t>
  </si>
  <si>
    <t>Scott (1978); Perkins et al. (1995); Blevin (2002); Scott and Torrey (2003); Cooke et al. (2007); Golden Cross Resources Limited (2015); Hayward et al. (2015)</t>
  </si>
  <si>
    <t>Perkins et al. (1995)</t>
  </si>
  <si>
    <t>Golden Cross Resources Limited (2015)</t>
  </si>
  <si>
    <t>The cited age is the age magmatic hornblende from associated tonalitic intrusion (Perkins et al., 1995). It is supported by a zircon U-Pb age of 450 ± 6 Ma (Perkins et al., 1995). Endowment includes mineral resources only calculated using a 0.2% Cu cutoff grade (Golden Cross Resources Limited, 2015), but excludes 3300 t of supergene ore of unspecified grade produced between 1845 and 1851 (Scott and Torrey, 2003). If a 0.4% cutoff grade is used, total resources are 28 Mt grading 0.56% Cu and 0.53 g/t Au. Minor gypsum is associated with laumontite in late stage veins, but not reported in hypogene copper mineralisation.</t>
  </si>
  <si>
    <t>Coronation Hill</t>
  </si>
  <si>
    <t>South Alligator River uranium field</t>
  </si>
  <si>
    <t>Debris Flow Conglomerate (local name)</t>
  </si>
  <si>
    <t>Polymict (type A) and monomict (type B) sedimentary breccia</t>
  </si>
  <si>
    <t>Quartz diorite</t>
  </si>
  <si>
    <t>chl-ser±qtz±py</t>
  </si>
  <si>
    <t>Carville et al. (1990); McKay (1990); Mernagh et al. (1994); Orth et al. (2014)</t>
  </si>
  <si>
    <t>Orth et al. (2014)</t>
  </si>
  <si>
    <t>Carville et al. (1990)</t>
  </si>
  <si>
    <r>
      <t>Cited age is upper intercept of discordia. Endowment includes both historic production and (pre-JORC) mineral resources. Gold and uranium production was 26,000 t grading 2.6 kg/t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and 10.4 g/t Au (Carville et al., 1990). Mineral resources for gold, platinum and palladium are 4.85 Mt at 4.31 g/t Au, 0.19 g/t Pt and 0.65 g/t Pd (Carville et al., 1990). McKay (1990) estimated a high-grade uranium resource to be 0.344 Mt at 0.537%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and 9.95 g/t Au (this gold resource has not been included in the pre-mining resource estimate as it likely duplicates the Carville et al. (1990) resource estimate).</t>
    </r>
  </si>
  <si>
    <t>Corunna Downs (including Split Rock, Glen Herring, Runway and Shark Gully)</t>
  </si>
  <si>
    <t>Corunna Downs</t>
  </si>
  <si>
    <t>Dominantly supergene-enriched ore with lesser hypogene-enriched ore. The hypogene-enriched ores are characterised by recrystallised magnetite.</t>
  </si>
  <si>
    <t>Cosmos (includes Cosmos, Cosmos Deeps, Alec Mairs 1 and 2, and Mount Goode (Anomaly 1))</t>
  </si>
  <si>
    <t>SIMS</t>
  </si>
  <si>
    <t>Cosmos Ultramafic Sequence</t>
  </si>
  <si>
    <t>Dominantly olivine mesocumulates and olivine adcumulates with spinifex-textured komatiites, olivine-pyroxene cumulates and olivine orthocumulates</t>
  </si>
  <si>
    <t>serp</t>
  </si>
  <si>
    <t>de Joux et al. (2013); Thordarson and de Joux (2017)</t>
  </si>
  <si>
    <t>Thordarson and de Joux (2017)</t>
  </si>
  <si>
    <t>The cited age is that of a felsic volcanic rock at the "reactivation contact" between two mineralised komatiitic flows. The age of the komatiitic succession is constrained to between 2724 ± 3 Ma and 2670 ± 6 Ma by the underlying succession and a cross-cutting dyke. The endowment is determined from Figure 2 of Thordarson and de Joux (2017). Alteration is post mineralisation.</t>
  </si>
  <si>
    <t>Costerfield</t>
  </si>
  <si>
    <t>Melbourne</t>
  </si>
  <si>
    <t>Au-Sb</t>
  </si>
  <si>
    <t>Ag-As-Bi-Te</t>
  </si>
  <si>
    <t>Costerfield Siltstone</t>
  </si>
  <si>
    <t>Weakly bedded mudstone and silty-mudstone with lesser siltstone and sandstone</t>
  </si>
  <si>
    <t>Ealy Silurian</t>
  </si>
  <si>
    <t>Ebbels et al. (2019)</t>
  </si>
  <si>
    <t>Edwards et al. (1995); Campbell et al. (2003); Davis et al. (2017); Wilson et al. (2017); Ebbels et al. (2019)</t>
  </si>
  <si>
    <t>Wilson et al. (2017)</t>
  </si>
  <si>
    <t>Edwards et al. (1995); Ebbels et al. (2019)</t>
  </si>
  <si>
    <t>Cited location is that of the Augusta mine (Ebbels et al., 2019). Cited age is by analogy with other gold deposits in the Melbourne Zone. Wilson et al. (2017) interpret a Tabberabberan (ca. 375 Ma) age for mineralisation, consistent with the cited age. Endowment includes production through 2018 and mineral resources at 1 December 2018 (Edwards et al., 1995; Ebbels et al., 2019). The tonnage and grade data exclude minor alluvial gold production (Edwards et al., 1995), but this production has been included in the total endowment.</t>
  </si>
  <si>
    <t>Coucal Formation</t>
  </si>
  <si>
    <t>Coonterunah</t>
  </si>
  <si>
    <t>Amphibolite; metamorphosed mafic volcanic and intrusive rocks, locally schistose. Basalt, andesitic to felsic volcanic rocks, and interbedded black and white-layered cherty iron formations.</t>
  </si>
  <si>
    <t>Buick et al. (1995)</t>
  </si>
  <si>
    <t>Cow Flat</t>
  </si>
  <si>
    <t>Bathurst</t>
  </si>
  <si>
    <t>Bells Creek Volcanics</t>
  </si>
  <si>
    <t>Rhyolite, rhyolitic tuff and lava, quartz feldspar porphyry, tuffaceous sandstone, breccia; minor actinolite schist, marble</t>
  </si>
  <si>
    <t>Downes (1998)</t>
  </si>
  <si>
    <t>Stanton (1955); Downes (1998); Huston et al. (2006a)</t>
  </si>
  <si>
    <t>Huston et al. (2006a)</t>
  </si>
  <si>
    <t>Cited age is based upon correlation with other regional Silurian volcanic successions. Endowment is that cited by Huston et al. (2006a).</t>
  </si>
  <si>
    <t>Cowalinya</t>
  </si>
  <si>
    <t>Albany-Fraser</t>
  </si>
  <si>
    <t>Clay</t>
  </si>
  <si>
    <t>Ionic adsorption rare-earth-elements - HREE-enriched</t>
  </si>
  <si>
    <t>REE-Y-U-Th</t>
  </si>
  <si>
    <t>Heavy Rare Earths Limited (2023)</t>
  </si>
  <si>
    <t>Location is approximate.</t>
  </si>
  <si>
    <t>Cowarra district</t>
  </si>
  <si>
    <t>Cowarra</t>
  </si>
  <si>
    <t>Adaminaby Group</t>
  </si>
  <si>
    <t>Turbiditic sequence of sandstone, mudstone, shale, carbonaceous shale, greywacke; chert, quartzite, phyllite, slate.</t>
  </si>
  <si>
    <t>Koolambah Monzogranite</t>
  </si>
  <si>
    <t>Hornblende-biotite monzogranite</t>
  </si>
  <si>
    <t>chl-ser-sil</t>
  </si>
  <si>
    <t>McQueen (1986); Rickard et al. (1996); Zenith Minerals Limited (2021)</t>
  </si>
  <si>
    <t>Rickard et al. (1996)</t>
  </si>
  <si>
    <t>McQueen (1986); Zenith Minerals Limited (2021)</t>
  </si>
  <si>
    <t>Cited age is a K-Ar age of biotite from the Kamboolah Monzogranite recalculated using updated decay constants (Rickard et al., 1996). It should be regarded as a minimum age of mineralisation assuming that gold mineralisation is associated with this granite. Endowment includes production of 14700 oz gold from 53,650 t (at an grade of 8.6 g/t: Zenith Minerals Limited, 2021), and pre-JORC mineral resources of 0.165 Mt at 0.013% Cu, 1.8 g/t Ag and 8-13 g/t Au (McQueen, 1986). To calculate the endowment from mineral resources a grade of 9.0 g/t was assumed.</t>
  </si>
  <si>
    <t>Coxco</t>
  </si>
  <si>
    <t>Reward Dolostone</t>
  </si>
  <si>
    <t>Dololutite, stromatolitic dololutite, silty dololutite and dolarenite with lesser sandy dolarenite, dololutite and sandstone; laminated, thinly to massive bedded, cross-bedded, brecciated and slumped; oncoids, ooids and silica spheroids.</t>
  </si>
  <si>
    <t>Walker et al. (1983); Ahmad and Khan (2013); Ahmad et al. (2013c)</t>
  </si>
  <si>
    <t>Endowment includes pre-JORC mineral resources only.</t>
  </si>
  <si>
    <t>Coyote</t>
  </si>
  <si>
    <t>Turbiditic sandstone with minor siltstone (ore host at Coyote)</t>
  </si>
  <si>
    <t>chl-ser-bt</t>
  </si>
  <si>
    <t>Bagas et al. (2007); Cross (2009)</t>
  </si>
  <si>
    <t>Cross (2009)</t>
  </si>
  <si>
    <t>Black Cat Syndicate Limited (2022)</t>
  </si>
  <si>
    <t>Endowment includes pre-mining mineral resources (Bagas et al., 2007). Endowment includes production to 2014 of 0.211 koz Au (9.67 t)and mineral resources at 15 June 2022 of 0.797 Mt at 10.4 g/t (8.29 t).</t>
  </si>
  <si>
    <t>Cracow district (includes the Eastern and Western Fields)</t>
  </si>
  <si>
    <t>Cracow</t>
  </si>
  <si>
    <t>Connors-Auburn</t>
  </si>
  <si>
    <t>Camboon Volcanics</t>
  </si>
  <si>
    <t>Basaltic to andesitic lava and equivalent volcaniclastic rocks; subordinate felsic ignimbrite, other felsic volcaniclastic rocks and minor lava; commonly deformed.</t>
  </si>
  <si>
    <t>Permo-Carboniferous</t>
  </si>
  <si>
    <t>Rhyolite dykes</t>
  </si>
  <si>
    <t>sil (proximal) → phy → pot → pro (distal) (early) → arg (late)</t>
  </si>
  <si>
    <t>C Perkins in Dong and Zhou (1996); Pike et al. (2017)</t>
  </si>
  <si>
    <t>C Perkins in Dong and Zhou (1996)</t>
  </si>
  <si>
    <t>Pike et al. (2017), Evolution Mining Limited (2017a, 2017b, 2018b, 2019, 2020), Aeris Resources Limited (2023)</t>
  </si>
  <si>
    <t>Cited age is from felsic dykes that are interpreted to be syn-mineralisation (C Perkins in Dong and Zhou, 1996). Endowment includes production through 2016 from the Western (1,250,000 oz) and Eastern (850,000 oz); production from March (Q3: 21,388 oz Au) and June (Q4: 26792 oz Au) of FY2017; production from FY 2018 (90,357 oz Au), FY2019 (80,983 oz Au), FY2020 (87,744 oz Au), FY 2021 (73,685 oz Au), FY 2022 (53,920 oz Au), and FY2023 (48,221 oz Au); and mineral resources at 30 June 2023 of 3.9 Mt at 3.3 g/t Au and 4 g/t Ag (Pike et al., 2017; Evolution Mining Limited, 2017a, 2017b, 2018b, 2019, 2020; Aeris Resources Limited, 2023). Silver production data were not reported, so Ag endowment has not been estimated. The Eastern Field is dominated by the Golden Plateau deposit, whereas the Western Field includes the Sovereign, Crown, Klondyke, Royal, Empire, Coronation, Kilkenny, Tipperary, Roses Pride, Phoenix and Griffin deposits.</t>
  </si>
  <si>
    <t>Crest of Wave</t>
  </si>
  <si>
    <t>Central</t>
  </si>
  <si>
    <t>tm-qtz-mus</t>
  </si>
  <si>
    <t>Ahmad and Hollis (2013); Ahmad and Khan (2013)</t>
  </si>
  <si>
    <t>Creswick goldfield (includes Berry alluvials)</t>
  </si>
  <si>
    <t>Creswick</t>
  </si>
  <si>
    <t>Calivil Formation</t>
  </si>
  <si>
    <t>River valley deposits; interbedded clay, silty clay, silt and subangular to subrounded fine to coarse-grained quartz sand, reef quartz and metasediment gravel, minor ligneous clay; silicified and ferruginised duricrust common.</t>
  </si>
  <si>
    <t>Eocene-Pliocene</t>
  </si>
  <si>
    <t>Taylor et al. (2000)</t>
  </si>
  <si>
    <t>Cited location is the approximate centre of shallow placer gold deposits (Taylor et al. (2000). Cited age is by analogy with the Bendigo, Ballarat and Castlemaine districts. Endowment includes 27 t of shallow paleoplacer and placer and 54 t of deep paleoplacer production (Phillips et al., 2003). Only 0.62 kg was produced from hard rock mines (Taylor et al., 2000).</t>
  </si>
  <si>
    <t>Crusade</t>
  </si>
  <si>
    <t>Nanny Goat Volcanics</t>
  </si>
  <si>
    <t>Basalt (main host)</t>
  </si>
  <si>
    <t>Dacite (minor host)</t>
  </si>
  <si>
    <t>Dacite</t>
  </si>
  <si>
    <t>Grimwade Suite</t>
  </si>
  <si>
    <t>Fine, medium and coarse-grained, granite, monzogranite, syenogranite</t>
  </si>
  <si>
    <t>Huston et al. (2007a); Ahmad and Khan (2013); Ahmad et al. (2013b); Bagas et al. (2014); Wygralak et al. (2017)</t>
  </si>
  <si>
    <t>Tanami Gold NL (2023)</t>
  </si>
  <si>
    <t>Cited age is by correlation with Callie deposit (Dead Bullock Soak district). Endowment includes mineral resources only.</t>
  </si>
  <si>
    <t>CSA (including QTZ North, QTS Central and QTS South)</t>
  </si>
  <si>
    <t>Ag-Au</t>
  </si>
  <si>
    <t>CSA Siltstone</t>
  </si>
  <si>
    <t>Mudstone, siltstone and sandstone (turbiditic; ore host)</t>
  </si>
  <si>
    <t>Endowment includes production of 0.408 Mt Cu and 6 koz Au from 1910 to 1995 and 0.520 Mt since 1999, and mineral resources at 31 December 2016 of 12.00 Mt at 5.58% Cu and 22.50 g/t Au.</t>
  </si>
  <si>
    <t>Cues Formation</t>
  </si>
  <si>
    <t>Psammopelitic to psammitic metasediments with generally abundant bodies of basic gneiss, now interpreted as metadolerite sills. Contains stratiform Fe-garnet, quartz-Fe-sulfide and quartz-magnetite rocks</t>
  </si>
  <si>
    <t>Fe-sulfides</t>
  </si>
  <si>
    <t>Stevens et al. (2008)</t>
  </si>
  <si>
    <t>Cited age is supported by two other statistically identical ages of 1700 ± 4 Ma and 1699 ± 4 Ma.</t>
  </si>
  <si>
    <t>Cullingerai</t>
  </si>
  <si>
    <t>Temora</t>
  </si>
  <si>
    <t>Gidginbung Volcanics</t>
  </si>
  <si>
    <t>Andesite, trachyandesite, volcanic chert, breccia, ?dacite.</t>
  </si>
  <si>
    <t>Early Silurian</t>
  </si>
  <si>
    <t>Porphyritic monzodiorite</t>
  </si>
  <si>
    <t>Cronin et al. (2017)</t>
  </si>
  <si>
    <t>Downes et al. (2004b); Cronin et al. (2017); Sandfire Resources NL (2017)</t>
  </si>
  <si>
    <t>Sandfire Resources NL (2017)</t>
  </si>
  <si>
    <t>Age correlation is with the Mandamah prospect. Endowment includes mineral resources only.</t>
  </si>
  <si>
    <t>Cumberland</t>
  </si>
  <si>
    <t>qtz-ser-chl</t>
  </si>
  <si>
    <t>Cummins Range</t>
  </si>
  <si>
    <t>P-U-Nb</t>
  </si>
  <si>
    <t>Olympio Formation</t>
  </si>
  <si>
    <t>Slate, phyllite and metagreywacke</t>
  </si>
  <si>
    <t>Cummins Range Carbonatite</t>
  </si>
  <si>
    <t>Plug of calcite-dominant (sovite) and dolomite-dominant (beforsite) carbonatite phases; a weathered capping of silicified, limonitic collapse breccia; all enclosed by an envelope of carbonated, mica-rich pyroxenite, largely altered to amphibolite</t>
  </si>
  <si>
    <t>dp-bt-phl-rch-chl-cal (metasomatised pyroxenite)</t>
  </si>
  <si>
    <t>Pidgeon et al. (1986); Sun et al. (1986); Andrew (1990); Downes et al. (2014)</t>
  </si>
  <si>
    <t>Pidgeon et al. (1986); Sun et al. (1986); Andrew (1990)</t>
  </si>
  <si>
    <t>Downes et al. (2014); RareX Limited (2021)</t>
  </si>
  <si>
    <r>
      <t>Cited age is the oldest and most robust of three reported for the deposit. The others include whole-rock-phlogopite-apatite Rb-Sr isochron age of 905 ± 2 Ma (Sun et al., 1986) and a K-Ar age of biotite of 854 ± 57 Ma (Andrew, 1990). Endowment includes mineral resources only and has been estimated using the JORC-compliant TREO grade reported by RareX Limited (2021) and the prorating this grade to individual lanthanides using the average analysis of carbonatite rocks from Downes et al. (2014). This method estimated Pr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 Nd</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at 0.27%, which equates to Pr + Nd of 0.23%, consistent with the NdPr grade reported by RareX Limited (2021) of 0.23%. It must be stressed here that the estimated grades for individual lanthanides are approximate and NOT code-compliant.</t>
    </r>
  </si>
  <si>
    <t>Cuni district (including Devereaux, Nickel Reward, North Cuni, South Cuni and Vandeau)</t>
  </si>
  <si>
    <t>Cuni</t>
  </si>
  <si>
    <t>Supergene nickel</t>
  </si>
  <si>
    <t>Ni-Cu</t>
  </si>
  <si>
    <t>Co-PGE</t>
  </si>
  <si>
    <t>Cuni Gabbro</t>
  </si>
  <si>
    <t>Hydrothermally altered gabbro</t>
  </si>
  <si>
    <t>Seymour et al. (2006); Bottrill (2014); Hoatson et al. (2014)</t>
  </si>
  <si>
    <t>Seymour et al. (2006); Hoatson et al. (2014)</t>
  </si>
  <si>
    <t>Endowment includes estimated production of 10,000 t at 3.5% Cu and 9.5% Ni (Hoatson et al., 2014) and mineral resources at the Nickel Reward (30,000 t at 3% Ni) and North Cuni-Genet's Winze (0.95 M at 0.76% Ni and 0.94% Cu) deposits (Seymour et al., 2006).</t>
  </si>
  <si>
    <t>Currawang (Currawang and Currawang East)</t>
  </si>
  <si>
    <t>Pb-Ag</t>
  </si>
  <si>
    <t>Currawang Basalt</t>
  </si>
  <si>
    <t>Pillow and spilitic basalts, lithic tuffs, volcanic agglomerates and minor dolerites</t>
  </si>
  <si>
    <t>tc-chl</t>
  </si>
  <si>
    <t>chl-ser tc</t>
  </si>
  <si>
    <t>Carr et al. (1995); Huston et al. (1997); Downes (2009, 2012); Fraser et al. (2014)</t>
  </si>
  <si>
    <t>Downes (2012)</t>
  </si>
  <si>
    <t>Endowment includes production from the Currawang deposit in 1866-1872 of 7856 t Cu from 30,000 t and in the early 1990s of 0.539 Mt at 1.5% Cu, 12.6% Zn, 2.5% Pb and 38 g/t Ag.</t>
  </si>
  <si>
    <t>Currawong</t>
  </si>
  <si>
    <t>Benambra</t>
  </si>
  <si>
    <t>Cowombat Trough</t>
  </si>
  <si>
    <t>Gibsons Folly Formation</t>
  </si>
  <si>
    <t>Strongly foliated volcanics ranging from rhyolite to basalt and interbedded siltstone.</t>
  </si>
  <si>
    <t>stp-car±tc±chl; chl±qtz</t>
  </si>
  <si>
    <t>https://www.mindat.org/loc-239475.html (accessed March 2024)</t>
  </si>
  <si>
    <t>Boden and Valenta (1995); Champion et al. (2009); Independence Group NL (2015b)</t>
  </si>
  <si>
    <t>https://asud.ga.gov.au/search-stratigraphic-units/results/27289 (accessed March 2024)</t>
  </si>
  <si>
    <t>Aeris Resources Limited (2024)</t>
  </si>
  <si>
    <t>Age is based upon correlation with other regional Silurian volcanic successions. The host Gibsons Folly Formation is assigned a Pridoli age (423.0 ± 2.3 to 419.2 ± 3.2 Ma) by asud.ga.gov.au.</t>
  </si>
  <si>
    <t>Cuttaburra A</t>
  </si>
  <si>
    <t>mus (proximal) → mus-bt-chl → chl (distal) (over a few cm)</t>
  </si>
  <si>
    <t>Armistead et al. (2017)</t>
  </si>
  <si>
    <t>Chisholm et al. (2014c); Armistead et al. (2017)</t>
  </si>
  <si>
    <r>
      <t xml:space="preserve">Cited age is older than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ages of 423.0 ± 5.0 and 421.0 ± 5.0 Ma from alteration muscovite. The cited age is slightly older but within error of the more precise (428.3 ± 2.8 Ma: Chisholm et al., 2014c) of two ages of the host granite. There has been no production from this deposit, and no mineral resources have been reported.</t>
    </r>
  </si>
  <si>
    <t>Cuttaburra B</t>
  </si>
  <si>
    <t>LA-ACP-MS</t>
  </si>
  <si>
    <t>mus</t>
  </si>
  <si>
    <t>There has been no production from this deposit, and no mineral resources have been reported.</t>
  </si>
  <si>
    <t>Cyclone</t>
  </si>
  <si>
    <t>Hou et al. (2021)</t>
  </si>
  <si>
    <t>Cyclops</t>
  </si>
  <si>
    <t>qtz-mus±hem (pre-ore) →qtz-ser-xen±flo±hm (syn-ore/breccia) → qtz-xen-flo (syn-ore/vein) → xen (syn-ore/late stage) → qtz-bar-anh-py-hm (post-ore)</t>
  </si>
  <si>
    <t>Cited age is for breccia-hosted xenotime (Nazari-Dehkordi et al., 2020). Hematite is spatially associated with mineralization, and occurs pre-, syn- and post-ore; pyrite and sulfates post-date the ore assemblage. The basement rocks (Browns Range Metamorphics) have been metamorphosed to greenschist facies whereas the overlying basin (Gardiner Sandstone) is sub-greenschist. Both host ore.</t>
  </si>
  <si>
    <t>Cygnet</t>
  </si>
  <si>
    <t>Truro Tillite</t>
  </si>
  <si>
    <t>Glaciogene diamictite with some conglomerate, sandstone, mudstone and rhythmite sequences</t>
  </si>
  <si>
    <t>Woody Island Siltstone</t>
  </si>
  <si>
    <r>
      <t>Blue-grey, bioturbated, pyritic siltstone with locally abundant glendonites (calcite pseudomorphs after ikaite (CaCO</t>
    </r>
    <r>
      <rPr>
        <vertAlign val="subscript"/>
        <sz val="9"/>
        <rFont val="Times New Roman"/>
        <family val="1"/>
      </rPr>
      <t>3</t>
    </r>
    <r>
      <rPr>
        <sz val="9"/>
        <rFont val="Times New Roman"/>
        <family val="1"/>
      </rPr>
      <t>.6H</t>
    </r>
    <r>
      <rPr>
        <vertAlign val="subscript"/>
        <sz val="9"/>
        <rFont val="Times New Roman"/>
        <family val="1"/>
      </rPr>
      <t>2</t>
    </r>
    <r>
      <rPr>
        <sz val="9"/>
        <rFont val="Times New Roman"/>
        <family val="1"/>
      </rPr>
      <t>O, a low temperature carbonate) and rare dropstones.</t>
    </r>
  </si>
  <si>
    <t>Bundella Mudstone</t>
  </si>
  <si>
    <t>Fossiliferous, grey, pyritic siltstone and mudstone</t>
  </si>
  <si>
    <t>Port Cygnet Complex</t>
  </si>
  <si>
    <t>Hauyne trachyte, melanite trachyte, jacupirangite (pyroxene-nepheline rocks) and tinguaites (a nepheline-sanidine-aegirine porphyry)</t>
  </si>
  <si>
    <t>Early Cretaceous</t>
  </si>
  <si>
    <t>adu±qtz±bt±chl±act±mt±sul (potassic), sil-py (silicic), act-adr (calc-silicate), ep-qtz-py (propylitic), ser-qtz (sericitic), qtz-ab (sodic), smc±lim±py±kao±ser (argillic)</t>
  </si>
  <si>
    <t>https://www.mindat.org/loc-6161.html (accessed March 2024)</t>
  </si>
  <si>
    <t>McDougall and Leggo (1965); Taheri and Bottrill (1999); Bottrill et al., 2014)</t>
  </si>
  <si>
    <t>McDougall and Leggo (1965)</t>
  </si>
  <si>
    <t>Bottrill et al., 2014)</t>
  </si>
  <si>
    <t>Cited age is the average of two magmatic hornblende ages that have been corrected using current decay constants (97 Ma and 100 Ma). Uncertainties are not presented (McDougall and Leggo, 1965). Endowment is an estimate of historic production (Bottrill et al., 2014).</t>
  </si>
  <si>
    <t>Cymbric Vale</t>
  </si>
  <si>
    <t>Koonenberry</t>
  </si>
  <si>
    <t>Zn-Au-Ag</t>
  </si>
  <si>
    <t>Ponto Group</t>
  </si>
  <si>
    <t>Laminated slate (hanging wall), mylonitic zone (ore position), calc-silicate rock (after mafic tuffaceous unit), tholeiitic basalt and metasedimentary rocks (footwall)</t>
  </si>
  <si>
    <t>Calc-silicate rock (after mafic tuffaceous unit) and tholeiitic basalt</t>
  </si>
  <si>
    <t>chl-ep-py</t>
  </si>
  <si>
    <t>Black (2005); Gilmore (2010)</t>
  </si>
  <si>
    <t>Gilmore (2010)</t>
  </si>
  <si>
    <t>Dalgaranga-Niobe</t>
  </si>
  <si>
    <t>Metasedimentary rocks (Dalgaranga)</t>
  </si>
  <si>
    <t>Metagabbro (Niobe)</t>
  </si>
  <si>
    <t>Metagabbro</t>
  </si>
  <si>
    <t>Fetherston (2004)</t>
  </si>
  <si>
    <t>Wiedenbeck and Watkins (1993); Fetherston (2004)</t>
  </si>
  <si>
    <t>Wiedenbeck and Watkins (1993)</t>
  </si>
  <si>
    <r>
      <t>District that includes the Dalgaranga, Breakaway and Niobe deposits. Cited location is that of the Dalgaranaga deposit. Cited age is that of a granite interpreted to be associated with the emplacement of the pegmatites. Cited endowment is production in 1995 (19000 t grading 0.05%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plus a measured resource of 57.550 t grading 0.024%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and dumps of low grade ore of 36000 t grading 0.031%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(from the Niobe deposit) and 0.13 Mt at 0.014% Ta2O5 (from the Breakaway deposit).</t>
    </r>
  </si>
  <si>
    <t>Dargues Reef</t>
  </si>
  <si>
    <t>Majors Creek</t>
  </si>
  <si>
    <t>Braidwood Granodiorite</t>
  </si>
  <si>
    <t>Grey and white to pink, medium-grained, massive, equigranular to porphyritic hornblende granodiorite</t>
  </si>
  <si>
    <t>[ab-mus-py-chl-mt, phe-py-qtz-po-sul-mt (proximal) → chl-cal-ab-il-mus±qtz±tit±mt → ksp-chl±ep±il±qtz±py±pre±pum (distal)] (early) → chl-cal-py-mus-sil (late)</t>
  </si>
  <si>
    <t>greisen</t>
  </si>
  <si>
    <t>Forster et al. (2014); Lorrigan and Cozens (2017)</t>
  </si>
  <si>
    <t>Forster et al. (2014)</t>
  </si>
  <si>
    <t>Aurelia Metals Limited (2020, 2021b, 2022b, 2023a,b)</t>
  </si>
  <si>
    <t>Endowment includes historic (1877-1916) production of 2016 oz Au at a grade of 14 g/t Au, recent production (from 17 December 2020 to 30 June 2023) of 0.906 Mt at 3.56 g/t Au, and mineral resources at 30 June 2023 of 0.850 Mt at 3.9 g/t Au. It does not include production from June 2020 to December 2020 by Diversified Minerals Limited.</t>
  </si>
  <si>
    <t>Dasher</t>
  </si>
  <si>
    <t>Au-Mo-Ag</t>
  </si>
  <si>
    <t>Pegmatite (may be mineralised)</t>
  </si>
  <si>
    <t>qtz-mcl-pl-slm (proximal?) bt-gt-sml-mt (distal) (metamorphosed); chl-ser-ep±cal (retrograde)</t>
  </si>
  <si>
    <t>pot</t>
  </si>
  <si>
    <t>Outhwaite (2018)</t>
  </si>
  <si>
    <t>Cited age is the mean of two repeat molybdenite model ages (2977 ± 20 Ma and 2975 ± 27 Ma: Tessalina (2016) in Outhwaite (2018)) with the uncertainty the estimated by adding the two individual uncertainties in quadrature. Endowment includes mineral resources as of November 2023) at a cutoff grade of 0.10% Cu.</t>
  </si>
  <si>
    <t>Dawn View</t>
  </si>
  <si>
    <t>Columbite</t>
  </si>
  <si>
    <t>Metasedimentary schists</t>
  </si>
  <si>
    <t>https://www.mindat.org/loc-251063.html (accessed April 2024)</t>
  </si>
  <si>
    <t>No mineral resources have been reported.</t>
  </si>
  <si>
    <t>Dawy Ball</t>
  </si>
  <si>
    <t>Other than its age and location in the Herberton - Eumford - Mount Garnet district, no additional information was provided about this deposit.</t>
  </si>
  <si>
    <t>Day Dawn (including Great Fingall and Golden Crown)</t>
  </si>
  <si>
    <t>Day Dawn</t>
  </si>
  <si>
    <t>Great Fingall Dolerite</t>
  </si>
  <si>
    <t>Differentiated dolerite sill</t>
  </si>
  <si>
    <t>Luke Creek Group, Gabanintha Formation</t>
  </si>
  <si>
    <t>Bimodal succession of mafic and ultramafic rocks.</t>
  </si>
  <si>
    <t>car-chl-bt-sul</t>
  </si>
  <si>
    <t>Groves and Ho (1990); Hicks (1990); Metals X Limited (2014a)</t>
  </si>
  <si>
    <t>Groves and Ho (1990)</t>
  </si>
  <si>
    <t>Westgold Resources Limited (2023)</t>
  </si>
  <si>
    <t>Location is that of the Great Fingall deposit. Age correlation is with the Big Bell deposit, ~10 km to the NNW. Endowment include production to 1989 (Groves and Ho, 1990) and mineral resources at June 2023 (Westgold Resources Limited, 2023).</t>
  </si>
  <si>
    <t>Daylesford goldfield</t>
  </si>
  <si>
    <t>Daylesford</t>
  </si>
  <si>
    <t>https://www.mindat.org/loc-192370.html (accessed March 2024)</t>
  </si>
  <si>
    <t>Whitelaw and Baragwanath (1923); Phiilips et al. (2003); Jobin-Bevans and Saxon (2020)</t>
  </si>
  <si>
    <t>Jobin-Bevans and Saxon (2020)</t>
  </si>
  <si>
    <t>Cited age is by analogy with the Bendigo, Ballarat and Castlemaine districts. Endowment includes 0ver 500,000 oz alluvial production and over 796,254 oz hard rock production (Jobin-Bevans and Saxon, 2020).</t>
  </si>
  <si>
    <t>Dazzler</t>
  </si>
  <si>
    <t>The older age is from breccia-type ores; a younger age is indicted for vein-hosted ores (Nazari-Dehkordi et al. (2020). Hematite is spatially associated with mineralization, and occurs pre-, syn- and post-ore; pyrite and sulfates post-date the ore assemblage. The basement rocks (Browns Range Metamorphics) have been metamorphosed to greenschist facies whereas the overlying basin (Gardiner Sandstone) is sub-greenschist. Both host ore.</t>
  </si>
  <si>
    <t>Dead Bullock Soak district (includes Auron, Callie, Colliewobble Ridge, Dead Bullock Ridge, Federation, Liberator, Triumph Hill and Villa)</t>
  </si>
  <si>
    <t>Dead Bullock Soak</t>
  </si>
  <si>
    <t>Callie Laminated Beds (local name) - base of Callie Member, Dead Bullock Formation</t>
  </si>
  <si>
    <t>Locally carbonaceous, laminated siltstone - host to Callie and Federation deposits (243 t Au)</t>
  </si>
  <si>
    <t>Lower Auron and upper Terran beds (local name) - middle part of Ferdies Member, Dead Bullock Formation</t>
  </si>
  <si>
    <t>Siltstone with slumped bedding (upper Terran beds) and planar laminations (Lower Auron beds) - host to Auron and Liberator deposits (159 t Au)</t>
  </si>
  <si>
    <t>Schist Hill Iron Member (local name) - towards the top of the Callie Member, Dead Bullock Formation</t>
  </si>
  <si>
    <t>Ferruginous, planar bedded siltstone with some bedded and nodular chert - host to Colliewobble Ridge, Dead Bullock Ridge and Triumph Hill deposits (10.9 t Au)</t>
  </si>
  <si>
    <t>Orac Formation (local name) - in the middle of the Callie Member, Dead Bullock Formation</t>
  </si>
  <si>
    <t>Ferruginous, planar bedded siltstone with some bedded and nodular chert - host to Villa deposit (6.5 t Au)</t>
  </si>
  <si>
    <t>Coora Dolerite</t>
  </si>
  <si>
    <t>Fine- to coarse-grained basalt and amphibole-pyroxene-plagioclase dolerite</t>
  </si>
  <si>
    <t>Huston et al. (2007a); Cross (2009); Bagas et al. (2014); Pendergrast et al. (2017); Schmeider et al. (2018)</t>
  </si>
  <si>
    <t>Huston et al. (2007a); Cross (2009)</t>
  </si>
  <si>
    <t>Schmeider et al. (2018); Newmont Mining Corporation (2018, 2019, 2020, 2021, 2022, 2023)</t>
  </si>
  <si>
    <t>Cited location is that of the Callie deposit. Age is supported by a Pb isotope model age of ~1801 Ma from a locally constrained Pb evolution model (Huston et al., 2007a). Endowment includes production for the district through December 2017 of 8.29 Moz (Schmeider, 2018), production in 2018, 2019, 2020, 2021, 2022 and 2023 of 0.496 Moz, 0.500 Moz, 0.495 Moz, 0.485 Moz, 0.484 Moz and 0.448 Moz, respectively (Newmont Mining Corporation, 2018, 2019, 2020, 2021, 2022, 2023), and total mineral reserves, measured and indicated mineral resources and inferred mineral resources at 31 December 2023 of 26.6 Mt at 5.55 g/t Au, 41.2 Mt at 2.06 g/t Au and 20.1 Mt at 3.8 g/t Au (Newmont Mining Corporation, 2023). A Wygralak (pers. comm., 2021) interprets the deposit as related to subsurface felsic intrusions at deposit, and would, therefore, be interpreted as intrusion-related gold. At this time, given the lack of direct evidence of such an intrusion, the deposit is interpreted as an orogenic gold deposit.</t>
  </si>
  <si>
    <t>Deadman's Gully</t>
  </si>
  <si>
    <t>Skarn tin ± copper</t>
  </si>
  <si>
    <t>Sn-Fe</t>
  </si>
  <si>
    <t>Bi-In-Mo-W</t>
  </si>
  <si>
    <t>Chillagoe Formation</t>
  </si>
  <si>
    <t>Limestone interbedded with chert, mafic volcanic rock and sandstone</t>
  </si>
  <si>
    <t>Silurian to Early Devonian (based on corals); Telychian to Emsian (based on conodonts)</t>
  </si>
  <si>
    <t>Pink, coarse, equigranular to seriate biotite granite; minor porphyritic biotite granite and microgranite.</t>
  </si>
  <si>
    <t>mt-fl-wol-px</t>
  </si>
  <si>
    <t>Consolidated Tin (2017); www.csdtin.com.au (accessed September 2020)</t>
  </si>
  <si>
    <t xml:space="preserve"> www.csdtin.com.au (accessed September 2020)</t>
  </si>
  <si>
    <t>Endowment includes mineral resources only. (www.csdtin.com.au).</t>
  </si>
  <si>
    <t>Deep Leads - Rubble Mound</t>
  </si>
  <si>
    <t>Magnetite</t>
  </si>
  <si>
    <t>Y-U-Th</t>
  </si>
  <si>
    <t>Jurassic Dolerite</t>
  </si>
  <si>
    <t>Jurassic</t>
  </si>
  <si>
    <t>ABx Group Limited (2023a,b)</t>
  </si>
  <si>
    <t>Brauns et al. (2000)</t>
  </si>
  <si>
    <t>Location is approximate. Ionic extraction based on solution containing 0.5 M ammonium sulfate at pH = 4.</t>
  </si>
  <si>
    <t>Deflector (includes Rothsay deposit)</t>
  </si>
  <si>
    <t>Gullewa greenstone</t>
  </si>
  <si>
    <t>High Mg basalt</t>
  </si>
  <si>
    <t>Gearless Well Trachyandesite</t>
  </si>
  <si>
    <t>Dykes of biotite-phyric minette (correlated with Gearless Well Trachyandesite) that predates copper-gold veins. Pooling of two whole rock-biotite Rb-Sr lines yield a pooled age of 2188 ± 11 Ma (Johnson et al., 1989)</t>
  </si>
  <si>
    <t>Dolerite dykes</t>
  </si>
  <si>
    <t>qtz-ort-chl-ep-cal-py</t>
  </si>
  <si>
    <t>Johnson et al. (1989); Haydon and Steemson (1998); Doray Minerals (2015)</t>
  </si>
  <si>
    <t>Doray Minerals (2017, 2018, 2019); Silverlake Resources (2019, 2020, 2021, 2022, 2023)</t>
  </si>
  <si>
    <t>Interpreted as an orogenic gold deposit although the presence of significant copper is unusual. Endowment includes production since mining operations began in 2016 and mineral resources.</t>
  </si>
  <si>
    <t>DeGrussa</t>
  </si>
  <si>
    <t>Doolgunna</t>
  </si>
  <si>
    <t>Bryah Basin</t>
  </si>
  <si>
    <t>Ag-Bi-Co-Ga-Ge-In-Se-Te</t>
  </si>
  <si>
    <t>Karalundi Formation</t>
  </si>
  <si>
    <t>Sedimentary breccia and conglomerate interlayered with siltstone, sandstone with peperitic basalt. The ore host is siltstone and sandstone of the informal DeGrussa Member, which is intruded by dolerite sills that surround the ore zones.</t>
  </si>
  <si>
    <t>Peperitic basalt in dominantly sedimentary formation</t>
  </si>
  <si>
    <t>chl-tc-car</t>
  </si>
  <si>
    <t>Hawke et al. (2015); Pirajno et al. (2016); Hilliard et al. (2017)</t>
  </si>
  <si>
    <t>Hawke et al. (2015)</t>
  </si>
  <si>
    <t xml:space="preserve"> Hilliard et al. (2017)</t>
  </si>
  <si>
    <t>Cited age is the oldest Re-Os age from molybdenite; other molybdenite ages returned 2013 ± 7 Ma and 2011 ± 7 Ma (Hawke et al., 2015) and a pyrite Re-Os isochron yielded an age of 2012 ± 48 Ma (Pirajno et al., 2016). Endowment includes production and ore reserves (Hilliard et al., 2017).</t>
  </si>
  <si>
    <t>Deloraine goldfield (includes Deloraine, Deloraine Blocks, Deloraine King, Deloraine Queen and Prairie Deloraine)</t>
  </si>
  <si>
    <t>Deloraine goldfield</t>
  </si>
  <si>
    <t>Saddleworth Formation</t>
  </si>
  <si>
    <t>Intercalated calcareous siltstone, phyllite and quartzite</t>
  </si>
  <si>
    <t>ser</t>
  </si>
  <si>
    <t>Griessmann (2011); https://www.energymining.sa.gov.au/industry/minerals-and-mining/mineral-commodities/gold#sa (accessed May 2024)</t>
  </si>
  <si>
    <t>Griessmann (2011)</t>
  </si>
  <si>
    <t>Endowment includes historic (1909-1940) production from quartz veins with some alluvial deposits</t>
  </si>
  <si>
    <t>Devlin Creek</t>
  </si>
  <si>
    <t>Yarrol</t>
  </si>
  <si>
    <t>Rookwood Volcanics</t>
  </si>
  <si>
    <t>Basaltic pillow lavas and hyaloclastite breccias with only minor massive basaltic feeder dykes and minor chemical chert, black mudstone containing magnetite, jasper, bedded sulphides, volcanic mudstone-sandstone and polymictic breccias</t>
  </si>
  <si>
    <t>Permian (Upper Cisuralian)</t>
  </si>
  <si>
    <t>Zenith Minerals Limited (2022)</t>
  </si>
  <si>
    <t>Crouch (1999)</t>
  </si>
  <si>
    <t>Cited location is approximate centre of Sulfide City zone. Cited age is by analogy with Mount Chalmers as the host Rookwood Volcanics have similar Upper Cisuralian age as the Berserker Group that hosts Mount Chalmers. Endowment includes mineral resources only.</t>
  </si>
  <si>
    <t>Dhupuma Plateau</t>
  </si>
  <si>
    <t>Gove</t>
  </si>
  <si>
    <t>Yirrkala Formation</t>
  </si>
  <si>
    <t>White to pale grey, fine to very coarse grained sandstone with massive to thick planar beds, trough cross beds, rare chert pebbles and plant fossils.</t>
  </si>
  <si>
    <t>Cretaceous (Albian to Cenomanian)</t>
  </si>
  <si>
    <t>Vellacott (2016)</t>
  </si>
  <si>
    <t>Cited location is approximate centre of Mining Lease 31025. Cited age encompasses the possible age range of the precursor Yirrkala Formation (Albian to Cennomanian). Resources are cited as 8-12 Mt, but no grade is given.</t>
  </si>
  <si>
    <t>Dianne</t>
  </si>
  <si>
    <t>Mt Molloy</t>
  </si>
  <si>
    <t>Greywacke, siltstone-shale, chert, conglomerate and basalt</t>
  </si>
  <si>
    <t>Basalt in unit dominated by greywacke, siltstone-shale, chert and conglomerate</t>
  </si>
  <si>
    <t>Gregory et al. (1980); Gregory and Robinson (1984); Bultitude et al. (1997); Kositcin et al. (2009)</t>
  </si>
  <si>
    <t>Bultitude et al. (1997)</t>
  </si>
  <si>
    <t>Bain and Draper (1997); Revolver Resources Holdings Limited (2022)</t>
  </si>
  <si>
    <t>Endowment includes past production of 18 kt and total mineral resources of 1.623 Mt grading 1.1% Cu (1.488 Mt at 0.66% oxide and 0.135 Mt at 6.1% sulfide)..</t>
  </si>
  <si>
    <t>Discovery</t>
  </si>
  <si>
    <t>Turner River</t>
  </si>
  <si>
    <t>Ag-Zn-Au</t>
  </si>
  <si>
    <t>Foliated, sericite-altered felsic schist (altered felsic volcanic rock)</t>
  </si>
  <si>
    <t>De Grey Mining Limited (2014)</t>
  </si>
  <si>
    <t>Hickman et al. (2006); De Grey Mining Limited (2008, 2014); Wingate et al. (2010)</t>
  </si>
  <si>
    <t>Wingate et al. (2010)</t>
  </si>
  <si>
    <t>De Grey Mining Limited (2016)</t>
  </si>
  <si>
    <t>Discovery Ridge</t>
  </si>
  <si>
    <t>Orange</t>
  </si>
  <si>
    <t>Arsenopyrite</t>
  </si>
  <si>
    <t>Coombing Formation (Kennilworth Group)</t>
  </si>
  <si>
    <t>Feldspathic mudstone which is commonly silicified and grades to fine-grained volcaniclastic sandstone.</t>
  </si>
  <si>
    <t>Regis Resources (2019)</t>
  </si>
  <si>
    <t>D Huston and R. Creaser (2024 - unpublished data)</t>
  </si>
  <si>
    <t>The geological and geochronological constraints on Discovery Ridge allow either the interpretation of an orogenic gold or intrusion-related gold. Due to the presence of small amounts of common Os in the analyses arsenopyrite, the cited age depends on the initial 187Os/188Os. The cited age assumes a mixed crust-mantle value of 0.5 for this ratio (considered most likely). If a mantle ratio of 0.12 is assumed, the age increases to ca. 438 Ma; if a crustal ratio of 1.0 is assumed, the age decreases to ca. 427 Ma. Endowment includes mineral resources only.</t>
  </si>
  <si>
    <t>Djibitgun</t>
  </si>
  <si>
    <t>Sorby Hills</t>
  </si>
  <si>
    <t>Bonaparte Basin</t>
  </si>
  <si>
    <t>Burt Range Formation</t>
  </si>
  <si>
    <t>Dolomitised limestone, with lesser siltstone and sandstone</t>
  </si>
  <si>
    <t>Touraisian</t>
  </si>
  <si>
    <t>Ahmad and Munson (2013a)</t>
  </si>
  <si>
    <t>Endowment includes oxide-zone mineral resources only and are split into an oxide silver zone of 9.5 Mt grading 0.6% Zn and 20.2 g/t Ag, and an oxide zinc zone of 3.8 Mt at 2.2% Zn, 0.5% Pb and 15.3 g/t Ag/</t>
  </si>
  <si>
    <t>Dobroyde</t>
  </si>
  <si>
    <t>High sulfidation gold ± copper</t>
  </si>
  <si>
    <t>Bi-Cu-Ag-Se</t>
  </si>
  <si>
    <t>Junawarra Volcanics</t>
  </si>
  <si>
    <t>Andesitic tuffs and lavas, latites, volcaniclastic sedimentary rocks, agglomerates and minor dacite</t>
  </si>
  <si>
    <t>pyr-alu-ser-py</t>
  </si>
  <si>
    <t>Alunite</t>
  </si>
  <si>
    <t>Downes et al. (2004b)</t>
  </si>
  <si>
    <t>Downes et al. (2004b); New South Resources Limited (2011)</t>
  </si>
  <si>
    <t>New South Resources Limited (2011)</t>
  </si>
  <si>
    <t>Dolcoath</t>
  </si>
  <si>
    <t>Moina</t>
  </si>
  <si>
    <t>Moina Sandstone</t>
  </si>
  <si>
    <t>Sandstone, siltstone, basal diachronous, littoral to shallow marine fining upward succession of siliceous conglomerate and bioturbated quartz sandstone and siltstone, passing up conformably and gradationally into limestone.</t>
  </si>
  <si>
    <t>Late Cambrian-Early Ordovician</t>
  </si>
  <si>
    <t>Dolcoath Granite</t>
  </si>
  <si>
    <t>I-type biotite alkali-feldspar granite - medium- to coarse-grained granite consisting of quartz, perthitic microcline, plagioclase and biotite; accessory minerals include zircon, apatite fluorite, topaz, cassiterite and disseminated sulfides.</t>
  </si>
  <si>
    <t>Middle-Late Devonian</t>
  </si>
  <si>
    <t>Middle to Late Devonian</t>
  </si>
  <si>
    <t>Jennings et al. (1979); Huston et al. (2022)</t>
  </si>
  <si>
    <t>Cited age is significantly older (8-10 Myr) than other western Tasmanian granites and related deposits.</t>
  </si>
  <si>
    <t>Donald (includes Donald and Jackson)</t>
  </si>
  <si>
    <t>Donald</t>
  </si>
  <si>
    <t>Astron Corporation Limited (2016); Standing et al. (2017)</t>
  </si>
  <si>
    <t>Astron Corporation Limited (2016); Keeling et al. (2016); Standing et al. (2017)</t>
  </si>
  <si>
    <t>Astron Corporation Limited (2016)</t>
  </si>
  <si>
    <t>Cited location is that of the Donald deposit. Cited age is based on Late Miocene-Early Pliocene (7.2-5.0 Ma) age of host Loxton Sand as reported by Keeling et al. (2016). Endowment includes mineral resources only as reported by Astron Corporation Limited (2017).</t>
  </si>
  <si>
    <t>Dongara</t>
  </si>
  <si>
    <t> </t>
  </si>
  <si>
    <t>Pinjarra</t>
  </si>
  <si>
    <t>Perth Basin</t>
  </si>
  <si>
    <t>Tronox Holdings PLC (2022)</t>
  </si>
  <si>
    <t>Doradilla (includes Midway and 3KEL)</t>
  </si>
  <si>
    <t>Doradilla</t>
  </si>
  <si>
    <t>Cobar Supergroup</t>
  </si>
  <si>
    <t>Contorted quartzite, sandstone, phyllite and slate. Metasedimentary rock sequences of deep-water turbidites (Amphitheatre Group) and shelf facies (Winduck, Kopyje Groups), and sandstone-dominated Nurri Group. Mineralisation is hosted by carbonates in a narrow, linear, fault-bounded, NE-striking zone within rocks interpreted as Girilambone Group.</t>
  </si>
  <si>
    <t>Midway Granite</t>
  </si>
  <si>
    <t>Granite and quartz-feldspar porphyry dykes.</t>
  </si>
  <si>
    <t>Middle-Upper Triassic</t>
  </si>
  <si>
    <t>adr-dp±trm±wol±car±ves±fl±phl±act±chl±mt</t>
  </si>
  <si>
    <t xml:space="preserve">Burton et al. (2007); YTC Resources Limited (2008); </t>
  </si>
  <si>
    <t>Burton et al. (2007)</t>
  </si>
  <si>
    <t>YTC Resources Limited (2008)</t>
  </si>
  <si>
    <t>Mineralisation occurs over 16 km strike length, extending from Doradilla prospect in southwest to 3KEL prospect in northeast. Location taken as the Midway prospect, which is closet to the dated granite. Endowment includes mineral resources only (YTC Resources, 2008; 4.63 Mt at 0.25% Sn at Midway and 3.18 Mt at 0.34% Sn at 3KEL) and does not include minor copper production to 1920 (Burton et al., 2007)</t>
  </si>
  <si>
    <t>Double Bull Creek</t>
  </si>
  <si>
    <t>Double Bull Granodiorite</t>
  </si>
  <si>
    <t>Hornblende granodiorite: grey-green, coarse-grained, weathered; I-type.</t>
  </si>
  <si>
    <t>chl±qtz±ser±kao±ep</t>
  </si>
  <si>
    <t>Rajagopalan (1999)</t>
  </si>
  <si>
    <t>Rajagopalan (1999); Campbell et al. (2003); Mantle Mining Corporation Limited (2014)</t>
  </si>
  <si>
    <t>Campbell et al. (2003)</t>
  </si>
  <si>
    <t>Endowment is a pre-JORC mineral resource (Campbell et al., 2003). The deposit is associated with the Double Bull Granodiorite, which has been assigned an age of Late Silurian to Early Devonian.</t>
  </si>
  <si>
    <t>Douglas district (includes Bondi East Far North, Bondi Main Far North, Mondi West and Manly)</t>
  </si>
  <si>
    <t>Douglas</t>
  </si>
  <si>
    <t>Cited location is that of the Bondi East Far North deposit. Cited age is based on Late Miocene-Early Pliocene (7.2-5.0 Ma) age of host Loxton Sand as reported by Keeling et al. (2016). Endowment includes mineral resources at 31 December 2016 as reported by Iluka Resources Limited (2017) but not production to 31 December 2016.</t>
  </si>
  <si>
    <t>Dresser</t>
  </si>
  <si>
    <t>North Pole</t>
  </si>
  <si>
    <t>BaSO4</t>
  </si>
  <si>
    <t>Dresser Formation</t>
  </si>
  <si>
    <t>Blue, black and white layered chert, basalt, carbonate rocks; minor felsic volcaniclastic rocks; also hydrothermal barite, evaporites and stromatolites.</t>
  </si>
  <si>
    <t>Basalt; minor felsic volcaniclastic rocks</t>
  </si>
  <si>
    <t>kao → mus-rut</t>
  </si>
  <si>
    <t>adv arg</t>
  </si>
  <si>
    <t>https://www.mindat.org/loc-273784.html (accessed April 2024)</t>
  </si>
  <si>
    <t>Lambert et al. (1978); Richards et al. (1981); Thorpe et al. (1992b); Shen et al. (2001); Huston et al. (2002a; 2007c); Van Kranendonk and Pirajno (2004); Van Kranendonk et al. (2006, 2008); Golding et al. (2011).</t>
  </si>
  <si>
    <t>Van Kranendonk et al. (2008)</t>
  </si>
  <si>
    <t>Abeysinghe and Fetherston (1997)</t>
  </si>
  <si>
    <t>Age cited is maximum depositional age of volcaniclastic sandstone within host Dresser Formation; this age is consistent with lead isotope model age of ~3490 Ma (calculated using Wabigoon-Uchi [aka Western Superior] model of Thorpe et al. (1992b). Endowment 0.63 Mt barite comprises 0.13 Mt production and pre-JORC mineral resources of 0.5 Mt.</t>
  </si>
  <si>
    <t>Dry Hash</t>
  </si>
  <si>
    <t>ser, chl, ksp</t>
  </si>
  <si>
    <t>Bain et al. (1998); Morrison et al. (2019)</t>
  </si>
  <si>
    <t>Bain et al. (1998)</t>
  </si>
  <si>
    <t>Cited age is from alteration sericite, but there may contamination from inherited detrital muscovite (Bain et al., 1998). Endowment is from Morrison et al. (2019).</t>
  </si>
  <si>
    <t>Dry River South-Surveyor</t>
  </si>
  <si>
    <t>Pb-Cu-Ag</t>
  </si>
  <si>
    <t>Psammitic rocks just above felsic volcaniclastic rocks</t>
  </si>
  <si>
    <t>Felsic volcaniclastic rocks stratigraphically underlying deposit</t>
  </si>
  <si>
    <t>qtz-ser-bi-py; minor chl-py-mt</t>
  </si>
  <si>
    <t>Cited age is constrained by zircon U-Pb SHRIMP ages from a volcaniclastic unit underlying the Dry River South-Surveyor deposit (Rea, 2000) and a porphyritic rhyolite dyke that cross-cuts the Balcooma deposit (Withnall et al., 1991). Endowment includes pre-mining mineral resources (Beams et al., 2017) and include both the Dry River South and Surveyor lenses, which are part of the same deposit offset by a fault.</t>
  </si>
  <si>
    <t>D-Tree (includes D-Tree and D-Tree West)</t>
  </si>
  <si>
    <t>D-Tree</t>
  </si>
  <si>
    <t>Beetle Creek Formation</t>
  </si>
  <si>
    <t>Calcareous and siliceous siltstone, shale and chert; sandstone, phosphorite, phosphatic siltstone, silicified coquinite, basal conglomerate; trilobite fossils. Equivalent to Border Water Hole Formation</t>
  </si>
  <si>
    <t>Dunster and Munson (2017); Valetich et al. (2021)</t>
  </si>
  <si>
    <t>Dugald River</t>
  </si>
  <si>
    <t>Ag-Cu-Au</t>
  </si>
  <si>
    <t>Dugald River Shale Member of Mount Roseby Schist</t>
  </si>
  <si>
    <t>Dark grey, carbonaceous shale and siltstone and grey mica schist. </t>
  </si>
  <si>
    <t>phl-mus, sl-spe-cal</t>
  </si>
  <si>
    <t>Connor et al. (1990); Davidson and Dixon (1992); Dixon and Davidson (1996); Sun et al. (1996a); Carr et al. (2001); Broome and Corley (2017); Valenta (2019l)</t>
  </si>
  <si>
    <t>MMG Annual report (2018-2023)</t>
  </si>
  <si>
    <t>Cited age is a lead isotope model age calculated from the least radiogenic analysis using the CSIRO-AGSO North Australian model (Sun et al., 1996a). The maximum age of mineralisation is constrained by maximum depositional age of contemporaneous Mount Roseby Schist to ~1685 Ma. Endowment from MMG mineral report 2018-2023 and include production and mineral resources.</t>
  </si>
  <si>
    <t>Duke-Batman</t>
  </si>
  <si>
    <t>Kositcin et al. (2009); Wilde et al. (2013)</t>
  </si>
  <si>
    <t>Dundas (including Comet-Maestries, Kosminsky and South Comet)</t>
  </si>
  <si>
    <t>Dundas</t>
  </si>
  <si>
    <t>Oonah Formation</t>
  </si>
  <si>
    <t>Quartz wacke: continent-derived turbidites sequences (mudstone and sandstone) interbedded with minor pillow basalt and impure limestone beds. Ore is commonly associated with contact between shale and basalt (Queen Hill Basalt - local name)</t>
  </si>
  <si>
    <t>Cryogenian</t>
  </si>
  <si>
    <t>Dundas Group</t>
  </si>
  <si>
    <t>Sedimentary and volcanic rocks. Fine-grained flysch sequence. Marine sandstone-siltstone-conglomerate sequences, typically turbiditic, quartz-rich to polymict; Furongian fossils in places.</t>
  </si>
  <si>
    <t>Middle-Late Cambrian</t>
  </si>
  <si>
    <t>Renison Complex (Pine Hill Granite)</t>
  </si>
  <si>
    <t>Medium to coarse-grained, equigranular and porphyritic granite, with a groundmass of quartz, K-feldspar, plagioclase and biotite.</t>
  </si>
  <si>
    <t>https://www.mindat.org/loc-175.html (accessed March 2024)</t>
  </si>
  <si>
    <t>Reid (1925); Green et al. (2014); Hong et al. (2017)</t>
  </si>
  <si>
    <t>Hong et al. (2017)</t>
  </si>
  <si>
    <t>Cited age is that of the Renison Complex (Pine Hill Granite: Hong et al., 2017). Endowment includes production for the field of 25,000 t Pb, 630 t Zn and 1.8 Moz Ag and a 1968 mineral resource of 60,000 t at 8% Pb, 7% Zn and 250 g/t Ag for the Great South Comet deposit (Green et al., 2014). The Great Comet South resource was extracted in 1988-1991, producing 100,000 tonnes of ore at an unspecified grade (Green et al., 2014).</t>
  </si>
  <si>
    <t>Dunolly-Moliagul goldfield</t>
  </si>
  <si>
    <t>Dunolly-Moliagul</t>
  </si>
  <si>
    <t>Tarnagulla Granodiorite</t>
  </si>
  <si>
    <t>Hornblende-biotite granodiorite: medium grained; minor pegmatite and aplite; variably magnetic.</t>
  </si>
  <si>
    <t>https://www.mindat.org/loc-258398.html (accessed March 2024)</t>
  </si>
  <si>
    <t>Marlow and Bushell (1995); Phillips et al. (2003)</t>
  </si>
  <si>
    <t>Cited location is that of the town of Dunolly. Cited age is by analogy with the Bendigo, Ballarat and Castlemaine districts. Endowment includes 4 t of hard rock and 3 t of deep paleoplacer production; total alluvial production is described as major and total alluvial production is thought to be much higher than official production (Phillips et al., 2003).</t>
  </si>
  <si>
    <t>Dwellingup</t>
  </si>
  <si>
    <t>Mafic rock</t>
  </si>
  <si>
    <t>Porphyritic dolerite</t>
  </si>
  <si>
    <t>Dysons</t>
  </si>
  <si>
    <t>McKay and Miezitis (2001)</t>
  </si>
  <si>
    <t>Cited endowment includes include production only.</t>
  </si>
  <si>
    <t>E1</t>
  </si>
  <si>
    <t>Mount Fort Constantine Volcanics</t>
  </si>
  <si>
    <t>Variably altered plagioclase-phyric meta-andesite with minor intercalated biotite-muscovite-rich schist, biotite psammite, graphitic (andalusite) schist, banded scapolitic calc-silicate rock and cordierite-muscovite schist</t>
  </si>
  <si>
    <t>Variably altered plagioclase-phyric meta-andesite</t>
  </si>
  <si>
    <t>Unnamed metadolerite</t>
  </si>
  <si>
    <t>Williams Supersuite</t>
  </si>
  <si>
    <t>Potassium-rich, A-type granitoids and mafic rocks. The granites underwent fractionation and localised magma mixing and mingling.</t>
  </si>
  <si>
    <t>ab-amp-tit-hm±ser (pre-ore stage 1) → mt-bt-ap-ksp±asp±po±ilm±rut (stage 2a) → ab-mt-po-rut-asp±ilm (stage 2b) → car-mt-py-chl-asp±qtz±bt (stage 2c) → ser-car-chl-cp-bar-fl (stage 3 (ore stage))</t>
  </si>
  <si>
    <t>Case (2016); Valenta (2019h)</t>
  </si>
  <si>
    <t>Valenta (2019h)</t>
  </si>
  <si>
    <t>Cited age is the age of the nearby Ernest Henry deposit. Case (2016) produced a laser ablation U-Pb age of monazite of 1456 ± 44 Ma from carbonate-apatite veins associated with abundant magnetite-apatite 250 m to the southwest of the E1 North orebody. The cited age is preferred as this monazite age has a very high uncertainty. Endowment includes mineral resources in 2010 prior to mining commencement. A supergene blanket developed at the unconformity between basement and overlying Mesozoic and Cenozoic basin.</t>
  </si>
  <si>
    <t>Earl Grey</t>
  </si>
  <si>
    <t>Forrestania greenstone belt</t>
  </si>
  <si>
    <t>Pegmatites intrude succession komatiite, komatiitic basalt, high-Mg basalt and andesite. Pegmatites do not intrude sedimentary unis in faulted contact with host succession to the west</t>
  </si>
  <si>
    <t>Earl Grey pegmatite swarm</t>
  </si>
  <si>
    <t>Albite-quartz-microcline-spodumene-petalite pegmatite with minor biotite, muscovite and tourmaline</t>
  </si>
  <si>
    <t>Binneringie dyke</t>
  </si>
  <si>
    <t>chl (cookeite)</t>
  </si>
  <si>
    <t>Fock et al. (2022)</t>
  </si>
  <si>
    <t>Fock et al. (2022); Phelps-Barber et al. (2022)</t>
  </si>
  <si>
    <t>Cited age is by analogy with other Youanmi pegmatites.</t>
  </si>
  <si>
    <t>East Renison (Pieman Lode)</t>
  </si>
  <si>
    <t>Renison</t>
  </si>
  <si>
    <t xml:space="preserve">Siltstone and lithic wacke </t>
  </si>
  <si>
    <t>Medium- to coarse-grained, equigranular and porphyritic granite, with a groundmass of quartz, K-feldspar, plagioclase and biotite.</t>
  </si>
  <si>
    <t>Green et al. (2014); Hong et al. (2017)</t>
  </si>
  <si>
    <t>Cited age is that of the Renison Complex (Pine Hill Granite) (Hong et al., 2017). Endowment includes pre-JORC mineral resources only (Green et al., 2014).</t>
  </si>
  <si>
    <t>East Renison (Salmons Lode)</t>
  </si>
  <si>
    <t>Pb-Ag-Zn</t>
  </si>
  <si>
    <t>Siltstone, lithic wacke and talc-carbonate-altered ultramafic rocks</t>
  </si>
  <si>
    <t>Echunga-Jupiter Creek district (includes Old Echunga and Jupiter Creek diggins)</t>
  </si>
  <si>
    <t>Echunga-Jupiter Creek</t>
  </si>
  <si>
    <t>Aldgate Sandstone</t>
  </si>
  <si>
    <t>Heavy mineral banded quartzite and arkose with conglomerates.</t>
  </si>
  <si>
    <t>Woolshed Flat Shale</t>
  </si>
  <si>
    <t>Shale, black; dolomitic siltstone; dolomite; grey laminated siltstone.</t>
  </si>
  <si>
    <t>Cited age is by analogy with that that of the Deloraine district. Endowment includes historic (1852-1871) production mostly from alluvial deposits.</t>
  </si>
  <si>
    <t>Edna May (Westonia, includes Greenfinch and alluvial deposits)</t>
  </si>
  <si>
    <t>Westonia</t>
  </si>
  <si>
    <t>Edna May Gneiss</t>
  </si>
  <si>
    <t>Tonalitic quartz-feldspar-biotite orthogneiss</t>
  </si>
  <si>
    <t>slm, ksp, mus</t>
  </si>
  <si>
    <t>Drummond and Beilby (1990); Stein and Markey (2001); Catalpa Resources (2010); portergeo.com.au</t>
  </si>
  <si>
    <t>Stein and Markey (2001)</t>
  </si>
  <si>
    <t>Catalpa Resources (2010); Evolution Mining (2012, 2013, 2014, 2015, 2016); Ramelius Resources (2017, 2018, 2019, 2020, 2021, 2022, 2023); portergeo.com.au</t>
  </si>
  <si>
    <t>Cited age published as conference abstract only. Endowment includes production of 9.95 t Au in 1911-1922, 1.25 t Au in 1935-1947 and 8.5 t Au in 1986-1991, and resources at 30 June 2023.</t>
  </si>
  <si>
    <t>Edwards Creek</t>
  </si>
  <si>
    <t>Yambah Granulite</t>
  </si>
  <si>
    <t>Intensely folded, predominantly felsic and mafic granulite, with less abundant cordierite-bearing felsic granulite, biotite-sillimanite gneiss, migmatite, cordierite-quartz granulite, marble and calcsilicate rocks. The mineralisation is hosted by marble.</t>
  </si>
  <si>
    <t>Mafic granulite sills</t>
  </si>
  <si>
    <t>oam±opx±sp±mt±phl±crd → qtz-crd-opx</t>
  </si>
  <si>
    <t xml:space="preserve">Zircon U-Pb data define a unimodal population which is interpreted as closely approximating the depositional age of host volcaniclastic rocks. </t>
  </si>
  <si>
    <t>Egerton goldfield</t>
  </si>
  <si>
    <t>Egerton</t>
  </si>
  <si>
    <t>Nonmagnetic, pale grey, fine- to coarse-grained; biotite granodiorite; reduced I-type; occasionally porphyritic in feldspar; mafic microgranular enclaves and mineral clots</t>
  </si>
  <si>
    <t>Elvanite (quartz porphyry)</t>
  </si>
  <si>
    <t>Diorite</t>
  </si>
  <si>
    <t>Felsite</t>
  </si>
  <si>
    <t>Bradford (1903); Phillips et al. (2003)</t>
  </si>
  <si>
    <t>Endowment includes 16 t of hard rock and 11 t of shallow paleoplacer and placer production (Phillips et al., 2003).</t>
  </si>
  <si>
    <t>Einasleigh - big orebody</t>
  </si>
  <si>
    <t>Bi-Co-Mo-REE-Te</t>
  </si>
  <si>
    <t>Calc-silicate rock and biotite gneiss</t>
  </si>
  <si>
    <t>bt-chl-sil</t>
  </si>
  <si>
    <t>Evins et al. (2007); Consolidated Tin Mines Limited (2017); Lees and Buckle (2017)</t>
  </si>
  <si>
    <t>Consolidated Tin Mines Limited (2017); Lees and Buckle (2017)</t>
  </si>
  <si>
    <t>The cited molybdenite Re-Os age is supported by electron microprobe monazite ages of 1430-1400 Ma from ore-related alteration zones (Evins et al., 2007). Endowment includes production (1900-1924) of 0.14 Mt grading 6% Cu and mineral resources of 1.1 Mt grading 2.9% Cu, 13 g/t Ag and 0.15 g/t Au.</t>
  </si>
  <si>
    <t>Einasleigh - new orebody</t>
  </si>
  <si>
    <t>Siliceous calc-silicate gneiss</t>
  </si>
  <si>
    <t>bar-anr-cpx-ep, qtz-ep, ep-chl, olg-car</t>
  </si>
  <si>
    <t xml:space="preserve">Sun et al. (1996a); Denaro et al. (1997); Evins et al. (2007); Lees and Buckle (2009); Kositcin et al. (2009); Lees and Buckle (2017); </t>
  </si>
  <si>
    <t>The data presented are for a barite-rich lens nearby the Einasleigh Cu-Au-Ag deposit, which is interpreted as an iron oxide-copper-gold deposit. No resource data exist for the barite lens. Lead isotope model age calculated using CSIRO-AGSO North Australia model (Sun et al., 1996a).</t>
  </si>
  <si>
    <t>Elaine Dorothy</t>
  </si>
  <si>
    <t>Skarn uranium</t>
  </si>
  <si>
    <t>Mary Kathleen</t>
  </si>
  <si>
    <t>Corella Formation</t>
  </si>
  <si>
    <t>Evaporitic calc-silicate rocks with marble, metapelite, metapsammite and minor metavolcanic rocks</t>
  </si>
  <si>
    <t>Burstall Granite</t>
  </si>
  <si>
    <t>Pink foliated medium granite, granodiorite.</t>
  </si>
  <si>
    <t>Rhyolite dikes associated with Burstall Granite</t>
  </si>
  <si>
    <t>Lunch Creek Gabbro</t>
  </si>
  <si>
    <t>Olivine-pyroxene gabbro, biotite diorite, hybrid diorite and tonalite.</t>
  </si>
  <si>
    <t>Lakeview Dolerite</t>
  </si>
  <si>
    <t>Pyroxene-bearing dolerite</t>
  </si>
  <si>
    <t>Stenian</t>
  </si>
  <si>
    <t>cpx-gt-cal±tit (prograde skarn) → hbd-act/trm-bt-all-fl (retrograde skarn) → ab-hm (retrograde skarn) → py-po-cpl±tit (retrograde skarn; ore)</t>
  </si>
  <si>
    <t>China Yunnan Copper Australia Limited (2010)</t>
  </si>
  <si>
    <t>Maas et al. (1987); Oliver et al. (1999); McKay and Miezitis (2001); China Yunnan Copper Australia Limited (2010); Sha et al. (2015)</t>
  </si>
  <si>
    <t>Maas et al. (1987); Sha et al. (2015); Spandler et al. (2016)</t>
  </si>
  <si>
    <t>Location taken as centroid of garnet skarn hosting mineralisation. Cited age is an ID-TIMS age of a titanite megacryst, which is within uncertainty, but much more precise than, an LA-ICP-MS age for titanite associated with ore minerals (Sha et al., 2015). This age is consistent with a Sm-Nd isochron age of 1557 ± 40 Ma (Maas et al., 1987). A younger allanite age of 1473 ± 5 Ma was observed by Burnham et al. (in press) and likely represents the same late reworking event that affected the nearby Mary Kathleen deposit. JORC-compliant minerals resources include 26.1 Mt grading 0.56% Cu and 0.09 g/t Au. A small rare earth element-uranium resource (83 kt grading 3236 ppm REO and 282 ppm U3O8) is also reported (China Yunnan Copper Australia Limited, 2010).</t>
  </si>
  <si>
    <t>Eldorado</t>
  </si>
  <si>
    <t>chl-mus-mt-hm</t>
  </si>
  <si>
    <t>Skirrow and Walshe (2002); Donnellan (2013a)</t>
  </si>
  <si>
    <t>Endowment includes production only, with the grades cited the recovered grades.</t>
  </si>
  <si>
    <t>Eley</t>
  </si>
  <si>
    <t>NYF pegmatite</t>
  </si>
  <si>
    <t>Hillside</t>
  </si>
  <si>
    <t>F-Nb</t>
  </si>
  <si>
    <t>Shaw Granitic Complex</t>
  </si>
  <si>
    <t>Granite gneiss, migmatite and monzogranite</t>
  </si>
  <si>
    <t>Eley pegmatite swarm</t>
  </si>
  <si>
    <t>Layered and simple pegmatites</t>
  </si>
  <si>
    <t>Ferguson and Ruddock (2001)</t>
  </si>
  <si>
    <t>Kinny (2000); Sweetapple and Collins (2002)</t>
  </si>
  <si>
    <t>Kinny (2000)</t>
  </si>
  <si>
    <t>Cited location is that of alluvial workings. Production also included 0.073 t BeO.</t>
  </si>
  <si>
    <t>Eliwana-Flying Fish</t>
  </si>
  <si>
    <t>Marra Mamba Iron Formation - Mount Newman Member</t>
  </si>
  <si>
    <t>Banded iron-formation, shale.</t>
  </si>
  <si>
    <t>Marra Mamba Iron Formation - MacLeod Member</t>
  </si>
  <si>
    <t>Shale with thin BIF interbeds; chert.</t>
  </si>
  <si>
    <t>Trendall et al. (1998); Kepert et al. (2017)</t>
  </si>
  <si>
    <t>Kepert et al. (2017)</t>
  </si>
  <si>
    <t>Cited precursor age is from Trendall et al. (1998). Cited hypogene-enrichment age by analogy with Müller et al. (2005). Mostly (590 Mt ore) supergene-enriched ore with some relic hypogene-enriched (microplaty hematite) and significant (150 Mt ore) detrital-iron ore. Endowment includes mineral resources only.</t>
  </si>
  <si>
    <t>Ellendale (district)</t>
  </si>
  <si>
    <t>Ellendale</t>
  </si>
  <si>
    <t>Ar-Ar, K-Ar</t>
  </si>
  <si>
    <t>Grant Group</t>
  </si>
  <si>
    <t>Shallow marine to fluvial, and possibly partly glacial, cross-bedded fine to very coarse quartz sandstone, laminated micaceous sandstone, siltstone, mudstone, and minor conglomerate, fossiliferous; wood fragments and bioturbated in places</t>
  </si>
  <si>
    <t>Ellendale Lamproite Province</t>
  </si>
  <si>
    <t>Leucite and olivine lamproite</t>
  </si>
  <si>
    <t>Wellman (1973); Jaques et al. (1984); Hughes and Smith (1990); Phillips et al. (2012b); Evans et al. (2013); Boxer et al. (2017)</t>
  </si>
  <si>
    <t>Phillips et al. (2012b)</t>
  </si>
  <si>
    <t>Boxer et al. (2017)</t>
  </si>
  <si>
    <t>Endowment includes over 2 Mcts of production.</t>
  </si>
  <si>
    <t>Eloise</t>
  </si>
  <si>
    <t>Fine- to medium-grained biotite-rich, massive to locally schistose micaceous meta-arenites</t>
  </si>
  <si>
    <t xml:space="preserve">ab (early) → hbd-bt-qtz-mt-sul → cal-chl-qtz-act-sul (ore stage) → chl-cp-mus-tm (late); </t>
  </si>
  <si>
    <t>Valenta (2019c)</t>
  </si>
  <si>
    <t>Baker et al. (2001); Valenta (2019c)</t>
  </si>
  <si>
    <t>Baker et al. (2001)</t>
  </si>
  <si>
    <t>Cited age is midpoint of age range defined using Ar-Ar plateau ages. The maximum age is provided by pre-ore hornblende with an age of 1530 ± 3 Ma, and the minimum age is provided by 1514 ± 3 Ma muscovite in a post-ore shear zone. Endowment is an estimate by Minotaur Exploration Limited and cited by Valenta (2019c).</t>
  </si>
  <si>
    <t>Elsmore district (including Elsmore, Karaula Lead, Newstead and Sheep Station Hill)</t>
  </si>
  <si>
    <t>Elsmore</t>
  </si>
  <si>
    <t>Deep lead tin</t>
  </si>
  <si>
    <t xml:space="preserve">Elsmore Granite </t>
  </si>
  <si>
    <t>Medium grained leucocratic monzogranite with a seriate to porphyritic texture; in part extensively altered with greisenisation and silicification being typical</t>
  </si>
  <si>
    <t>qtz-ser, kao</t>
  </si>
  <si>
    <t>Brown and Stroud (1997)</t>
  </si>
  <si>
    <t>Brown and Stroud (1997); Malachite Resources NL (2008b,c); Cross and Blevin (2013); Pritchard (2013); Barry (2014); McQueen (2017)</t>
  </si>
  <si>
    <t>Cross and Blevin (2013); Pritchard (2013); Barry (2014)</t>
  </si>
  <si>
    <r>
      <t>Cited location is that of the Elsmore Valley Deep Lead. Cited age is the more precise of two cassiterite LA-ICPMS U-Pb ages (Barry, 2014); the second age (243 ± 2 Ma: Pritchard 2013) overlaps with the cited age. The cited age is younger than the host Elsmore Granite with an age of 250.3 ± 1.8 Ma (Cross and Blevin, 2013). Cited endowment includes historic production of over 1000 t cassiterite (assumed to have ideal formula of SnO</t>
    </r>
    <r>
      <rPr>
        <vertAlign val="subscript"/>
        <sz val="9"/>
        <color rgb="FF000000"/>
        <rFont val="Times New Roman"/>
        <family val="1"/>
      </rPr>
      <t>2</t>
    </r>
    <r>
      <rPr>
        <sz val="9"/>
        <color rgb="FF000000"/>
        <rFont val="Times New Roman"/>
        <family val="1"/>
      </rPr>
      <t xml:space="preserve"> to estimate Sn content) from alluvial and deep lead deposits (Brown and Stroud, 1997).</t>
    </r>
  </si>
  <si>
    <t>Emerald Creek</t>
  </si>
  <si>
    <t>Nb-Ta</t>
  </si>
  <si>
    <r>
      <t>Endowment includes production of 243 t SnO</t>
    </r>
    <r>
      <rPr>
        <vertAlign val="subscript"/>
        <sz val="9"/>
        <rFont val="Times New Roman"/>
        <family val="1"/>
      </rPr>
      <t>2</t>
    </r>
    <r>
      <rPr>
        <sz val="9"/>
        <rFont val="Times New Roman"/>
        <family val="1"/>
      </rPr>
      <t xml:space="preserve"> and mineral resources of 0.314 Mt at 0.075% Sn.</t>
    </r>
  </si>
  <si>
    <t>Emily Ann</t>
  </si>
  <si>
    <t>Lake Johnston</t>
  </si>
  <si>
    <t>Roundtop Komatiite (Central Ultramafic Unit)</t>
  </si>
  <si>
    <t>Olivine adcumulate, olivine mesocumulate and olivine orthocumulate</t>
  </si>
  <si>
    <t>Roundtop Komatiite (Central Ultramafic Unite)</t>
  </si>
  <si>
    <t>Buck et al. (1998); Peters and Buck (2000); Romano et al. (2014); poseidon-nickel.com.au/lake-johnston/ (accessed May 2024)</t>
  </si>
  <si>
    <t>poseidon-nickel.com.au/lake-johnston/ (accessed May 2024)</t>
  </si>
  <si>
    <t>Cited age is that of the Maggie Hays deposit. Endowment includes production from 2001 to 2007).</t>
  </si>
  <si>
    <t>Emmie Bluff</t>
  </si>
  <si>
    <t>Tapley Hill Formation</t>
  </si>
  <si>
    <t>Siltstone, grey to black, dolomitic and pyritic grading upwards to calcareous, thinly laminated, locally cross-bedded; dolomite, grey, flaggy to massive; limestone conglomerate, intraformational; greywacke.</t>
  </si>
  <si>
    <t>Knutson et al. (1983); Lambert et al. (1987); Tonkin and Creelman (1990); Huston and Connolly (2011)</t>
  </si>
  <si>
    <t>CODA minerals (2020)</t>
  </si>
  <si>
    <t>Endowment includes indicated and inferred resources</t>
  </si>
  <si>
    <t>Emull</t>
  </si>
  <si>
    <t>Halls Creek Central</t>
  </si>
  <si>
    <t>Ag-Pb</t>
  </si>
  <si>
    <t>Koongie Park Formation - "Mimosa interval"</t>
  </si>
  <si>
    <t>Carbonate-rich chlorite schist</t>
  </si>
  <si>
    <t>Koongie Park Formation - Coolibah tuff member</t>
  </si>
  <si>
    <t>Rhyolitic to dacitic lapilli and quartz-eye volcaniclastic rocks and lavas</t>
  </si>
  <si>
    <t>Koongie Park Formation - Weldon Creek Lava member</t>
  </si>
  <si>
    <t>Massive, homogeneous and spherulitic dacite-rhyolite lava flows that are quartz-phyric or aphanitic.</t>
  </si>
  <si>
    <t>https://www.mindat.org/loc-126046.html (accessed April 2024)</t>
  </si>
  <si>
    <t>Searle (2022)</t>
  </si>
  <si>
    <t>Page et al. (1994)</t>
  </si>
  <si>
    <t>Endeavor (Elura)</t>
  </si>
  <si>
    <t>Kopyje Formation</t>
  </si>
  <si>
    <t>Crinoid-rich limestone</t>
  </si>
  <si>
    <t>Felsic volcanic rock (alkali tuff beds)</t>
  </si>
  <si>
    <t xml:space="preserve">sil → sid (in turbidites spatially away from ore) </t>
  </si>
  <si>
    <t>Brown et al. (2017)</t>
  </si>
  <si>
    <t>Seccombe (1990); Lawrie and Hinman (1998); Sun et al. (2000); David (2005); Brown et al. (2017); Fitzherbert et al. (2017a)</t>
  </si>
  <si>
    <t>Sun et al. (2000)</t>
  </si>
  <si>
    <t>Cited age is an average of four plateau ages obtained from three aliquots of same sample analysed using laser step heating. Cited uncertainty covers entire uncertainty for all four ages. Silicified zones extend up to 50 m from ore lenses; pervasive siderite alteration zones extend up to several hundred meters from ore lenses.</t>
  </si>
  <si>
    <t>Endeavour 35 (E35)</t>
  </si>
  <si>
    <t>Granodiorite and subordinate monzonite</t>
  </si>
  <si>
    <t>pyr-alu-mus, kao-alu</t>
  </si>
  <si>
    <t>Zukowski (2010)</t>
  </si>
  <si>
    <t>Bastrakov (2000); Zukowski (2010)</t>
  </si>
  <si>
    <t>Bastrakov (2000)</t>
  </si>
  <si>
    <t>Endeavour 39 (E39)</t>
  </si>
  <si>
    <t>Age of mineralisation based on age of the host quartz diorite</t>
  </si>
  <si>
    <t>Inferred age of mineralisation based on age of the host granodiorite</t>
  </si>
  <si>
    <t>Alteration mineral from late hydrothermal overprint</t>
  </si>
  <si>
    <t>bt-ksp-mt-ser</t>
  </si>
  <si>
    <t>Perkins et al. (1995); Zukowski (2010)</t>
  </si>
  <si>
    <t>Perkins et al. (1995); Bastrakov (2000)</t>
  </si>
  <si>
    <r>
      <t xml:space="preserve">Cited age is a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age of alteration sericite. Alternatively, Zukowski (2010) suggests an age of ~464 Ma based on the age of the nearby E43 prospect and other calc-alkaline deposits in the district, in which case the ~440 Ma age of Perkins et al. (1995) would represent a reset age or an age of overprinting mineralisation. This alternative interpretation is consistent with other calc-alkaline porphyry systems in the Macquarie Arc.</t>
    </r>
  </si>
  <si>
    <t>Endeavour 41 (Including E41 East and E41 West)</t>
  </si>
  <si>
    <t>Sandstone, mudstone and rare polymictic volcanic breccias</t>
  </si>
  <si>
    <t>Muddy Lake Diorite</t>
  </si>
  <si>
    <t>Diorite sill ranging from plagioclase-dominated diorite to clinopyroxene-rich gabbro</t>
  </si>
  <si>
    <t>Cowal Igneous Complex - mafic monzonite</t>
  </si>
  <si>
    <t>Equigranular, medium-grained mafic monzonite</t>
  </si>
  <si>
    <t>Cowal Igneous Complex - pre-mineralisation sills and dykes</t>
  </si>
  <si>
    <t>Plagioclase-phyric dykes, blocky plagioclase-phyric coherent unit, crowded plagioclase-phyric dyke, trachyte dykes, mafic dykes, monzodiorite dyke, mafic monzonite, and hybrid monzodiorite-mafic monzonite</t>
  </si>
  <si>
    <t>Cowal Igneous Complex - syn-mineralisation sills and dykes</t>
  </si>
  <si>
    <t>Aplite dykelets, quartz-monzonite dykes, and pyroxene-phyric dykes</t>
  </si>
  <si>
    <t>Cowal Igneous Complex - late and post-mineralisation sills and dykes</t>
  </si>
  <si>
    <t>Syenite dykelet, hornblende-phyric quartz-rich dyke, plagioclase-phyric diorite dyke, amygdaloidal dyke and hornblende-phyric dyke</t>
  </si>
  <si>
    <t>ab-chl±ep±mt±hm±car (pre-ore) → chl-car-py±hm±leu±ser (early ore) → ser-sil±py±ank±leu (main-stage ore) → car±chl±hm (post-ore)</t>
  </si>
  <si>
    <t>Perkins et al. (1995); Zukowski (2010); Balind et al. (2017)</t>
  </si>
  <si>
    <t>Balind et al. (2017)</t>
  </si>
  <si>
    <t>Cited age is by correlation with the Perkins et al. (1995) ages from Endeavor 42. Zukowski (2010) argues for a ~455 Ma age based on the apparent ages of crosscutting dyes. However, these dykes are mostly mafic in composition and the ages may reflect inherited zircons. Endowment includes mineral resources only.</t>
  </si>
  <si>
    <t>Endeavour 42 (E42) - Cowal</t>
  </si>
  <si>
    <t>Sandstone, mudstone, andesite, trachyandesite lava and rare polymictic volcanic breccias</t>
  </si>
  <si>
    <t>Andesite and lava</t>
  </si>
  <si>
    <t>Basrakov (2000); Perkins et al. (1995); Zukowski (2010); Balind et al. (2017)</t>
  </si>
  <si>
    <r>
      <t xml:space="preserve">Cited age is average of two overlapping alteration sericite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analyses (439.0 ± 4.5 Ma and 437.6 ± 4.5 Ma: Perkins et al., 1995), with the uncertainty determined by the uncertainties of the two analyses added in quadrature. Alternatively Zukowski (2010) interprets an age of ~455 Ma based on geological relationships with mostly mafic dykes (see comments for Endeavor 41). Endowment includes production to December 2016 and mineral resources at December 2016 (Balind et al. (2017).</t>
    </r>
  </si>
  <si>
    <t>Endeavour 43 (E43)</t>
  </si>
  <si>
    <t>Andesite and volcaniclastic rocks</t>
  </si>
  <si>
    <t>Cowal Igneous Complex - pre-ore intrusive rocks</t>
  </si>
  <si>
    <t>Diorite, granodiorite and monzodiorite porphyries and minor aplite dykes</t>
  </si>
  <si>
    <t>Cowal Igneous Complex - syn-ore intrusive rocks</t>
  </si>
  <si>
    <t>Pyroxene-phyric and dacitic porphyries</t>
  </si>
  <si>
    <t>Cowal Igneous Complex - post-ore intrusive rocks</t>
  </si>
  <si>
    <t>Vesicular dyke and equigranular monzonite</t>
  </si>
  <si>
    <t>qtz±mt±ksp (vein gangue)</t>
  </si>
  <si>
    <t>Endeavour 44 (E 44, Two-Thirty breccia)</t>
  </si>
  <si>
    <t>Northparkes</t>
  </si>
  <si>
    <t>Goonumbla Volcanics</t>
  </si>
  <si>
    <t>Moderately to poorly sorted polymictic volcanic breccia grading upwards to sandstone with trachyandesitic composition and siltstone.</t>
  </si>
  <si>
    <t>Two-Thirty breccia complex - pre- and syn-ore</t>
  </si>
  <si>
    <t>Mostly quartz monzonite porphyry with lesser mafic dykes</t>
  </si>
  <si>
    <t>Two-Thirty breccia complex - pre-ore</t>
  </si>
  <si>
    <t>Mostly quartz monzonite porphyry with minor mafic dykes</t>
  </si>
  <si>
    <t>Two-Thirty breccia complex - syn-ore</t>
  </si>
  <si>
    <t>K-feldspar-phyric quartz monzonite porphyry and K-feldspar and plagioclase-phyric monzonite porphyry (Two-Thirty porphyry)</t>
  </si>
  <si>
    <t>Two-Thirty breccia complex - post-ore</t>
  </si>
  <si>
    <t>Feldspar-phyric quartz monzonite porphyry (Zero porphyry), aphanitic mafic dykes and aplite dykes</t>
  </si>
  <si>
    <t>bt-mt, ksp (pre-breccia) → bt-mt, qtz-mus-phn (syn-breccia) → ep-py, chl±ep (post breccia)</t>
  </si>
  <si>
    <t>Wells et al. (2021)</t>
  </si>
  <si>
    <t>Wells et al. (2021) also presented an interpretation that the deposited was related to the spatially related 448.0 ± 4.5 Ma Two-Thirty porphyry.</t>
  </si>
  <si>
    <t>Endeavour 46 (Including E46, Galway and Regal)</t>
  </si>
  <si>
    <t>Sandstone, mudstone, trachyandesite lava and rare polymictic volcanic breccias</t>
  </si>
  <si>
    <t>Lava</t>
  </si>
  <si>
    <t>Cited age is by correlation with the Perkins et al. (1995) age for Endeavour 42. Zukowski (2010) prefers an age of ~455 Ma (see comments on Endeavour 41). Endowment includes mineral resources only.</t>
  </si>
  <si>
    <t>Eneabba</t>
  </si>
  <si>
    <t>Yoganup Formation</t>
  </si>
  <si>
    <t>Shoreline deposit consisting of basal conglomerate and foredune containing discontinuous concentrations of heavy minerals together with leached quartz sand.</t>
  </si>
  <si>
    <t>Pliocene</t>
  </si>
  <si>
    <t>Sheppard (1990)</t>
  </si>
  <si>
    <t>Baxter (1990); Shepherd (1990); Iluka Resources Limited (2019)</t>
  </si>
  <si>
    <t>Baxter (1990)</t>
  </si>
  <si>
    <t>Shepherd (1990); Iluka Resources Limited (2019)</t>
  </si>
  <si>
    <t>Cited age is based on the assignation of a Pliocene age to the Yoganup Formation, which is the equivalent host unit in the Yoganup deposit to the south, by Baxter (1990). Cited endowment includes production of 0.9 Mt rutile, 2 Mt zircon, 3.5 Mt ilmenite and 65 kt monazite from 1974 to 1985, mineral resources of 3 Mt rutile, 5 Mt zircon and 15 Mt ilmenite in 1985, and a by product resource (released on 24 July 2019) of 1.00 Mt at 82.5% heavy minerals, with the heavy minerals comprising 26% zircon, 20% monazite, 1.2% xenotime and 34% ilmenite (Iluka Resources Limited, 2019). The rare earth element endowment has not been estimated as the compositions of monazite and xenotime are not provided. Endowment is NOT code-compliant.</t>
  </si>
  <si>
    <t>Ennungan Mountains biotite schist</t>
  </si>
  <si>
    <t>Orogenic rare earth element</t>
  </si>
  <si>
    <t>Biotite-muscovite-quartz schist zone within Ennungan Mountains Granite</t>
  </si>
  <si>
    <t>Ennungan Mountains Granite</t>
  </si>
  <si>
    <t>Includes a homogeneous and massive porphyritic grey biotite granite and a separate phase of porphyritic granite with elongate K-feldspar megacrysts. Local variations contain hornblende and allanite, or have rapakivi texture.</t>
  </si>
  <si>
    <t>bt-muz-qtz±ap±zrc±mzn</t>
  </si>
  <si>
    <t>Kositcin et al. (2013)</t>
  </si>
  <si>
    <t>Kositcin et al. (2013); Beyer (2017a,b)</t>
  </si>
  <si>
    <t>Cited location is that of from which the geochronology sample was collected. This locality is that of a biotite-rich schist cutting the Ennungan Mountains Granite. The schist is enriched in U, Th, P, F, REEs, Rb, Cs, Hf, Zr, Ta, Nb, Bi, Sn, W and Zn. The cited age is of metamorphic monazite that overgrows monazite with an age of 1606 ± 2 Ma, which is interpreted as the magmatic crystallisation age of the Wangala Granite. This age is slightly younger than a 1615 ± 3 Ma SHRIMP zircon U-Pb age from the same sample that was also interpreted as a magmatic crystallisation age. The metamorphic age corresponds to the later history of the Chewings Orogeny, and the schist is interpreted to have formed during metasomatism associated with metamorphism.</t>
  </si>
  <si>
    <t>Erayinia-King</t>
  </si>
  <si>
    <t>Edjudina</t>
  </si>
  <si>
    <t>Ag-Bi-Co-Cu-Ga-Ge-In-Pb-Se-Te</t>
  </si>
  <si>
    <t>Quartz-muscovite schist</t>
  </si>
  <si>
    <t>Leucocratic and variably banded quartz–muscovite schist of dacitic composition</t>
  </si>
  <si>
    <t>Garnet-amphibolite</t>
  </si>
  <si>
    <t>Foliated garnet-amphibolite and hornblende–garnet–quartz schist</t>
  </si>
  <si>
    <t>py-po-sph → qtz-msc → qtz-msc-ab-chl-cb → ant-chl-cb-qtz-ab-ep → chl-mag-qtz-ep → qtz-ep</t>
  </si>
  <si>
    <t>qtz-msc-chl-ep</t>
  </si>
  <si>
    <t>Py</t>
  </si>
  <si>
    <t>Sph</t>
  </si>
  <si>
    <t>Gn</t>
  </si>
  <si>
    <t>Hollis et al. (2019)</t>
  </si>
  <si>
    <t>Wingate et al. (2016)</t>
  </si>
  <si>
    <t>Endowment is from non compliant mineral resources. Age is based on the nearby Gindalbie granite gneiss age (2680 ± 4 Ma) at Coonana Hill located 30 km NE of the Erayinia-King deposit.</t>
  </si>
  <si>
    <t>Erigolia-Taleeban district (including Erigilia (Conapaira) and Taleeban (Restodown))</t>
  </si>
  <si>
    <t>Erigolia-Taleeban</t>
  </si>
  <si>
    <t>Erigolia Granite</t>
  </si>
  <si>
    <t>Coarse- to medium-grained leucocratic equigranular to sparsely porphyritic granite with metasedimentary xenoliths and biotite-rich microgranular enclaves.</t>
  </si>
  <si>
    <t>Burton and Downes (2005)</t>
  </si>
  <si>
    <t>Burton and Downes (2005); Colquhon et al. (2005)</t>
  </si>
  <si>
    <t>Colquhon et al. (2005)</t>
  </si>
  <si>
    <r>
      <t>Cited age is that of the Erigolia Granite. Endowment includes un-mined, pre-JORC resources of 376,000 m</t>
    </r>
    <r>
      <rPr>
        <vertAlign val="superscript"/>
        <sz val="9"/>
        <rFont val="Times New Roman"/>
        <family val="1"/>
      </rPr>
      <t>3</t>
    </r>
    <r>
      <rPr>
        <sz val="9"/>
        <rFont val="Times New Roman"/>
        <family val="1"/>
      </rPr>
      <t xml:space="preserve"> grading 4.5 kg cassiterite/m</t>
    </r>
    <r>
      <rPr>
        <vertAlign val="superscript"/>
        <sz val="9"/>
        <rFont val="Times New Roman"/>
        <family val="1"/>
      </rPr>
      <t>3</t>
    </r>
    <r>
      <rPr>
        <sz val="9"/>
        <rFont val="Times New Roman"/>
        <family val="1"/>
      </rPr>
      <t xml:space="preserve"> in deep leads. Tin content calculated given that cassiterite contains 78.77% Sn.</t>
    </r>
  </si>
  <si>
    <t>Ernest Henry</t>
  </si>
  <si>
    <t>ab±act±dp±mt±scp±py (pre-ore) → bt-mt±gt (pre-ore) → ksp-qtz-rut-cal, mus (syn-ore) → cal-dol-qtz (post-ore); ksp-qtz-rut-cal (proximal) → mus (distal)</t>
  </si>
  <si>
    <t>https://www.mindat.org/loc-191789.html (accessed July 2023)</t>
  </si>
  <si>
    <t>Twyerould (1997); Mark et al. (2004, 2006); Lilly et al. (2017); Valenta (2018b)</t>
  </si>
  <si>
    <t>Twyerould (1997); Mark et al. (2004, 2006)</t>
  </si>
  <si>
    <t>Lilly et al. 92017)</t>
  </si>
  <si>
    <r>
      <t xml:space="preserve">Cited age is constrained by TIMS titanite ages from pre-ore biotite-magnetite (1514 ± 24 Ma) and sodic-calcic (1529 +11/-8 Ma) alteration assemblages (Mark et al., 2006) and a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(1514 ± 6 Ma: Twyerould, 1997). It is consistent with a molybdenite Re-Os age of ~1525 Ma from a molybdenite vein near the ore zone (Mark et al., 2004). The supergene copper zone is interpreted as a paleo-supergene zone (Lilly et al., 2017). Endowment is after Lilly et al. (2017).</t>
    </r>
  </si>
  <si>
    <t>Esmeralda</t>
  </si>
  <si>
    <t>Union Reefs</t>
  </si>
  <si>
    <t>Mount Bonnie Formation</t>
  </si>
  <si>
    <t>Interbedded carbonaceous sericitic and commonly pyritic or chloritic slate, phyllite, mudstone and siltstone; fine to coarse feldspathic metagreywacke; ferruginous phyllite (metasiltstone) with chert bands, lenses and nodules</t>
  </si>
  <si>
    <t>Ahmad and Hollis (2013); https://resourcingtheterritory.nt.gov.au/minerals/mineral-commodities/gold#:~:text=The%20Northern%20Territory%20has%20a,Tennant%20Creek%20and%20the%20Tanami. (accessed May 2024)</t>
  </si>
  <si>
    <t>Cited age is by analogy with other Pine Creek orogenic gold deposits (e.g., Cleo, Goodall, Howley and Mount Todd). Endowment includes mineral resources only.</t>
  </si>
  <si>
    <t>Estoril</t>
  </si>
  <si>
    <t>hm-mt-chl-ab-ser-ksp±bt (proximal) → mt-chl-ab-ser±act → ab-ser-chl → ser-chl-ep (distal)</t>
  </si>
  <si>
    <t>Eulogie</t>
  </si>
  <si>
    <t>Wateranga</t>
  </si>
  <si>
    <t>Eulogie Park Gabbro</t>
  </si>
  <si>
    <t>Layered olivine gabbro, augite troctolite, ferrigabbro, leucogabbro, magnetite bands</t>
  </si>
  <si>
    <t>Permian-Early Triassic</t>
  </si>
  <si>
    <t>Eastern Iron Limited (2011)</t>
  </si>
  <si>
    <t>Cited age is by analogy with Hawkwood deposit. Endowment includes mineral resources only.</t>
  </si>
  <si>
    <t>Euston district (includes Castaway, Dispersion, Earl, Kerribee, Ki Downs and Koolaman)</t>
  </si>
  <si>
    <t>Euston</t>
  </si>
  <si>
    <t>Cited location is that of the Dispersion deposit. Cited age is based on Late Miocene-Early Pliocene (7.2-5.0 Ma) age of host Loxton Sand as reported by Keeling et al. (2016). Endowment includes mineral resources only as reported by Iluka Resources Limited (2017).</t>
  </si>
  <si>
    <t>Eva (Pandanus Creek)</t>
  </si>
  <si>
    <t>Westmorelamd</t>
  </si>
  <si>
    <t>Murphy</t>
  </si>
  <si>
    <t>Cliffdale Volcanics</t>
  </si>
  <si>
    <t>Rhyolite, alkali rhyolite and dacitic lavas, ignimbrites and intrusions; minor andesite and sedimentary intervals.</t>
  </si>
  <si>
    <t>Rhyolite, alkali rhyolite and dacitic lavas (ore host), ignimbrites and intrusions; minor andesite and sedimentary intervals.</t>
  </si>
  <si>
    <t>Nicholson Granite Complex</t>
  </si>
  <si>
    <t>Hornblende-biotite adamellite and granodiorite, medium- to coarse-grained, inequigranular. Biotite-muscovite granite and adamellite, medium- to fine-grained, equigranular.</t>
  </si>
  <si>
    <t>ser-ep-qtz±hm (Ahmad et al., 2013a); clay-ser-hm (unconformity proximal) → ill → chl (unconformity distal) (Orth, 2009)</t>
  </si>
  <si>
    <t>Orth (2009); Ahmad et al. (2013a)</t>
  </si>
  <si>
    <t>Ahmad et al. (2013a)</t>
  </si>
  <si>
    <r>
      <t>Endowment includes production (306 t at 8.37%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lower-grade ore on spoil dump (3000 t at 1.0%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and 11 g/t Au) and mineral resources (120,000 t at 0.36%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Gold was not recovered and not routinely assayed, so the gold resources are under-estimated.</t>
    </r>
  </si>
  <si>
    <t>Evelyn</t>
  </si>
  <si>
    <t>Constantine Sandstone</t>
  </si>
  <si>
    <t>Deposit is hosted by variably mineralised sedimentary rocks including siltstone and minor chert within a sequence immediately dominated by variably altered, mafic schist and high-Mg basalt. Along strike the schist contains relic spinifex textures indicative of primary high-Mg basalt or komatiite origin form this unit.</t>
  </si>
  <si>
    <t>Deposit is hosted by variably mineralised sedimentary rocks within a sequence immediately dominated by variably altered, mafic schist and high-Mg basalt. Along strike the schist contains relic spinifex textures indicative of primary high-Mg basalt or komatiite origin form this unit.</t>
  </si>
  <si>
    <t>Low (1963); Marsden (1979); Huston et al. (2000, 2002a); Anax Metals Limited (2022)</t>
  </si>
  <si>
    <t>Thorpe et al. (1992b); Huston et al. (2000)</t>
  </si>
  <si>
    <t>Anax Metals Limited (2022)</t>
  </si>
  <si>
    <t>Cited age and uncertainty includes the possible age range of the host Constantine Sandstone, constrained by a maximum depositional age of 2997 ± 20 Ma and an intrusive granite age of 2948 ± 5 Ma (Huston et al., 2000). The deposit occurs in two lodes parallel to the axis of the host Croydon Anticline (Marsden, 1979; Huston et al., 2000). Marsden (1979) interpreted the ore shoots to be remobilised from originally syn-genetic mineralisation into structurally favourable sites (e.g., fold hinge zones). Lead-rich gossan from the deposit yielded a Thorpe et al. (1992b) model age of 2869 Ma. The lead, however, has anomalously high μ, possibly indicating long-term U enrichment in the source, in which case this model age would be anomalously young. Alternatively, the deposit formed syn-tectonically. Endowment excludes minor Cu production of about 600 t (Marsden, 1979).</t>
  </si>
  <si>
    <t>Evelyn-Evelyn North</t>
  </si>
  <si>
    <t>Cullen Mineral Field</t>
  </si>
  <si>
    <t>Au-Cd</t>
  </si>
  <si>
    <t>Marble towards base of unit of metasiltstone and phyllite with chert bands, graphitic phyllite and slate, silicified dolomudstone (host) and minor quartz metagreywacke</t>
  </si>
  <si>
    <t>Allamber Springs Granite</t>
  </si>
  <si>
    <t>Pink and green, coarse porphyritic hornblende-biotite granite; pink coarse porphyritic biotite granite; equigranular biotite leucogranite. I-type mostly.</t>
  </si>
  <si>
    <t>act-cal-trm</t>
  </si>
  <si>
    <t>Stuart-Smith et al. (1993): Lomínský et al. (1996); Ahmad and Hollis (2013); Ahmad and Khan (2013)</t>
  </si>
  <si>
    <t>Stuart-Smith et al. (1993)</t>
  </si>
  <si>
    <t>Klomínský et al. (1996); Ahmad and Hollis (2013); Ahmad and Khan (2013)</t>
  </si>
  <si>
    <t>The cited age is that of that of the Allamber Springs Granite. Endowment includes production of 610 t Pb and 2.8 t Ag (1886-1889), 4148 t of ore at an unspecified grade (1894-1948) and 81,554 t at 7.5% Zn, 5.5% Pb and 276 g/t Ag (1966-1970) and remnant resources of 7420 t at 3.7% Zn 6.7% Pb and 343 g/t Ag at mine closure. Production also included 56.6 t Au and 54 t Cd.</t>
  </si>
  <si>
    <t>Everton</t>
  </si>
  <si>
    <t>Everton Granodiorite</t>
  </si>
  <si>
    <t>Hornblende-biotite granodiorite: fine-grained, pink K-feldspar phenocrysts, accessory magnetite, allanite, sphene, apatite, zircon and fluorite.</t>
  </si>
  <si>
    <t>https://www.mindat.org/loc-27915.html (accessed March 2024)</t>
  </si>
  <si>
    <t>McKenzie et al. (1984); Maher et al. (1997); Campbell et al. (2003); Huston et al. (2021)</t>
  </si>
  <si>
    <t>Huston et al. (2021)</t>
  </si>
  <si>
    <t>Maher et al. (1997)</t>
  </si>
  <si>
    <r>
      <t>The cited molybdenite Re-Os age is within error the 384 ± 6 Ma age of the host Everton Granodiorite (McKenzie et al., 1984). Endowment includes production of 12,591 t at 1.54% MoS</t>
    </r>
    <r>
      <rPr>
        <vertAlign val="subscript"/>
        <sz val="9"/>
        <rFont val="Times New Roman"/>
        <family val="1"/>
      </rPr>
      <t>2</t>
    </r>
    <r>
      <rPr>
        <sz val="9"/>
        <rFont val="Times New Roman"/>
        <family val="1"/>
      </rPr>
      <t xml:space="preserve"> in 1917-1940 and 4377 t at 0.41% MoS</t>
    </r>
    <r>
      <rPr>
        <vertAlign val="subscript"/>
        <sz val="9"/>
        <rFont val="Times New Roman"/>
        <family val="1"/>
      </rPr>
      <t>2</t>
    </r>
    <r>
      <rPr>
        <sz val="9"/>
        <rFont val="Times New Roman"/>
        <family val="1"/>
      </rPr>
      <t xml:space="preserve"> in 1940-1944 (Maher et al., 1997).</t>
    </r>
  </si>
  <si>
    <t>Explorer 108</t>
  </si>
  <si>
    <t>Rover</t>
  </si>
  <si>
    <t>Apatite</t>
  </si>
  <si>
    <t>Bi-In-Sb</t>
  </si>
  <si>
    <t>Yungkulungu Formation</t>
  </si>
  <si>
    <t>Medium to thick bedded lithic arenite and volcanic litharenite with magnetite/heavy mineral laminae; minor granule and pebble beds; interbedded tabular siltstone, felsic ignimbrite and tuff; thick foliated porphyritic rhyolite lava flows.</t>
  </si>
  <si>
    <t>dol-chl-tc-mt-hm</t>
  </si>
  <si>
    <t>Leggo et al. (2019); Huston et al. (2020b); Cross et al. (2021); Savage (2020); Farias et al. (2022); Farias (2023)</t>
  </si>
  <si>
    <t>Cross et al. (2021); Farias et al. (2022); Farias (2023)</t>
  </si>
  <si>
    <t>Castile Resources Limited (2023)</t>
  </si>
  <si>
    <t xml:space="preserve">Cited resources include mineral resources only. The resources cited in grade-tonnage data are of the zinc-rich zone only. Additional resources of 5.69 at 0.36% Cu that form in the rocks just above the unconformity with the Wiso Basin are not included in grade-tonnage data, but are included as total (copper) metal. Host unit is interpreted to be equivalent of Yungkulungu Formation owing to similarities in age and lithologies. The origin of the deposit is problematic. Savage (2020 interpreted the deposit as a shale-hosted zinc deposit akin to Mount Isa zinc or HYC. In contrast, Farias (2023) interpreted the deposit as a volcanic-hosted massive sulfide deposit based on the association of mineralisation with felsic volcanic rocks and the presence of Cu-rich stringer-like mineralisation. LA-ICP-MS analyses of apatite from the Explorer 108 deposit yielded a lower intercept U-Pb age of 1724 ± 77 Ma, consistent with a similar age from the nearby Curiosity prospect, which yielded an age of 1740 ± 55 Ma (Farias et al., 2022a). These ages overlap with a Rb-Sr isochron age of hydrothermal biotite from Explorer 108 of 1783 ± 45 Ma (Farias et al., 2022b) and a 1729 ± 27 Ma maximum depositional age from the Explorer 108 ore host (Cross et al. (2021, 2022). Despite the large uncertainties, the geochronological and geological data are most consistent with a VHMS origin as proposed by Farias (2023), and the apatite lower intercept age is assigned as the most likely age of mineralisation. </t>
  </si>
  <si>
    <t>Explorer 142</t>
  </si>
  <si>
    <t>Leggo et al. (2019); Huston et al. (2020b)</t>
  </si>
  <si>
    <t>Leggo et al. (2019)</t>
  </si>
  <si>
    <t>Cited age is by analogy with the Rover 1 deposit. Endowment includes mineral resources only. Host unit is interpreted to be equivalent of Warramunga Formation owing to similarities in lithologies.</t>
  </si>
  <si>
    <t>F1</t>
  </si>
  <si>
    <t>Armistead and Fraser (2015); Armistead et al. (2017)</t>
  </si>
  <si>
    <r>
      <t xml:space="preserve">Cited age (Armistead et al., 2017) is a mean value of two overlapping molybdenite ages of 424.7 ± 1.7 and 425.8 ± 1.7 Ma. The cited age is within error of the younger (424.5 ± 2.8 Ma: Armistead and Fraser, 2015) of two ages of the host granite. The cited age is also with error of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ages of 421.4 ± 5.0 and 423.9 ± 5.0 Ma from alteration muscovite. There has been no production from this deposit, and no mineral resources have been reported.</t>
    </r>
  </si>
  <si>
    <t>Fairview (including Fairview North and Fairview South)</t>
  </si>
  <si>
    <t>Glenthompson Sandstone</t>
  </si>
  <si>
    <t>Hydrothermally altered (feldspathic) sandstone with minor interbedded mudstone.</t>
  </si>
  <si>
    <t>Kaolinite-pyrite-altered porphyritic dykes of probable andesitic to dacitic composition</t>
  </si>
  <si>
    <t>kao-py, sil-py, chl-ser-kao, ab, adu</t>
  </si>
  <si>
    <t>Schofield et al. (2018)</t>
  </si>
  <si>
    <t>Jeffries and Arne (2014); Duncan et al. (2018)</t>
  </si>
  <si>
    <t>The Fairview prospect includes both the Fairview North and Fairview South prospects. Cited location is that of the collar of the STAVELY17 drill hole, which intersected the Fairview South prospect. Cited age is by correlation with porphyry copper mineralisation at Thursdays Gossan.</t>
  </si>
  <si>
    <t>Farrell lodes (New North Mount Farrell, North Mount Farrell and Mackintosh)</t>
  </si>
  <si>
    <t>Tullah</t>
  </si>
  <si>
    <t>Farrell Slate</t>
  </si>
  <si>
    <t>Carbonaceous slate and volcaniclastic sandstone</t>
  </si>
  <si>
    <t>Granite Tor Granite</t>
  </si>
  <si>
    <t>S-type, coarse-grained, muscovite-biotite alkali-feldspar granite - with megacrysts of K-feldspar; accessory minerals of zircon, apatite and garnet; tourmaline present at some localities.</t>
  </si>
  <si>
    <t>Solomon et al. (1969); Taheri and Green (1990); Black et al. (2005); Green et al. (2014)</t>
  </si>
  <si>
    <t>Black et al. (2005)</t>
  </si>
  <si>
    <t>Cited age is by an inferred association with the Heemskirk-Granite Tor gravity ridge (Taheri and Green, 1990) and a 361 ± 3 Ma age of the White Heemskirk Granite (Black et al., 2005), which, with the Granite Tor Granite form the Conical Rocks Suite. The deposit is spatially closest to the Granite Tor Granite, which has not been dated. Endowment includes pre-JORC mineral resources only (Green et al., 2014).</t>
  </si>
  <si>
    <t>Federation</t>
  </si>
  <si>
    <t>Amphitheatre Group, Lower</t>
  </si>
  <si>
    <t>Thin- to medium-bedded sandstone and thinly laminated siltstone, thin limestone beds and minor felsic volcanics</t>
  </si>
  <si>
    <t>Late Silurian-Middle Devonian</t>
  </si>
  <si>
    <t>Erimeran Granite</t>
  </si>
  <si>
    <t>Medium to coarse-grained, porphyritic, cordierite-muscovite-biotite granite, microgranite, monzogranite and micromonzogranite</t>
  </si>
  <si>
    <t>chl (lower) → sil (upper)</t>
  </si>
  <si>
    <t>Schellen et al. (2020); Aurelia Metals Limited (2021a); Fitzherbert and Downes (2021)</t>
  </si>
  <si>
    <t>Fitzherbert and Downes (2021)</t>
  </si>
  <si>
    <t>Aurelia Metals Limited (2022a)</t>
  </si>
  <si>
    <t>Pb model ages range from 402 Ma to 411 Ma (Fitzherbert and Downes, 2021) and overlap the titanite age.</t>
  </si>
  <si>
    <t>Fifield district (includes Owendale North, Murga, Kelvin Grove, Flemington, Mount Derriwong, Kars, Syerston, Cincinnati, Milverton, Avondale (orthomagmatic and lateritic residue), Fifield, Burra, Owendale, Cincinnati, Milverton, Studwick's, Gillenbine, and Platina (alluvial))</t>
  </si>
  <si>
    <t>Fifield</t>
  </si>
  <si>
    <t>Lateritic PGE-nickel-copper-cobalt-scandium</t>
  </si>
  <si>
    <t>Fluvial placer PGE</t>
  </si>
  <si>
    <t>Ni-Co-Pt-BaSO4</t>
  </si>
  <si>
    <t>Owendale Intrusive Complex (Kelvin Grove Intrusion)</t>
  </si>
  <si>
    <t>Dunite, pyroxenite, hornblende pyroxenite, monzodiorite</t>
  </si>
  <si>
    <t>Tout Intrusive Complex (Flemington Intrusion)</t>
  </si>
  <si>
    <t>Dunite, pyroxenite, hornblende quartz monzonite, hornblende pyroxenite, gabbro, olivine pyroxenite, monzodiorite</t>
  </si>
  <si>
    <t>Murga Intrusive Complex (Wanda Bye Intrusion)</t>
  </si>
  <si>
    <t>Peripheral zone of coarse-grained hornblende pyroxenite grading to augite hornblendite. A central zone of sericitised and saussuritised metadiorite grading to quartz diorite</t>
  </si>
  <si>
    <t>Hoatson et al. (2014); Webb (2014)</t>
  </si>
  <si>
    <t>Webb (2014)</t>
  </si>
  <si>
    <t>Hoatson (1990); Hoatson et al. (2014)</t>
  </si>
  <si>
    <t>Cited age is that of a hornblende gabbro from the Tout Intrusive Complex. Endowment includes JORC-compliant mineral resources from the Owendale North, Cincinnati and Milverton lateritic Pt-Sc deposits and historic production from alluvial leads of 20,000 oz Pt and 6200 oz Au (. Minor hydrothermal remobilisation appears to be present, but is minor compared to the orthomagmatic, lateritic and alluvial parts of the district.</t>
  </si>
  <si>
    <t>Fingerboards</t>
  </si>
  <si>
    <t>Glenadale</t>
  </si>
  <si>
    <t>Gipsland Basin</t>
  </si>
  <si>
    <t>Haunted Hills Formation</t>
  </si>
  <si>
    <t>Fluvial deposits - succession of cross-bedded and lenticular gravels, sands and clays - in which kaolinitic clays have been identified in the Boisdale area.</t>
  </si>
  <si>
    <t>Pliocene-Pleistocene</t>
  </si>
  <si>
    <t>Kalbar Resources Limited (2019); Kalbar Operations Proprietary Limited (2020)</t>
  </si>
  <si>
    <t>asud.ga.gov.au</t>
  </si>
  <si>
    <t>Cited age is based on Pliocene-Pleistocene (5.333-0.0117 Ma) of the host Haunted Hills Formation (www.asud.ga.gov.au). Endowment includes mineral resources. The Zr endowment also includes Hf as these are not separated in the mineral resource statement. Similarly Y2O3 is included with REO.</t>
  </si>
  <si>
    <t>Firetail</t>
  </si>
  <si>
    <t>Solomon</t>
  </si>
  <si>
    <t>Well-banded BIF made up of chert and iron oxide</t>
  </si>
  <si>
    <t>Pickard (2002); Clout et al. (2017)</t>
  </si>
  <si>
    <t>Endowment includes production and mineral resources.</t>
  </si>
  <si>
    <t>Fisher East (includes Camelwood, Cannonball, Musketand Sabre)</t>
  </si>
  <si>
    <t>Fisher East</t>
  </si>
  <si>
    <t>Au- Co-PGE</t>
  </si>
  <si>
    <t>Fisher East komatiite</t>
  </si>
  <si>
    <t>Sulfide zone is localised along basal contact of talc-carbonate-altered olivine cumulates (B zone) with the underlying felsic volcanic and metasedimentary succession. The olivine cumulates are intercalated with tremolite-chlorite-altered komatiite (A zone).</t>
  </si>
  <si>
    <t>Meso-Neoarchean</t>
  </si>
  <si>
    <t>Talc-carbonate-altered olivine cumulates and with tremolite-chlorite-altered komatiite.</t>
  </si>
  <si>
    <t>Belbin et al. (2017)</t>
  </si>
  <si>
    <t>Mole et al. (2016); Belbin et al. (2017); Burley et al. (2017)</t>
  </si>
  <si>
    <t>Mole et al. (2016)</t>
  </si>
  <si>
    <t>https://cannonres.com.au/projects/fisher-east-nickel-project/ (accessed May 2024)</t>
  </si>
  <si>
    <t>Age of host komatiite is constrained by a ~2940 Ma SHRIMP age of the underlying felsic volcanic and sedimentary succession and a ~2840 Ma age of a volcaniclastic rock in the overlying succession at the Camelwood prospect (Mole et al., 2016). The details of these ages are not provided, however. Endowment includes mineral resources only.</t>
  </si>
  <si>
    <t>Fisher Well</t>
  </si>
  <si>
    <t>Duketon</t>
  </si>
  <si>
    <t>Burtville</t>
  </si>
  <si>
    <t>Tuffs and agglomerates</t>
  </si>
  <si>
    <t>chl-ser-sil-tm</t>
  </si>
  <si>
    <t>Browning et al. (1987); Ferguson (1999); Kositcin et al. (2008)</t>
  </si>
  <si>
    <t xml:space="preserve">Disseminated and vein sulfides; location closest to location of Duketon 3 to 7 lead isotope analyses of Browning et al. (1987). </t>
  </si>
  <si>
    <t>Forbes district (including Calarie)</t>
  </si>
  <si>
    <t>Forbes</t>
  </si>
  <si>
    <t>Parkes Volcanics</t>
  </si>
  <si>
    <t>Intercalated pyroclastic and volcanic-derived sedimentary units with rare porphyritic volcanic rocks of andesite, trachyandesite and trachyte composition.</t>
  </si>
  <si>
    <t>Cotton Formation</t>
  </si>
  <si>
    <t>Shale and sandstone</t>
  </si>
  <si>
    <t>sil-chl-py (Cotton Formation), ser-sil-chl (Parkes Volcanics)</t>
  </si>
  <si>
    <t>Downes and Burton (2000); Orange Minerals NL (2023b)</t>
  </si>
  <si>
    <t>Orange Minerals NL (2023b)</t>
  </si>
  <si>
    <t>Cited age is by analogy with the Parkes district. Endowment includes mineral resources only and excludes alluvial production in the Forbes-Parkes region (this production is included in Parkes district production).</t>
  </si>
  <si>
    <t>Forrestania (includes Beautiful Sunday, Cosmic Boy, Digger Rocks, Flying Fox, Liquid Acrobat, New Morning, Seagull, South Digger Rocks and Spotted Quoll)</t>
  </si>
  <si>
    <t>Forrestania</t>
  </si>
  <si>
    <t>Ultramafic units within Forrestonia Greenstone Belt</t>
  </si>
  <si>
    <t>Olivine adcumulate, olivine mesocumulate, olivine orthocumulate, pyroxenite and flow komatiite</t>
  </si>
  <si>
    <t>Frost et al. (1998)</t>
  </si>
  <si>
    <t>Wang et al. (1996); Frost et al. (1998); Collins et al. (2012); Doublier (2013)</t>
  </si>
  <si>
    <t>Wang et al. (1996)</t>
  </si>
  <si>
    <t>Independence Group NL (2022)</t>
  </si>
  <si>
    <t>Wang et al. (1996) inferred an age of ~3000 Ma, but correlation of the Forrestania Greenstone Belt with the Lake Johnston Greenstone Belt suggests an age of ~2876 Ma, which is the cited age. Endowment includes production from 1992 to 1999 of 3.8 Mt at a head grade of 1.92% Ni (yielding 55 t Ni in concentrate for a recovery of 75%), production from 2008 to 30 June 2022 of 293 kt Ni in concentrate and a mineral resource at 30 June 2022 of 12.45 Mt ag 1.79% Ni.</t>
  </si>
  <si>
    <t>Fossil Downs</t>
  </si>
  <si>
    <t>Reef and back-reef facies limestone and dolostone</t>
  </si>
  <si>
    <t>Endowment is approximated pre-development mineral inventory (Reynolds and Copp (1917a)</t>
  </si>
  <si>
    <t>Fosterville</t>
  </si>
  <si>
    <t>Rhyolitic porphyry dykes</t>
  </si>
  <si>
    <t>Lamprophyre</t>
  </si>
  <si>
    <t>Middle Jurassic</t>
  </si>
  <si>
    <t>ser-py</t>
  </si>
  <si>
    <t>Fuller and Hann (2019)</t>
  </si>
  <si>
    <t>Arne et al. (1998); Zurkic (1998); Bierlein et al. (1999b); Phillips et al. (2003, 2012a); Hitchman et al. (2017); Fuller and Hann (2019); Voisey et al. (2020)</t>
  </si>
  <si>
    <t>Arne et al. (1998); Bierlein et al. (1999b); Phillips et al. (2012a); Wilson et al. (2017); Voisey et al. (2020)</t>
  </si>
  <si>
    <t>Hitchman et al. (2017); Fuller and Hann (2019); Kirkland lake Gold (2021); Agnico Eagle (2021, 2022)</t>
  </si>
  <si>
    <t>Cited age (recalculated by Phillips et al. (2012b) from original data presented in Bierlein et al. (1999b)) is from only sample in the Fosterville goldfield that returned a plateau age, although recoil effects may be present. Other samples produced staircase spectra. The cited age is interpreted to indicate the age of the first stage of mineralisation (refractory gold in disseminated arsenopyrite: Voisey et al., 2020). Voisey et al. (2020) identified two other styles of mineralisation (vein-hosted visible gold-stibnite and vein-hosted gold) that they interpreted to post-date the disseminated style of mineralisation. They interpreted the vein style mineralisation to be analogous with that at Costerfield, which was interpreted by Wilson et al. (2017) to be related to the ca. 375 Ma Tabberabberan Orogeny. Therefore, the age of the later events at Fosterville have been assigned an age of ca. 370 Ma by analogy with other Tabberabberan gold deposits in the Victorian goldfields. This interpretation must be considered very preliminary. Endowment includes production of 47,000 oz (1894-1901), 240,000 oz (1988-2003) (Hitchman et al., 2017), 3,032,502 oz (2005-31 December 2020: Kirkland Lake Gold, 2021), 509,601 oz (2021: Agnico Eagle, 2021), 338,327 oz (8 February-31 December 2022: Agnico Eagle, 2022), and measured and indicated mineral resources of 10.793 Mt at 5.03 g/t and inferred mineral resources of 5.638 Mt at 6.53 g/t at 31 December 2022 (Agnico Eagle, 2022).</t>
  </si>
  <si>
    <t>Fountain Head-Tally Ho</t>
  </si>
  <si>
    <t>https://www.mindat.org/feature-8236202.html (accessed May 2024)</t>
  </si>
  <si>
    <t>PNX Metals Limited (2020)</t>
  </si>
  <si>
    <t>Cited age is by analogy with other Pine Creek orogenic gold deposits (e.g., Cleo, Goodall, Howley and Mount Todd). Endowment excludes historic production.</t>
  </si>
  <si>
    <t>Four Mile</t>
  </si>
  <si>
    <t>Eyre Formation</t>
  </si>
  <si>
    <t>Fine- to very-coarse-grained sand that are overlained by intercalated clay and sand</t>
  </si>
  <si>
    <t>Eocene</t>
  </si>
  <si>
    <t>Bulldog Shale</t>
  </si>
  <si>
    <t>Grey, biotubated, fossiliferous and shaly mudstone with minor silt to very fine-grained marine sandstone (ore host) intervals.</t>
  </si>
  <si>
    <t>Upper Cretaceous</t>
  </si>
  <si>
    <t>Penney (2012)</t>
  </si>
  <si>
    <r>
      <t>Endowment includes mineral resources cited in 2012: 13 kt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at 0.31%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at Four Mile East and 19 kt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at 0.34%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and Four Mile West.</t>
    </r>
  </si>
  <si>
    <t>Frances Creek district</t>
  </si>
  <si>
    <t>Frances Creek</t>
  </si>
  <si>
    <t>Wildman Siltstone</t>
  </si>
  <si>
    <t>Laminated silty carbonaceous phyllite (metasiltstone), interbedded with sandy ferruginous laminated metasiltstone, thinly bedded feldspathic quartz meta-arenite, quartzite, lithofeldspathic metagreywacke. In part tuffaceous.</t>
  </si>
  <si>
    <t>Worden et al. (2008a); Ahmad and Hollis (2013); Ahmad and Khan (2013)</t>
  </si>
  <si>
    <t>Endowment includes production of 13.42 Mt at ~64% Fe and mineral resources of 10.06 Mt at 58.8% Fe. Deposits interpreted to have been formed by remobilisation of iron from ferruginous Wildman Siltstone into favourable structural sites.</t>
  </si>
  <si>
    <t>Frogmore</t>
  </si>
  <si>
    <t>Hawkins Volcanics</t>
  </si>
  <si>
    <t>Medium-coarse, massive, welded porphyritic dacitic-rhyolitic ignimbrite; subordinate medium-coarse, massive volcaniclastic sandstone, siltstone, mudstone and conglomerate; minor coherent dacite and rhyolite, very minor limestone and volcanic breccia.</t>
  </si>
  <si>
    <t>Licking Gully Granite</t>
  </si>
  <si>
    <t>Coarse grained, massive-foliated, equigranular to sporadically porphyritic biotite granite. Minor porphyritic biotite microgranite with aplitic granite at margins;</t>
  </si>
  <si>
    <t>Ballyhooley Granite</t>
  </si>
  <si>
    <t>Grey, coarse-grained, foliated, equigranular biotite granite to granodiorite in a zoned pluton with medium-grained, foliated, often porphyritic biotite granodiorite stocks.</t>
  </si>
  <si>
    <t>chl-mus-bt (ore) → qtz-ser-pychl (proximal) → chl-ep (distal)</t>
  </si>
  <si>
    <t>Carman (2008)</t>
  </si>
  <si>
    <t>Ackerman (1999); Carman (2008); Downes (2009)</t>
  </si>
  <si>
    <t>Cited endowment includes historic production only (Carman, 2008).</t>
  </si>
  <si>
    <t>Fusion project (includes Bald Hill, Brennand, Iron Mount, Kapperna and Koppio)</t>
  </si>
  <si>
    <t>Fusion</t>
  </si>
  <si>
    <t>Carbonate- and diopside-rich magnetite jaspilite</t>
  </si>
  <si>
    <t>Jagodzinski et al. (2011); Szpunar et al. (2011); Centrex Metals Limited (2013); Cronin (2017); Davies and Twining (2018)</t>
  </si>
  <si>
    <t>Jagodzinski et al. (2011); Szpunar et al. (2011)</t>
  </si>
  <si>
    <t>Galwadgere</t>
  </si>
  <si>
    <t>qtz-ser-chl-py</t>
  </si>
  <si>
    <t>Downes (1999); Alkane Resource Limited (2012); Sky Metals Limited (2021)</t>
  </si>
  <si>
    <t>Sky Metals Limited (2021)</t>
  </si>
  <si>
    <t>Cited age is based upon correlations with other regional Silurian volcanic succession. Endowment includes mineral resources only.</t>
  </si>
  <si>
    <t>Gambit</t>
  </si>
  <si>
    <t>Gambit West</t>
  </si>
  <si>
    <t>Garden Well</t>
  </si>
  <si>
    <t>Sedimentary rocks - carbonaceous shale, chert and banded iron formation</t>
  </si>
  <si>
    <t>qtz-dol-fch-chl-py-po-asp (in ultramafic rocks)</t>
  </si>
  <si>
    <t>Balkau et al. (2017)</t>
  </si>
  <si>
    <t>Age is inferred to be similar to the Laverton district, located ~80 km to the south. Endowment includes pre-mining mineral resources at July 2016.</t>
  </si>
  <si>
    <t>Gecko</t>
  </si>
  <si>
    <t>chl±mt, tc±mt±dol, ser</t>
  </si>
  <si>
    <t>Main et al. (1990); Huston et al. (1993); Donnellan (2013a); Cuison et a. (2017)</t>
  </si>
  <si>
    <t>Donnellan (2013a); Cuison et a. (2017)</t>
  </si>
  <si>
    <t>Endowment includes production of 3.0 Mt at 4.09% Cu and 1.15 g/t Au (recovered grades: Donnellan, 2013a) and mineral resources of 1.48 Mt at 2.5% Cu Cuison et al., 2017).</t>
  </si>
  <si>
    <t>Geolsec</t>
  </si>
  <si>
    <t>Geolsec Formation</t>
  </si>
  <si>
    <t>Hematitic quartzite breccia, hematitic mudstone, siltstone and sandstone; minor phosphatic siltstone and breccia, fault scarp breccia.</t>
  </si>
  <si>
    <t>Ahmad et al. (2006); Ahmad and Hollis (2013); Ahmad and Khan (2013)</t>
  </si>
  <si>
    <t>Age range cited incorporates total age range cited in the Australian Stratigraphic Units Database. Endowment includes pre-JORC mineral resources only and is NOT code-compliant. Rare earth element endowment has not been determined.</t>
  </si>
  <si>
    <t>Ghost Crab</t>
  </si>
  <si>
    <t>Lode Gneiss</t>
  </si>
  <si>
    <t>Metamorphosed pelitic rock, graywacke and volcaniclastic rock (main host)</t>
  </si>
  <si>
    <t>Hangingwall ultramafic</t>
  </si>
  <si>
    <t>Serpentinised komatiitic volcanic rocks (secondary ore host)</t>
  </si>
  <si>
    <t>Footwall ultramafic</t>
  </si>
  <si>
    <t>ab-qtz-cum-ant-bt-chl-po-py</t>
  </si>
  <si>
    <t>Miller et al. (1999); www.portergeo.com.au</t>
  </si>
  <si>
    <t>Miller et al. (1999)</t>
  </si>
  <si>
    <t>Endowment include total mineral resources in June 1999.</t>
  </si>
  <si>
    <t>Ghost Rocks</t>
  </si>
  <si>
    <t>Wells and Chia (2011)</t>
  </si>
  <si>
    <t>Ardea Resource Limited (2023); www.https://asud.ga.gov.au/search-stratigraphic-units/results/24071</t>
  </si>
  <si>
    <t>Ardea Resource Limited (2023)</t>
  </si>
  <si>
    <t>Location is approximate and taken from Figure 1 of Wells and Chia (2011). Cited age of precursor is midpoint between the maximum and minimum ages of host as indicated by www.https://asud.ga.gov.au/search-stratigraphic-units/results/24071. Cited age uncertainty encompasses the entire range.</t>
  </si>
  <si>
    <t>Gidginbung</t>
  </si>
  <si>
    <t>Andesitic volcanic rocks, including flows, dykes, high-level intrusions and fragmental units, with lesser mudstone</t>
  </si>
  <si>
    <t>sil-py, qtz-alu-py</t>
  </si>
  <si>
    <t>Perkins et al. (1995); Downes et al. (2004b); Lawrie et al. (2007); Fu et al. (2009)</t>
  </si>
  <si>
    <t>Perkins et al. (1995); Lawrie et al. (2007); Fu et al. (2009)</t>
  </si>
  <si>
    <t>Downes et al. (2004b); Sandfire Resources NL (2017)</t>
  </si>
  <si>
    <r>
      <t xml:space="preserve">Cited age is based upon zircons inferred to be hydrothermal (Lawrie et al., 2007), but this questioned by Fu et al. (2009). A younger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of alteration illite is interpreted to have been reset (Perkins et al., 1995). Endowment is production between 1987 and 1996 (Downes et al., 2004b) and mineral resources at 31 December 2016 (Sandfire Resources NL, 2017). The copper from the mineral resource (8.0 Mt at 1.5 g/t and 0.09% Cu) is not included in the endowment.</t>
    </r>
  </si>
  <si>
    <t>Giffen Well</t>
  </si>
  <si>
    <t>At surface the jaspilite consists of alternating mesobands of iron oxide (now hematite) and red jasper. It is interlayered with subordinate carbonate, calci-silicate and quartzite.</t>
  </si>
  <si>
    <t>The Wilgena Hill Jaspilite unconformably overlies Archean paragneiss and orthogneiss with a metamorphic age of 2488 ± 130 Ma (Daly, 1979) and is included as clasts within clastic rocks of the overlying Labyrith Formation, which contains a 1723 ± 10 Ma rhyolite. The age is constrained between ~2488 Ma and ~1723 Ma. Endowment includes mineral resources only.</t>
  </si>
  <si>
    <t>Gifford Creek (including Bald Hill, Frasers, Spider Hill, Yangibana, Yangibana North, Yangibana South and Mangaroon (Yin and C3))</t>
  </si>
  <si>
    <t>Mount Gifford</t>
  </si>
  <si>
    <t>Gascoyne</t>
  </si>
  <si>
    <t>U-Pb-Th</t>
  </si>
  <si>
    <t>Nb-Y</t>
  </si>
  <si>
    <t>Durlacher Supersuite (including the Pimbyana and Yangibana granites)</t>
  </si>
  <si>
    <t>Metamonzogranite, granodiorite and granite; minor tonalite, syenogranite, gabbro.</t>
  </si>
  <si>
    <t>Pooranoo Metamorphics</t>
  </si>
  <si>
    <t>Pelitic schist, gneiss and granofels, and metamorphosed feldspathic sandstone and conglomerate. Very minor amphibolite and calc-silicate rock.</t>
  </si>
  <si>
    <t>Durlacher Supersuite</t>
  </si>
  <si>
    <t>Gifford Creek Ferrocarbonatite Complex</t>
  </si>
  <si>
    <t>A carbonatite complex (rocks with &gt;50% carbonates, fluorapatite, nepheline and other feldspathoids), characterised by ferrocarbonatite sills, dykes and veins, that are surrounded by variably fenitised country rocks. Widespread iron oxide veins.</t>
  </si>
  <si>
    <t>fld-arf/rie-aeg-phl-mt</t>
  </si>
  <si>
    <t>fen</t>
  </si>
  <si>
    <t>Celestite</t>
  </si>
  <si>
    <t>Pirajno et al. (2017); Border et al. (2017)</t>
  </si>
  <si>
    <t>Pirajno et al. (2014, 2017); Border et al. (2017); Hastings Technology Metals Limited (2017, 2022)</t>
  </si>
  <si>
    <t>Slezak and Spandler (2019)</t>
  </si>
  <si>
    <t>Hastings Technology Metals Limited (2017, 2022a, 2022b); Dreadnought Resources (2023a, 2023b)</t>
  </si>
  <si>
    <t>Cited location is approximately centre of mineralised bodies in the Gifford Creek Carbonatite Complex. Cited age is based on zircon U-Pb dating; monazite U-Pb gives a range of ages from 1250 - 815 Ma, likely during subsequent deformation and/or magmatic events (Slezak and Spandler, 2019). Endowment is based on ore reserve grades reported by Hastings Technology Metals Limited (2017: 5.16 Mt grading 1200 ppm La2O3, 4560 ppm Ce2O3, 873 ppm Pr6O11, 3630 ppm Nd2O3, 385 ppm Sm2O3, 79 ppm Eu2O3, 190 ppm Gd2O3, 19 ppm Tb4O7, 63 ppm Dy2O3, 7 ppm Ho2O3, 10 ppm Er2O3, 1 ppm Tm2O3, 5 ppm Yb2O3, 1 ppm Lu2O3 and 160 ppm Y2O3,1.12% TREO) prorated to the total mineral resource grade reported at 30 June 2022 (27.42 Mt grading 0.97% TREO, including 0.33% Nd2O3 + Pr6O11: Hastings Technology Metals Limited, 2022). It must be stressed here that the estimated grades for individual lanthanides are approximate and NOT code-compliant. The Nb grade and kt reported here relate only to the 10.84 Mt resource @ 1540 ppm Nb, in the C3 carbonatite intrusion, reported by Dreadnought Resources (2023a); no Nb resource has been estimated for the wider Gifford Creek Carbonatite complex.</t>
  </si>
  <si>
    <t>Gilberton</t>
  </si>
  <si>
    <t>Daniel Creek Formation</t>
  </si>
  <si>
    <t>Mudstone, siltstone, and fine subfeldspathic sandstone, locally calcareous and/or dolomitic. Grades into mica schist, quartzite, and minor calc-silicate rocks.</t>
  </si>
  <si>
    <t>Cobbold Metadolerite</t>
  </si>
  <si>
    <t>Metagabbro and metadolerite grading into orthoamphibolite.</t>
  </si>
  <si>
    <t>Corbett Formation</t>
  </si>
  <si>
    <t>Greenish grey mudstone (+/- chloritoid); grades into mica schist (+/- staurolite, andalusite, sillimanite, garnet).</t>
  </si>
  <si>
    <t>qtz-ser±car±mt</t>
  </si>
  <si>
    <t>Cited age is that of the nearby Agate Creek district. Endowment includes historic alluvial (~4.0 t) and hard rock (0.832 t) production.</t>
  </si>
  <si>
    <t>Gillian</t>
  </si>
  <si>
    <t>Microgranite (distinct sub-unit identified by Chang et al., 2017)</t>
  </si>
  <si>
    <t>Chang et al. (2017); Consolidated Tin (2017); www.csdtin.com.au (accessed September 2020)</t>
  </si>
  <si>
    <t>www.csdtin.com.au (accessed September 2020)</t>
  </si>
  <si>
    <t>Endowment includes mineral resources only (Chang et al., 2017; www.csdtin.com.au).</t>
  </si>
  <si>
    <t>Glen E</t>
  </si>
  <si>
    <t>Woodlawn Volcanics</t>
  </si>
  <si>
    <t>Pervasively altered and, in places, foliated tuffs and volcanic sandstones</t>
  </si>
  <si>
    <t>qtz-mus/phn-chl±bt±phl±hbd±act</t>
  </si>
  <si>
    <t>Downes and Phillips (2010); Downes (2012)</t>
  </si>
  <si>
    <t>Downes and Phillips (2010)</t>
  </si>
  <si>
    <t>No production or resources are recorded from this prospect. Cited metamorphic grade is based on alteration mineralogy. The cited age may reflect this metamorphism, but the age is very close to the likely age of deposition of the host volcanic rocks.</t>
  </si>
  <si>
    <t>Glen Eden</t>
  </si>
  <si>
    <t>Be-Bi-F-Li</t>
  </si>
  <si>
    <t>Wandsworth Volcanic Group</t>
  </si>
  <si>
    <t> Dominantly ignimbritic rhyolites and rhyodacites (dark crystal-lithic tuffs); rhyodacitic lavas, minor dacite, andesite, trachyte; interbedded fine-grained sediments</t>
  </si>
  <si>
    <t>Late Permian</t>
  </si>
  <si>
    <t>Glen Eden Granite</t>
  </si>
  <si>
    <t>Porphyritic microleucogranite</t>
  </si>
  <si>
    <t>bt (early) → qtz-muc-sul-cas-fl±top±ana±ber → ksp-qtz-fl±bt → qtz-fl-mus → ep-chl-ab±ser±car±cl, cl±ser</t>
  </si>
  <si>
    <t>Karimzadeh Somarin and Ashley (2004)</t>
  </si>
  <si>
    <t>Karimzadeh Somarin and Ashley (2004); Karimzadeh Somarin (2009)</t>
  </si>
  <si>
    <t>Endowment is from a pre-JORC mineral resource only.</t>
  </si>
  <si>
    <t>Glenburgh district (includes Apollo, Hurricane, Icon, Mustang, NE3, Shelby, Tuxedo, Zone 126 and Zone 130)</t>
  </si>
  <si>
    <t>Glenburgh</t>
  </si>
  <si>
    <t>Quartz-biotite-garnet±cordierite migmatitic paragneiss with minor psammite and discontinuous layers of mafic granulite, amphibolite, metagranite and metapegmatitic rocks. Rafts within Dalgaringa Supersuite tonalite-trondhjemite-granodiorite.</t>
  </si>
  <si>
    <t>Dalgaringa Supersuite</t>
  </si>
  <si>
    <t>Tonalite-trondhjemite-granodiorite.</t>
  </si>
  <si>
    <t>Not apparent</t>
  </si>
  <si>
    <t>Roche et al. (2017)</t>
  </si>
  <si>
    <t>Roche et al. (2017); Gascoyne Resources Limited (2020)</t>
  </si>
  <si>
    <t>Gold mineralisation postdates the host metasedimentary rocks, which have a maximum depositional age of 2035 ± 12 Ma, but predates high-grade metamorphism with and age of 1989 ± 3 based on metamorphic monazite. These constraints span the age range of 2047 Ma to 1986 Ma, the midpoint of which is taken as the age of mineralisation, with uncertainty defined to include the entire age range. Endowment includes mineral resources only. The initial mineral resources, as reported by Roche et al. (2017) were 21.3 Mt at 1.5 g/t. Gascoyne Resources Limited (2020) determined a smaller mineral resource of 16.3 Mt at 1.0 g/t Au, which is used here.</t>
  </si>
  <si>
    <t>Glencoe</t>
  </si>
  <si>
    <t xml:space="preserve"> chl-qtz-tm-crb</t>
  </si>
  <si>
    <t>Ahmad et al. (2009); Ahmad and Hollis (2013); PNX Metals Limited (2022a)</t>
  </si>
  <si>
    <t>Cited age is by analogy with other Pine Creek orogenic gold deposits (e.g., Cleo, Goodall, Howley and Mount Todd). Endowment includes production of 0.049 Mt at 2.3 g/t Au and mineral resources of 2.082 Mt at 1.18 g/t Au.</t>
  </si>
  <si>
    <t>Goanna</t>
  </si>
  <si>
    <t>chl-tc (proximal) → chl-qtz-ser±tc (distal); dol-qtz (forms mantle above mineralised zone)</t>
  </si>
  <si>
    <t>Cuison et al. (2017)</t>
  </si>
  <si>
    <t>Golden Dyke district (includes Davies number 2, Golden Dyke and Langleys)</t>
  </si>
  <si>
    <t>Golden Dyke</t>
  </si>
  <si>
    <t>Hematitic metasiltstone and phyllite with chert bands, lenses and nodules; graphitic phyllite and slate; silicified dololutite with rare stromatolites, chert breccia; minor banded iron formation (ore host) and quartz metagreywacke.</t>
  </si>
  <si>
    <t>Cited location is the Davies deposit. Cited age is by analogy with other Pine Creek orogenic gold deposits (e.g., Cleo, Goodall, Howley and Mount Todd). Endowment includes production of 1.679 Mt grading 3.07 g/t Au and mineral resources of 0.502 Mt grading 2.96 g/t Au.</t>
  </si>
  <si>
    <t>Golden Forty</t>
  </si>
  <si>
    <t>chl-mt-ser, dol-chl-tc-mt-hm-qtz-jas</t>
  </si>
  <si>
    <t>Pontifex (1964); Wyborn (1971); Reveleigh (1977); Donnellan (2013a)</t>
  </si>
  <si>
    <t>Golden Mile (Super Pit)</t>
  </si>
  <si>
    <t>Golden Mile</t>
  </si>
  <si>
    <t>Golden Mile Dolerite</t>
  </si>
  <si>
    <t>Differentiated (micro-) gabbroic sill with upper and lower chilled margins, a lower ultramafic layer, several gabbroic units, iron-rich microgabbro, and a central granophyric unit.</t>
  </si>
  <si>
    <t>Differentiated (micro-) gabbroic sill</t>
  </si>
  <si>
    <t>chl-cal-ep</t>
  </si>
  <si>
    <t>py-mus-car-qtz (ore proximal) → car-qtz → chl-ab-qtz-cal (distal)</t>
  </si>
  <si>
    <t>Cameron and Hattori (1987); McNaughton et al. (2005); Rasmussen et al. (2009); Vielreicher et al. (2010); Mueller (2015, 2017); Phillips et al. (2017a)</t>
  </si>
  <si>
    <t>McNaughton et al. (2005); Vielreicher et al. (2010)</t>
  </si>
  <si>
    <t>Mueller, (2017)' Newmont annual report (2016, 2017, 2018, 2019); Northern Star Resources Limited annual report (2020, 2021, 2022, 2023)</t>
  </si>
  <si>
    <t>Age for brittle-ductile Oroya style mineralisation is from hydrothermal zircon interpreted to date gold-telluride mineralisation in the Oroya shear system (McNaughton et al., 2005). Cogenetic hydrothermal monazite has been dated at 2637 ± 20 Ma (McNaughton et al., 2005). The most precise age for brittle-ductile Fimiston-style mineralisation is 2632 ± 12 Ma (Vielreicher et al., 2010), within error of another age for the same mineralisation style from Oroya South dated at 2638 ± 18 GMa (SHRIMP monazite Pb-Pb isochron: Vielreicher et al., 2010). All of these ages are within error of each other and the ~2642 Ma age is taken as the best age for most mineralisation in the Golden Mile. Structurally, the Oroya- and Fimiston-style deposits are associated with D2, whereas the Mount Charlotte-style mineralisation is associated with D4 (Mueller, 2015). All ages are for zircon an phosphate minerals intergrown with the ore assemblage. Endowment includes production through 2015 (Mueller, 2017) plus total reserves and resources at 31 March 2023. Total tonnage and average grade were approximated using an average value of 1.5g/t Au calculated from the production, reserves and resources between 2020-2023 where data is available (Northern Star, 2020, 2021, 2022, 2023)</t>
  </si>
  <si>
    <t>Golden Mountain (Tallangalook)</t>
  </si>
  <si>
    <t>Walhalla Group</t>
  </si>
  <si>
    <t>Undifferentiated marine turbiditic sandstone, siltstone, mudstone, conglomerate. Locally, within the Strathbolgie contact aureole, the hosts are cordierite-biotite-K-feldspar pelites ad quartz-muscovite-orthoclase psammites.</t>
  </si>
  <si>
    <t>Strathbogie Granite</t>
  </si>
  <si>
    <t>Non-magnetic, S-type biotite cordierite granite; textural and lithological variations include fine grained, cordierite-rich granite, medium grained granite with minor cordierite, and coarse grained tourmaline rich granite.</t>
  </si>
  <si>
    <t>qtz-ser-bt-py-asp</t>
  </si>
  <si>
    <t>Hutchin (2020)</t>
  </si>
  <si>
    <t>Bierlein et al. (1999b); Phillips et al. (2012a); Hutchin (2020)</t>
  </si>
  <si>
    <t>Bierlein et al. (1999b); Phillips et al. (2012a)</t>
  </si>
  <si>
    <t>The recalculated age by Phillips et al. (2021a) is after original data presented in Bierlein et al. (1999b). Endowment includes 0.270 t hardrock and 4.040 t alluvial/alluvial gold (Hutchin, 2020).</t>
  </si>
  <si>
    <t>Golden Ridge-Carnilya Hill (also includes Goodyear)</t>
  </si>
  <si>
    <t>Kambalda</t>
  </si>
  <si>
    <t>Kambalda Komatiite</t>
  </si>
  <si>
    <t>Komatiite: komatiitic olivine cumulate</t>
  </si>
  <si>
    <t>Stone and Masterman (1998); Lefroy Exploration Limited (2023)</t>
  </si>
  <si>
    <t>Lefroy Exploration Limited (2023)</t>
  </si>
  <si>
    <t>Cited location is that of the Carnilya Hill deposit. The Goodyear deposit is located approximately 6 km to the west-northwest. Endowment includes production until 2012 from the Carnilya Hill deposit (1.7 Mt at 3.3% Ni) and mineral resources from the Goodyear deposit as of 23 August 2023 (0.392 Mt at 3.78% Ni).</t>
  </si>
  <si>
    <t>Gonneville</t>
  </si>
  <si>
    <t>Related to mafic-ultramafic magmatism</t>
  </si>
  <si>
    <t>Julimar</t>
  </si>
  <si>
    <t>Supergene/oxide nickel</t>
  </si>
  <si>
    <t>PGE-Ni</t>
  </si>
  <si>
    <t>Gonneville Intrusion (part of Julimar Complex)</t>
  </si>
  <si>
    <t>Predominantly serpentinised olivine peridotite/harzburgite (serpentine-magnetite-amphibole-chromite) with lesser intervals of pyroxenite (amphibole-chlorite), gabbro and leucogabbro (clinozoisite-amphibole)</t>
  </si>
  <si>
    <t>Later granite body that cross-cuts the Gonneville Intrusion. This granite body broadly parallels the orientation of the mafic-ultramafic complex</t>
  </si>
  <si>
    <t>Unnamed dolerite dykes</t>
  </si>
  <si>
    <t>Sub-vertical, northeast to northwest-striking dolerite dykes that cut the mafic-ultramafic complex and the granite</t>
  </si>
  <si>
    <t>Chalice Mining Limited (2024)</t>
  </si>
  <si>
    <t>Wingate et al. (2021); Chalice Mining Limited (2024)</t>
  </si>
  <si>
    <t>Wingate et al. (2021)</t>
  </si>
  <si>
    <t>Cited location is the approximate centre of the mineralised portion of the Gonneville Complex. Cite age is of a pegmatitic leucogabbro that forms part of the Gonneville complex.</t>
  </si>
  <si>
    <t>Goodall</t>
  </si>
  <si>
    <t>Monazite, xenotime</t>
  </si>
  <si>
    <t>ser-car-ksp-tm-ap (Ahmad and Hollis, 2013); chl-ksp-tm-car (Partington et al., 1994)</t>
  </si>
  <si>
    <t>Compston and Matthäi (1994); Şener et al. (2005); Rasmusson et al. (2006); Cross (2009); Ahmad and Hollis (2013)</t>
  </si>
  <si>
    <t>Compston and Matthäi (1994); Şener et al. (2005); Rasmusson et al. (2006); Cross (2009)</t>
  </si>
  <si>
    <t>Following the original date by Compston and Matthäi (1994), the Goodall deposit was redated by Şener et al. (2005) using SHRIMP on hydrothermal zircon. This study reported an age of 1727 ± 13 Ma for this deposit. However, the data of Şener et al. (2005) were re-evaluated by Rasmussen et al. (2006), who used the same data to estimate an age of 1776 ± 13 Ma. Cross (2009) reinterpreted the same data again and estimated an age of 1822 ± 37 Ga based upon the upper intercept of a discordia. This last age overlaps the age cited by Compston and Matthäi (1994), which has been reported. Endowment includes production only.</t>
  </si>
  <si>
    <t>Goondicum Crater (including Jack Goodie)</t>
  </si>
  <si>
    <t>Eluvial/fluvial placer ilmenite</t>
  </si>
  <si>
    <t>Goondicum Gabbro</t>
  </si>
  <si>
    <t>Layered troctolite, olivine-augite gabbro, biotite-hornblende-augite leucogabbro, ferrogabbro, anorthosite and clinopyroxenite, with syenite dykes</t>
  </si>
  <si>
    <t>Bryan and Purdy (2013); Hoatson et al. (2014); Gilman et al. (2018)</t>
  </si>
  <si>
    <t>Bryan and Purdy (2013)</t>
  </si>
  <si>
    <t>Hoatson et al. (2014); Gilman et al. (2018)</t>
  </si>
  <si>
    <t>Cited primary age is a K-Ar age of hornblende from the host Goondicum Gabbro, but the age is questionable (Bryan and Purdy, 2013). Endowment includes production of 14,042 t ilmenite, 5,269 t apatite, 9,905 t feldspar and 3.986 t titanomagnetite (2007-2008), 676,718 t ore at 10.0% (head grade) ilmenite (2012-2013; 7.3% recovered grade) and 17,500 t ilmenite from 290,000 t ore (2015), and mineral resources of 50.7 Mt at 5.2% ilmenite and 2.4% apatite (indicated, Mining Lease (ML)), 14.2 Mt at 5.4% ilmenite and 2.4% apatite (inferred, ML), 15.6 Mt at 5.1% ilmenite (indicated, Mining Development Lease Application (MLDA)) and 12.3 Mt at 5.2% ilmenite (inferred, MLDA). Total titanium and P2O5 endowment calculated assuming ideal mineral compositions.</t>
  </si>
  <si>
    <t>Goongarrie Hill</t>
  </si>
  <si>
    <t>Goongarrie South</t>
  </si>
  <si>
    <t>Goongewa (Twelve Mile Bore)</t>
  </si>
  <si>
    <t>Calcite</t>
  </si>
  <si>
    <t>Givetian</t>
  </si>
  <si>
    <t>Vearncombe et al. (1996); Brannon et al. (1996a,b); Reynolds and Copp (2017a)</t>
  </si>
  <si>
    <t>Brannon et al. (1996a,b)</t>
  </si>
  <si>
    <t>Calcite U-Pb isochron has high MSWD (16; n = 15) and includes samples from Goongewa and Kapok. Endowment is pre-development mineral inventory (Reynolds and Copp, 2017a).</t>
  </si>
  <si>
    <t>Goschen</t>
  </si>
  <si>
    <t>REE-Zr</t>
  </si>
  <si>
    <t>VHM limited (2003)</t>
  </si>
  <si>
    <t>Cited location is the approximate centre of area for which the mineral resource has been identified. Cited age is based on Late Miocene-Early Pliocene (7.2-5.0 Ma) age of Loxton Sand as reported by Keeling et al. (2016). Endowment includes mineral resources only as reported by VHM Limited (2023). Metal (Zr and Ti) grades estimated assuming compositions of zircon, rutile and ilmenite from www.webmineral.com. Leucoxene was assumed to have similar composition to leucoxene. The heavy minerals (with total grade of 2.95%) include 11.0% rutile, 12.1% leucoxene, 18.8% ilmenite, 21.2% zircon, 3.5% monazite and 0.7% xenotime. The concentrations of all elements and oxides were prorated from total heavy mineral concentration using the mineral and Re2O3 composition of the heavy mineral concentrate. CeO2 was converted to Ce2O3; Pr6O11 was converted to Pr2O3 and Tb4O7 was converted to Tb2O3. Ho2O3 and Yb2O3 were not reported.</t>
  </si>
  <si>
    <t>Goschen Central</t>
  </si>
  <si>
    <t>ACDC Metals (2023)</t>
  </si>
  <si>
    <t>Cited location is the approximate centre of the Goschen Central mineral resource area. By analogy with other Victorian deposits in the Murray Basin, the host unit is assumed to be the Loxton Sand. Cited age is based on Late Miocene-Early Pliocene (7.2-5.0 Ma) age of Loxton Sand as reported by Keeling et al. (2016). Endowment includes mineral resources only as reported by ACDC Metals Limited (2023). Metal (Zr and Ti) grades estimated assuming compositions of zircon, rutile and ilmenite from www.webmineral.com. Leucoxene was assumed to have similar composition to leucoxene. The heavy minerals (with total grade of 4.3%) include 9.0% rutile, 12% leucoxene, 23% ilmenite, 24% zircon, 3.7% monazite and 0.43% xenotime. The concentrations of all elements and oxides were prorated from total heavy mineral concentration using the mineral and Re2O3 composition of the heavy mineral concentrate. CeO2 was converted to Ce2O3.</t>
  </si>
  <si>
    <t>Gossan Hill (also includes A Zinc, A Copper, Amity, B Zinc, C Zinc, Cambewarra, Catalpa, D Zinc, Ethel, Hougomont, Hougomont Lower, Oizon, Oxide copper, Oxide gold, Q Copper, South Amity, Tryall, Xantho and Xantho Extension)</t>
  </si>
  <si>
    <t>Golden Grove</t>
  </si>
  <si>
    <t>Gossan Hill Formation, Golden Grove Member (GG4)</t>
  </si>
  <si>
    <t>Lithic siltstone and sandstone</t>
  </si>
  <si>
    <t>Gossan Hill Formation, Golden Grove Member (GG6)</t>
  </si>
  <si>
    <t>Well bedded lithic sandstone, siltstone and chert</t>
  </si>
  <si>
    <t>Gossan Hill, Scuddles Formation (SC3)</t>
  </si>
  <si>
    <t>Tuff, breccia, chert, banded iron formation, aphyric dacite or andesite flows</t>
  </si>
  <si>
    <t>Gossan Hill Formation</t>
  </si>
  <si>
    <t>Felsic volcanic and volcaniclastic rocks; rhyolitic to dacitic in composition</t>
  </si>
  <si>
    <t>Hydrothermally altered, granophyric, syn-volcanic granodiorite</t>
  </si>
  <si>
    <t>qtz-chl±mus &gt; sil-ser</t>
  </si>
  <si>
    <t>Seccombe and Frater (1981); Frater (1983); Browning et al. (1987); Wang et al. (1998); Sharpe and Gemmell (2000, 2001, 2002); Gawlinski (2004); McConachy et al. (2004); Hollis et al. (2015, 2017a); Gellie et al. (2017)</t>
  </si>
  <si>
    <t>Wang et al. (1998)</t>
  </si>
  <si>
    <t>29 Metals (2022, 2023, 2024)</t>
  </si>
  <si>
    <t>Endowment is incomplete and does not include production prior to 2021. Endowment includes production from 2021 to 2023 of 51.0 kt Cu, 156.9 kt Z, 6.4 kt Pb, 0.112 kt (3592koz) Ag and 2.38 t (76.4 koz) Au, and mineral resources (Gossan Hill main, Xantho Extended, Europa, Hougomont Extended, Oizon, Oxide and surface stockpiles) at 31 December 2023 of 38.4 Mt at 1.8% Cu, 3.4% Zn, 0.2% Pb, 28 g/t Ag and 0.7 g/t Au.</t>
  </si>
  <si>
    <t>Gossan Valley (includes Gossan Valley, Felix, Conteville, Grassi and Flying Hi)</t>
  </si>
  <si>
    <t>Siltstone, sandstone and pebble breccia</t>
  </si>
  <si>
    <t>Hollis et al. (2015, 2017a)</t>
  </si>
  <si>
    <t>29 Metals (2024)</t>
  </si>
  <si>
    <t>Cited location is that of the Gossan alley lens. Endowment includes mineral resources only.</t>
  </si>
  <si>
    <t>Gould's Dam</t>
  </si>
  <si>
    <t>Fine- to very-coarse-grained sands (main host - Eyre Basal Sand) that are overlained by intercalated clay and sand</t>
  </si>
  <si>
    <t>lm (upstream)</t>
  </si>
  <si>
    <t>Abzalov et al. (2017); Boss Energy Limited (2021)</t>
  </si>
  <si>
    <t>Cited age is by analogy with Beverley deposit. Endowment includes mineral resources only.</t>
  </si>
  <si>
    <t>Munson et al. (2013); Rio Tinto (2013)</t>
  </si>
  <si>
    <t>Rio Tinto annual report (2012-2023)</t>
  </si>
  <si>
    <r>
      <t>Cited age encompasses the possible age range of the precursor Yirrkala Formation (Albian to Cennomanian). Endowment includes production of 221 Mt at 50.5% Al</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3</t>
    </r>
    <r>
      <rPr>
        <sz val="9"/>
        <color rgb="FF000000"/>
        <rFont val="Times New Roman"/>
        <family val="1"/>
      </rPr>
      <t xml:space="preserve"> to July 2012 (Munson et al., 2013), production of 115.996 Ma of Al at unknown grade between July 2012 and December 2023, total ore reserves and mineral resources of 67.11 Mt at 49.9% Al</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3</t>
    </r>
    <r>
      <rPr>
        <sz val="9"/>
        <color rgb="FF000000"/>
        <rFont val="Times New Roman"/>
        <family val="1"/>
      </rPr>
      <t xml:space="preserve"> at 31 December 2023 (Rio Tinto, 2023). Production between 2012-2023 doesn't include grade and an estimated grade of 50.0% Al2O3 was used to calculate tonnage.</t>
    </r>
  </si>
  <si>
    <t>Granny Smith</t>
  </si>
  <si>
    <t>Laverton</t>
  </si>
  <si>
    <t>Granny Smith Granodiorite</t>
  </si>
  <si>
    <t>Zoned pluton with granodioritic core to a dioritic margin</t>
  </si>
  <si>
    <t>Turbiditic sedimentary rocks</t>
  </si>
  <si>
    <t>hm (early) → ser-car (late, gold-related)</t>
  </si>
  <si>
    <t>Ojala et al. (1993); Salier et al. (2005); Mueller et al. (2008); Tully et al. (2017)</t>
  </si>
  <si>
    <t>Salier et al. (2005); Mueller et al. (2008)</t>
  </si>
  <si>
    <t>Tully et al. (2017); Gold Fields annual report (2017, 2018, 2019, 2020, 2021, 2022, 2023)</t>
  </si>
  <si>
    <t>Cited age (Salier et al., 2005) is within error of a xenotime age from same deposit of 2652 ± 16 Ma. Slightly older ages are derived from molybdenite related to gold mineralisation at 2661 ± 6 Ma (Re-Os; Mueller et al., 2008). Endowment includes production from Granny Smith (7.5 Moz) less portion attributed to Wallaby (3.6 Moz) (Tully et al. (2017) and production and mineral resources at 31 December 2023 (Gold Fields annual reports 2017-2023).</t>
  </si>
  <si>
    <t>Grants</t>
  </si>
  <si>
    <t>Core Lithium Ltd (2022a)</t>
  </si>
  <si>
    <t>One of numerous Li-bearing intrusions in the Bynoe Pegmatite Field. Cited age is by analogy with the Hang Gong pegmatite (Frater, 2005). Endowment includes mineral resources prior to lithium mining.</t>
  </si>
  <si>
    <t>Rapitan-type iron formation</t>
  </si>
  <si>
    <t>Razorback</t>
  </si>
  <si>
    <t>Braemar Iron Formation</t>
  </si>
  <si>
    <t>Iron formation</t>
  </si>
  <si>
    <t>Fanning and Link (2008); Davies and Twining (2018)</t>
  </si>
  <si>
    <t>The cited age (Fanning and Link, 2008) is that of a felsic volcaniclastic rock in the Wilyerpa Formation, which directly overlies the Benda Siltstone that hosts the host Braemar Iron Formation. Endowment includes mineral resources only.</t>
  </si>
  <si>
    <t>Grants Creek Goldfield (including Star of Kimberley and Grants Creek)</t>
  </si>
  <si>
    <t>Grants Creek Goldfield</t>
  </si>
  <si>
    <t>Biscay Formation</t>
  </si>
  <si>
    <t>Metabasalt and metamorphosed sedimentary rock with interbedded mafic volcanic rocks</t>
  </si>
  <si>
    <t>Mudstone, siltstone, quartz wacke, greywacke and arkose</t>
  </si>
  <si>
    <t>Sanders (1999); Hassan (2000); Pantoro Limited (2019)</t>
  </si>
  <si>
    <t>Cited location is that of the Grants Creek deposit. Cited age is based on correlation with the Mount Bradley deposit. Endowment includes historic production and a 2019 JORC-complaint total resource of 0.179 Mt at 2.4 g/t.</t>
  </si>
  <si>
    <t>Granville</t>
  </si>
  <si>
    <t>Quartzwacke continent-derived turbidites sequences (mudstone and sandstone; ore host, vein deposits) interbedded with minor pillow basalt and dolostone (ore host - replacement deposit).</t>
  </si>
  <si>
    <t>I-type. Red, fine-v/coarse biotite-hornblende adamellite/alkali feldspar granite: perthitic K-feldspar (iron oxide inclusions), smoky quartz-tourmaline, plagioclase (if zoned no Ca core); no hornblende if leucocratic. Crystal-fractionated.</t>
  </si>
  <si>
    <t>Late Devonian-Early Carboniferous</t>
  </si>
  <si>
    <t>qtz-mag-tc-srp-dp-py</t>
  </si>
  <si>
    <t>Grasmere-Pervil</t>
  </si>
  <si>
    <t>Grasmere Formation</t>
  </si>
  <si>
    <t>Dominant magnetic mudstone (phyllite) and non-magnetic metasandstone, with lesser mafic phyllite and metamorphosed mafic volcanic members, minor laminated felsic tuff layers and quartz-magnetite beds.</t>
  </si>
  <si>
    <t>Subordinate mafic volcanic members, and minor laminated felsic tuff layers</t>
  </si>
  <si>
    <t>Bittles Tank Volcanics</t>
  </si>
  <si>
    <t>Variably deformed intrusive dolerite and gabbro, and extrusive basaltic lavas with a tholeiitic geochemical affinity.</t>
  </si>
  <si>
    <t>qtz-py-car</t>
  </si>
  <si>
    <t>Black Range Minerals Limited (2006); Gilmore (2010); Downes and Fitzherbert (2018b)</t>
  </si>
  <si>
    <t>Black Range Minerals Limited (2006)</t>
  </si>
  <si>
    <t>Endowment includes mineral resources only. Two models have been proposed for the Grasmere massive sulfide deposit: mafic–pelitic VHMS model that has undergone subsequent deformation (e.g. Gilmore, 2010) or a structurally controlled epigenetic model (Fitzherbert and Downes, 2018b).</t>
  </si>
  <si>
    <t>Great Australia</t>
  </si>
  <si>
    <t>Toole Creek Volcanics</t>
  </si>
  <si>
    <t>Basaltic meta-andesite with interbedded sedimentary rocks and intrusive diorite.</t>
  </si>
  <si>
    <t>Naraku Batholith</t>
  </si>
  <si>
    <t>Pink medium granite, aplite, pegmatite; generally non-foliated.</t>
  </si>
  <si>
    <t>ab-act-mt</t>
  </si>
  <si>
    <t>bt±ser±car±hm (distal; 10-50 m from ore) → ab-mt-act-cp-py-car-chl → chl (proximal) → dol-cal-qtz-py-cp±chl±act±ab±mt±hm, act-qtz-ab-py-cp-mt-bt-car-chl (ore)</t>
  </si>
  <si>
    <t>Cannel and Davidson (1998); Melchiorre and Williams (2001); Exco Resources (2010)</t>
  </si>
  <si>
    <t>Exco (2010)</t>
  </si>
  <si>
    <t>Endowment includes only total mineral resources in 2010 (Exco Resources, 2010), but mining of oxide ore between 1995 and 1999 produced 500 t of cathode copper per month (Melchiorre and Williams, 2001). Although Cannel and Davidson (1998) report acicular pseudomorphs as "anhydrite", no unambiguous anhydrite was identified.</t>
  </si>
  <si>
    <t>Great Cobar (including Anjea)</t>
  </si>
  <si>
    <t>Endowment includes production of 0.115 Mt Cu, 1.5 Moz Ag and 0.288 Moz Au between 1871 and 1919.</t>
  </si>
  <si>
    <t>Great Pyramid</t>
  </si>
  <si>
    <t>As</t>
  </si>
  <si>
    <t>Mount Pearson Granite</t>
  </si>
  <si>
    <t>Very coarse-grained, mafic, unfractionated, reduced, I-type biotite monzogranite to granite with abundant K-feldspar megacrysts.</t>
  </si>
  <si>
    <t>Green et al. (2014); Hong et al. (2017); Denholm et al. (2021)</t>
  </si>
  <si>
    <t>Taylor (2023)</t>
  </si>
  <si>
    <t>Sn Inferred Mineral Resources based on the classification criteria outlined in the CIM Definition Standards. Estimate for As is based on assay data reported in Taylor (2023). Endowment also includes W at 39 ppm average and Bi at 20 ppm average. The association with the Mount Pearson Granite is inferred, as drilling has not yet revealed any granite beneath the deposit (Taylor, 2023).</t>
  </si>
  <si>
    <t>Great Rand</t>
  </si>
  <si>
    <t>Lickhole Volcanics</t>
  </si>
  <si>
    <t>Pillowed and massive tholeiitic basalt, boninitic lavas and breccia, andesitic breccia; interflow chert, gabbro, dolerite, hyaloclastite, volcaniclastic sandstone</t>
  </si>
  <si>
    <t>Vandenberg et al. (1995)</t>
  </si>
  <si>
    <t>Vandenberg et al. (1995); Foster et al. (1998); Phillips et al. (2012a)</t>
  </si>
  <si>
    <t>Vandenberg et al. (1995) interpret this deposit as a high sulfidation epithermal deposit, similar to the nearby Rhyolite Creek prospect, which has pyrophyllite as an alteration mineral. However, advanced argillic alteration assemblages are not described at Great Rand and the age is interpreted to be Late Devonian, suggesting a different origin, in this case taken to be orogenic gold by analogy with other ~370 Ma gold deposits in the Melbourne Zone. It could be intrusion-related, but similar-aged intrusions have not been described in the immediate vicinity. Age was recalculated by Phillips et al. (2012a) after original data presented in Bierlein et al. (2001). Endowment includes production of 1000 t Au and a pre-JORC mineral resource of 0.215 Mt at 6 g/t Au (Vandenberg et al., 1995)</t>
  </si>
  <si>
    <t>Great Star</t>
  </si>
  <si>
    <t>Hornblende-biotite granodiorite, some with euhedral hornblende phenocrysts (porphyritic phase). Some mafic quartz diorite.</t>
  </si>
  <si>
    <t>il-mus</t>
  </si>
  <si>
    <t>Greater Paraburdoo (including Paraburdoo, Eastern Range and Channar)</t>
  </si>
  <si>
    <t>Greater Paraburdoo</t>
  </si>
  <si>
    <t>Mount McRae Shale</t>
  </si>
  <si>
    <t>Interbedded shale, chert, banded iron-formation</t>
  </si>
  <si>
    <t>Brockman Iron Formation - Yandicoogina Shale Member</t>
  </si>
  <si>
    <t>Alternating chert and thin shale, intruded by dolerite sills</t>
  </si>
  <si>
    <t>Weeli Wooli Formation</t>
  </si>
  <si>
    <t>Banded iron-formation (commonly jaspilitic), mudstone, siltstone; common interlayered metadoleritic sills.</t>
  </si>
  <si>
    <t>hm-dol-chl-py (hypogene)</t>
  </si>
  <si>
    <t>Harmsworth et al. (1990); Pickard (2002); Müller et al. (2005); Thorne et al. (2008, 2015, 2017)</t>
  </si>
  <si>
    <t>Thorne et al. (2017)</t>
  </si>
  <si>
    <t>Cited age for hypogene upgrading is a SHRIMP U-Pb baddeleyite age of a mafic dyke that intrudes iron ore but is also altered, implying a syn-hypogene upgrading timing (Müller et al., 2005). Mainly Supergene-enriched with minor relic hypogene-enriched zones. Endowment is pre-mining resource for Paraburdoo deposit and Channar mining area, but does not include the Eastern Range deposits.</t>
  </si>
  <si>
    <t>Greenback</t>
  </si>
  <si>
    <t>Kookaburra</t>
  </si>
  <si>
    <t>Molly Darling Granodiorite</t>
  </si>
  <si>
    <t>Sericite-K-feldspar-altered, fine-grained granitic aplite (host) in biotite quartz monzonite-monzogranite</t>
  </si>
  <si>
    <t>ser-ksp</t>
  </si>
  <si>
    <t>Cited location is that of the sample analysed by Huston et al. (2022).</t>
  </si>
  <si>
    <t>Greenbushes</t>
  </si>
  <si>
    <t>Ta-Sn</t>
  </si>
  <si>
    <t>Balingup Complex</t>
  </si>
  <si>
    <t>Fine- and coarse-grained amphibolite</t>
  </si>
  <si>
    <t>Amphibolite and ultramafic schist</t>
  </si>
  <si>
    <t>Granofels</t>
  </si>
  <si>
    <t>Greenbushes Pegmatite</t>
  </si>
  <si>
    <t>Partington (2017)</t>
  </si>
  <si>
    <t>Partington et al. (1995); Partington (2017)</t>
  </si>
  <si>
    <t>Partington et al. (1995)</t>
  </si>
  <si>
    <t>Fetherston (2004); IGO Limited (2022)</t>
  </si>
  <si>
    <t>Endowment includes mineral resources for Ta in 2002 (223.7 Mt at 0.022% Ta2O5: Fetherston, 2004) and Li as of August 2021 (360.2 Mt at 1.5% Li2O) and do not include previous production.</t>
  </si>
  <si>
    <t>Greenmount</t>
  </si>
  <si>
    <t>Answer Slate (Marimo Slate)</t>
  </si>
  <si>
    <t>Dark grey, carbonaceous slate, phyllite, metasiltstone, mica schist; minor feldspathic quartzite, chert. Possible felsic tuff horizon.</t>
  </si>
  <si>
    <t>ab-ser±hm±rut±tm±dol</t>
  </si>
  <si>
    <t>Hodgson (1998)</t>
  </si>
  <si>
    <t>Queensland Mining Corporation Limited (2014)</t>
  </si>
  <si>
    <t>Cited age is based on the interpretation that mineralisation is associated with D2 deformation, which is interpreted to have an age of 1545 Ma. Endowment includes JORC-compliant mineral resources.</t>
  </si>
  <si>
    <t>Greenvale</t>
  </si>
  <si>
    <t>Boiler Gully Complex</t>
  </si>
  <si>
    <t>Serpentinite; minor clinopyroxenite and metagabbro; amphibolite, metagabbro, minor serpentinite.</t>
  </si>
  <si>
    <t>Morrison and Burger (2019); Australian Mines Limited (2020); OZMIN (2020)</t>
  </si>
  <si>
    <t>Lateritisation interpreted as post-Cretaceous. Endowment includes production (1971-1993) of 41 Mt grading 1.4% Ni and 0.12% Co and mineral resources of 32.63 Mt at 0.69% Ni and 0.05% Co (at 30 June 2020). Cited Sc grade is based on 2017 resource data (retrieved from OZMIN, 2020). Scandium was not produced during mining operations.</t>
  </si>
  <si>
    <t>Grevillea</t>
  </si>
  <si>
    <t>Riversleigh Siltstone</t>
  </si>
  <si>
    <t>Shale, siltstone and sandstone, dominated by fine to medium grained sandstone in the area surrounding the Grevillea deposit</t>
  </si>
  <si>
    <t>sid (proximal) → ank → dol (distal)</t>
  </si>
  <si>
    <t>Valena (2019f)</t>
  </si>
  <si>
    <t>Sun et al. (1996a); Carr et al. (2001); McGoldrick (1998); Valenta (2019f)</t>
  </si>
  <si>
    <t>Lead isotope model age calculated using CSIRO-AGSO North Australia model (Sun et al., 1996a) using least radiogenic analysis of Carr et al. (2001).</t>
  </si>
  <si>
    <t>Grieves Siding</t>
  </si>
  <si>
    <t xml:space="preserve">Carbonate-hosted </t>
  </si>
  <si>
    <t>Irish-type zinc-lead</t>
  </si>
  <si>
    <t>Oceana</t>
  </si>
  <si>
    <t>Ga-Ge</t>
  </si>
  <si>
    <t>Gordon Group</t>
  </si>
  <si>
    <t>Comprises predominantly micritic, warm-water shallow marine limestone, shale + sand deposited on a continental shelf, with lagoonal mud facies, abundant algal mats and pellet beds.</t>
  </si>
  <si>
    <t>https://www.mindat.org/loc-132889.html (accessed March 2024)</t>
  </si>
  <si>
    <t>Icon Resources Limited (2007); Calver et al. (2014)</t>
  </si>
  <si>
    <t>Calver et al. (2014)</t>
  </si>
  <si>
    <t>Icon Resources Limited (2007)</t>
  </si>
  <si>
    <t>By analogy with the Oceana deposit, this deposit is interpreted as an Irish-style deposit and the age of mineralisation is interpreted as the same as the host rock according to Tasmanian biostratigraphic zones (Calver et al., 2014). Endowment is total mineral resources reported by Icon Resources Limited (2007)</t>
  </si>
  <si>
    <t>Gromac</t>
  </si>
  <si>
    <t>Puzzler Granodiorite</t>
  </si>
  <si>
    <t>White, muscovite-biotite granodiorite with abundant pods or dykes of muscovite pegmatite and aplite</t>
  </si>
  <si>
    <t>ksp-qtz-ab-bt</t>
  </si>
  <si>
    <t>Mantle Mining Corporation Limited (2014); Huston et al. (2021)</t>
  </si>
  <si>
    <t>Cited location is that of the sample analysed by Huston et al. (2022).. The mineralisation at Gromac is probably of different origin to the nearby Puzzler deposit.</t>
  </si>
  <si>
    <t>Groot Eylandt</t>
  </si>
  <si>
    <t>Groot Eylant</t>
  </si>
  <si>
    <t>Walker River Formation</t>
  </si>
  <si>
    <t>Alternating sandstone and shale with pisolitic manganese oxides</t>
  </si>
  <si>
    <t>Ahmad and Khan (2013); Munson et al. (2013); Harvey et al. (2017)</t>
  </si>
  <si>
    <t>Munson et al. (2013)</t>
  </si>
  <si>
    <t>The cited age is the midpoint of the age range (late Albian to early Cenomanina) for the Walker River Formation, and the error includes the entire range. Endowment includes production of 78.375 Mt and mineral resources for 161 Mt at 45.9% Mn. The grade of production was assumed to be the same as the mineral resource. The data of Ahmad and Khan (2013) for pre-mining resources were used because Harvey et al. (2017) did not report production.</t>
  </si>
  <si>
    <t>Groundrush</t>
  </si>
  <si>
    <t>K-feldspar</t>
  </si>
  <si>
    <t>Groundrush Dolerite</t>
  </si>
  <si>
    <t>Medium-grained dolerite, which is chlorite-altered</t>
  </si>
  <si>
    <t>Huston et al. (2007a)</t>
  </si>
  <si>
    <t>Wygralak et al. (2017); Tanami Gold NL (2023)</t>
  </si>
  <si>
    <t>Age is based upon a locally constrained Pb isotope evolution model. Endowment includes production of 3.2 Mt at 4.5 g/t and mineral resources of 8.45 Mt at 4.1 g/t.</t>
  </si>
  <si>
    <t>Gruyere</t>
  </si>
  <si>
    <t>Gruyere porphyry (local name)</t>
  </si>
  <si>
    <t>Variably deformed mafic, intermediate and felsic dykes (intrude Gruyere porphyry)</t>
  </si>
  <si>
    <t>ab-bt-chl-py-po-cal-asp</t>
  </si>
  <si>
    <t>Fuller et al. (2014); Osborne et al. (2017); Gold Road Resources (2019); Tunjic et al. (2019)</t>
  </si>
  <si>
    <t>Gold Road Resources (2019, 2020, 2021, 2022, 2023, 2024)</t>
  </si>
  <si>
    <t>A ~2820 Ma molybdenite Re-Os age (Fuller et al., 2014) has been obtained from a quartz-molybdenite vein in the Dorothy Hills Greenstone Belt that cuts the Ziggy Monzogranite (2832 ± 4 Ma). A second molybdenite Re-Os age of ~2620 Ma (Fuller et al., 2014) was obtained from the Central Bore prospect; in this instance the molybdenite was intergrown with gold. The age of Gruyere is inferred from this second age. The mineralised Gruyere porphyry has an age of 2840-2810 Ma. The alteration chlorite is chamosite. Endowment includes production of 34.8 Mt at 1.02 g/t and total mineral resources of 207.64 Mt at 1.29 g/t Au Gold Road Resources (2020-2024).</t>
  </si>
  <si>
    <t>Gulgong</t>
  </si>
  <si>
    <t>Burranah Formation</t>
  </si>
  <si>
    <t>Latite, basalt and andesite lavas and intrusive rocks; volcaniclastic sandstone, mudstone, conglomerate, breccia, allochthonous limestone.</t>
  </si>
  <si>
    <t>Dungeree Volcanics</t>
  </si>
  <si>
    <t>Metamorphosed felsic volcanics with minor sandstone, siltstone and limestone (marble)</t>
  </si>
  <si>
    <t>Early Devonian intrusive rocks</t>
  </si>
  <si>
    <t>Latite, basalt and andesite lavas and intrusive rocks</t>
  </si>
  <si>
    <t>Metamorphosed felsic volcanics</t>
  </si>
  <si>
    <t>chl-ep-ser-cal</t>
  </si>
  <si>
    <t>Downes (2003); Downes et al. (2021)</t>
  </si>
  <si>
    <t>Endowment includes production and resources.</t>
  </si>
  <si>
    <t>Gum Flat (includes Barns, Rifle Range and Seoak West)</t>
  </si>
  <si>
    <t>Gum Flat</t>
  </si>
  <si>
    <t>Hutchison Group</t>
  </si>
  <si>
    <t>Banded iron formation with monomineralic magnetite bands alternating with quartz, dolomitic marble and iron-rich silicate bands. The iron formation is within a sequence of diopside-quartz dolomitic marble, calc-silicate gneiss, graphitic mica schist, amphibolite and gneiss.</t>
  </si>
  <si>
    <t>Varndell (2017); https://asud.ga.gov.au/search-stratigraphic-units/results/25953 (accessed May 2020)</t>
  </si>
  <si>
    <t>https://asud.ga.gov.au/search-stratigraphic-units/results/25953 (accessed May 2020)</t>
  </si>
  <si>
    <t>Varndell (2017)</t>
  </si>
  <si>
    <t>Cited location is that of the Barns deposit (largest). Cited age is the average of age range in the Australian Stratigraphic Units Database of the Hutchison Group. Endowment includes 104.7 Mt of magnetite resources at 24.0% Fe and 4.3 Mt of hematite resources at 43.9% Fe.</t>
  </si>
  <si>
    <t>Unknown</t>
  </si>
  <si>
    <t>Rammutt Formation</t>
  </si>
  <si>
    <t>Volcanoclastic sandstone with intermittent conglomerate beds, andesite and basalt lava tuff and agglomerate with local carbonaceous mudstone, mudstone and siltstone.</t>
  </si>
  <si>
    <t>Middle Permian</t>
  </si>
  <si>
    <t>chl, hm, ep (patchy and unclear relationship to ores)</t>
  </si>
  <si>
    <t>Kitch and Murphy (1990); Cuneen (1996); Cuneen and Levy (2000)</t>
  </si>
  <si>
    <t>Cuneen (1996)</t>
  </si>
  <si>
    <t>Kitch and Murphy (1990); Cuneen and Levy (2000)</t>
  </si>
  <si>
    <t>Analytical method to establish age was not specified by Cuneen (1996); presumably it is either K-Ar or Ar-Ar. Endowment includes historic production of 3.4 Moz, production from FY1994 to FY2000 of 163,115 oz and mineral resources of 571,000 oz at 30 June 2000 (Kitch and Murphy, 1990; Cuneen and Levy, 2000).</t>
  </si>
  <si>
    <t>Hadleigh Castle (includes Robinson Crusoe and Hadleigh Castle)</t>
  </si>
  <si>
    <t>Inverse isochron</t>
  </si>
  <si>
    <t>Peters and Golding (1989); Kruezer (2005, 2006)</t>
  </si>
  <si>
    <t>Kruezer (2005)</t>
  </si>
  <si>
    <t>Kruezer (2006)</t>
  </si>
  <si>
    <t>Endowment includes historical production only.</t>
  </si>
  <si>
    <t>Halls Creek Goldfield (including Jubilee, Mount Black and Gladstone, Lady Broome and Jacksons Reef)</t>
  </si>
  <si>
    <t>S0027426</t>
  </si>
  <si>
    <t>Halls Creek Goldfield</t>
  </si>
  <si>
    <t>chl-car-sil-ep-amp (mafic rocks); ser-car±py (sedimentary rock)</t>
  </si>
  <si>
    <t>Hassan (2000)</t>
  </si>
  <si>
    <t>Sanders (1999); Hassan (2000)</t>
  </si>
  <si>
    <t>Cited location is that of the Mount Black deposit. Age is based on correlation with the Mount Bradley deposit. Endowment includes mostly hard rock production, but also some alluvial production.</t>
  </si>
  <si>
    <t>Halls Peak</t>
  </si>
  <si>
    <t>Nambucca</t>
  </si>
  <si>
    <t>Stratigraphic age</t>
  </si>
  <si>
    <t>Pb-Ag-Cu</t>
  </si>
  <si>
    <t>Hall Peak Volcanics</t>
  </si>
  <si>
    <t>Sequence of moderately deformed, low-grade metamorphosed, felsic volcaniclastic and sedimentary rocks.</t>
  </si>
  <si>
    <t>qtz-ser-py</t>
  </si>
  <si>
    <t>Critical Resources Limited (2023)</t>
  </si>
  <si>
    <t>Moody et al. (1993); Champion et al. (2009)</t>
  </si>
  <si>
    <t>Moody et al. (1993); Critical Resources Limited (2023)</t>
  </si>
  <si>
    <t>Location is taken as the approximate of the current mineral resources. Cited age is by regional correlation with host units of the Mt Chalmers deposit. Endowment includes production and resources. Production grades taken as midpoint of range in grades cited by Moody et al. (1993). Resources are from Critical Resources Limited (2023): 0.84 Mt at 0.4% Cu, 3.7% Zn, 1.5% Pb, 30 ppm Ag and 0.1 ppm Au.</t>
  </si>
  <si>
    <t>Hammerhead</t>
  </si>
  <si>
    <t>Lennons Find</t>
  </si>
  <si>
    <t>Predominantly dacitic volcaniclastic rocks; grades up to rhyolite; feldspar-porphyritic subvolcanic intrusions are common and voluminous; also pillow basalt and layered red and white sedimentary chert; metamorphosed. In the Lennons Find area also includes psammitic and pelitic rocks in addition to the volcaniclastic rocks.</t>
  </si>
  <si>
    <t>qtz-ser-py±chl</t>
  </si>
  <si>
    <t>Huston et al. (2007b)</t>
  </si>
  <si>
    <t>Richards et al. (1981); Huston et al. (2007b); Laconia Resources Limited (2012); Orange Minerals NL (2023a); D Huston; unpublished data</t>
  </si>
  <si>
    <t>Orange Minerals NL (2023a)</t>
  </si>
  <si>
    <t>Endowment includes mineral resources only and excludes minor production.</t>
  </si>
  <si>
    <t>Handcuff</t>
  </si>
  <si>
    <t>Mt Windsor</t>
  </si>
  <si>
    <t>Trooper Creek Formation</t>
  </si>
  <si>
    <t>Andesitic/basaltic lava and volcaniclastic sediments; dacite lava; rhyolitic and dacitic lava and fragmental rocks; dacitic porphyry high level intrusives; fine to medium-grained sandstone; siltstone; shale; fossiliferous.</t>
  </si>
  <si>
    <t>Berry et al. (1992); Stolz (1995); Hutton et al. (1997); Beams et al. (2017)</t>
  </si>
  <si>
    <t>Hutton et al. (1997)</t>
  </si>
  <si>
    <t>Endowment includes pre-mining mineral resources (Beams et al., 2017). Volcanic units within the Trooper Creek are broadly syn-ore as they both overlie and underlie the ore position.</t>
  </si>
  <si>
    <t>Hang Gong</t>
  </si>
  <si>
    <t>Fluvial placer tin</t>
  </si>
  <si>
    <t>Be-Hf-Nb</t>
  </si>
  <si>
    <t>Pietsch and Clayton (1990); Frater (2005); Ahmad and Hollis (2013); Core Lithium Ltd (2020, 2022a, 2023)</t>
  </si>
  <si>
    <r>
      <t xml:space="preserve">One of numerous Li-bearing intrusions in the Bynoe Pegmatite Field. Cited age is from the Hang Gong pegmatite and is supported by an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"near plateau" age of 1728 ± 4 Ma of muscovite. Tin-tantalum endowment from the Observation Hill pegmatite group has been assigned to the Hang Gong deposit and includes production of 101 t SnO</t>
    </r>
    <r>
      <rPr>
        <vertAlign val="subscript"/>
        <sz val="9"/>
        <color rgb="FF000000"/>
        <rFont val="Times New Roman"/>
        <family val="1"/>
      </rPr>
      <t>2</t>
    </r>
    <r>
      <rPr>
        <sz val="9"/>
        <color rgb="FF000000"/>
        <rFont val="Times New Roman"/>
        <family val="1"/>
      </rPr>
      <t xml:space="preserve"> and 45 t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and mineral resources of 1.762 Mt at 0.0189% SnO</t>
    </r>
    <r>
      <rPr>
        <vertAlign val="subscript"/>
        <sz val="9"/>
        <color rgb="FF000000"/>
        <rFont val="Times New Roman"/>
        <family val="1"/>
      </rPr>
      <t>2</t>
    </r>
    <r>
      <rPr>
        <sz val="9"/>
        <color rgb="FF000000"/>
        <rFont val="Times New Roman"/>
        <family val="1"/>
      </rPr>
      <t>, and 0.0081%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(pegmatite) and 1.084 Mt at 0.0187% SnO</t>
    </r>
    <r>
      <rPr>
        <vertAlign val="subscript"/>
        <sz val="9"/>
        <color rgb="FF000000"/>
        <rFont val="Times New Roman"/>
        <family val="1"/>
      </rPr>
      <t>2</t>
    </r>
    <r>
      <rPr>
        <sz val="9"/>
        <color rgb="FF000000"/>
        <rFont val="Times New Roman"/>
        <family val="1"/>
      </rPr>
      <t xml:space="preserve"> and 0.0047%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(alluvial resources) (Ahmad and Hollis, 2013). Lithium endowment includes mineral resources only from Hang Gong (Core Lithium Limited, 2023).</t>
    </r>
  </si>
  <si>
    <t>Harbour Lights</t>
  </si>
  <si>
    <t>Leonora</t>
  </si>
  <si>
    <t>Ultramafic rock and basalt</t>
  </si>
  <si>
    <t>mus-bt-tc</t>
  </si>
  <si>
    <t>Baggott (2006); Jones and Witt (2017)</t>
  </si>
  <si>
    <t>Baggott (2006)</t>
  </si>
  <si>
    <t>Jones and Witt (2017); Genesis Minerals Limited (2024)</t>
  </si>
  <si>
    <t>Endowment includes production from the late 1980s to the early 1990s (Jones and Witt, 2017) and mineral resources and reserves of 14 Mt at 1.7 g/t Au as of 21 March 2024 (Genesis Minerals Limited, 2024).</t>
  </si>
  <si>
    <t>Hargraves (including Big Nugget Hill and Louisa Creek)</t>
  </si>
  <si>
    <t>Cunningham Formation</t>
  </si>
  <si>
    <t>Phyllite, slate, shale, siltstone, quartz-feldspar-lithic- calcareous sandstone, tuff</t>
  </si>
  <si>
    <t>Tuff</t>
  </si>
  <si>
    <t>car±ser±chl</t>
  </si>
  <si>
    <t>Downes (2003); Quayle (2010); Pure Alumina Limited (2020); Downes et al. (2021)</t>
  </si>
  <si>
    <t>Quayle (2010); Pure Alumina Limited (2020)</t>
  </si>
  <si>
    <t>Cited location is that of the Big Nugget Hill deposit. Endowment includes production of 250,000 oz from the early 1850s to 1939 (Quayle, 2010) and mineral resources of 2.319 Mt at 2.4 g/t Au (Pure Alumina Limited, 2024).</t>
  </si>
  <si>
    <t>Harnett (Chakola)</t>
  </si>
  <si>
    <t>Colington Volcanics</t>
  </si>
  <si>
    <t>Rhyolitic to rhyodacitic crystal and lithic tuff, minor siltstone, sandstone, and limestone lenses; dacite, andesite, rhyolite, tuff, limestone</t>
  </si>
  <si>
    <t>Rhyolitic to rhyodacitic crystal and lithic tuff</t>
  </si>
  <si>
    <t>Stevens (1976); Herzberger and Barnes (1978); Fraser et al. (2014); Capital Mining Limited (2016)</t>
  </si>
  <si>
    <t>Capital Mining Limited (2016)</t>
  </si>
  <si>
    <t>Harrietville goldfield</t>
  </si>
  <si>
    <t>Harrietville</t>
  </si>
  <si>
    <t>Mount Pilot</t>
  </si>
  <si>
    <t>Yackandandah Granite</t>
  </si>
  <si>
    <t>Coarse grained strongly porphyritic granite with large feldspar and quartz phenocrysts set in a fine grained quartz, feldspar, biotite groundmass; medium-grained equigranular phase.</t>
  </si>
  <si>
    <t>ser-py±car</t>
  </si>
  <si>
    <t>https://www.travelvictoria.com.au/harrietville/maps/ (accessed March 2024)</t>
  </si>
  <si>
    <t>Phillips and Hughes (1998); Thom (2001); Phillips et al. (2003); Morand et al. (2005)</t>
  </si>
  <si>
    <t>Phillips et al. (2003); Morand et al. (2005)</t>
  </si>
  <si>
    <t>Cited location is the gown of Harrietville. Endowment includes 12 t primary and &gt;12 t alluvial production (Phillips et al., 2003). Morand et al. (2005) report a lower hard rock production of 7.4 t and no alluvial production. Regionally mineralisation overprints ~410 Ma granites to the south at Dargo and are cut by the poorly-dated Mount Pilot and Yackandandah Granites.</t>
  </si>
  <si>
    <t>Hartman</t>
  </si>
  <si>
    <t>https://www.mindat.org/loc-108065.html (accessed April 2024)</t>
  </si>
  <si>
    <t>Iwata et al. (1995); Fogarty (1998); Jones (2012; pers. comm., 2014); P. Gilmore (pers. comm., 2013); Gilmore et al. (2015); Downes et al. (2017a); Fitzherbert and Huang (2019)</t>
  </si>
  <si>
    <t>Fogarty (1998)</t>
  </si>
  <si>
    <t>Cited primary age is based on the age of the faunal assemblage reported by Iwata et al. (1995) for the host succession. Cited hydrothermal age is by analogy with the Avoca Tank deposit (Fitzherbert and Huang, 2019). Endowment is pre-mining oxide/supergene resources (March 1997) of 2.502 Mt at 0.57% Cu (Fogarty, 1998).</t>
  </si>
  <si>
    <t>Hatches Creek (including Black Hills, Bonanza, Copper Show and Green Diamond)</t>
  </si>
  <si>
    <t>Hatches Creek</t>
  </si>
  <si>
    <t>Davenport</t>
  </si>
  <si>
    <t>Plateau (pooled)</t>
  </si>
  <si>
    <t>Cu-Bi</t>
  </si>
  <si>
    <t>Treasure Volcanics</t>
  </si>
  <si>
    <t>Rhyolitic to dacitic lava and pyroclastic rocks including ignimbrite; felsic intrusives; feldspathic/lithic (including volcaniclastic) arenite, quartz arenite; minor basaltic lava.</t>
  </si>
  <si>
    <t>Kurinelli Sandstone</t>
  </si>
  <si>
    <t>Subarkosic/sublithic/lithic arenite, quartz arenite, siltstone; minor felsic and mafic lava and tuff, mudstone, shale, slate and schist.</t>
  </si>
  <si>
    <t>Taragan Sandstone</t>
  </si>
  <si>
    <t>Feldspathic/sublithic arenite, quartz arenite, pebbly arenite, conglomerate; minor siltstone, mudstone and altered felsic lava</t>
  </si>
  <si>
    <t>Pedlar Gabbro</t>
  </si>
  <si>
    <t>Gabbro</t>
  </si>
  <si>
    <t>Muscovite-biotite granite</t>
  </si>
  <si>
    <t>Fraser et al. (2008); Ahmad and Khan (2013); Donnellan (2013a); Tungsten Mining NL23)</t>
  </si>
  <si>
    <t>Fraser et al. (2008)</t>
  </si>
  <si>
    <t>Ahmad and Khan (2013); Donnellan (2013a); Tungsten Mining NL (2023)</t>
  </si>
  <si>
    <r>
      <t>Cited age is a pooled average of four plateau ages (calculated using decay constants of Kwon et al., 2002): 1714 ± 7 Ma (Black Hills), 1715 ± 7 (Bonanza), 1711 ± 7 (Copper Show) and 1717 ± 7 Ma (Green Diamond). Endowment includes production of 3065 t W concentrate (65% WO</t>
    </r>
    <r>
      <rPr>
        <vertAlign val="subscript"/>
        <sz val="9"/>
        <color rgb="FF000000"/>
        <rFont val="Times New Roman"/>
        <family val="1"/>
      </rPr>
      <t>3</t>
    </r>
    <r>
      <rPr>
        <sz val="9"/>
        <color rgb="FF000000"/>
        <rFont val="Times New Roman"/>
        <family val="1"/>
      </rPr>
      <t>), 70 t Cu concentrate (assumed to be chalcopyrite) and 5.6 t Bi concentrate (assumed to be bismuthinite), and JORC-compliant stockpile mineral resources of 0.225 Mt grading 0.58%WO3. Metal and metal oxide production calculated on these assumptions.</t>
    </r>
  </si>
  <si>
    <t>Havelock</t>
  </si>
  <si>
    <t>Goldsmiths Granite</t>
  </si>
  <si>
    <t>Grey, foliated, medium-grained, variably porphyritic muscovite-biotite granite with tabular K-feldspar phenocrysts to 2cm.</t>
  </si>
  <si>
    <t>Delaney Granite</t>
  </si>
  <si>
    <t>Pale to dark grey locally foliated medium-grained, mostly porphyritic muscovite-biotite granite with 1-1.5cm tabular K-feldspar phenocrysts.</t>
  </si>
  <si>
    <t>cl, ser, chl</t>
  </si>
  <si>
    <t>Havieron</t>
  </si>
  <si>
    <t>Yeneena Supergroup</t>
  </si>
  <si>
    <t>Carbonate and siliciclastic sedimentary facies</t>
  </si>
  <si>
    <t>Intrusive rocks</t>
  </si>
  <si>
    <t>amp-car-bt-ser-chl</t>
  </si>
  <si>
    <t>Newcrest Mining Limited (2020a)</t>
  </si>
  <si>
    <t>Newcrest Mining Limited (2020a); Greatland Gold plc (2023)</t>
  </si>
  <si>
    <t>Greatland Gold plc (2023)</t>
  </si>
  <si>
    <t>Cited age is by analogy with the Telfer (Maidment et al., 2010) and Magnum (Huston et al., 2021) deposits. The deposit is described as being partly hosted by intrusive rocks of an undetermined age, and a dolerite dyke cuts the ore zone but is not apparently mineralised (e.g. Figs. 2-4 of Newcrest Mining Limited, 2020a). Endowment includes mineral resources only (Greatland Gold plc, 2023).</t>
  </si>
  <si>
    <t>Hawkwood</t>
  </si>
  <si>
    <t>Ti-Fe</t>
  </si>
  <si>
    <t>Delubra Gabbro</t>
  </si>
  <si>
    <t>Gabbro, with olivine, clinopyroxene, plagioclase, and orthopyroxene in a matrix of titaniferous magnetite with accessory ilmenite, and with lesser pyrrhotite and millerite, and trace pentlandite</t>
  </si>
  <si>
    <t>Purdy (2013); Hoatson et al. (2014)</t>
  </si>
  <si>
    <t>Purdy (2013)</t>
  </si>
  <si>
    <t>Hayes Creek</t>
  </si>
  <si>
    <t>Heazlewood (Nineteen Mile Creek)</t>
  </si>
  <si>
    <t>Heazlewood</t>
  </si>
  <si>
    <t>Osmiridium</t>
  </si>
  <si>
    <t>Heazlewood River Complex</t>
  </si>
  <si>
    <t>Ophiolite sheet; foliated amphibolite, mylonite, ultramafics, units of serpentinitic melange, tonalite and related rocks, gabbro, boninitic lavas, low-Ti tholeiitic lavas.</t>
  </si>
  <si>
    <t>tc</t>
  </si>
  <si>
    <t>Peck and Keays (1990); Black et al. (1997); Bottrill (2014); Hoatson et al. (2014)</t>
  </si>
  <si>
    <t>Cited location is that of the Caudrys prospect. Cited age is that of a tonalite that is the last phase of igneous activity in the Heazlewood Ultramafic Complex (Black et al., 1997). Endowment includes alluvial production of 31,000 oz and hard rock production of 250 oz of osmiridium (Hoatson et al., 2014). At the Caudrys mine, which produced the hard rock osmiridium, the osmiridium was produced from a zone containing magnetite, opal and talc (Bottrill, 2014).</t>
  </si>
  <si>
    <t>Hellyer</t>
  </si>
  <si>
    <t>Mount Read</t>
  </si>
  <si>
    <t>Mount Charter Group - Que-Hellyer Volcanics - Mixed Sequence</t>
  </si>
  <si>
    <t>Sub-marine succession of calc-alkaline andesite, basalt and minor felsic volcanic rocks. The deposit is hosted by the local Mixed Sequence, which is dominated by epiclastic sedimentary rocks and dacitic lavas and breccias with minor basalt and andesite.</t>
  </si>
  <si>
    <t>Mount Carter Group - Que-Hellyer Volcanics - Mixed Sequence</t>
  </si>
  <si>
    <t>Sub-marine succession of calc-alkaline andesite, basalt and minor felsic volcanic rocks.</t>
  </si>
  <si>
    <t>qtz-py±ser±chl → chl±ser±qtz±car → ser±chl±qtz → ser±qtz±car</t>
  </si>
  <si>
    <t>Prehnite-pumpellyite</t>
  </si>
  <si>
    <t>https://www.mindat.org/loc-420422.html (accessed March 2024)</t>
  </si>
  <si>
    <t>McArthur and Dronseika (1990); Gemmell and Large (1992); Seymour et al. (2006); Denwer et al. (2014); Mortensen et al. (2015)</t>
  </si>
  <si>
    <t>Mortensen et al. (2015)</t>
  </si>
  <si>
    <t>Seymour et al. (2006); Denwer et al. (2014)</t>
  </si>
  <si>
    <t>Cited age is that of the andesite underlying the Hellyer deposit (Mortensen et al., 2015). Endowment includes pre-mining resources from the Hellyer (16.9 Mt at 0.4% Cu, 13.8% Zn, 7.2% Pb, 167 g/t Ag and 2.5 g/t Au) and Fossey (0.8 Mt at 0.4% Cu, 9.9% Zn, 5.8% Pb, 137 g/t Ag and 2.5 g/t Au) (Denwer et al., 2014).</t>
  </si>
  <si>
    <t>Hemi (including Brolga, Aquila, Crow, Falcon and Diucon/eagle)</t>
  </si>
  <si>
    <t>Hemi</t>
  </si>
  <si>
    <t>DeGrey Mining Limited (2021)</t>
  </si>
  <si>
    <t>DeGrey Mining Limited (2021, 2023)</t>
  </si>
  <si>
    <t>DeGrey Mining Limited (2023)</t>
  </si>
  <si>
    <t>Cited location is that of the Brolga deposit. Endowment includes mineral resources only.</t>
  </si>
  <si>
    <t>Henty</t>
  </si>
  <si>
    <t>Tyndall Group, Comstock Formation, Mount Julia Member</t>
  </si>
  <si>
    <t>Graded volcaniclastic mass flows or proximal turbidites and well-sorted feldspar-quartz crystal rich volcaniclastic sandstones and minor siltstones.</t>
  </si>
  <si>
    <t>Tyndall Group, Comstock Formation</t>
  </si>
  <si>
    <t>Quartz-porphyritic to quartz-feldspar-porphyritic rhyolite</t>
  </si>
  <si>
    <t>qtz-top-pyr → qtz-car±ser±sul → qtz-ser → qtz-ser-py-chl</t>
  </si>
  <si>
    <t>chl-ser, adv arg</t>
  </si>
  <si>
    <t>https://www.mindat.org/loc-7898.html (accessed March 2024)</t>
  </si>
  <si>
    <t>Reid and Meares (1981); Halley and Roberts (1997); Callaghan (2001); Seymour et al. (2006); Halley (2007); Mortensen et al. (2015); Lorrigan et al. (2017)</t>
  </si>
  <si>
    <t>Catalyst Metals Limited (2021, 2022, 2023)</t>
  </si>
  <si>
    <t>The deposit contains minor Zn-Pb-rich volcanic-hosted massive sulfide lenses which are interpreted to be of the age of the host Tyndall Group (Mortensen et al., 2015). The main Au-rich zone is interpreted as a sub-seafloor deposit with high sulfidation affinities (e.g. Halley and Roberts, 1997; Halley, 2007), and correlated with similar styles of mineralisation in the Mount Lyell district. Endowment includes total production to 2021 (Catalyst Metals Limited, 2021), production in fiscal years 2022 (Catalyst Metals, 2022) and mineral resources at 30 June 2022 (Catalyst Metals Limited, 2023). Due to uncertainties as to the date up to which the 2021 total production data were taken to, some production from 2021 may have not been included.</t>
  </si>
  <si>
    <t>Hera</t>
  </si>
  <si>
    <t>Nymagee</t>
  </si>
  <si>
    <t>Zn-Au-Pb</t>
  </si>
  <si>
    <t>Mouramba Group</t>
  </si>
  <si>
    <t>Conglomerate fining upward into siltstone and sandstone (with interbedded limestone (Beloura Tank Limestone), tuff and felsic volcanic rock</t>
  </si>
  <si>
    <t>CSA Siltstone (Lower Amphitheatre Group)</t>
  </si>
  <si>
    <t>Siltstone interbedded with quartz-lithic graywacke</t>
  </si>
  <si>
    <t>Felsic volcanic rock</t>
  </si>
  <si>
    <t>[gt-qtz-dp-act-zoi-ano±car → px-qtz-dp-act-zoi-ano±car → trm-bt-an±sch (south to north)] (prograde skarn replacing carbonate), [gt-tit-ano-zoi (vein proximal) → gt-act-ano-zoi → act-bt-ano → bt-mus (vein distal)] (prograde skarn replacing siliciclastic rocks) (early) → trm-bt-po-sul±spe (intermediate hydrous skarn) → ksp-tit (localised) → chl-mus±car±trm/act±alm±sul (late hydrous)</t>
  </si>
  <si>
    <t>Fitzherbert et al. (2021)</t>
  </si>
  <si>
    <t>David (2005); Brown et al. (2017); Fitzherbert et al. (2017a); Downes and Philips (2018); Fitzherbert et al (2021)</t>
  </si>
  <si>
    <t>Downes and Philips (2018); Fitzherbert et al. (2021)</t>
  </si>
  <si>
    <t>Cited location is of approximate centre of composite ore zone. The older age is for titanite associated with the early prograde skarn assemblage. The younger age is for muscovite associated with the youngest hydrous assemblage. Endowment includes pre-mining mineral resources.</t>
  </si>
  <si>
    <t>Herberton (includes Great Northern Gully, Great Northern East and Great Southern)</t>
  </si>
  <si>
    <t>qtz-top (proximal, early) → ser (distal) → chl (late)</t>
  </si>
  <si>
    <t>Clarke (1995); Whitehead et al. (2007); Chang et al. (2017)</t>
  </si>
  <si>
    <t>Whitehead et al. (2007)</t>
  </si>
  <si>
    <t>Cited location is that of the Great Northern Gully deposit. Endowment includes production (hard rock and deep lead) and mineral resources. The age of the deep lead is a K-Ar age of the Wild River basalt flow (Whitehead et al., 2007) that overlies the deep leads. The hard rock ores include both greisen- and breccia/vein-hosted types, all hosted by the Elizabeth Creek Granite. Chang et al. (2017) reported a combined resources of 11,903 t of Sn.</t>
  </si>
  <si>
    <t>Hercules</t>
  </si>
  <si>
    <t>Central Volcanic Complex - Hercules Pumice Formation</t>
  </si>
  <si>
    <t>Pumice breccia, up to 800m thick, consisting of a series of graded, syn-eruptive mass-flow deposits, individually up to 200m thick, with some intercalated felsic lavas and sills. Ore host is volcaniclastic sandstone within this succession.</t>
  </si>
  <si>
    <t>Pumice breccia, up to 800m thick, consisting of a series of graded, syn-eruptive mass-flow deposits, individually up to 200m thick, with some intercalated felsic lavas and sills.</t>
  </si>
  <si>
    <t>qtz-chl → qtz-ser</t>
  </si>
  <si>
    <t>https://www.mindat.org/loc-11803.html (accessed March 2024)</t>
  </si>
  <si>
    <t>Lees et al. (1990); Seymour et al. (2006); Mortensen et al. (2015)</t>
  </si>
  <si>
    <t>Seymour et al. (2006)</t>
  </si>
  <si>
    <t>Cited age of the Cambrian mineralisation is the middle of three statistically indistinguishable TIMS U-Pb ages (502.60 ± 0.93 Ma, 502.81 ± 0.98 Ma, 503.01 ± 0.97 Ma: Mortensen et al., 2015) from pumice breccia in the stratigraphic footwall of the deposit. Mn-rich carbonates closely associated with ore zones</t>
  </si>
  <si>
    <t>Multiple units of quartzite, schist, dolomite and iron formation. Quartzitic, pelitic and calc-silicate metasediments, iron formation, marble, amphibolite.</t>
  </si>
  <si>
    <t>Davies and Twining (2018); https://asud.ga.gov.au/search-stratigraphic-units/results/25953 (accessed May 2020)</t>
  </si>
  <si>
    <t>Cited age is the average of age range in the Australian Stratigraphic Units Database of the Hutchison Group. Endowment includes mineral resources only.</t>
  </si>
  <si>
    <t>Higginsville (includes Beta Hunt, Chalice, Trident, Two Boys deposits and many other deposits)</t>
  </si>
  <si>
    <t>dyke 1</t>
  </si>
  <si>
    <t>Quartz-albite-diopside-altered monzogranite. Pre-dates both the first and second stage mineralising events.</t>
  </si>
  <si>
    <t>Neoarchean (2626 ± 9 Ma)</t>
  </si>
  <si>
    <t>Eastern Granite</t>
  </si>
  <si>
    <t>Quartz-feldspar monzogranite</t>
  </si>
  <si>
    <t>Neoarchean (2622 ± 13 Ma)</t>
  </si>
  <si>
    <t>qtz-ab-dp-tit-po±gt±hbd±bt±cal±ap±sch (first stage mineralising event in mafic amphibolite); qtz-ab-dp (second stage mineralising event in granite)</t>
  </si>
  <si>
    <t>ab</t>
  </si>
  <si>
    <t>Stein and Markey (2001); Bucci et al (2002, 2004); Karora Resources (2024)</t>
  </si>
  <si>
    <t>Bucci et al (2004)</t>
  </si>
  <si>
    <t>Karora Resources (2024)</t>
  </si>
  <si>
    <t>Cited location and ENO are those of the Chalice deposit. Age is from hydrothermal titanite interpreted to be in equilibrium with gold from hydrothermal alteration associated with main stage mineralisation at Chalice (Bucci et al., 2004). A second younger mineralisation event is dated at 2623 ± 5 Ma (most precise hydrothermal titanite SHRIMP U-Pb age from altered monzogranite; other ages are 2631 ± 10 Ma, 2624 ± 7 Ma and 2619 ± 6 Ma: Bucci et al., 2004) and 2621 ± 10 Ma (molybdenite Re-Os: Bucci et al., 2004). The age of the second mineralisation event overlaps with age of altered monzogranite (2626 ± 9 Ma: Bucci et al., 2004). Endowment is the sum of the pre-mining mineral resources from the Chalice, Trident and Two Boys deposits (http://www.portergeo.com.au/database/mineinfo.asp?mineid=mn955). The main (first) stage mineralising event produced 95% of total gold endowment.</t>
  </si>
  <si>
    <t>Highway</t>
  </si>
  <si>
    <t>Highway-Reward</t>
  </si>
  <si>
    <t>Andesitic/basaltic lava and volcaniclastic sediments; dacite lava; rhyolitic and dacitic lava and fragmental rocks; dacitic porphyry high level intrusives; fine to medium-grained sandstone; siltstone; shale; fossiliferous. Deposit is in the upper-middle part of unit, in association with andesite.</t>
  </si>
  <si>
    <t>qtz-ser±py → chl±anh±gyp → ser → chl-ser-qtz → chl-ser → fld±car±chl±ser±qtz → hm±qtz±ser±chl±ab</t>
  </si>
  <si>
    <t>Berry et al. (1992); Stolz (1995); Doyle and Huston (1999); Hutton et al. (1997)</t>
  </si>
  <si>
    <t>Endowment includes pre-mining mineral resources (Beams et al., 2017). Strongly cross-cutting, pipe-like Cu-Au-rich bodies with peripheral stratiform Zn-Pb-rich zones. Resource cited is pre-mining primary ore and does not include 0.3 Mt of supergene or grading 11.6% Cu, 21 g/t Ag and 1.8 g/t Au and 0.17 Mt of oxide ore grading 6.3 g/t Au. Volcanic units within the Trooper Creek are broadly syn-ore as they both overlie and underlie the ore position.</t>
  </si>
  <si>
    <t>Hill 800</t>
  </si>
  <si>
    <t>Jamieson Volcanic Group</t>
  </si>
  <si>
    <t>Andesite lava and breccia, rhyolite and dacite lava and hyaloclastite breccia; volcaniclastic sandstone, shale and conglomerate</t>
  </si>
  <si>
    <t>qtz-ser-py, chl</t>
  </si>
  <si>
    <t>Cherry (2003)</t>
  </si>
  <si>
    <t>Haydon (1999a); Cherry (2003); Carawine Resources Limited (2020)</t>
  </si>
  <si>
    <t>Although historically Hill 800 has been interpreted as a volcanic-hosted massive sulfide deposit, recently the owner has considered the possibility that it is a porphyry copper-gold or related deposit (Carawine Resources Limited, 2020).</t>
  </si>
  <si>
    <t>Hill End district (including Hawkins Hill, Reward and Red Hill)</t>
  </si>
  <si>
    <t>Hill End</t>
  </si>
  <si>
    <t>Chesleigh Group</t>
  </si>
  <si>
    <t>Felsic volcaniclastic, quartz-lithic, feldspar-lithic and quartzose sandstone, siltstone, slate, shale; crystal and vitric tuff; breccia and conglomerate; chert, felsic porphyry.</t>
  </si>
  <si>
    <t>Cookman Formation</t>
  </si>
  <si>
    <t>Interbedded cream to dark grey fine to medium grained quartz rich sandstone, siltstone, laminated shale and minor dark to black cherty tuff.</t>
  </si>
  <si>
    <t>Felsic volcaniclastic; crystal and vitric tuff; felsic porphyry.</t>
  </si>
  <si>
    <t>Minor dark to black cherty tuff.</t>
  </si>
  <si>
    <t>chl-car-ser</t>
  </si>
  <si>
    <t>Lu et al. (1996); Downes (2003); Quayle (2010); Pure Alumina Limited (2020)</t>
  </si>
  <si>
    <t>Lu et al. (1996)</t>
  </si>
  <si>
    <t>Endowment includes historic production of 1 Moz, recent production of 35,446 t at 10.8 g/t (Quayle, 2010), and mineral resources of 1.475 Mt at 1.7 g/t Au at Red Hill and 0.885 Mt grading 8.6 g/t at Hawkins Hill-Reward (Pure Alumina Limited, 2020).</t>
  </si>
  <si>
    <t>Hillgrove district (includes Sunlight, Brackin's Spur, Clark's Gully and Syndicate (2012-JORC-compliant resources); and Austins, Black Lode, Prendergrasts, Cox's Reef, Eleanora, Garibaldi, Freehold, Smiths, Golden Gate, Cosmopolitan, Damifino and Lady Hopetoun (2004-JORC-compliant resources))</t>
  </si>
  <si>
    <t>Orogenic antimony ± gold</t>
  </si>
  <si>
    <t>Hillgrove</t>
  </si>
  <si>
    <t>Supergene/oxide antimony-gold</t>
  </si>
  <si>
    <t>Girrakool beds</t>
  </si>
  <si>
    <t>Lithofeldspathic wacke, slate, minor chert, rare mafic and felsic volcanics.</t>
  </si>
  <si>
    <t>Late Carboniferous-Permian</t>
  </si>
  <si>
    <t>Hillgrove Monzogranite</t>
  </si>
  <si>
    <t>Biotite monzogranite; commonly foliated S-type biotite granitoids commonly with blue quartz, minor amphibole, garnet and graphite</t>
  </si>
  <si>
    <t>Bakers Creek Diorite</t>
  </si>
  <si>
    <t>Pyroxene diorite, quartz-biotite diorite. Calc-alkaline and tholeiitic complexes associated with the Hillgrove Plutonic Suite.</t>
  </si>
  <si>
    <t>Dykes - microgranite, aplite and microlithic trachyte</t>
  </si>
  <si>
    <t>Hydrothermally altered, shoshonitic lamprophyre (minette and vogesite)</t>
  </si>
  <si>
    <t>ank-ser-qtz-py-asp-rut (proximal) → chl-ank-ab (distal)</t>
  </si>
  <si>
    <t>Red River Resources Limited (2019)</t>
  </si>
  <si>
    <t>Boyle (1990); Ashley et al. (1994); Ashley and Craw (2004); Red River Resources Limited (2019)</t>
  </si>
  <si>
    <t>Ashley et al. (1994)</t>
  </si>
  <si>
    <t>Boyle (1990); Red River Resources Limited (2019)</t>
  </si>
  <si>
    <r>
      <t>Cited location is the approximate centre of the Garibaldi lode, which is near the centre of the Hillgrove district. Cited age is of magmatic phlogopite from a lamprophyre dyke. These dykes intrude the same structures as the auriferous veins and are both pre- and post-mineralisation. The dated dyke post-dates mineralisation. Cited age is supported by phlogopite K-Ar analysis of second sample of this dyke set. Endowment includes production of 0.73 Moz Au and 50 kt Sb and 2.0 kt scheelite (Boyle, 1990; Red River Resources Limited, 2019; scheelite production converted to WO</t>
    </r>
    <r>
      <rPr>
        <vertAlign val="subscript"/>
        <sz val="9"/>
        <color rgb="FF000000"/>
        <rFont val="Times New Roman"/>
        <family val="1"/>
      </rPr>
      <t>3</t>
    </r>
    <r>
      <rPr>
        <sz val="9"/>
        <color rgb="FF000000"/>
        <rFont val="Times New Roman"/>
        <family val="1"/>
      </rPr>
      <t>) and mineral resources of 2.8 Mt at 5.1 g/t Au and 1.7% Sb (JORC-2012-compliant) and additional JORC-2004-compliant resources of 3.95 Mt at 4.7 g/t Au and 1.3% Sb (Red River Resources Limited, 2019).</t>
    </r>
  </si>
  <si>
    <t>Allanite</t>
  </si>
  <si>
    <t>Ag-Bi-Co-Mo-REE-Te-U</t>
  </si>
  <si>
    <t>Wallaroo Group</t>
  </si>
  <si>
    <t>Dominantly impure dolostone and limestone that are flanked by psammite and arenite that can be tuffaceous</t>
  </si>
  <si>
    <t>Hillside syenite/syenogranite (local name)</t>
  </si>
  <si>
    <t>Syenite and syenogranite</t>
  </si>
  <si>
    <t>Statherian-Calymmian</t>
  </si>
  <si>
    <t>Eastern granite (local name)</t>
  </si>
  <si>
    <t>Hillside gabbro (local name)</t>
  </si>
  <si>
    <t>anr-py-mt-dp (early skarn; unmineralised) → tc-hm-chl-act-trm-cl-car-ep-ksp-ab-hbd-all-hed (retrograde skarn; mineralised)</t>
  </si>
  <si>
    <t>Teale et al. (2017)</t>
  </si>
  <si>
    <t>Gregory et al. (2011)</t>
  </si>
  <si>
    <t>Age is that of allanite intergrowth with chalcopyrite. Endowment includes mineral resources only. Magnetite and pyrite are associated with pre-ore skarn and magnetite was replaced by hematite during the ore stage.</t>
  </si>
  <si>
    <t>Hilton-George Fisher</t>
  </si>
  <si>
    <t>Mount Isa</t>
  </si>
  <si>
    <t>Urquhart Shale</t>
  </si>
  <si>
    <t>Carbonaceous, pyritic and dolomitic siltstones; tuffaceous horizons.</t>
  </si>
  <si>
    <t>Kitty Plain Microgranite (Sybella Batholith)</t>
  </si>
  <si>
    <t>Slightly porphyritic, fine to medium-grained alkali granite to granodiorite; locally abundant metasedimentary and mafic xenoliths, as well as mafic enclaves</t>
  </si>
  <si>
    <t>Hilton Dyke</t>
  </si>
  <si>
    <t>Mafic dyke</t>
  </si>
  <si>
    <t>fls-cal-dol (predates base metals)</t>
  </si>
  <si>
    <t>Page et al. (2000); Carr et al. (2001); Chapman (2004); Valenta (2019g)</t>
  </si>
  <si>
    <t>Page et al. (2000); Carr et al. (2001)</t>
  </si>
  <si>
    <t>Valenta (2019g)</t>
  </si>
  <si>
    <t>Cited location is that of the George Fisher mine. Endowment includes pre-mining resources (Valenta, 2019g). Early (pre-base-metal sulfides) alteration consists of dol-ank cement in host rock → nodular cal → py → fsp-cal-dol-qtz (order is temporal). Feldspars present include celsian, hyalophane and K-feldspar. Syntectonic Cu mineralisation associated with pyrrhotite, siderite, ankerite, biotite, chlorite, muscovite and magnetite.</t>
  </si>
  <si>
    <t>Holbrook</t>
  </si>
  <si>
    <t>Be-Bi-F-Li-Sn-W</t>
  </si>
  <si>
    <t>Hobrook Granite</t>
  </si>
  <si>
    <t>I-type, felsic, unfractionated granite</t>
  </si>
  <si>
    <t>mus, mus-tm</t>
  </si>
  <si>
    <t>https://www.mindat.org/loc-131928.html (accessed April 2024)</t>
  </si>
  <si>
    <t>Kennedy and Loudon (1965); Degeling (1982); Norman et al. (2004a,b); Bodorkos et al. (2015)</t>
  </si>
  <si>
    <t>Norman et al. (2004a,b); Bodorkos et al. (2015)</t>
  </si>
  <si>
    <t>Degeling (1982)</t>
  </si>
  <si>
    <t>Cited molybdenite Re-Os age is slightly older that that U-Pb SHRIMP age of the host Holbrook Granite (415.1 ± 2.0 Ma: Bodorkis et al., 2015). Endowment includes pre-JORC mineral resources only.</t>
  </si>
  <si>
    <t>Hollandaire</t>
  </si>
  <si>
    <t>Polelle Group</t>
  </si>
  <si>
    <t>Turbidite, mudstone and coherent rhyolite within unit dominated by mafic volcanics.</t>
  </si>
  <si>
    <t>Rhyodacite</t>
  </si>
  <si>
    <t>Monzogranite and biotite granite</t>
  </si>
  <si>
    <t>chl-gt-str±ky±and</t>
  </si>
  <si>
    <t>Hayman et al. (2015); Hollis et al. (2015. 2017a)</t>
  </si>
  <si>
    <t>Hayman et al. (2015)</t>
  </si>
  <si>
    <t>Cyprium Metals Limited (2020)</t>
  </si>
  <si>
    <t>Cited age is that of coherent rhyolite from deposit. Massive sulfide is present only in sedimentary rocks, but the rhyolite has stringer and disseminated sulfide minerals. Endowment includes mineral resources only.</t>
  </si>
  <si>
    <t>Holowilena Ironstone-Braemar Iron Formation-Benda Siltstone</t>
  </si>
  <si>
    <t>Benda Siltstone</t>
  </si>
  <si>
    <t>Siltstone</t>
  </si>
  <si>
    <t>Holowilena Ironstone</t>
  </si>
  <si>
    <t>Dark red, thinly laminated iron rich siltstone; medium to coarse grained gritty sandstone and glacially derived pebbly siltstone.</t>
  </si>
  <si>
    <t>Pualco Tillite</t>
  </si>
  <si>
    <t>Blue-grey gritty siltstone and minor thin sandstone with pebble to boulder sized glacial clasts; matrix supported diamictite.</t>
  </si>
  <si>
    <t>Preiss (2000); Fanning and Link (2008)</t>
  </si>
  <si>
    <t>The hematitic Holowilena Ironstone and magnetitic Braemar Iron Formation are considered equivalents; iron formation is present in the Benda Siltstone and underlying Pualco Tillite, and collectively these form the Braemar Iron Formation (Preiss, 2000). The cited age (Fanning and Link, 2008) is that of a felsic volcaniclastic rock in the Wilyerpa Formation, which directly overlies the Benda Siltstone. Locally this contact is disconformable or unconformable but in other places the contact is gradational with Pualco Tillite equivalents, leading Preiss (2000) to infer local block rotation associated with extension.</t>
  </si>
  <si>
    <t>Home of Bullion</t>
  </si>
  <si>
    <t>Barrow Creek</t>
  </si>
  <si>
    <t>Bullion Schist</t>
  </si>
  <si>
    <t>Metamorphosed pelite, feldspathic/lithic and quartz arenite, quartz mica schist with andalusite, porphyritic felsic volcanics and amphibolite; the mineralised zone is spatially associated with the latter, which is interpreted as having a mafic protolith.</t>
  </si>
  <si>
    <t>Bullion Schist (sub-unit)</t>
  </si>
  <si>
    <t>Retrogressed biotite-chlorite schist (mafic protolith)</t>
  </si>
  <si>
    <t>Warren et al. (1995); Ferenczi (2005); Kidman Resources Limited (2014); McGloin et al. (2016); Stuart (2022)</t>
  </si>
  <si>
    <t>Warren et al. (1995)</t>
  </si>
  <si>
    <t>Eastern Metals Limited (2023)</t>
  </si>
  <si>
    <t>Model age calculated using the local model of Warren et al. (1995). This model age is consistent with a maximum depositional age of 1833 ± 11 Ma (Claoue-Long et al., 2011) for the host Bullion Schist. Endowment includes mineral resources only.</t>
  </si>
  <si>
    <t>Honey Bee</t>
  </si>
  <si>
    <t>Location approximate. Cited age is by correlation with the Butcherbird deposit (Collier Basin). This is preferred over correlation with Woodie Woodie as mineralisation at Honey Bee is stratiform.</t>
  </si>
  <si>
    <t>Honey Pot</t>
  </si>
  <si>
    <t>Honeymoon</t>
  </si>
  <si>
    <t>Boss Energy Limited (2021)</t>
  </si>
  <si>
    <t>Cited age is by analogy with the Beverley deposit. Endowment includes mineral resources only and excludes minor production in 2011.</t>
  </si>
  <si>
    <t>Honeymoon Well (includes Hannibals, Harrier, Corella and Wedgetail)</t>
  </si>
  <si>
    <t>Honeymoon Well ultramafic complex</t>
  </si>
  <si>
    <t>Spinifex-textured komatiite, olivine orthocumulate, olivine mesocumulate and olivine adcumulate</t>
  </si>
  <si>
    <t>car-serp±tc</t>
  </si>
  <si>
    <t>Nelson (1997); Gole et al. (1998)</t>
  </si>
  <si>
    <t>Gole et al. (1998)</t>
  </si>
  <si>
    <t>Cited age is that of the host succession (Nelson, 1997). Alteration is post mineralisation. Endowment includes indicated resources reported in December 1995 (Gole et al., 1998).</t>
  </si>
  <si>
    <t>Hope Downs</t>
  </si>
  <si>
    <t>Trendall et al. (1998); Thorne et al. (2008, 2015, 2017); Angerer et al. (2014, 2017)</t>
  </si>
  <si>
    <t>Angerer et al. (2017)</t>
  </si>
  <si>
    <t>The reserves and resources presented by Anger et al. (2017; as of 30 June 2012) are greater than the pre-mining resource cited by Thorne et al. (2008: 522 Mt at 61.1% Fe), so the former are used as endowment, although production prior to 30 June 2012 has not been included.</t>
  </si>
  <si>
    <t>Horn Island</t>
  </si>
  <si>
    <t>Savannah</t>
  </si>
  <si>
    <t>Badu Granite</t>
  </si>
  <si>
    <t>Leucocratic biotite granite, porphyritic biotite granite and monzogranite, hornblende-biotite monzogranite, and granodiorite</t>
  </si>
  <si>
    <t>Horn Island Granite</t>
  </si>
  <si>
    <t>Hornblende-bearing microgranite</t>
  </si>
  <si>
    <t>Torres Strait Volcanic Group</t>
  </si>
  <si>
    <t>Rhyolitic welded tuff, ignimbrite, volcanic breccia and minor sedimentary rock</t>
  </si>
  <si>
    <t>(Mostly) barren rhyolite dyke</t>
  </si>
  <si>
    <t>Levy and Storey (1990); Arundel (2015); Alice Queen Limited (2017, 2018); Lisitsin (2019)</t>
  </si>
  <si>
    <t>Lisitsin (2019)</t>
  </si>
  <si>
    <t>Arundel (2015); Alice Queen Limited (2018)</t>
  </si>
  <si>
    <r>
      <t xml:space="preserve">Cited age for early quartz-molybdenite veins is the median of Re-Os ages reported by Lisitsin (2019). Cited age for main stage gold mineralisation is the midpoint of range cited by Lisitsin (2019) for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analyses of sericite; the cited uncertainty covers the range in ages. Lisitsin (2019) also report a SHRIMP U-Pb zircon age a mostly barren rhyolite dike as ~310 Ma. Endowment includes historical production (1894-1904) of 236.4 kg, recent (1988-1989) production of 63,147 t at 0.39 g/t (alluvial) and 640,495 t at 1.58 g/t (Arundel, 2015) and mineral resources of 7.96 Mt at 1.9 g/t (Alice Queen Limited, 2018).</t>
    </r>
  </si>
  <si>
    <t>Horseshoe district</t>
  </si>
  <si>
    <t>Horseshoe</t>
  </si>
  <si>
    <t>Mount Partridge Group</t>
  </si>
  <si>
    <t>Sandstone, siltstone, shale, quartzite, arkose, conglomerate, dolomite.</t>
  </si>
  <si>
    <t>tm-qtz</t>
  </si>
  <si>
    <t>Crohn (1968); Ahmad and Hollis (2013); Ahmad and Khan (2013)</t>
  </si>
  <si>
    <t>Ahmad and Hollis (2013) interpreted this as a sulfide vein, but Ahmad and Khan (2013) interpreted as Cenozoic alluvials. Endowment includes production only.</t>
  </si>
  <si>
    <t>Horseshoe Formation</t>
  </si>
  <si>
    <t>Nabberu Basin</t>
  </si>
  <si>
    <t>Garnetiferous banded iron formation with intercalated greywacke and manganiferous shale; turbiditic</t>
  </si>
  <si>
    <t>Krapež and Martin (1999)</t>
  </si>
  <si>
    <t>Cited age based on detrital U-Pb zircon ages of underlying unit (~2015 Ma) and U-Pb zircon age of granite(~1810 Ma) related to overprinting tectonic event.</t>
  </si>
  <si>
    <t>Horseshoe Lights</t>
  </si>
  <si>
    <t>Narracoota Volcanics</t>
  </si>
  <si>
    <t>Basalt with local pillow structures and hyaloclastite, dolerite sills which are commonly rhythmically layered, peridotite, pyroxenite, and leuco- meso- and melano-gabbro; mafic and ultramafic schist, minor jasperoidal chert, and local volcaniclastics.</t>
  </si>
  <si>
    <t>chl-ser-qtz</t>
  </si>
  <si>
    <t>Parker and Brown (1990); Windh (1992); Horseshoe Metals Limited (2019); horseshoemetals.com.au (accessed April 2024)</t>
  </si>
  <si>
    <t>Windh (1992)</t>
  </si>
  <si>
    <t>Horseshoe Metals Limited (2019); horseshoemetals.com.au (accessed April 2024)</t>
  </si>
  <si>
    <t>Total endowment includes production of 3.299 Mt grading 1.7% Cu, 27.5 g/t Ag, and 2.9 g/t Au (to 1994) and JORC-compliant resources of 12.85 Mt @ 1.00% Cu and 0.1 g/t Au.</t>
  </si>
  <si>
    <t>Horsham (includes Avonbank, Bungalally and WIM 150)</t>
  </si>
  <si>
    <t>Horsham</t>
  </si>
  <si>
    <t>Standing et al. (2017); www.wimresource.com.au (accessed December 2020)</t>
  </si>
  <si>
    <t>Keeling et al. (2016); Standing et al. (2017); www.wimresource.com.au (accessed December 2020)</t>
  </si>
  <si>
    <t>www.wimresource.com.au (accessed December 2020)</t>
  </si>
  <si>
    <t>Cited location is that of the WIM 150 deposit. Cited age is based on Late Miocene-Early Pliocene (7.2-5.0 Ma) age of host Loxton Sand as reported by Keeling et al. (2016). Endowment includes mineral resources only as reported by Standing et al. (2017: WIM 150) and www.wimresource.com.au (accessed December 2020: Avonbank and Bungalally).</t>
  </si>
  <si>
    <t>Howley district (includes Big Howley, Chinese Howley, Chinese South, Cosmo Deeps and Cosmo Howley)</t>
  </si>
  <si>
    <t>Howley</t>
  </si>
  <si>
    <t>Hematitic metasiltstone and phyllite with chert bands, lenses and nodules; graphitic phyllite and slate (ore host); silicified dololutite with rare stromatolites, chert breccia; minor banded iron formation (ore host) and quartz metagreywacke.</t>
  </si>
  <si>
    <t>chl-sil-goe</t>
  </si>
  <si>
    <t>Matthäi et al. (1995); Ahmad and Hollis (2013); Edwards and Hitchman (2017); Edwards and Keily (1975)</t>
  </si>
  <si>
    <t>Matthäi et al. (1995)</t>
  </si>
  <si>
    <t>Cited age of 1810 ± 110 Ma (Matthäi et al., 1995) is supported by ages of orogenic gold deposits elsewhere in the Pine Creek Province. Endowment includes production of 24,000 oz Au (0.764 t) from 71,000 t (before 1937; grade ~ 10.5 g/t), 6.98 Mt at 2.1 g/t Au (Cosmo, Howley, 1987-1993), 1.1 Mt at 1.8 g/t Au (Howley-Big Howley, 1992-1995) and 7.647 Mt at 2.08 g/t Au (milled ore, 2009-2016; includes ore from Princess Louise, North Point, Rising Tide and Brocks Creek (Brocks Creek district)), and total mineral resources of 14.475 Mt at 2.09 g/t Au as of 31 December 2016 (Edwards and Keily, 2017).</t>
  </si>
  <si>
    <t>Huntly-Del Park</t>
  </si>
  <si>
    <t>Cited age is based upon the geological interpretation that the laterite profile formed between the late Eocene and early Paleocene (van de Graaff et al., 1977). Cited endowment based on production and resource tonnage data reported by Anonymous (1998) and grade data reported by Hickman et al. (1992). These data should be considered to be approximations.</t>
  </si>
  <si>
    <t xml:space="preserve">Cited age is the average of age range in the Australian Stratigraphic Units Database of the Hutchison Group. </t>
  </si>
  <si>
    <t>Hyperion</t>
  </si>
  <si>
    <t>Mount Charles Formation</t>
  </si>
  <si>
    <t>Basalt and dolerite</t>
  </si>
  <si>
    <t>Ahmad and Khan (2013); Bagas et al. (2014)</t>
  </si>
  <si>
    <t>Cited age is by analogy with the Callie deposit. Endowment includes mineral resources only.</t>
  </si>
  <si>
    <t>Intermediate</t>
  </si>
  <si>
    <t>Ahmad et al. (2006); Johansen and Johnstone (2017)</t>
  </si>
  <si>
    <t>Ahmad et al. (2006)</t>
  </si>
  <si>
    <t>International</t>
  </si>
  <si>
    <t>Mistletoe Granite</t>
  </si>
  <si>
    <t>Grey variably foliated, locally nebulitic, medium-grained muscovite-biotite granite, commonly with abundant mafic clots and schlieren, and abundant metamorphic xenoliths and screens.</t>
  </si>
  <si>
    <t>sil, ser, chl</t>
  </si>
  <si>
    <t>Cited age is from alteration sericite Morrison et al. (2019). Bain et al. (1998) reported an older 426 ± 5 Ma K-Ar age on sericite but indicated that there could be contamination from inherited detrital muscovite. Endowment is after Morrison et al. (2019).</t>
  </si>
  <si>
    <t>Iron Blow</t>
  </si>
  <si>
    <t>Mount Hayes</t>
  </si>
  <si>
    <t>Cu-Pb</t>
  </si>
  <si>
    <t>Interbedded carbonaceous sericitic and commonly pyritic or chloritic slate, phyllite, mudstone and siltstone; fine to coarse feldspathic metagreywacke; ferruginous phyllite (metasiltstone) with chert bands, lenses and nodules. Deposit occurs at the base of this unit, near the contact with the underlying Gerowrie Tuff.</t>
  </si>
  <si>
    <t>Pale green, brown or grey siliceous siltstone and phyllite interbedded with pale cherty argillite, black cherty crystal tuff, spotted feldspathic crystal tuff and lithic tuff; minor felsic ignimbrite, chloritic volcaniclastic shale.</t>
  </si>
  <si>
    <t>dol-chl-tc-act-qtz (gangue)</t>
  </si>
  <si>
    <t>Worden et al. (2008b); Ahmad and Hollis (2013); PNX Metals Limited (2017)</t>
  </si>
  <si>
    <t>Worden et al. (2008b)</t>
  </si>
  <si>
    <t>Ahmad and Hollis (2013); PNX Metals Limited (2017)</t>
  </si>
  <si>
    <t>Cited age is that of the conformably underlying Gerowie Tuff (Worden et al., 2008b). Endowment includes production of 10,000 t of oxide ore grading 9 g/t Au and 250 g/t Ag and 25,000 t of sulfide ore grading 7 g/t Au and 360 g/t Ag, and mineral resources of 2.53 Mt at 0.26% Cu, 4.71% Zn, 0.78% Pb, 122 g/t Ag and 2.10 g/t Au.</t>
  </si>
  <si>
    <t>Ironback Hill</t>
  </si>
  <si>
    <t>Fanning and Link (2008)</t>
  </si>
  <si>
    <t>Ironhurst</t>
  </si>
  <si>
    <t>Lane Creek Formation</t>
  </si>
  <si>
    <t>Mudstone and siltstone, commonly carbonaceous, locally calcareous; minor sandstone. Grades into mica schist (commonly graphitic with andalusite, cordierite, sillimanite), quartzite, and calc-silicate rocks.</t>
  </si>
  <si>
    <t>Maureen Volcanic Group</t>
  </si>
  <si>
    <t>Dominantly rhyolitic ignimbrite and minor lava; some andesite and subordinate volcaniclastic rudite, arenite and siltite.</t>
  </si>
  <si>
    <t>Metadolerite (clasts in breccia pipe)</t>
  </si>
  <si>
    <t>Rhyolite (clasts in breccia pipe)</t>
  </si>
  <si>
    <t>cl, ser‐py (near northern margin of pipe); sil, chl (in metadolerite); car (?), sil (adjacent to metadolerite)</t>
  </si>
  <si>
    <t>Isabel</t>
  </si>
  <si>
    <t>District correlation with Baal Gammon deposit</t>
  </si>
  <si>
    <t>In-Ag</t>
  </si>
  <si>
    <t>Herberton Hill Granite</t>
  </si>
  <si>
    <t>Unconformable below/or intruded by Slaughter Yard Creek Volcanics</t>
  </si>
  <si>
    <t>Pennsylvanian</t>
  </si>
  <si>
    <t>QFPI</t>
  </si>
  <si>
    <t>comprise feldspar porphyry, quartz-feldspar porphyry, and dolerite dykes</t>
  </si>
  <si>
    <t>pre-to syn sulfide</t>
  </si>
  <si>
    <t>Cassiterite -&gt; Mrc-sph-Gn-stannite-cpy-po</t>
  </si>
  <si>
    <t>mrc</t>
  </si>
  <si>
    <t>gn</t>
  </si>
  <si>
    <t>Iltani Resources 2024 (iltaniresources.com.au; accessed 11 June 2024)</t>
  </si>
  <si>
    <t>Kumar et al. (2022) states that the timing of tin mineralization is related to the magmatic activity at ca. 320 Ma, whereas the sulfide and indium mineralization are most likely associated with the emplacement of porphyry dykes at ca. 290 Ma. Endowment includes non JORC compliant resources only.</t>
  </si>
  <si>
    <t>Ivanhoe</t>
  </si>
  <si>
    <t>chl-mt-act-trm-tc</t>
  </si>
  <si>
    <t xml:space="preserve"> &gt;</t>
  </si>
  <si>
    <t>Whittle (1966); Donnellan (2013a)</t>
  </si>
  <si>
    <t>Jabiluka 1 and 2</t>
  </si>
  <si>
    <t>Chlorite-sericite and chlorite-sericite-muscovite schist with thin bands of graphitic schist, garnetiferous schist and bedded carbonate.</t>
  </si>
  <si>
    <t>Mosher pegmatite</t>
  </si>
  <si>
    <t>ser-chl (proximal) → chl-ser (distal)</t>
  </si>
  <si>
    <t>Maas (1989); Hancock et al. (1990a); Polito et al. (2005b); Lally and Bajwah (2006); Ahmad and Hollis (2013); Ahmad and Khan (2013)</t>
  </si>
  <si>
    <t>Maas (1989); Polito et al. (2005b)</t>
  </si>
  <si>
    <t>Lally and Bajwah (2006); ERA 2023 annual report (2023)</t>
  </si>
  <si>
    <t>Cited age is the oldest age reported and is supported by a second, slightly younger age of 1679 ± 17 Ma. The data are consistent with the uraninite Sm-Nd isochron age of 1614 ± 132 Ma reported by Maas (1989). Endowment includes mineral resources, including a separate gold resource of 1.1 Mt at 10.7 g/t Au at Jabiluka 2. The deposit has not been mined to date as it is near culturally sensitive land.</t>
  </si>
  <si>
    <t>Jaguar</t>
  </si>
  <si>
    <t>chl-ep-py-cal</t>
  </si>
  <si>
    <t>Nelson (1995); Ellis (2004); Huston et al. (2014); Parker et al. (2017b)</t>
  </si>
  <si>
    <t>Nelson (1995); Parker et al. (2017b)</t>
  </si>
  <si>
    <t>Cited age is that of the footwall rhyolite to the Bentley deposit (Parker et al., 2017b), an age that is consistent with the 2692 ± 4 Ma SHRIMP U-Pb age reported by Nelson (1995). Endowment includes production from 2007 to 2014. No mineral resources were reported at 20 June 2016.</t>
  </si>
  <si>
    <t>Jarrahdale</t>
  </si>
  <si>
    <t>Migmatitic granitic gneiss</t>
  </si>
  <si>
    <t>Hickman et al. (1992); Anonymous (1998)</t>
  </si>
  <si>
    <t>Jaws-Gilligan</t>
  </si>
  <si>
    <t>Jaws</t>
  </si>
  <si>
    <t>Broken Hill Prospecting Limited (2018)</t>
  </si>
  <si>
    <t>Keeling et al. (2016); Standing et al. (2017); Broken Hill Prospecting Limited (2018)</t>
  </si>
  <si>
    <t>Cited location is that of the Jaws deposit. Cited age is based on Late Miocene-Early Pliocene (7.2-5.0 Ma) age of host Loxton Sand as reported by Keeling et al. (2016). Endowment includes mineral resources only as reported by Broken Hill Prospecting Limited (2018). To estimate Ti content, total leucoxene (magnetic plus non-magnetic) is conservatively assumed to contain 70% TiO2.</t>
  </si>
  <si>
    <t>Jay-Eye</t>
  </si>
  <si>
    <t>Oakover</t>
  </si>
  <si>
    <t>Manganese Group - Balfour Formation</t>
  </si>
  <si>
    <t>Pale grey to green-grey manganiferous shale, fine-grained micaceous, calcareous, and glauconitic sandstone, interbedded red-brown shale, micaceous siltstone</t>
  </si>
  <si>
    <t>Firebird Metals Limited (2022)</t>
  </si>
  <si>
    <t>Jones (2017a); Firebird Metals Limited (2022); Spinks et al. (2023)</t>
  </si>
  <si>
    <t>Cited location is the approximate centre of the mineral resource. Cited age is by correlation with the Butcherbird deposit (Collier Basin). This is preferred over correlation with Woodie Woodie as mineralisation at Jay-Eye is stratiform.</t>
  </si>
  <si>
    <t>Jeannie River</t>
  </si>
  <si>
    <t>Whole rock-biotite</t>
  </si>
  <si>
    <t>Rb-Sr</t>
  </si>
  <si>
    <t>Highly sheared and boudinaged feldspathic sandstone, siltstone and shale</t>
  </si>
  <si>
    <t>Puckley Granite</t>
  </si>
  <si>
    <t>Medium-grained, moderately porphyritic (hornblende?-) biotite granite; minor hornblende-biotite granodiorite; accessory minerals.</t>
  </si>
  <si>
    <t>Porphyry dykes and sills</t>
  </si>
  <si>
    <t>sil, ser, cal-py/po-ep-chl, tm</t>
  </si>
  <si>
    <t>Lord and Fabray (1990); Domagala et al. (1993); Chang et al. (2017)</t>
  </si>
  <si>
    <t>Domagala et al. (1993)</t>
  </si>
  <si>
    <t>Cited age is that of the Puckley Granite (Domagala et al., 1993). Endowment includes mineral resources only (Chang et al., 2017). The Rb-Sr age cited has been calculated using the decay constant of Villa et al. (2015).</t>
  </si>
  <si>
    <t>Jervois district - copper-silver (includes Bellbird and Rockface)</t>
  </si>
  <si>
    <t>Jervois</t>
  </si>
  <si>
    <t>Bonya Metamorphics</t>
  </si>
  <si>
    <t>Mostly muscovite-biotite-garnet-andalusite-cordierite-bearing pelitic schist with lesser, interlayered metasandstone, marble and calc-silicate rocks.</t>
  </si>
  <si>
    <t>Attutra Metagabbro</t>
  </si>
  <si>
    <t>Metagabbro (1786 ± 4 Ma )</t>
  </si>
  <si>
    <t>Kings Legend Metadolerite</t>
  </si>
  <si>
    <t>Porphyritic to glomerophyric metadolerite. Equigranular metadolerite.</t>
  </si>
  <si>
    <t>Mascotte Gneiss</t>
  </si>
  <si>
    <t>Quartzofeldspathic gneiss; biotite gneiss; calc-silicate rock? (1789 ± 3 Ma )</t>
  </si>
  <si>
    <t>Felsic (sub)-volcanic rocks (1778 ± 6 Ma)</t>
  </si>
  <si>
    <t>chl-mt-gt-bt</t>
  </si>
  <si>
    <t>Claoué-Long and Hoatson (2005); Hussey et al. (2005); Claoué-Long et al. (2008); McGloin and Weisheit (2015); Reno et al. (2015); McGloin et al. (2016); Bennett et al. (2017); Tear (2019); McGloin and Weisheit (2021)</t>
  </si>
  <si>
    <t>Bennett et al. (2017)</t>
  </si>
  <si>
    <t>KGL Resources (2023)</t>
  </si>
  <si>
    <t>Cited age is the second hydrothermal event identified by Bennett et al. (2017); the uncertainty for this age is not cited. The first event at ~1789 Ma is the Pb-Zn event, whereas the third event at ~1705 Ma is similar to a regional W-Mo event. Cited location is that of the Rockface deposit. Endowment includes mineral resources only (minor historic production from Bellbird is not included).</t>
  </si>
  <si>
    <t>Jervois district - zinc-lead (includes Reward, Marshall and Green Parrot)</t>
  </si>
  <si>
    <t>MC-ICP-MS</t>
  </si>
  <si>
    <t>Cu-Pb-Ag</t>
  </si>
  <si>
    <t>Mascotte Orthogneiss</t>
  </si>
  <si>
    <t>mt-gt-dp-hbd</t>
  </si>
  <si>
    <t>Claoué-Long and Hoatson (2005); Claoué-Long et al. (2008); Hussey et al. (2005); McGloin and Weisheit (2015); Reno et al. (2015); McGloin et al. (2016); Bennett et al. (2017); Tear (2019)</t>
  </si>
  <si>
    <t>Tear (2019)</t>
  </si>
  <si>
    <t>Cited location is that of the Reward deposit. The age is a Pb-Pb model age based upon a model for the southern Aileron Province established by Hussey et al. (2005). Endowment includes production of 0.044 Mt grading 2.5% Zn and 8.5% Pb (1982-1983: Ahmad and Khan, 2013) and total resources (July 2019) of 3.3 Mt grading 1.35% Zn, 2.07% Pb, 0.73% Cu and 64.4 g/t Ag (Tear, 2019). The Attutra Metagabbro, King's Legend Amphibolite and Mascotte Gneiss intrude the host Bunya Schist. The Bonya Schist is affected by amphibolite facies metamorphism with metamorphic ages ranging from 1765 ± 11 Ma to 1717 ± 6 Ma.</t>
  </si>
  <si>
    <t>Jessops (including Billycan)</t>
  </si>
  <si>
    <t>Jessops</t>
  </si>
  <si>
    <t>Laminated silty carbonaceous phyllite (metasiltstone - ore host), interbedded with sandy ferruginous laminated metasiltstone, thinly bedded feldspathic quartz meta-arenite, quartzite, lithofeldspathic metagreywacke. In part tuffaceous.</t>
  </si>
  <si>
    <r>
      <t>Endowment includes production of 193 t SnO</t>
    </r>
    <r>
      <rPr>
        <vertAlign val="subscript"/>
        <sz val="9"/>
        <rFont val="Times New Roman"/>
        <family val="1"/>
      </rPr>
      <t>2</t>
    </r>
    <r>
      <rPr>
        <sz val="9"/>
        <rFont val="Times New Roman"/>
        <family val="1"/>
      </rPr>
      <t xml:space="preserve"> and mineral resources of 0.01 Mt at 1.0% Sn.</t>
    </r>
  </si>
  <si>
    <t>Jimblebar</t>
  </si>
  <si>
    <t>Banded iron-formation, chert, mudstone and siltstone</t>
  </si>
  <si>
    <t>Marra Mamba Iron Formation</t>
  </si>
  <si>
    <t>Chert, ferruginous chert, jaspilite, banded iron-formation, minor shale, siltstone, mudstone</t>
  </si>
  <si>
    <t>Pickard (2002); Thorne et al. (2008, 2015, 2017); Angerer et al. (2014, 2017)</t>
  </si>
  <si>
    <t>Cited precursor age is from Pickard (2002). Cited hypogene-enrichment age by analogy with Müller et al. (2005). The reserves and resources presented by Anger et al. (2017; as of 30 June 2012), which are cited here as endowment, do not include production prior to 30 June 2012.</t>
  </si>
  <si>
    <t>John Fardy</t>
  </si>
  <si>
    <t>Peelwood</t>
  </si>
  <si>
    <t>Kangaloolah Volcanics</t>
  </si>
  <si>
    <t>Phyllitic shales and rhyodacitic crystal tuffs</t>
  </si>
  <si>
    <t>Carr et al. (1995); Huston et al. (1997); Downes and Seccombe (2004); Downes (2012)</t>
  </si>
  <si>
    <t>Cited age is based upon correlation with other regional Silurian volcanic successions. Endowment includes JORC-compliant mineral resource only.</t>
  </si>
  <si>
    <t>John Galt (includes derived Corkwood Yard alluvial deposits)</t>
  </si>
  <si>
    <t>John Galt</t>
  </si>
  <si>
    <t>Ion microprobe (SHRIMP)</t>
  </si>
  <si>
    <t>Red Rock Formation</t>
  </si>
  <si>
    <t>Lithic quartz sandstone and conglomerate</t>
  </si>
  <si>
    <t>Noble Resources Limited (1992); Bauk (2011); Hoatson et al. (2011); Morin-Ka et al. (2016)</t>
  </si>
  <si>
    <t>Morin-Ka et al. (2016)</t>
  </si>
  <si>
    <t>Endowment is based on pre-JORC resource estimates; the grades of some lanthanide oxides and Y2O3 have been estimated base of distribution of rare earth element oxides presented by Bauk (2011). Bauk (2011) also indicated that the proportion of other heavy, medium and light rare earth oxides at 4%, 2% and 1%, respectively. All estimates must be considered preliminary and are NOT code-compliant. Classified as unconformity-related rare-earth-elements deposit due to similarity in age to Browns Range Dome and Killi Killi Hills deposits. Mineralisation occurs in veins that cut sandstone.</t>
  </si>
  <si>
    <t>Johnnies Reward</t>
  </si>
  <si>
    <t>Ag-Bi-Pb-Se-Zn</t>
  </si>
  <si>
    <t>Lower Cadney Metamorphics</t>
  </si>
  <si>
    <t>Metapelite, quartzofeldspathic gneiss and felsic granulite</t>
  </si>
  <si>
    <t>Mafic granulite (plagioclase pyroxenite)</t>
  </si>
  <si>
    <t>mt-trm-dp (ore host) → bt-mt-qtz (footwall)</t>
  </si>
  <si>
    <t>Hussey et al. (2005); Davenport Resources Limited (2018)</t>
  </si>
  <si>
    <t>Davenport Resources Limited (2018)</t>
  </si>
  <si>
    <t>Cited model age is based upon local (Strangways) Pb isotope evolution model. Endowment includes mineral resources only.</t>
  </si>
  <si>
    <t>Jubilee</t>
  </si>
  <si>
    <t>Granite porphyry (intrusive into basalt)</t>
  </si>
  <si>
    <t>car-ser-py±sil</t>
  </si>
  <si>
    <t>Salier et al. (2005); Tully et al. (2017)</t>
  </si>
  <si>
    <t>Salier et al. (2005)</t>
  </si>
  <si>
    <t>Tully et al. (2017)</t>
  </si>
  <si>
    <t>Cited age is within error of a monazite age from same deposit dated at 2650 ± 15 Ma. Endowment includes production from 2000-2002.</t>
  </si>
  <si>
    <t>Jubilee Plunger</t>
  </si>
  <si>
    <t>Robin Hood Granodiorite</t>
  </si>
  <si>
    <t>Pink to grey hornblende-biotite granodiorite with quartz phenocrysts.</t>
  </si>
  <si>
    <t>Digger Creek Granite</t>
  </si>
  <si>
    <t>Pink to cream, medium to coarse-grained or pegmatitic muscovite leucogranite and muscovite pegmatite.</t>
  </si>
  <si>
    <t>ser, kao, chl, ep, sid</t>
  </si>
  <si>
    <t>Cited age is from alteration sericite. Endowment is after Morrison et al. (2019). The Rb-Sr age cited has been calculated using the decay constant of Villa et al. (2015).</t>
  </si>
  <si>
    <t>Jump Up Dam</t>
  </si>
  <si>
    <t>Junction Reefs district (including Cornishmens, Frenchmens, Glendale, Hillview, Prince of Wales and Sheahan-Grants)</t>
  </si>
  <si>
    <t>Skarn gold ± copper</t>
  </si>
  <si>
    <t>Junction Reefs</t>
  </si>
  <si>
    <t>Coombing Formation - ore bed sequence</t>
  </si>
  <si>
    <t>Marine limestone, siltstone and chert (ore host) within a succession of feldspathic mudstone which is commonly silicified and grades to fine-grained volcaniclastic sandstone.</t>
  </si>
  <si>
    <t>Glendale Quartz Monzonite</t>
  </si>
  <si>
    <t>Quartz monzonite</t>
  </si>
  <si>
    <t>Mount Pleasant Basalt Member</t>
  </si>
  <si>
    <t>Porphyritic trachybasalt, pillow lava.</t>
  </si>
  <si>
    <t>Tettenhall Monzodiorite (Prince of Wales Monzodiorite)</t>
  </si>
  <si>
    <t>Porphyritic and aphyric monzonite and diorite</t>
  </si>
  <si>
    <t>Junction Reefs Monzodiorite</t>
  </si>
  <si>
    <t>Monzodiorite</t>
  </si>
  <si>
    <t>[[grd-qtz-hed±cal±chl (proximal to Junction Reef monzonite) → cpx-cal-qtz-chl → amp±qtz±cal±chl (distal)] (prograde) → qtz-chl-cal-sul (retrograde, ore assemblage)] (Sheehans-Grant, Cornishmens and Frenchmens); ort-ab-tit-ser-chl-qtz-cal (Glendale)</t>
  </si>
  <si>
    <t>https://www.mindat.org/loc-406232.html (accessed May 20240</t>
  </si>
  <si>
    <t>Gray et al. (1995); Perkins et al. (1995)</t>
  </si>
  <si>
    <t>Gray et al. (1995)</t>
  </si>
  <si>
    <t>Cited location is that of the Sheahan deposit. Cited age is from sericite associated with the Glendale deposit (Perkins et al., 1995). Endowment includes production of 0.12 Mt at 9.65 g/t from 1876 to 1938, and pre-mining mineral resources of 1.6 Mt at 2.80 g/t (Sheahan-Grants), 0.42 Mt at 3.55 g/t Au (Frenchmens) and 0.23 at 2.50 g/t Au (Cornishmens).</t>
  </si>
  <si>
    <t>Jundee (includes Julius and Ramone)</t>
  </si>
  <si>
    <t>Jundee</t>
  </si>
  <si>
    <t>Fisher Basalt</t>
  </si>
  <si>
    <t>Three 100-250-m-thick differentiated (clinopyroxene-olivine cumulate to medium-grained dolerite to granophyric dolerite) dolerite sills emplaced into sedimentary succession of shale, siltstone, sandstone and sedimentary breccia</t>
  </si>
  <si>
    <t>Lyons Basalt</t>
  </si>
  <si>
    <t>Basalt with abundant dacitic volcanics and volcano-sedimentary breccia in upper part</t>
  </si>
  <si>
    <t>Differentiated (clinopyroxene-olivine cumulate to medium-grained dolerite to granophyric dolerite) dolerite sills</t>
  </si>
  <si>
    <t>Basalt with abundant dacitic volcanic and volcano-sedimentary breccia in upper part</t>
  </si>
  <si>
    <t>qtz-ank-cal-mus-chl-rut-py-asp±hm±leu (proximal) → chl-chl-leu → chl-car (distal)</t>
  </si>
  <si>
    <t>Baggott et al. (2005); Smith et al. (2017)</t>
  </si>
  <si>
    <t>Baggott et al. (2005)</t>
  </si>
  <si>
    <t>Smith et al. (2017); Northern Star Resources Limited (2017, 2018, 2019, 2020, 2021, 2022, 2023)</t>
  </si>
  <si>
    <t>Maximum age constrained by age of pre-mineralisation porphyry stock of 2657 ± 6 Ma (Baggott et al., 2005). Endowment includes production to June 2016 (Smith et al., 2017), and production and resources as June 2023 (Northern Star Resources Limited (2023).</t>
  </si>
  <si>
    <t>Juno</t>
  </si>
  <si>
    <t>Bi-Cu-Ag</t>
  </si>
  <si>
    <t>mt-chl (proximal) → tc-mt → dol-mt-qtz-mt → chl (distal); car; tm-py (late)</t>
  </si>
  <si>
    <t>Large (1975); Kwon et al. (2002); Fraser et al. (2008); Donnellan (2013a)</t>
  </si>
  <si>
    <t>Compston and McDougal (1994); Kwon et al. (2002)</t>
  </si>
  <si>
    <t>Donnellan (2013a), resourcingtheterritory.nt.gov.au (accessed 22/04/2024)</t>
  </si>
  <si>
    <t>Cited age has been recalculated from original data of Compston and McDougall (1994) using revised decay constants of Kwon et al. (2002). Endowment includes production (with the grades cited the recovered grades) and mineral resources from resourcingtheterritory.nt.gov.au (accessed 22/04/2024).</t>
  </si>
  <si>
    <t>Jupiter</t>
  </si>
  <si>
    <t>Syenite</t>
  </si>
  <si>
    <t>qtz-cal-ank-ab-ser-py-cp (proximal) → cal-ank-ser-qtz (distal)</t>
  </si>
  <si>
    <t>Dacian Gold Limited (2023)</t>
  </si>
  <si>
    <t>The analysed monazites had high common lead, but using a 2.5% common lead cutoff, the cited age was derived (Salier et al., 2005). Due to these issues and the large uncertainty, this age has been assigned a lower confidence than other similar ages. Endowment includes mineral resources only as 20 June 2023 (Dacian Gold Limited, 2023).</t>
  </si>
  <si>
    <t>Just Desserts</t>
  </si>
  <si>
    <t>Yuinmery</t>
  </si>
  <si>
    <t>Yaloginda Formation</t>
  </si>
  <si>
    <t>tc-chl-qtz-amp-dol-mus-bio-stp-tm</t>
  </si>
  <si>
    <t>Empire Resources Limited (2016); Hassan (2014); Hollis et al. (2017a)</t>
  </si>
  <si>
    <t>Hassan (2014); Hollis et al. (2017a)</t>
  </si>
  <si>
    <t>Empire Resources Limited (2016)</t>
  </si>
  <si>
    <t>Cited age is that of a tonalite intrusion 5 km to east of the prospect.</t>
  </si>
  <si>
    <t>Kailis-Trump (includes Bannockburn, Bronzewing, Thunderbox and Waterloo)</t>
  </si>
  <si>
    <t>Monzogranite</t>
  </si>
  <si>
    <t>Jones and Witt (2017)</t>
  </si>
  <si>
    <t>Jones and Witt (2017); Northern Star Resources Limited (2021, 2022, 2023); Saracen (2016, 2017, 2018, 2019, 2020)</t>
  </si>
  <si>
    <t>Age is based on correlation with the Sons of Gwalia deposit. Endowment includes production of 3.37t Au at 6.20 g/t (2000-2001) and mineral resources in 2023.</t>
  </si>
  <si>
    <t>Kaiser</t>
  </si>
  <si>
    <t>Kaiser Intrusive Complex</t>
  </si>
  <si>
    <t>Monzodiorite-monzonite</t>
  </si>
  <si>
    <t>Post-mineralisation dykes and sills of varying composition</t>
  </si>
  <si>
    <t>bt-act-ep-mt (proximal (calc-potassic), with internal zones of only bt) → act-hm-ep-py (inner propylitic) → chl-cal-ab-py (outer propylitic; distal)</t>
  </si>
  <si>
    <t>Kaiser Bill</t>
  </si>
  <si>
    <t>Biotite-quartzofeldspathic gneiss</t>
  </si>
  <si>
    <t>Felsic leucogneiss interpreted as a metagranite or metavolcanic</t>
  </si>
  <si>
    <t>qtz-chl-mt-bt</t>
  </si>
  <si>
    <t xml:space="preserve">Mineralisation overprints peak metamorphic (1570 ± 20 Ma) fabrics. Endowment includes mineral resources only. </t>
  </si>
  <si>
    <t>Kalkaroo</t>
  </si>
  <si>
    <t>Portia</t>
  </si>
  <si>
    <t>Portia Formation</t>
  </si>
  <si>
    <t>Variably albite-altered, pyritic and scapolite-rich pelites and calc-pelites, with distinctive carbonate beds and minor quartz-hematite iron formation beds.</t>
  </si>
  <si>
    <t>ksp-mt-bt (Kalkaroo Fault) → ab-scp-car (Portia Formation)</t>
  </si>
  <si>
    <t>Williams and Skirrow (2000); Reid and Gregory (2012); Giles and Just (2017)</t>
  </si>
  <si>
    <t>Williams and Skirrow (2000); Reid and Gregory (2012)</t>
  </si>
  <si>
    <t>Havilah Resources Limited (2020)</t>
  </si>
  <si>
    <t>The cited age is that of hydrothermal monazite, and is supported by an age of 1590 ± 36 Ma provided by allanite from the same sample (Reid and Gregory, 2012). A alternative, and slightly older age, is provided by the midpoint of an age range (1632-1624 Ma) based on molybdenite Re-Os analyses by Williams and Skirrow (2000). No uncertainties were provided in the latter reference. Endowment includes mineral resources and reserves, including an oxide gold cap and a sulfide Cu-Au zone. Resources include a 193Mt @ 0.012% Co inferred resources that hosted within the Cu zone.</t>
  </si>
  <si>
    <t>Kalman</t>
  </si>
  <si>
    <t>Mo-Cu</t>
  </si>
  <si>
    <t>Ag-Bi-Co-REE-Te</t>
  </si>
  <si>
    <t>Feldspar-altered metasediments (largely calcareous siltstone), including graphitic metasediments</t>
  </si>
  <si>
    <t>Fine-grained and porphyritic feldspar-hornblende±magnetite volcanic rocks in hangingwall</t>
  </si>
  <si>
    <t>Chloritic schist and variably-textured meta-basic rocks in footwall to deposit</t>
  </si>
  <si>
    <t>Overlander Granite</t>
  </si>
  <si>
    <t>Leucogranite</t>
  </si>
  <si>
    <t>Kalman Diorite</t>
  </si>
  <si>
    <t>Microgranite</t>
  </si>
  <si>
    <t>Granite pegmatite</t>
  </si>
  <si>
    <t>ab-act-cal-chl (pre-ore) → ksp-ap → cpy-py-mo-mt-cal-chl±qtz (ore stage) → qtz (post-ore) → cal-ap; hbd-chl, sul-qtz (proximal) → ab-hm, cal, ble, sil (distal)</t>
  </si>
  <si>
    <t>https://www.mindat.org/loc-273386.html (accessed January 2024)</t>
  </si>
  <si>
    <t>Jones et al. (2012); Valenta (2019k)</t>
  </si>
  <si>
    <t>Jones et al. (2012)</t>
  </si>
  <si>
    <t>Valenta (2019k)</t>
  </si>
  <si>
    <t>Kalpini</t>
  </si>
  <si>
    <t>Hampton</t>
  </si>
  <si>
    <t>Ardea Resources Limited (2022)</t>
  </si>
  <si>
    <t>Ardea Resource Limited (2023a); www.https://asud.ga.gov.au/search-stratigraphic-units/results/24071</t>
  </si>
  <si>
    <t>Cited location is approximate centre of the mineralised zone on mining lease M28/205, which is located near the centre of the Kalpini mineralised trend. Cited age of precursor is midpoint between the maximum and minimum ages of host as indicated by www.https://asud.ga.gov.au/search-stratigraphic-units/results/24071. Cited precursor age uncertainty encompasses the entire range. The age of lateritisation has not been assigned.</t>
  </si>
  <si>
    <t>Kamarga</t>
  </si>
  <si>
    <t>Gunpowder Creek Formation (upper part)</t>
  </si>
  <si>
    <t>Stromatolitic and algal laminated dolostone, dolomitic siltstone, sandstone, intraclastic sandy dolostone and pseudomorphed evaporite.</t>
  </si>
  <si>
    <t>Yeldham Granite</t>
  </si>
  <si>
    <t>Medium-grained muscovite leucogranite; pegmatite dykes and minor greisen</t>
  </si>
  <si>
    <t>Kamarga Volcanics</t>
  </si>
  <si>
    <t>Vesicular, amygdaloidal and massive basalt</t>
  </si>
  <si>
    <t>dol-qtz-sul-bit-fl (ore assemblage)</t>
  </si>
  <si>
    <t>Sun et al. (1996a); Jones et al. (1999); Carr et al. (2001); RMG Limited (2014)</t>
  </si>
  <si>
    <t>RMG Limited (2014)</t>
  </si>
  <si>
    <t>Possibly Mississippi Valley-type deposit. Lead isotope model age calculated using CSIRO-AGSO North Australia model (Sun et al., 1996a). Endowment includes JORC-compliant mineral resources (RMG Limited, 2014).</t>
  </si>
  <si>
    <t>Kambalda Dome (includes coronet, Durkin, Fisher, Gellatly, Gibb, Hunt, Juan, Ken, Lunnon, Long, Long North, Loreto-Gordon, McLeay, McMahon, Moran, Moran South, Otter, Victor, Victor South and Wroth)</t>
  </si>
  <si>
    <t>Kambalda Komatiite, Silver Lake Member</t>
  </si>
  <si>
    <t>Komatiite: picrite, peridotite and olivine peridotite</t>
  </si>
  <si>
    <t>Gresham and Loftus-Hills (1981); Lambert et al. (1998); Stone and Masterman (1998); Staude et al. (2017)</t>
  </si>
  <si>
    <t>Lambert et al. (1998)</t>
  </si>
  <si>
    <t>Staude et al. (2017)</t>
  </si>
  <si>
    <t>Cited age is a Re-Os isochron of 2706 ± 36 Ma determined from ore minerals of the widely dispersed Kambalda, Perseverance and Mount Keith deposits (Lambert et al., 1998). Endowment includes production through 2015 and mineral resources at 30 June 2016 (Staude et al., 2017).</t>
  </si>
  <si>
    <t>Kambalda-Saint Ives district (includes Argo, Invincible, Junction, Revenge, Victory and other mining areas/deposits)</t>
  </si>
  <si>
    <t>Kambalda-Saint Ives</t>
  </si>
  <si>
    <t>Condenser Dolerite</t>
  </si>
  <si>
    <t>Devon Consols Basalt</t>
  </si>
  <si>
    <t>Pillowed to massive, variolitic basaltic flows</t>
  </si>
  <si>
    <t>Defiance Dolerite</t>
  </si>
  <si>
    <t>Differentiated sill, with basal pyroxenite to dolerite and granophyric phase in the central to upper sections</t>
  </si>
  <si>
    <t>ab-dol-bt-py-chl±po±ank±car±act±mus±hem±tm; in the revenge and Argo areas there is a distal chl-bt±car assemblage up to 10 m from lodes; in the Victory area Au-related alteration assemblages overprint early magnetite in the Kapai Slate</t>
  </si>
  <si>
    <t>Vielreicher et al. (2003); Oxenburgh et al. (2017)</t>
  </si>
  <si>
    <t>Vielreicher et al. (2003)</t>
  </si>
  <si>
    <t>Oxenburgh et al. (2017); Gold Fields annual report (2017, 2018, 2019, 2020, 2021, 2022, 2023)</t>
  </si>
  <si>
    <t>Cited age is from the Revenge deposit (Vielreicher et al., 2003). Endowment include production (through 2016) of 136.385 Mt @ 3.00 g/t Au (Oxenburgh et al., 2017) and production and reserves as of 31/12/2023 (Gold Field annual report 2017-2023). Total tonnage estimated using a average Au grade of 3.06 between 2017 and 2023 as tonnage not available through annual reports. Details are provided for the three main host rocks of major mine groups. Other host rocks include the Paringa Basalt (STRATNO = 26833), Athena Basalt (STRATNO = 77087), Kapai Slate (STRATNO = 9256), Lunnon Basalt (STRATNO = 10869), Tripod Hill Komatiite (STRATNO = 18603), Black Flag Group (STRATNO = 28372), White Flag (STRANO = 19889) Hampton Sandstone (STRATNO 25940 - paleochannel with placer deposits), felsic porphyry, trondhjemite and syenite.</t>
  </si>
  <si>
    <t>Kangaroo Caves</t>
  </si>
  <si>
    <t>Olistostrome megabreccia; banded iron-formation; layered chert (ore host); shale; andesite; andesitic volcanic sandstone; dacite and rhyodacite; felsic volcanic rocks; felsic volcanic breccia and volcaniclastic sandstone; rhyolite lava and pumice breccia.</t>
  </si>
  <si>
    <t>qtz-chl±ser±py → qtz-ser±py±chl</t>
  </si>
  <si>
    <t>Vearncombe (1995); Brauhart et al. (1998); Morant (1998); Buick et al. (2002); Huston et al. (2002a; 2007c); Golding et al. (2011); Martindale et al. (2014); Venturex Resources Limited (2020)</t>
  </si>
  <si>
    <t>Venturex Resources Limited (2020)</t>
  </si>
  <si>
    <t>Endowment includes total mineral resources at 11 May 2016 (Venturex Resources Limited, 2020).</t>
  </si>
  <si>
    <t>Kangaroo Hill district (includes Sardine and Shrimp)</t>
  </si>
  <si>
    <t>Kangaroo Hills</t>
  </si>
  <si>
    <t>Perry Creek Formation</t>
  </si>
  <si>
    <t>Phyllite and quartzite</t>
  </si>
  <si>
    <t>Siluro-Devonian</t>
  </si>
  <si>
    <t>Kallanda Granite</t>
  </si>
  <si>
    <t>Taylor et al. (1970); Morrison and Beams (1995); Forte Consolidated Limited (2011); Chang et al. (2017)</t>
  </si>
  <si>
    <r>
      <t xml:space="preserve">Cited age (from the Shrimp deposit) is supported by a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muscovite age of muscovite from the Boomerang deposit (Chang et al., 2017). Cited pre-mining resources are production only (Morrison and Beams, 1995).</t>
    </r>
  </si>
  <si>
    <t>Kangiara</t>
  </si>
  <si>
    <t>qtz-chl-phn±car</t>
  </si>
  <si>
    <t>Stevens (1976); Roberts (1982); Downes (2009); Paradigm Metals Limited (2010)</t>
  </si>
  <si>
    <t>Downes (2009); Paradigm Metals Limited (2010)</t>
  </si>
  <si>
    <t>Cited endowment includes historic (1909-1927) production of 40,000 t at 3% Cu, 5% Zn, 16% Pb, 280 g/t Ag and 2 g/t Au and mineral resources of 2.75 Mt at 0.18% Cu, 1.27% Zn, 1.03% Pb, 23.7 g/t Ag and 0.51 g/t Au (Paradigm Metals Limited, 2010).</t>
  </si>
  <si>
    <t>Felsic dykes that cut all deformational fabrics and contain hypogene copper minerals</t>
  </si>
  <si>
    <t>Paleozoic</t>
  </si>
  <si>
    <t>str-gt-and (distal) → bt-gt-chl (proximal)</t>
  </si>
  <si>
    <t>Rolley and Wright (2017)</t>
  </si>
  <si>
    <t>Rolley and Wright (2017); (Hillgrove Resources annual report 2013-2022)</t>
  </si>
  <si>
    <r>
      <t>Cited age is that of the oldest monazite present in mineralised areas and consistent with a post-D</t>
    </r>
    <r>
      <rPr>
        <vertAlign val="subscript"/>
        <sz val="9"/>
        <rFont val="Times New Roman"/>
        <family val="1"/>
      </rPr>
      <t>2</t>
    </r>
    <r>
      <rPr>
        <sz val="9"/>
        <rFont val="Times New Roman"/>
        <family val="1"/>
      </rPr>
      <t xml:space="preserve"> timing of mineralisation. Endowment and total resources calculated using figures included in Rolley and Wright (2017) for pre-2010 mining and updated using Hillgrove Resources annual report). Total resources include mineral resources as of December 2022.</t>
    </r>
  </si>
  <si>
    <t>Kanowna Bell</t>
  </si>
  <si>
    <t>Grave Dam Grit</t>
  </si>
  <si>
    <t>Thick bedded, dacitic volcaniclastic breccia</t>
  </si>
  <si>
    <t>Golden Valley Conglomerate</t>
  </si>
  <si>
    <t>Conglomerate and finer-grained felsic volcaniclastic rocks</t>
  </si>
  <si>
    <t>Kanowna Belle Porphyry</t>
  </si>
  <si>
    <t>phn-dol-py → mus-ank-py</t>
  </si>
  <si>
    <t>Ross et al. (2004); Bull et al. (2017)</t>
  </si>
  <si>
    <t>Ross et al. (2004)</t>
  </si>
  <si>
    <t>Bull et al. (2017); Northern Star Resources Limited (2017, 2018, 2019, 2020, 2021, 2022, 2023)</t>
  </si>
  <si>
    <t>The cited age (Ross et al., 2004) is that of a group of two analyses from a zircon which is interpreted to reflect thermal resetting, possibly related to hydrothermal gold introduction. This age is supported by a Pb model age from galena. Two temporally and mineralogically distinct mineralising phases present: (1) gold associated with telluride minerals (no gold tellurides though) in crustiform carbonate veins (early, but volumetrically minor), and (2) gold in pyrite-white mica-quartz-carbonate stringer and stockwork veins. The second phase is described here. Endowment includes production up to end of 2016 (Bull et al., 2017) and production from 2017-2023 from Kalgoorlie South operation and resources of Kanowna Bell only at 30 Jun 2023.</t>
  </si>
  <si>
    <t>Kapok</t>
  </si>
  <si>
    <t>Paleomagnetic correlation</t>
  </si>
  <si>
    <t>Symons and Arne (2003); Reynolds and Copp (2017a)</t>
  </si>
  <si>
    <t>Brannon et al., (1996a,b)</t>
  </si>
  <si>
    <t xml:space="preserve"> Reynolds and Copp (2017a)</t>
  </si>
  <si>
    <t>Cited age is supported by a gangue calcite U-Pb age of ca 351 Ma (Brannon et al., 1996). Endowment is pre-development mineral inventory (Reynolds and Copp, 2017a).</t>
  </si>
  <si>
    <t>Kapok West</t>
  </si>
  <si>
    <t>Kapunda</t>
  </si>
  <si>
    <t>ab-dol</t>
  </si>
  <si>
    <t>Dickinson (1953a); Lambert et al. (1980); Roberton (1995); Brampton (2003); Huston and Connolly (2011)</t>
  </si>
  <si>
    <t xml:space="preserve"> Huston and Connolly (2011); Thor mining PCL (2019)</t>
  </si>
  <si>
    <t>Endowment includes production (69 kt at 29.9% Cu) and inferred resources of 47.4 Mt at 0.25%Cu grade for ISR mining (Thor mining PCL, 2019)</t>
  </si>
  <si>
    <t>Kara (includes Kara and Kara No. 2)</t>
  </si>
  <si>
    <t xml:space="preserve">Skarn iron </t>
  </si>
  <si>
    <t>Waratah</t>
  </si>
  <si>
    <t>Predominantly micritic, warm-water shallow marine limestone, shale + sand deposited on a continental shelf, with lagoonal mud facies, abundant algal mats and pellet beds.</t>
  </si>
  <si>
    <t>Middle Ordovician-Early Devonian</t>
  </si>
  <si>
    <t>Housetop Granite</t>
  </si>
  <si>
    <t>Monzogranite to alkali-feldspar granite - felsic, weakly to moderately fractionated; oxidised I-type.</t>
  </si>
  <si>
    <t>cpx±gt±ves±wol±qtz±sch (early) → gt-ves-mt±sch±ap±qtz → mt-amp-ep-fl±qtz±chl±gt±ves±sch±car±py±cpx → hm±fl±cal±qtz (late)</t>
  </si>
  <si>
    <t>Khin Zaw and Singoyi (2000); Black et al. (2005); Green et al. (2014)</t>
  </si>
  <si>
    <r>
      <t>Cited age is that of the Housetop Granite (Black et al., 2005). Endowment includes production (to 30 June 2009: Kara deposit) of 4.27 Mt at 28.6% Fe and 0.1% WO</t>
    </r>
    <r>
      <rPr>
        <vertAlign val="subscript"/>
        <sz val="9"/>
        <color rgb="FF000000"/>
        <rFont val="Times New Roman"/>
        <family val="1"/>
      </rPr>
      <t>3</t>
    </r>
    <r>
      <rPr>
        <sz val="9"/>
        <color rgb="FF000000"/>
        <rFont val="Times New Roman"/>
        <family val="1"/>
      </rPr>
      <t xml:space="preserve"> (recovered) and mineral resources of 10.126 Mt at 43.5% Fe (Kara) and 0.2 Mt at 45% Fe (Kara East) (Green et al., 2014). WO</t>
    </r>
    <r>
      <rPr>
        <vertAlign val="subscript"/>
        <sz val="9"/>
        <color rgb="FF000000"/>
        <rFont val="Times New Roman"/>
        <family val="1"/>
      </rPr>
      <t>3</t>
    </r>
    <r>
      <rPr>
        <sz val="9"/>
        <color rgb="FF000000"/>
        <rFont val="Times New Roman"/>
        <family val="1"/>
      </rPr>
      <t xml:space="preserve"> grade for entire deposit is assumed as the recovered grade for Kara production.</t>
    </r>
  </si>
  <si>
    <t>Karen</t>
  </si>
  <si>
    <t>Cited location is the approximate centre of the mineral resource. Cited age is by correlation with the Butcherbird deposit (Collier Basin). This is preferred over correlation with Woodie Woodie as mineralisation at Karen is stratiform.</t>
  </si>
  <si>
    <t>Katanning district (Badgebup: includes Datatine, Jackson, Olympia, White Dam, Jinkas, Jinkas South and Dingo)</t>
  </si>
  <si>
    <t>Katanning</t>
  </si>
  <si>
    <t>Mafic granulite</t>
  </si>
  <si>
    <t>Clinopyroxene–biotite metagranodiorite</t>
  </si>
  <si>
    <t>Ausgold Limited (2019, 2020); Lu et al. (2020a,b); Huston et al. (2022)</t>
  </si>
  <si>
    <t>Lu et al. (2020a,b); Huston et al. (2022)</t>
  </si>
  <si>
    <t>Ausgold Limited (2023)</t>
  </si>
  <si>
    <t>Cited location is that of the Jinkas deposit, which is the largest deposit. The mineralised trend extends 17 km in a NNW trend. Most deposits are located in the southern 7.5 km of the trend, centred about the Jinkas deposit. The cited age is from molybdenite extracted from a quartz-molybdenite vein in a granite. The granite does not host mineralisation, but molybdenum is enriched in the ore zone. The cited age infers that the dated molybdenite is related to the molybdenum in the ore zone. Endowment excludes minor production and includes mineral resources of 88.9 Mt at 1.06 g/t (Ausgold Limited, 2023).</t>
  </si>
  <si>
    <t>Kathleen Valley</t>
  </si>
  <si>
    <t>Northeast striking and south east facing sequence of tholeiitic basalt, dolerites, gabbros and ultramafics (western zone)</t>
  </si>
  <si>
    <t xml:space="preserve"> Mafic and ultramafic komatiites, felsic volcanics and associated sediments (eastern zone)</t>
  </si>
  <si>
    <t>Norseman-Wiluna greenstone belt Jones Creek Conglomerate</t>
  </si>
  <si>
    <t>Conglomerate and sandstone (central zone)</t>
  </si>
  <si>
    <t>Kathleen Valley pegmatite swarm</t>
  </si>
  <si>
    <t>Quartz-feldspar-muscovite-spodumene pegmatite</t>
  </si>
  <si>
    <t xml:space="preserve"> Neoarchean</t>
  </si>
  <si>
    <t>Phelops-Barber et al. (2022)</t>
  </si>
  <si>
    <t>Anonymous (2021); Liontown Resources Limited (2021); Phelps-Barber et al. (2022)</t>
  </si>
  <si>
    <t>Liontown Resources Limited (2020)</t>
  </si>
  <si>
    <t>Cited age is by analogy with other Eastern Goldfields pegmatites.</t>
  </si>
  <si>
    <t>Kazi</t>
  </si>
  <si>
    <t>Partington and McNaughton (1997); Ahmad and Hollis (2013); Edwards and Keily (2017)</t>
  </si>
  <si>
    <t>Cited age is by analogy with other Pine Creek orogenic gold deposits (e.g., Cleo, Goodall, Howley and Mount Todd). Endowment includes mineral resources only (Edwards and Keily, 2017).</t>
  </si>
  <si>
    <t>Kempfield</t>
  </si>
  <si>
    <t>Fine-grained, quartz-phyric tuffaceous rocks, volcaniclastic sedimentary rocks (ore host) with minor limestone, and unaltered siltstone</t>
  </si>
  <si>
    <t>ser-py; ser-chl</t>
  </si>
  <si>
    <t>Downes and Seccombe (2004); Champion et al. (2009); Timms and David (2011); David (2013); Argent Minerals Limited (2014, 2023)</t>
  </si>
  <si>
    <t>Argent Minerals Limited (2023)</t>
  </si>
  <si>
    <t>Cited age is based upon correlation with other regional Silurian volcanic successions. Endowment includes mineral resources only with primary resources of 32.1 Mt at 1.25% Zn, 0.50% Pb, 29.65 g/t Ag and 0.11 g/t Au, transitional resources of 3.4 Mt at 0.74% Zn, 0.60% Pb, 54.99 g/t Ag and 0.16 g/t Au, and oxide resources of 3.4 Mt at 56.93 g/t Ag and 0.13 g/t Au.</t>
  </si>
  <si>
    <t>Kestrel</t>
  </si>
  <si>
    <t>Keysbrook</t>
  </si>
  <si>
    <t>Baxter (1990); Standing et al. (2017)</t>
  </si>
  <si>
    <t>Cited age is based on the assignation of a Pliocene age to the host Yoganup Formation by Baxter (1990). Endowment includes total mineral resources of 90.3 Mt at 2.2% heavy minerals comprising 13.9% zircon, 26.5% L70 (65-85% (average 70%) TiO2) leucoxene and 49.2% L88 (85-95% (average 88%) TiO2) leucoxene.</t>
  </si>
  <si>
    <t>Khamsin</t>
  </si>
  <si>
    <t>Khamsin Breccia Complex (local name)</t>
  </si>
  <si>
    <t>Polymictic granite-hematite-carbonate breccia</t>
  </si>
  <si>
    <t>Altered granite; hosts Khamsin Breccia Complex and occurs as clasts within breccia complex</t>
  </si>
  <si>
    <t>hm-car</t>
  </si>
  <si>
    <t>OZ Minerals Limited (2014)</t>
  </si>
  <si>
    <t>Cited age is by analogy with the Carrapateena deposit. Endowment includes mineral resources only.</t>
  </si>
  <si>
    <t>Kidston</t>
  </si>
  <si>
    <t>Forsayth</t>
  </si>
  <si>
    <t>Kidston breccia pipe</t>
  </si>
  <si>
    <t>Trapezoid breccia zone along contact between Einasleigh Metamorphics and Oak River Granodiorite. The breccia pipe contains 10-100 m clasts of Einasleigh Metamorphics, Oak River Granodiorite and pre-breccia rhyolite porphyry in a rock flour matrix that comprises &lt;20% of the breccia pipe by volume.</t>
  </si>
  <si>
    <t>Oak River Granodiorite</t>
  </si>
  <si>
    <t>Grey, locally foliated, porphyritic biotite granodiorite; grey, commonly foliated, equigranular hornblende-biotite tonalite and biotite tonalite or granodiorite.</t>
  </si>
  <si>
    <t>Pre-breccia rhyolite porphyry</t>
  </si>
  <si>
    <t>Fine-grained, quartz-plagioclase-orthoclase-phyric rhyolite dykes.</t>
  </si>
  <si>
    <t>Oark River Granodiorite</t>
  </si>
  <si>
    <t>Post-ore rhyolite porphyry</t>
  </si>
  <si>
    <t>Quartz-orthoclase-plagioclase-phyric rhyolite dykes.</t>
  </si>
  <si>
    <t>Andesite dyke</t>
  </si>
  <si>
    <t>mus-qtz, ort-ep-chl (pre-breccia) → qtz-ep-cal±py±po, bt-sid-py (cavity infill), ort-ab-mux-cal-chl (matrix) (early post-breccia) → qtz-cal-ank-sul (cavity infill), mus-qtz, mus-car (matrix) (late post-breccia; main ore assemblage); spatial zonation in early post-breccia cavity infill: cal (pipe core) → qtz-ep (pipe-margin), with bt-sid-py in restricted zones within qtz-ep zone.</t>
  </si>
  <si>
    <t>Baker and Tullermans (1990); Perkins and Kennedy (1998); Murgalov et al. (2009); Morrison et al. (2019)</t>
  </si>
  <si>
    <t>Perkins and Kennedy (1998); Murgalov et al. (2009); Morrison et al. (2019)</t>
  </si>
  <si>
    <r>
      <t xml:space="preserve">Cited age is a Re-Os molybdenite age (R Creaser in Morrison et al., 2019). It is supported by ages of syn- and post-mineralisation rhyolitic intrusions of 334.7 ± 3.3 Ma and 332.4 ± 2.4 Ma, respectively (zircon U-Pb SHRIMP: Perkins and Kennedy, 1998), and by a zircon LA-ICPMS U-Pb age of 336 ± 4 Ma from a median dyke (Murgalov et al., 2009), and by a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of alteration muscovite of 332.5 ± 0.8 (Perkins and Kennedy, 1998). Endowment after Morrison et al. (2019).</t>
    </r>
  </si>
  <si>
    <t>Kikoira (including Gibsonvale alluvials)</t>
  </si>
  <si>
    <t>Kikoira-Gibson tin field</t>
  </si>
  <si>
    <t>Clements Formation</t>
  </si>
  <si>
    <t>Turbiditic, with alternating beds of quartz-rich sandstone grading to siltstone and slate. Sandstones are very fine to medium grained, mature to supermature with minor feldspar (up to 2%); local conglomerate lens and outcrops of massive quartzite.</t>
  </si>
  <si>
    <t>Early-Late Ordovician</t>
  </si>
  <si>
    <t>Kikoira Granite</t>
  </si>
  <si>
    <t>Coarse- to medium-grained porphyritic biotite granite, sporadically megacrystic, feldspar megacrysts to 10 cm; abundant schist and quartzite xenoliths and biotite-rich microgranular enclaves</t>
  </si>
  <si>
    <t>qtz-tm-mus</t>
  </si>
  <si>
    <t>Cited location is that of the Gibsonvale deep leads. Cited age is that of the Kikiora Granite. Endowment includes only production form the Gibsonvale deep leads (tin concentrates assumed to have 70% Sn).</t>
  </si>
  <si>
    <t>Kilimiraka</t>
  </si>
  <si>
    <t>Money Shoal Basin</t>
  </si>
  <si>
    <t>Littoral sands</t>
  </si>
  <si>
    <t>Pleistocene-aged littoral quartzic sands associated with the paleo-shoreline</t>
  </si>
  <si>
    <t>Pleistocene</t>
  </si>
  <si>
    <t>Ahmad and Munson (2013b)</t>
  </si>
  <si>
    <t>Endowment includes mineral resources only. The cited resource contains 92,000 t zircon, 57,000 t rutile, 127,000 t leucoxene and 368,000 t ilmenite. The quantities were used to calculate contain zirconium and titanium metal.</t>
  </si>
  <si>
    <t>Killi Killi</t>
  </si>
  <si>
    <t>Cross bedded, thinly to thickly bedded white sublithic medium to coarse grained, poorly sorted quartz sandstone with siltstone, shale; minor glauconitic sandstone and flaggy dolomitic sandstone, and basal conglomerate.</t>
  </si>
  <si>
    <t>qtz-xen-flu, hm</t>
  </si>
  <si>
    <t>Vallini et al. (2007)</t>
  </si>
  <si>
    <t>King Island (includes Bold Head, and Investigator 21)</t>
  </si>
  <si>
    <t>King Island</t>
  </si>
  <si>
    <t>In-Mo-Sn</t>
  </si>
  <si>
    <t>Grassy Group</t>
  </si>
  <si>
    <t>Basal unit of dolomitic siltstone, shale, dolomitic carbonate units (ore host) and mafic volcaniclastic rocks overlain by diamictite</t>
  </si>
  <si>
    <t>Cryogenian-Ediacaran</t>
  </si>
  <si>
    <t>Sandblow Granite (formerly Grassy Granodiorite)</t>
  </si>
  <si>
    <t>An ovoid pluton of monzogranite, and several small outliers of microgranite. A relatively oxidised, magnetite-bearing, unfractionated, hornblende-biotite monzogranite. I-type.</t>
  </si>
  <si>
    <t>[px-gt±wol±ves±sch → gt-cpx-sch → px-sch (main ore stage)] (prograde) → [fhs-ep-pl-tit-qtz-py-po-mo±mt → qtz-cal-ser-py-po-cp] (retrograde)</t>
  </si>
  <si>
    <t>Kwak and Tan (1981); Wesolowski (1984); Black et al. (2005); Green et al. (2014); Callaghan (2017); Huston et al. (2022)</t>
  </si>
  <si>
    <t>Black et al. (2005); Huston et al. (2022)</t>
  </si>
  <si>
    <t>Green et al. (2014); Callaghan (2017)</t>
  </si>
  <si>
    <r>
      <t>Cited location is that of the Dolphin deposit. Cited age (Huston et al., 2022) is slightly older than that of the associated Grassy Granite (350.8 ± 1.7 Ma: Black et al., 2005). Endowment includes production to 1990 of 10.0 Mt at 0.67% WO</t>
    </r>
    <r>
      <rPr>
        <vertAlign val="subscript"/>
        <sz val="9"/>
        <color rgb="FF000000"/>
        <rFont val="Times New Roman"/>
        <family val="1"/>
      </rPr>
      <t>3</t>
    </r>
    <r>
      <rPr>
        <sz val="9"/>
        <color rgb="FF000000"/>
        <rFont val="Times New Roman"/>
        <family val="1"/>
      </rPr>
      <t xml:space="preserve"> and resources in 2015 of 11.4 Mt at 0.90% WO</t>
    </r>
    <r>
      <rPr>
        <vertAlign val="subscript"/>
        <sz val="9"/>
        <color rgb="FF000000"/>
        <rFont val="Times New Roman"/>
        <family val="1"/>
      </rPr>
      <t>3</t>
    </r>
    <r>
      <rPr>
        <sz val="9"/>
        <color rgb="FF000000"/>
        <rFont val="Times New Roman"/>
        <family val="1"/>
      </rPr>
      <t xml:space="preserve"> (Callaghan, 2017). In contrast, Green et al. (2014) cited production from all King Island deposits of 9.77 Mt at 0.61% WO</t>
    </r>
    <r>
      <rPr>
        <vertAlign val="subscript"/>
        <sz val="9"/>
        <color rgb="FF000000"/>
        <rFont val="Times New Roman"/>
        <family val="1"/>
      </rPr>
      <t>3</t>
    </r>
    <r>
      <rPr>
        <sz val="9"/>
        <color rgb="FF000000"/>
        <rFont val="Times New Roman"/>
        <family val="1"/>
      </rPr>
      <t xml:space="preserve"> and remaining JORC-compliant resources of 4.76 Mt at 1.29% WO</t>
    </r>
    <r>
      <rPr>
        <vertAlign val="subscript"/>
        <sz val="9"/>
        <color rgb="FF000000"/>
        <rFont val="Times New Roman"/>
        <family val="1"/>
      </rPr>
      <t>3</t>
    </r>
    <r>
      <rPr>
        <sz val="9"/>
        <color rgb="FF000000"/>
        <rFont val="Times New Roman"/>
        <family val="1"/>
      </rPr>
      <t xml:space="preserve"> (Dolphin), 1.65 Mt at 0.96% WO</t>
    </r>
    <r>
      <rPr>
        <vertAlign val="subscript"/>
        <sz val="9"/>
        <color rgb="FF000000"/>
        <rFont val="Times New Roman"/>
        <family val="1"/>
      </rPr>
      <t>3</t>
    </r>
    <r>
      <rPr>
        <sz val="9"/>
        <color rgb="FF000000"/>
        <rFont val="Times New Roman"/>
        <family val="1"/>
      </rPr>
      <t xml:space="preserve"> (Bold Head tungsten), 0.2 Mt at 0.15% Mo (Bold Head molybdenum), and pre-JORC mineral resource of 0.25 Mt at 0.47% WO</t>
    </r>
    <r>
      <rPr>
        <vertAlign val="subscript"/>
        <sz val="9"/>
        <color rgb="FF000000"/>
        <rFont val="Times New Roman"/>
        <family val="1"/>
      </rPr>
      <t>3</t>
    </r>
    <r>
      <rPr>
        <sz val="9"/>
        <color rgb="FF000000"/>
        <rFont val="Times New Roman"/>
        <family val="1"/>
      </rPr>
      <t xml:space="preserve"> and 0.12% Mo (Investigator 21).</t>
    </r>
  </si>
  <si>
    <t>King River</t>
  </si>
  <si>
    <t>Lynch Creek</t>
  </si>
  <si>
    <t>Siliciclastic rocks</t>
  </si>
  <si>
    <t>https://www.mindat.org/loc-22464.html (accessed March 2024)</t>
  </si>
  <si>
    <t>Bierlein et al. (2005)</t>
  </si>
  <si>
    <t>Analysed sample is from a silicified pelite fragment in a quartz±pyrite±sphalerite±gold vein. No reported production or mineral resources.</t>
  </si>
  <si>
    <t>King Tampa</t>
  </si>
  <si>
    <t>Lepidolite</t>
  </si>
  <si>
    <t>Individual</t>
  </si>
  <si>
    <t>Rb-Li</t>
  </si>
  <si>
    <t>Dalgaranga Formation</t>
  </si>
  <si>
    <t>Succession of dacite and rhyolite tuffs, volcanogenic sandstone and conglomerate.</t>
  </si>
  <si>
    <t>Dalgaranga Dolerite</t>
  </si>
  <si>
    <t>Lower part: mottled gabbro containing large poikilitic hornblende and clinopyroxene grains. Upper part: quartz gabbro and granophyre (dated rock). Lower half of body contains numerous felsic tuff xenoliths possibly derived from footwall units.</t>
  </si>
  <si>
    <t>Unnamed metasediments</t>
  </si>
  <si>
    <t>Watkins et al. (1987); Krakatoa Resources Ltd (2023)</t>
  </si>
  <si>
    <t>Arriens (1971); Pidgeon and Hallberg (2000)</t>
  </si>
  <si>
    <t>This pegmatite has historically been mined for Be, Ta (~30 t) and Sn and sits within the Yalgoo Mineral Field. Age cited for the pegmatite is based on a single Rb-Sr analysis of lepidolite; the crystal had high enough Rb/Sr that the age is insensitive to the initial Sr isotopic composition. The host rocks are complex and although we have listed the 2946 ± 8 Ma Dalgaranga Formation as the host, there are also 2719 ± 6 Ma gabbroic sills (Dalgaranga Dolerite) present and the deposit itself may be hosted within high-grade metapelites, possibly separated from the Dalgaranga sequence by a fault. The Rb-Sr age cited has been calculated using the decay constant of Villa et al. (2015).</t>
  </si>
  <si>
    <t>King Vol</t>
  </si>
  <si>
    <t>Chillagoe</t>
  </si>
  <si>
    <t>Almaden Supersuite</t>
  </si>
  <si>
    <t>I-type biotite-hornblende granodiorite, biotite granite and (monzo) diorite</t>
  </si>
  <si>
    <t>gt</t>
  </si>
  <si>
    <t>Chang (2005); Lehrmann (2012); Henderson and Donchak (2013); Morrison and Beaton (2015)</t>
  </si>
  <si>
    <t>Consolidated Tin Mines Limited, (2021)</t>
  </si>
  <si>
    <t>Endowment include mineral resources only (Consolidated Tin Mines Limited, 2021).</t>
  </si>
  <si>
    <t>Kingsborough</t>
  </si>
  <si>
    <t>Lysytsyn (2015)</t>
  </si>
  <si>
    <t>Endowment is estimated pre-mining resources with grades &gt; 1.1 g/t Au (Lysytsyn, 2015)</t>
  </si>
  <si>
    <t>Kintyre</t>
  </si>
  <si>
    <t>Rudall</t>
  </si>
  <si>
    <t>EMPA</t>
  </si>
  <si>
    <t>Yandagooge Formation</t>
  </si>
  <si>
    <t>Calcareous muscovite schist, dolomitic marble, biotite-garnet schist (main ore host) and biotite±graphite schist</t>
  </si>
  <si>
    <t>chl-car (proximal) → sil (distal)</t>
  </si>
  <si>
    <t>Lower granulite</t>
  </si>
  <si>
    <t>Jackson and Andrew (1990); McKay and Miezitis (2001); Huston et al. (2010b); Cross et al. (2011); Sinclair et al. (2017)</t>
  </si>
  <si>
    <t>Huston et al. (2010b</t>
  </si>
  <si>
    <t>Sinclair et al. (2017)</t>
  </si>
  <si>
    <t xml:space="preserve">Cited age is consisted with 841 ± 10 Ma age of Maas and Bagas (unpublished data; reported in Huston et al., 2010b). Minor hematite replaces the wall rock, including chert bands. Deposit is located just below the unconformity with the overlying Coolbro Sandstone. Endowment includes mineral resourced only. Sinclair et al. (2017) states that "the mineralisation style, vein morphologies and timing of uranium mineralisation relative to deformation of the overlying Coolbro Sandstone is inconsistent with unconformity deposit genesis" but does not propose a new deposit type for Kintyre. </t>
  </si>
  <si>
    <t>Kokomo</t>
  </si>
  <si>
    <t>Kokomo Serpentinite (local name)</t>
  </si>
  <si>
    <t>Serpentinite</t>
  </si>
  <si>
    <t>Metallica Minerals Limited (2009, 2013); Australian Mines Limited (2020)</t>
  </si>
  <si>
    <t>Lateritisation interpreted as post-Cretaceous. Endowment includes mineral resources only. Cited Sc grade is based on 2017 resource data (retrieved from OZMIN, 2020).</t>
  </si>
  <si>
    <t>Larranganyi</t>
  </si>
  <si>
    <t>Stubbins Formation</t>
  </si>
  <si>
    <t>Feldspathic wacke, sandstone, siltstone (ore host), mudstone, dolerite and gabbro sills; minor quartzite, banded chert, and basalt, metamorphosed.</t>
  </si>
  <si>
    <t>Stubbins Formation - metadolerite</t>
  </si>
  <si>
    <t>ser-qtz-bt-sul</t>
  </si>
  <si>
    <t>Bagas et al. (2007)</t>
  </si>
  <si>
    <t>Age is based on correlation with the Sandpiper deposit. Endowment includes mineral resources only.</t>
  </si>
  <si>
    <t>Kookaburra Gully</t>
  </si>
  <si>
    <t>Koppio</t>
  </si>
  <si>
    <t>Graphitic schist and gneiss</t>
  </si>
  <si>
    <t>Koongarra 1 and 2</t>
  </si>
  <si>
    <t>Quartz-chlorite±illite±garnet± sillimanite±muscovite schist with local siliceous bands</t>
  </si>
  <si>
    <t>Altered amphibolite bands within host unit</t>
  </si>
  <si>
    <t>ser-chl-rut±hm (proximal) → chl-ser-qtz (distal)</t>
  </si>
  <si>
    <t>Snelling (1990); Lally and Bajwah (2006); Ahmad and Hollis (2013); Ahmad and Khan (2013)</t>
  </si>
  <si>
    <t>Lally and Bajwah (2006)</t>
  </si>
  <si>
    <t>Endowment includes production and a separate resource of 1.04 Mt at 3.1 g/t Au for gold.</t>
  </si>
  <si>
    <t>Koongie Park Formation</t>
  </si>
  <si>
    <t>Koongie Park</t>
  </si>
  <si>
    <t>Metamorphosed felsic volcanic and volcaniclastic rocks, metasedimentary rocks, metabasalt, and hornfels; locally migmatitic; minor chert, banded iron-formation, and carbonate; locally intimately veined by granitic rocks and gabbro.</t>
  </si>
  <si>
    <t>Blake et al. (1999)</t>
  </si>
  <si>
    <t>Cited age is that of a felsic volcanic rock and is supported by similar ages of ca 1845 Ma and ca 1840 Ma.</t>
  </si>
  <si>
    <t>Koppamurra (includes Red Tail and Yellow Tail prospects)</t>
  </si>
  <si>
    <t>Fossils</t>
  </si>
  <si>
    <t>Isotope correlation</t>
  </si>
  <si>
    <t>Ionic adsorption rare-earth-elements - LREE-enriched</t>
  </si>
  <si>
    <t>REE-Y-Th-U</t>
  </si>
  <si>
    <t>Bookpurnong Formation</t>
  </si>
  <si>
    <t>Clays with occasional sandy, silty, carbonaceous and calcareous beds. Shallow marine clays and marls; grey to brown muds; pinnate cracks filled with kaolinite common; local goethite-rich lenticular mottles.</t>
  </si>
  <si>
    <t>Miocene-Pliocene</t>
  </si>
  <si>
    <t>kao-smc-qtz-goe</t>
  </si>
  <si>
    <t>Australian Rare Earths Limited (2023)</t>
  </si>
  <si>
    <t>Australian Rare Earths Limited (2021, 2023)</t>
  </si>
  <si>
    <t>McLaren et al. (2011)</t>
  </si>
  <si>
    <t>Cited location is the approximate centre of the area containing the cited mineral resources and exploration target (495000E, 5885000N, Zone 54). Endowment includes mineral resources only but only includes Pr6O11, Nd2O3, Tb4O7, Dy2O3 and total REO grades (Australian Rare Earths Limited, 2023). The Pr6O11 and Tb4O7 grades have been converted to Pr2O3 and Tb2O3, respectively, and the TREO grades modified accordingly. An earlier resource (using a 300 ppm TREO - Ce cut-off) reported by Australian Rare Earths Limited (2021) indicates grades for all REOs (44.9 Mt grading 105.8 ppm La2O3, 230.6 ppm CeO2, 30.7 ppm Pr6O11, 119.2 ppm Nd2O3, 24.5 ppm Sm2O3, 5.4 ppm Eu2O3, 21.8 ppm Gd2O3, 3.3 ppm Tb4O7, 18.4 ppm Dy2O3, 3.7 ppm Ho2O3, 10.0 ppm Er2O3, 1.3 ppm Tm2O3, 8.1 ppm Yb2O3 and 1.1 ppm Lu2O3) as well as U3O8 (1.6 ppm) and ThO2 grades (18.5 ppm). Cited host age is based on 87Sr/86Sr of bivalve fossils (McLaren et al., 2011) calibrated to the Phanerozoic 87Sr/86Sr curve of McArthur et al. (2001).</t>
  </si>
  <si>
    <t>Graphitic schist</t>
  </si>
  <si>
    <t>Cited precursor age is the average of age range for the Hutchison Supergroup west of the Kalinjala Mylonite Zone (including the Darke Peak and Cleave groups: 1866 +/- 10 Ma to ca. 1730 Ma: Szpunar et al., 2011). Cited uncertainty encompasses the entire age range. Cited primary age is that of the Kimbin Orogeny, which produced the high grade metamorphism that crystallised the graphite. Endowment includes mineral resources only. There has been minor historic production.</t>
  </si>
  <si>
    <t>Korella (Corella Bore)</t>
  </si>
  <si>
    <t>Inca Formation</t>
  </si>
  <si>
    <t>Laminated pyritic siliceous shale and siltstone, chert, dark foetid limestone. Potential oil source.</t>
  </si>
  <si>
    <t>Kulthor</t>
  </si>
  <si>
    <t>Osbourne</t>
  </si>
  <si>
    <t>Starcross Formation</t>
  </si>
  <si>
    <t>Amphibolite and altered psammite</t>
  </si>
  <si>
    <t>Potassium-rich, A-type granitoids and mafic rocks. Interpreted from geophysical data.</t>
  </si>
  <si>
    <t>bt, qtz-ksp, ser</t>
  </si>
  <si>
    <t>Valenta (2019b)</t>
  </si>
  <si>
    <t>Cited primary age is by analogy with the nearby Osbourne deposit. Endowment includes production from 2012 to 2015 and mineral resources reported in 2017. The iron sulfides are zoned, with pyrrhotite dominant at depth and pyrite dominant at shallow levels and peripheral to pyrrhotite-rich core.</t>
  </si>
  <si>
    <t>Kundana goldfield (Mungari)(includes North/Arctic, Millennium, Barkers North, Barkers/21 Mile, South/Centenary, Strzelcki, Pope John, Moonbeam, Raleigh, Pegasus, Kurrawang, Rubicon, Hornet, Frogs Leg and White Foil)</t>
  </si>
  <si>
    <t>Kundana</t>
  </si>
  <si>
    <t>White Flag Formation</t>
  </si>
  <si>
    <t>Intermediate volcaniclastic rocks, andesite (upper part), sandstone, siltstone and shale (lower part)</t>
  </si>
  <si>
    <t>Powder Gabbro</t>
  </si>
  <si>
    <t>Coarse-grained leucogabbro</t>
  </si>
  <si>
    <t>Victorious Basalt, Bent Tree Basalt</t>
  </si>
  <si>
    <t>24063, 23377</t>
  </si>
  <si>
    <t>Plagioclase-phyric basalt, massive tholeiitic basalt</t>
  </si>
  <si>
    <t>Intermediate volcaniclastic rocks and andesite (upper part)</t>
  </si>
  <si>
    <t>ab±mus; ano-bt±mus</t>
  </si>
  <si>
    <t>Cooke et al. (2017)</t>
  </si>
  <si>
    <t>Cooke et al. (2017); Evolution mining (2021, 2022, 2023)</t>
  </si>
  <si>
    <t>Age is inferred based on the age of the Golden Mile deposit ~20 km to ESE. Production between 1988-2015 (Cooke et al., 2017), production between 2021-2023 and mineral resources and reserve as of June 2023 (Evolution mining 2021, 2022, 2023).</t>
  </si>
  <si>
    <t>Kunwarara</t>
  </si>
  <si>
    <t>Lacustrine sediment-hosted</t>
  </si>
  <si>
    <t>Lacustrine magnesite</t>
  </si>
  <si>
    <t>Fitzroy River Basin</t>
  </si>
  <si>
    <t>The deposit is hosted by unconsolidated fluvial/lacustrine sediments that grade upward from basement as follows: fluvial/littoral gravels (base), unlithified muddy sand, weakly indurated fine-grained sandstone, olive to reddish mudstone and clay (top). The magnesite is hosted by the sand, sandstone and mudstone units.</t>
  </si>
  <si>
    <t>Tertiary-Quaternary</t>
  </si>
  <si>
    <t>Burban (1990); https://portergeo.com.au/database/mineinfo.asp?mineid=mn808 (accessed May 2024)</t>
  </si>
  <si>
    <t>https://portergeo.com.au/database/mineinfo.asp?mineid=mn808 (accessed May 2024)</t>
  </si>
  <si>
    <t>Endowment includes mineral resources in 2000 (www.portergeo.com.au) and does not include production from 1991 to 2000 (~3 Mt/yr). By 2006 the mining operation had produced over 5.7 Mt of magnesite (equivalent to over 1.6 Mt Mg metal) from 43 Mt of ore (https://portergeo.com.au/database/mineinfo.asp?mineid=mn808 (accessed May 2024)).</t>
  </si>
  <si>
    <t>Kuridala</t>
  </si>
  <si>
    <t>Ag-As</t>
  </si>
  <si>
    <t>Middle Creek Volcanics (local name) of Soldiers Cap Group</t>
  </si>
  <si>
    <t>Metavolcanics, metadiorites and carbonaceous metasediments</t>
  </si>
  <si>
    <t>Queensland Mining Corporation (2017)</t>
  </si>
  <si>
    <t>Endowment includes total production for the Hampden and Consols mines from 1908 to 1918 and mineral resources in 2017 (Queensland Mining Corporation, 2017). Queensland Mining Corporation (2017) indicate that the production data may under-estimate the true production. Cobalt was not recovered.</t>
  </si>
  <si>
    <t>Kutarta</t>
  </si>
  <si>
    <t>dol, mar</t>
  </si>
  <si>
    <t>Endowment is approximated pre-development mineral inventory (Reynolds and Copp (2017a)</t>
  </si>
  <si>
    <t>Kylie</t>
  </si>
  <si>
    <t>Coomalie Dolostone</t>
  </si>
  <si>
    <t>Stromatolitic, magnesite and marble, in places chloritic and tremolitic, commonly graphitic.</t>
  </si>
  <si>
    <t>Ahmad and Hollis (2013); Ahmad and Khan (2013); Von Pechmann (1986)</t>
  </si>
  <si>
    <t>Cited age is an upper intercept of whole-rock U-Pb discordia. Locally anomalous in platinum and palladium.</t>
  </si>
  <si>
    <t>Lady Annie (including Anthill, Flying Horse, Lady Annie, Lady Brenda, Lady Colleen, Mount Clarke, McLeod Hill and Swagman)</t>
  </si>
  <si>
    <t>Lady Annie</t>
  </si>
  <si>
    <t>Ag-As-Co</t>
  </si>
  <si>
    <t>Dolomitic, carbonaceous and argillaceous sandstones and siltstones</t>
  </si>
  <si>
    <t>Valenta (2019d)</t>
  </si>
  <si>
    <t>Cited age is by analogy with the Mount Isa copper deposit (cf. Valenta, 2019d). Endowment includes mineral resources only and does not include poorly document historic production.</t>
  </si>
  <si>
    <t>Lady Bountiful (including Lady Bountiful Extended)</t>
  </si>
  <si>
    <t>Broad Arrow</t>
  </si>
  <si>
    <t>Liberty Granodiorite</t>
  </si>
  <si>
    <t>Massive, coarse-grained, equigranular biotite-hornblende granodiorite</t>
  </si>
  <si>
    <t>Mount Pleasant Gabbro</t>
  </si>
  <si>
    <t>Mostly gabbro to leucogabbro with granophyric segregations and pyroxenite and dunite basal segregations</t>
  </si>
  <si>
    <t>qtz-ab-ser-chl-car-py±cl±po (proximal) → qtz-ksp-chl±ab±ep±car (distal)</t>
  </si>
  <si>
    <t>Bartsch (1990); Devlin and Crimeen (1990); Cassidy and Bennett (1993); Geological Survey of Western Australia (2010)</t>
  </si>
  <si>
    <t>Bartsch (1990); Devlin and Crimeen (1990)</t>
  </si>
  <si>
    <t>Age of host Liberty Granite is 2648 ± 6 Ma (Geological Survey of Western Australia, 2010), which is the maximum age of gold mineralisation. Metamorphic grade is at the greenschist-amphibolite transition. Endowment includes production and ore reserves (Bartsch, 1990; Devlin and Crimeen, 1990).</t>
  </si>
  <si>
    <t>Lady Ella</t>
  </si>
  <si>
    <t>Selwyn-Mt Dore Corridor</t>
  </si>
  <si>
    <t>Unnamed unit separated out from Toole Creek Volcanics</t>
  </si>
  <si>
    <t>Metabasalt (main ore host)</t>
  </si>
  <si>
    <t>Toole Creek Volcanics (subsidiary ore host)</t>
  </si>
  <si>
    <t>Metabasalt, metadolerite and minor interbedded ortho-amphibolite, metasiltstone, phyllite, slate, feldspathic sandstone, chert, jaspilite, ironstone and calc-silicate rocks, and metabasalt.</t>
  </si>
  <si>
    <t>ab-tit-scp-ap-rut±act±mt±ep; bt-ksp (ore-related)</t>
  </si>
  <si>
    <t>McGeough and Faulkner (2017); Valenta and Hinman (2018)</t>
  </si>
  <si>
    <t>Duncan et al. (2011, 2014); McGeough and Faulkner (2017); Valenta and Hinman (2018)</t>
  </si>
  <si>
    <t>Duncan et al. (2011, 2014)</t>
  </si>
  <si>
    <t>McGeough and Faulkner (2017)</t>
  </si>
  <si>
    <t>Endowment includes production only (2002-2003).</t>
  </si>
  <si>
    <t>Lady Loretta</t>
  </si>
  <si>
    <t>Lady Loretta Formation</t>
  </si>
  <si>
    <t>Dolomitic siltstone, sideritic siltstone, sideritic sandstone; generally pyritic</t>
  </si>
  <si>
    <t>sid (proximal) → ferroan dol (distal)</t>
  </si>
  <si>
    <t>Carr and Smith (1977); Carr (1984); Hancock and Purvis (1990); Sun et al. (1996a); Carr et al. (2001); Valenta (2019d)</t>
  </si>
  <si>
    <t>Lead isotope model age calculated using CSIRO-AGSO North Australia model (Sun et al., 1996a). Endowment includes the pre-mining mineral resources at 31 December 2011 (Valenta, 2019d).</t>
  </si>
  <si>
    <t>Lake McKay</t>
  </si>
  <si>
    <t>Lake McKay lakebed sequence</t>
  </si>
  <si>
    <t>Reworked gypsiferous sand deposits; lacustrine deposits comprising soft to stiff, orange-brown, green clays to sandy clays, sandy silts and loose clayey sands; gypsum layers; calcrete and silcrete; paleovalley deposit comprising sand, gravel, silt, minor clay, detrital/channel iron and lignite.</t>
  </si>
  <si>
    <t>Agrimin Limited (2018)</t>
  </si>
  <si>
    <t xml:space="preserve">Endowment includes pre-extraction drainable brine resources only. </t>
  </si>
  <si>
    <t>Lake Way</t>
  </si>
  <si>
    <t>Lake Way lakebed succession</t>
  </si>
  <si>
    <t>Lake Way lakebed succession from top to bottom: (1) lake bed sediment, (2) paleovalley sediment and (3) paleochannel basal sands</t>
  </si>
  <si>
    <t>Salt Lake Potash Limited (2019)</t>
  </si>
  <si>
    <t>Lake Wells (Australian Potash Ltd)</t>
  </si>
  <si>
    <t>Lake Wells</t>
  </si>
  <si>
    <t>Lake Wells paleochannel succession</t>
  </si>
  <si>
    <t>Lake Wells paleochannel succession, including from top to bottom: (1) recent surficial deposits (dune sand, lake clay and halite), (2) silcrete and calcrete, (3) upper aquitard (lacustrine and fine sediment deposits), (4) upper sand, (5) lower aquitard (clay and silty sediments), (6) mixed aquifer (interfingered coarse sand and clay), (7) basal sand (coarse sand and gravel), and (8) basement (Archean rocks or Tertiary sedimentary rocks).</t>
  </si>
  <si>
    <t>Australian Potash (2019)</t>
  </si>
  <si>
    <t>Lake Wells (Salt Lake Potash Ltd)</t>
  </si>
  <si>
    <t>Lake Wells lakebed succession</t>
  </si>
  <si>
    <t>Lake Wells lakebed succession including from top to bottom: (1) playa lake sediment (unconsolidated silt, and clay), paleovalley sediment (clay, silt and sand), paleochannel basal sand (medium- to coarse-grained sand), and (4) basement siltstone</t>
  </si>
  <si>
    <t>Salt Lake Potash Limited (2016)</t>
  </si>
  <si>
    <t>Cited location is approximate centre of resource. Pre-extraction resources include drainable brine resources only. The endowment is taken as the average of the range of resource reported (80-85 Mt SOP). The grade of K reported is calculated from reported SOP grades.</t>
  </si>
  <si>
    <t>Lakeside</t>
  </si>
  <si>
    <t>Au-Sn</t>
  </si>
  <si>
    <t>Sandstone, slate, shale and quartzose arenite</t>
  </si>
  <si>
    <t>Taheri and Green (1990); Black et al. (2005); Green et al. (2014)</t>
  </si>
  <si>
    <t>Taheri and Green (1990); Black et al. (2005)</t>
  </si>
  <si>
    <t>Lancefield</t>
  </si>
  <si>
    <t>M1 sediment</t>
  </si>
  <si>
    <t>Sulfidic (pyrite and pyrrhotite) chert or black shale</t>
  </si>
  <si>
    <t>W10 sediment</t>
  </si>
  <si>
    <t>Ferruginous chert, with mesobeds of chert, chlorite, pyrite, pyrrhotite and/or magnetite</t>
  </si>
  <si>
    <t>Basalt in host succession</t>
  </si>
  <si>
    <t>Ultramafic volcanic rock in host succession</t>
  </si>
  <si>
    <t>Dolerite; intrusive into host succession with early timing</t>
  </si>
  <si>
    <t>Melanocratic biotite and/or chlorite-rich dykes (possible lamprophyres)</t>
  </si>
  <si>
    <t>Monzonitic granitoid stock (post-deformation)</t>
  </si>
  <si>
    <t>sil-chl-car-sul</t>
  </si>
  <si>
    <t>Hronsky et al. (1990); Salier et al. (2005)</t>
  </si>
  <si>
    <t>Salier et al. (2005); Focus Minerals Limited (2021)</t>
  </si>
  <si>
    <t>Endowment includes historical production and mineral recourse as of 31 December 2023 (Salier et al., 2005, Focus Minerals Limited, 2021)</t>
  </si>
  <si>
    <t>Larsens</t>
  </si>
  <si>
    <t>https://www.mindat.org/loc-98777.html (accessed April 2024)</t>
  </si>
  <si>
    <t>Cited primary age is based on the age of the faunal assemblage reported by Iwata et al. (1995) for the host succession. Cited hydrothermal age is by analogy with the Avoca Tank deposit (Fitzherbert and Huang, 2019). Endowment includes pre-mining mineral resources only - 1.915 Mt at 1.04% Cu in oxide/supergene ores and 0.748 Mt at 0.95% Cu of sulfide ores (Fogarty, 1998).</t>
  </si>
  <si>
    <t>Leadville (includes Mt Stewart and Extended)</t>
  </si>
  <si>
    <t>Leadville</t>
  </si>
  <si>
    <t>Old Leake Quartz Monzonite</t>
  </si>
  <si>
    <t>Mafic quartz monzonite</t>
  </si>
  <si>
    <t>Gulgong Granite</t>
  </si>
  <si>
    <t>Leucocratic medium- to coarse-grained porphyritic megacrystic granite, minor aplite phases, minor quartz monzonite</t>
  </si>
  <si>
    <t>Three types: qtz-ser-py (syn- or pre-regional metamorphism; unrelated to mineralisation); local qtz-ser-py related to Zn-Pb veins; ep-chl-hem-car (spatially related to Leadville mineralization)</t>
  </si>
  <si>
    <t>gt-cpx → gt-mt-cal-qtz (prograde) → gt-mt-py-po-sul-qtz-car → chl-car-ep±amp±qtz±fl±py±sul → clay-py-mar-car-qtz (retrograde)</t>
  </si>
  <si>
    <t>Ashley and Willott (1997); Fanning (1997); Black (1998); Downes (1999); Seccombe et al. (2005)</t>
  </si>
  <si>
    <t>Carr et al., (1995); Fanning (1997); Black (1998)</t>
  </si>
  <si>
    <t>Downes (1999)</t>
  </si>
  <si>
    <t>Age cited is that of the Old Leake Quartz Monzonite, a phase of the Gulgong Granite, which is close to the location of the deposit (Black, 1998). Alternatively the main phase of the Gulgong Granite yielded an age of 325 ± 5 Ma (Fanning, 1997), and galena from the deposit yielded a Pb model age of ~295 Ma (Carr et al., 1995). Endowment includes production of 0.0503 Mt at 3.11% Pb and 185g/t Ag and resources of 0.376 Mt at 2.2% Pb and 31g/t Ag at Mount Stewart, and resources of 1.78 Mt inferred at 0.08% Cu, 6.7% Zn, 0.25% Pb and 41g/t Ag at Extended. Production at Mount Stewart also included including 3200 t of S.</t>
  </si>
  <si>
    <t>Lefroy</t>
  </si>
  <si>
    <t>Stony Head Sandstone</t>
  </si>
  <si>
    <t>Graded thick-bedded fine-grained turbiditic sandstone with minor interbedded pelite; large-scale recumbent folds and cleavage. Classic proximal turbidites. The sandstone is quartz rich occurring in graded beds, up to 2 m thick in some exposures.</t>
  </si>
  <si>
    <t>Industry Road Member</t>
  </si>
  <si>
    <t>Interbedded phyllitic slate and foliated very fine-grained sandstone; ridge-forming; recumbent folds and cleavage</t>
  </si>
  <si>
    <t>Lower-Middle Ordovician</t>
  </si>
  <si>
    <t>https://www.mindat.org/loc-132885.html (accessed March 2024)</t>
  </si>
  <si>
    <t>Bottrill et al. (1992); Bierlein et al. (2005); Green et al. (2014)</t>
  </si>
  <si>
    <t>Cited age is the overall age of the other northeast Tasmanian orogenic gold deposits. Bierlein et al. (2005) reported a 40Ar-39Ar plateau age of 426.7 ± 4.8 Ma (2σ) for a sericite concentrate from a pelitic wall rock to a vein, but this age was interpreted at the age of metamorphism. Endowment includes production of 168,000 t at 31 g/t and inferred resource of 616,000 t at 2.5 g/t (Green et al., 2014).</t>
  </si>
  <si>
    <t>Lei</t>
  </si>
  <si>
    <t>Lithium Plus Minerals (2023)</t>
  </si>
  <si>
    <t>Leviathan (including Angers)</t>
  </si>
  <si>
    <t>Leviathan</t>
  </si>
  <si>
    <t>Leviathan pegmatite swarm</t>
  </si>
  <si>
    <t>Pietsch and Clayton (1990); Frater (2005); Ahmad and Hollis (2013); Ahmad and Khan (2013)</t>
  </si>
  <si>
    <r>
      <t>Cited location is that of the Kristie South pegmatite, which is in the approximated centre of the Peviathan pegmatite group. Cited age is from the Angers pegmatite (Frater, 2005). Endowment includes mineral resources of 0.145 Mt at 0.0104% SnO</t>
    </r>
    <r>
      <rPr>
        <vertAlign val="subscript"/>
        <sz val="9"/>
        <color rgb="FF000000"/>
        <rFont val="Times New Roman"/>
        <family val="1"/>
      </rPr>
      <t>2</t>
    </r>
    <r>
      <rPr>
        <sz val="9"/>
        <color rgb="FF000000"/>
        <rFont val="Times New Roman"/>
        <family val="1"/>
      </rPr>
      <t>, and 0.0085%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(pegmatite) and 0.040 Mt at 0.0212% SnO</t>
    </r>
    <r>
      <rPr>
        <vertAlign val="subscript"/>
        <sz val="9"/>
        <color rgb="FF000000"/>
        <rFont val="Times New Roman"/>
        <family val="1"/>
      </rPr>
      <t>2</t>
    </r>
    <r>
      <rPr>
        <sz val="9"/>
        <color rgb="FF000000"/>
        <rFont val="Times New Roman"/>
        <family val="1"/>
      </rPr>
      <t xml:space="preserve"> and 0.0032%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(alluvial resources) (Ahmad and Hollis, 2013).</t>
    </r>
  </si>
  <si>
    <t>Lewis Ponds</t>
  </si>
  <si>
    <t>Au-Zn</t>
  </si>
  <si>
    <t>Anson Formation</t>
  </si>
  <si>
    <t>Carbonaceous pyritic siltstone, felsic volcanics, volcanic sandstone, limestone</t>
  </si>
  <si>
    <t>Mullions Range Volcanics</t>
  </si>
  <si>
    <t>Rhyolite, tuffaceous mudstone, rhyolite breccia, volcanic conglomerate, dacite, limestone</t>
  </si>
  <si>
    <t>qtz-ser-chl-dol → chl-py, dol-chl-tc-phl, qtz-dol-chl → ser±cal (Main zone); qtz-ser-chl-dol±hyal → chl-py → ser-qtz (Tom zone)</t>
  </si>
  <si>
    <t>Sulfate pseudomorphs</t>
  </si>
  <si>
    <t>Huston et al. (1997); L Black in Pogson and Watkins (1998); Agnew (2003); Downes and Seccombe (2004); Downes (2009); Ardea Resources (2019b); Godolphin Resources Limited (2021)</t>
  </si>
  <si>
    <t>L Black in Pogson and Watkins (1998)</t>
  </si>
  <si>
    <t>Godolphin Resources (2021)</t>
  </si>
  <si>
    <t>Cited age is based on correlation with other volcanic-hosted massive sulfide deposits in New South Wales. A minimum age is provided by a zircon U-Pb cooled age of 417 ± 4 Ma for the overlying Mullions Range Volcanics (L Black, in Pogson and Watkins, 1998). Endowment includes mineral resources only and excludes minor historic production.</t>
  </si>
  <si>
    <t>Lily Creek</t>
  </si>
  <si>
    <t>Freeman et al. (1990); Valetich et al. (2021)</t>
  </si>
  <si>
    <t>Endowment includes pre-JORC mineral resources only and is NOT code-compliant.</t>
  </si>
  <si>
    <t>Lilyvale (Richmond vanadium)</t>
  </si>
  <si>
    <t>Richmond-Julia Creek</t>
  </si>
  <si>
    <t>Ga-REE</t>
  </si>
  <si>
    <t>Toolebuc Formation</t>
  </si>
  <si>
    <t>Laminated calcareous and kerogenous mudstone, minor coquinite and limestone, labile sandstone and oil shale.</t>
  </si>
  <si>
    <t>Late Albian</t>
  </si>
  <si>
    <t>Horizon Minerals Limited (2020)</t>
  </si>
  <si>
    <t>Coxhell and Fehlberg (2000); Horizon Minerals Limited (2020)</t>
  </si>
  <si>
    <t>Cited age is the midpoint of the Albian Stage. Endowment includes mineral resources only.</t>
  </si>
  <si>
    <t>Linton (Mount Bute)</t>
  </si>
  <si>
    <t>Linton</t>
  </si>
  <si>
    <t>Saint Arnaud Group</t>
  </si>
  <si>
    <t>Cambrian to Ordovician sedimentary rocks. Deposits occur within the thermal aureole of the Mount Bute Granite. The deposits are within a schist zone in the host metasedimentary succession.</t>
  </si>
  <si>
    <t>Cambrian-Ordovician</t>
  </si>
  <si>
    <t>Mout Bute Granite</t>
  </si>
  <si>
    <t>Medium to coarse-grained seriate biotite granite, with minor hornblende.</t>
  </si>
  <si>
    <t>Taylor (1996)</t>
  </si>
  <si>
    <t>Arne et al. (1995); Taylor et al. (1996); Bierlein et al. (2001); Phillips et al. (2012a)</t>
  </si>
  <si>
    <t>Arne et al. (1995); Bierlein et al. (2001); Phillips et al. (2012a)</t>
  </si>
  <si>
    <t>Taylor et al. (1996)</t>
  </si>
  <si>
    <t>The cited location is that of the Linton Reef (), from which the dated sample was obtained. The cited, recalculated age (Philips et al., 2012a) is one of three similar ages of sericite from the Linton and Eagle reefs (Bierlein et al., 2001). These ages are similar to that of the nearby (the Linton Reef is within the contact aureole) Mt Bute granite (370 ± 4 Ma: Arne et al., 1998), indicating a temporal link of mineralisation to the granite or resetting by this granite. Taylor et al. (1996) interpret that the thermal aureole associated with the Mount Bute Granite overprinted the mineralisation, but Bierlein et al. (2001) indicated the presence of delicate ore textures that are inconsistent with a pre-granite timing. Endowment includes production only.</t>
  </si>
  <si>
    <t>Liontown (including Liontown East)</t>
  </si>
  <si>
    <t>Cu-Au-Pb</t>
  </si>
  <si>
    <t>Andesitic/basaltic lava and volcaniclastic sediments; dacite lava; rhyolitic and dacitic lava and fragmental rocks; dacitic porphyry high level intrusives; fine to medium-grained sandstone; siltstone; shale; fossiliferous. Deposit is at the upper contact with the overlying Rollston Range Formation (23944), in association with dacite.</t>
  </si>
  <si>
    <t>qtz-ser-py±car±sl</t>
  </si>
  <si>
    <t>Berry et al. (1992); Stolz (1995); Hutton et al. (1997)</t>
  </si>
  <si>
    <t>Sunshine Metals Limited (2023)</t>
  </si>
  <si>
    <t>Volcanic units within the Trooper Creek are broadly syn-ore as they both overlie and underlie the ore position.</t>
  </si>
  <si>
    <t>Lisle (includes Denison, Golconda, Lebrina, Lone Star, Lisle and Panama)</t>
  </si>
  <si>
    <t>Lisle</t>
  </si>
  <si>
    <t>https://www.mindat.org/loc-132884.html (accessed March 2024)</t>
  </si>
  <si>
    <t>Bottrill et al. (1992)</t>
  </si>
  <si>
    <t>Cited age is by regional correlation with other northeast Tasmania orogenic gold deposits. Bierlein et al. (2005) report a plateau age of 385.4 ± 4.0 Ma (2σ) for alteration biotite from a monzodiorite dyke at the Denison East deposit, which they interpreted as the age of gold mineralisation at this prospect. As this alteration is not definitively associated with gold mineralisation, the regional correlation age is preferred.</t>
  </si>
  <si>
    <t>Little Cadia</t>
  </si>
  <si>
    <t>hm-cal-qtz-scp±ab (stage 1: anhydrous skarn; early) → py-qtz-mt-ep-sul-gt±scp±ksp±tm±bt±ap±act (stage 2: main ore stage) → chl-cal-py-ep-sul±ser±act±tm±ab (stage 3) → cal-qtz-ser-sul-hm-chl±act±ab (stage 4; minor ore stage) → cal (stage 5)</t>
  </si>
  <si>
    <t>Holliday et al. (2002); Forster et al. (2004); Wilson et al. (2003, 2007); Porter (2017f)</t>
  </si>
  <si>
    <t>Lucknow</t>
  </si>
  <si>
    <t>Nd-Sm</t>
  </si>
  <si>
    <t>ICP-MS</t>
  </si>
  <si>
    <t>Gray Creek Complex</t>
  </si>
  <si>
    <t>Metagabbro, amphibolite, clinopyroxenite, and serpentinite.</t>
  </si>
  <si>
    <t>Morrison and Burger (2019); Australian Mines Limited (2020); Huston et al. (2021)</t>
  </si>
  <si>
    <t>Lucky Luke</t>
  </si>
  <si>
    <t>Staveley Formation</t>
  </si>
  <si>
    <t>Calcareous to ferruginous, feldspathic and siliceous arenite, siltstone and mudstone, minor marble, conglomerate; matrix-supported breccias of calcareous sandstone and siltstone; local massive ironstone lenses.</t>
  </si>
  <si>
    <t>Williams Supersuite (Gin Creek Granite)</t>
  </si>
  <si>
    <t>Duncan et al. (2011); McGeough and Faulkner (2017)</t>
  </si>
  <si>
    <t>Duncan et al. (2011)</t>
  </si>
  <si>
    <t>Cited age inferred from age of Mount Dore deposit (Duncan et al., 2011). Endowment includes mineral resources only.</t>
  </si>
  <si>
    <t>Luni</t>
  </si>
  <si>
    <t>West Arunta</t>
  </si>
  <si>
    <t>Supergene/oxide rare earth elements</t>
  </si>
  <si>
    <t>Nb</t>
  </si>
  <si>
    <t>Luni Carbonatite</t>
  </si>
  <si>
    <t>Carbonatite</t>
  </si>
  <si>
    <t>Unnamed granite gneiss</t>
  </si>
  <si>
    <t>Fenitised biotite granite gneiss</t>
  </si>
  <si>
    <t>WA Resources Limited (2023)</t>
  </si>
  <si>
    <t>WA Resources Limited (2024)</t>
  </si>
  <si>
    <t>Very preliminary exploration results. Location is the approximate centre of the Luni Carbonatite and indicated in Figure 4 of WA Resources Limited (2023). Initial results indicate that the high-grade mineralisation is hosted in an oxide zone; the mineralisation is Nb-rich, with Nb grades to 4.9% Nb2O3 and TREO grades to 2.2% (WA1 Resources, 2023).</t>
  </si>
  <si>
    <t>Lyndhurst diapir (includes Lynda and Lorna Doone)</t>
  </si>
  <si>
    <t>Lyndhurst diapir</t>
  </si>
  <si>
    <t>Coats (1973); Robertson (1995); Brampton (2003); Huston and Connolly (2011)</t>
  </si>
  <si>
    <t>Endowment includes minor historic production (350 t Cu at Lorna Doone) but mostly mineral resources (1.00 Mt at 0.72% Cu at Lynda and 0.84 Mt at 0.75% Cu at Lorna Doone).</t>
  </si>
  <si>
    <t>Maggie Hays</t>
  </si>
  <si>
    <t>Roundtop Komatiite</t>
  </si>
  <si>
    <t>serp-tc-chl (retrograde metamorphic)</t>
  </si>
  <si>
    <t>Wang et al. (1996); Romano et al. (2014)</t>
  </si>
  <si>
    <t>Poseidon Nickel Limited (2015); poseidon-nickel.com.au/lake-johnston/ (accessed May 2024)</t>
  </si>
  <si>
    <t>Cited age is a maximum depositional age of a metavolcaniclastic rock from the Honman Formation, which underlies the ore-hosting Roundtop Komatiite. Strictly this is a maximum depositional age, but the zircon age data are unimodal. A 2773 ± 8 Ma granite intrudes the succession, providing an absolute minimum on the age of the ore host (Romano et al, 2014). Alternatively, Wang et al. (1996) provide an age range between 2921 ± 4 Ma, the age of intermediate volcanic rocks that underlie the host komatiite and 2903 ± 5 Ma, the age of felsic volcanic rocks that overlie the host komatiite. Romano et al. (2014) interpret these felsic volcanic rocks to underlie the ore-hosting unit. Alteration is post mineralisation. Endowment includes production from 2008 to 2014 of 10 Mt grading 0.6% Ni and mineral resources of 3.5 Mt at 1.49% Ni at 20 February 2015 (Poseidon Nickel Limited, 2015).</t>
  </si>
  <si>
    <t>Magnet</t>
  </si>
  <si>
    <t>Deep Creek Volcanics</t>
  </si>
  <si>
    <t>Massive, locally pillowed, spilitic, tholeiitic basalt, with interbedded tuff, volcaniclastic wacke, mudstone and chert.</t>
  </si>
  <si>
    <t>qtz-chl-dol</t>
  </si>
  <si>
    <t>Cox (1975); Green et al. (2014); Hong et al. (2017); Huston et al. (2017)</t>
  </si>
  <si>
    <t>Cited age is that of the Meredith Granite (Black et al., 2005), which crops out to the south of the deposit and is interpreted to underlie the deposit. Endowment includes production only (Green et al., 2014).</t>
  </si>
  <si>
    <t>Magnum</t>
  </si>
  <si>
    <t>Magnum Gabbro</t>
  </si>
  <si>
    <t>px-amp-pla-car-ep-rut-po±py</t>
  </si>
  <si>
    <t>Huston et al. (2010b); Maidment et al. (2017); Huston et al. (2021)</t>
  </si>
  <si>
    <t>Maidment et al. (2017)</t>
  </si>
  <si>
    <t>Cited age is of hornblende intimately intergrown with chalcopyrite (Huston et al., 2021). Endowment includes mineral resource only.</t>
  </si>
  <si>
    <t>Magpie</t>
  </si>
  <si>
    <t>crd-phl (mafic rocks); qtz-chl-ser (felsic rocks)</t>
  </si>
  <si>
    <t>Amphibolite (contact)</t>
  </si>
  <si>
    <t>Beames et al. (2017)</t>
  </si>
  <si>
    <t>Mulholland (1991); Berry et al. (1992); Stolz (1995); Hutton et al. (1997); Beams et al. (2017)</t>
  </si>
  <si>
    <t>Cited endowment is mineral resources (Beams et al., 2017). Volcanic units within the Trooper Creek are broadly syn-ore as they both overlie and underlie the ore position.</t>
  </si>
  <si>
    <t>Alluvial sediments</t>
  </si>
  <si>
    <t>https://www.mindat.org/loc-94.html (accessed May 2024)</t>
  </si>
  <si>
    <t>Lorrigan and Cozens (2017)</t>
  </si>
  <si>
    <t>Cited age of primary mineralisation is by analogy with the Dargues Reef deposit. Endowment is almost totally alluvial production, with only 26,400 oz (0.765 t) produced from bedrock.</t>
  </si>
  <si>
    <t>Maldon goldfield (including Daydawn, Eaglehawk-Linscott and Nuggety Reef)</t>
  </si>
  <si>
    <t>Maldon</t>
  </si>
  <si>
    <t>Quartz porphyry</t>
  </si>
  <si>
    <t>crd-bt</t>
  </si>
  <si>
    <t>https://www.mindat.org/loc-204431.html (accessed March 2024)</t>
  </si>
  <si>
    <t>Ebsworth et al. (1998); Bierlein et al. (1999b, 2001); Phillips et al. (2012a)</t>
  </si>
  <si>
    <t>Bierlein et al. (1999b, 2001); Phillips et al. (2012a)</t>
  </si>
  <si>
    <t>Cited location is that of the Eaglehawk-Linscott Reef. Cited age is recalculated age of Bierlein et al. (1999b, 2001) by Phillips et al. (2012a) for the Nuggety Reef deposit. The Daydawn deposit gave a slightly younger age of 369 ± 4 Ma. Endowment includes 56 t from hard rock deposits and 9 Mt from shallow paleoplacer and placer deposits (Phillips et al., 2003). The cited age of the Harcourt Granodiorite (369 ± 2 Ma: Bierlein et al., 2001) overlaps that inferred for mineralisation.</t>
  </si>
  <si>
    <t>Maldorky</t>
  </si>
  <si>
    <t>Mallee Bull</t>
  </si>
  <si>
    <t>Shume Formation</t>
  </si>
  <si>
    <t>Graywacke and siltstone with minor felsic volcanic rocks (base)</t>
  </si>
  <si>
    <t>Mallee Bull Formation (local name)</t>
  </si>
  <si>
    <t>Sandstone (including bouldery facies with felsic volcanic detritus and subordinate limestone clasts and intraformational diamictites)</t>
  </si>
  <si>
    <t>Felsic volcanic rock and detritus</t>
  </si>
  <si>
    <t>chl-qtz-ser-car-ab-stp-bt-mt</t>
  </si>
  <si>
    <t>David (2005); Brown et al. (2017); Fitzherbert et al. (2017a); Peel Mining Limited (2017, 2023); Edgecombe and Soininen (2017); Fitzherbert and Downes (2020)</t>
  </si>
  <si>
    <t>Fitzherbert and Downes (2020)</t>
  </si>
  <si>
    <t>Peel Mining Limited (2023)</t>
  </si>
  <si>
    <t>Cited location is approximate centre of mineralised zone in Figure 5 of Brown et al. (2017). Endowment includes mineral resources only. Edgecombe and Soininen (2017) interpreted two stages of mineralisation, and early volcanic-hosted massive sulfide event for the Zn-Pb-rich zones that has been overprinted by a Cobar-style Cu-Au event. The dominant style of mineralisation is interpreted as the regional (intrusion-related?) Cobar-style event; the earlier VHMS event is minor, but supported by lead isotope model ages.</t>
  </si>
  <si>
    <t>Mandamah</t>
  </si>
  <si>
    <t>Andesite, siltstone, andesitic volcaniclastic and andesitic volcanic breccia</t>
  </si>
  <si>
    <t>Munro (2010); Cronin et al. (2017); Sandfire Resources NL (2017)</t>
  </si>
  <si>
    <t>The cited age is supported by similar zircon SHRIMP U-Pb ages for other intrusion rocks in Temora district and by a molybdenite Re-Os model age of 438.0 ± 1.4 Ma from the Yiddah prospect ~20 km north of Mandamah. It is also consistent with the ~436 Ma age reported at Gidginbung, 20 km to the south (Lawrie et al., 2007). Endowment includes mineral resources only.</t>
  </si>
  <si>
    <t>Manfred</t>
  </si>
  <si>
    <t>V-Mo</t>
  </si>
  <si>
    <t>Mangana</t>
  </si>
  <si>
    <t>Mathinna</t>
  </si>
  <si>
    <t>https://www.mindat.org/loc-126609.html (accessed march 2024)</t>
  </si>
  <si>
    <t>Bottrill et al. (1992); Green et al. (2014)</t>
  </si>
  <si>
    <t>Cited age is from alteration sericite (uncertainty cited at 2σ). Endowment includes production only.</t>
  </si>
  <si>
    <t>Manindi (Freddie Well)</t>
  </si>
  <si>
    <t>Norie Group</t>
  </si>
  <si>
    <t>Quartz–sericite±chlorite±feldspar schist</t>
  </si>
  <si>
    <t>Manna</t>
  </si>
  <si>
    <t>Mafic to ultramafic rocks and felsic volcanic rocks with minor sedimentary rocks</t>
  </si>
  <si>
    <t>Manna pegmatite swarm</t>
  </si>
  <si>
    <t>Global Lithium Resources (2023)</t>
  </si>
  <si>
    <t>Phelps-Barber et al. (2022); Global Lithium Resources (2023)</t>
  </si>
  <si>
    <t>Cited location is approximate centre of the surface expression of the mineral resource. Cited age is by analogy with other Eastern Goldfields pegmatites.</t>
  </si>
  <si>
    <t>Manxman B</t>
  </si>
  <si>
    <t>Unnamed gabbronorite</t>
  </si>
  <si>
    <t>Gabbronorite</t>
  </si>
  <si>
    <t>Belperio et al. (2007)</t>
  </si>
  <si>
    <t>M Norman in Belperio et al. (2007)</t>
  </si>
  <si>
    <t>Very little information provided.</t>
  </si>
  <si>
    <t>Maramungee</t>
  </si>
  <si>
    <t>Gandry Dam Gneiss</t>
  </si>
  <si>
    <t>Quartzo-feldspathic gneiss</t>
  </si>
  <si>
    <t>px-gt-qtz-ap</t>
  </si>
  <si>
    <t>Williams and Heinemann (1993); Carr et al. (2001)</t>
  </si>
  <si>
    <t>Williams and Heinemann (1993)</t>
  </si>
  <si>
    <t>Endowment includes a pre-JORC mineral resource only. Interpreted by Williams and Heinemann (1993) as a skarn.</t>
  </si>
  <si>
    <t>Maranboy district</t>
  </si>
  <si>
    <t>Maranboy</t>
  </si>
  <si>
    <t>Tollis Formation</t>
  </si>
  <si>
    <t>Poorly sorted fine to coarse volcaniclastic metagreywacke; laminated slate and mudstone; minor phyllite, pale green cherty argillite and laminated black crystal tuff, volcanolithic pebble conglomerate, crystal tuff.</t>
  </si>
  <si>
    <t>Maranboy Porphyry</t>
  </si>
  <si>
    <t>Pinkish green-grey, medium-grained feldspar-quartz porphyry; strongly porphyritic hornblende granite</t>
  </si>
  <si>
    <t>Yeuralba Granite</t>
  </si>
  <si>
    <t>Medium to coarse biotite muscovite leucogranite, tourmaline greisen.</t>
  </si>
  <si>
    <r>
      <t>Endowment includes production of 1283 t SnO</t>
    </r>
    <r>
      <rPr>
        <vertAlign val="subscript"/>
        <sz val="9"/>
        <color rgb="FF000000"/>
        <rFont val="Times New Roman"/>
        <family val="1"/>
      </rPr>
      <t>2</t>
    </r>
    <r>
      <rPr>
        <sz val="9"/>
        <color rgb="FF000000"/>
        <rFont val="Times New Roman"/>
        <family val="1"/>
      </rPr>
      <t xml:space="preserve"> and pre-JORC mineral resources of 0.17 Mt at 1.06% Sn.</t>
    </r>
  </si>
  <si>
    <t>Marandoo</t>
  </si>
  <si>
    <t>Trendall et al. (1998); Thorne et al. (2017); Rio Tinto Limited (2019)</t>
  </si>
  <si>
    <t>Endowment includes ore reserves at 31 December 2018.</t>
  </si>
  <si>
    <t>Maronan</t>
  </si>
  <si>
    <t>Psammo-pelites passing eastward into iron formation including Fe-Mn silicate rocks, amphibolite, quartzite, iron oxide units and calcareous units, and then into quartz-muscovite-biotite-garnet schist</t>
  </si>
  <si>
    <t>ap-cal-qtz-alm-px-ksp-hya (gangue)</t>
  </si>
  <si>
    <t>Sun et al. (1996a); Austin et al. (2016); Valenta (2019a)</t>
  </si>
  <si>
    <t>Maronan Metals (2024)</t>
  </si>
  <si>
    <t>The cited age is a lead isotope model age calculated from the least radiogenic analysis using the CSIRO-AGSO north Australia model (Sun et al., 1996a). Endowment includes mineral resources only from Maronan Metals (2024) with 3 different resources that partially overlaps in space: 1) Silver-Lead 32.1Mt @ 6.1% Pb 107g/t, 2) Inferred Copper-Gold 32.5Mt @ 0.84% Cu 0.61g/t Au 7g/t Ag, and 3) Inferred ‘Gold-only’ 1.8Mt @ 1.24g/t Au).</t>
  </si>
  <si>
    <t>Maroochydore</t>
  </si>
  <si>
    <t>Broadhurst Formation</t>
  </si>
  <si>
    <t>Carbonaceous shale and dolostone</t>
  </si>
  <si>
    <t>dol-qtz-phl-chl-ap-fld (gangue assemblage)</t>
  </si>
  <si>
    <t>McKnight (1992); Reed (1996); Maidment et al. (2017); Porter (2017c)</t>
  </si>
  <si>
    <t>McKnight (1992); Reed (1996)</t>
  </si>
  <si>
    <t>Porter (2017c)</t>
  </si>
  <si>
    <t>Cited age is by analogy with Nifty age, but older than phlogopite K-Ar and Ar-Ar ages of ca 754 Ma (McKnight, 1992) and ca 717 Ma (Reed, 1996), respectively. These latter ages are unique in the Patterson Province and their significance is uncertain. Endowment includes total mineral resources.</t>
  </si>
  <si>
    <t>Marsden</t>
  </si>
  <si>
    <t>Diorite, granodiorite, monzonite and monzodiorite</t>
  </si>
  <si>
    <t>Post-mineralisation mafic dyke (local name)</t>
  </si>
  <si>
    <t>bt-mt</t>
  </si>
  <si>
    <t>Leslie et al. (2017); Evolution Mining Limited (2018)</t>
  </si>
  <si>
    <t>Leslie et al. (2017)</t>
  </si>
  <si>
    <t>Evolution Mining Limited (2018)</t>
  </si>
  <si>
    <t>Marvel Loch (including Yilgarn Star)</t>
  </si>
  <si>
    <t>Mine sequence (part of Luke Creek Greenstone)</t>
  </si>
  <si>
    <t>Interlayered basalt and sedimentary rocks (pelite, carbonaceous pelite and turbidite)</t>
  </si>
  <si>
    <t>Ghooli Dome granitoid</t>
  </si>
  <si>
    <t>Gneissic granitoid</t>
  </si>
  <si>
    <t>chl-bt-py (early) → car-dp (late)</t>
  </si>
  <si>
    <t>Rolley and Baxter (1990); www.portergeo.com.au</t>
  </si>
  <si>
    <t>Sons of Gwalia (2003, 2004); St Barbara Limited (2005, 2006, 2007, 2008, 2009); China Hanking Holdings Limited (2017)</t>
  </si>
  <si>
    <t>Age correlation is with the Nevoria deposit. Cited endowment only include production between 1095 and 2023. No mineral resources available.</t>
  </si>
  <si>
    <t>Skarn rare earth element</t>
  </si>
  <si>
    <t>Multiple</t>
  </si>
  <si>
    <t>Sm-Nd</t>
  </si>
  <si>
    <t>Upper intercept - discordia</t>
  </si>
  <si>
    <t>REE-U</t>
  </si>
  <si>
    <t>Garnet-diopside skarn, thin-bedded calc-silicate granofels, feldspar-rich cobble and boulder conglomerate, impure marble, mica schist, quartzite and amphibolite</t>
  </si>
  <si>
    <t>Monzonitic intrusion, possibly an altered gabbro</t>
  </si>
  <si>
    <t>gt-dp-scp-fld-all±hbd±pre±cal</t>
  </si>
  <si>
    <t>https://www.mindat.org/loc-12502.html (accessed July 2023)</t>
  </si>
  <si>
    <t>Page (1983); Maas et al. (1987); Oliver et al. (1999); McKay and Miezitis (2001); Jaireth et al. (2014); Valenta (2020a); Vaughan et al. (2021)</t>
  </si>
  <si>
    <t>Page (1983); Maas et al. (1987); Oliver et al. (1999); Burnham et al. (in press)</t>
  </si>
  <si>
    <t>Maas et al. (1987); McKay and Miezitis (2001); Jaireth et al. (2014); Vaughan et al. (2021)</t>
  </si>
  <si>
    <t>Allanite at Mary Kathleen and the neighbouring Koppany prospect crystallised in three mineralising events, at 1732 ± 8 Ma, ~1520 Ma and at 1473 ± Ma (Burnham et al., in press). The oldest is within uncertainty of the Burstall Granite crystallisation and thus represents skarn formation; the latter two events reworked the original mineralogy, remobilising elements on a local scale with little external addition of metals, leading to uranium and sulfide mineralisation (e.g. Oliver et al., 1999). The Lakeview Dolerite is much younger, at 1116 ± 12 Ma (Page, 1983). Endowment includes resources prior to commencement of mining in 1958. Mining occurred in two periods, 1958-1963 and 1976-1982, with total production of 8882 t U3O8 (McKay and Miezitis, 2001). Individual lanthanide oxide grades were estimated based on a total lanthanide grade of 4.48% (Jaireth et al., 2014), and the average of three ore analyses by Maas et al. (1987). The average values for each lanthanide were used to calculate percentage of total lanthanides and then converted to oxides. The endowment was calculated from the total ore tonnage. It must be stressed here that the estimated grades for individual lanthanides are approximate and NOT code-compliant. Lanthanides were not recovered during uranium mining, so the tailings are estimated to contain 5.5-7.5 Mt grading 2.3% LREO, with 0.75% La2O3 and 1.25% CeO2 (Vaughan et al., 2021).</t>
  </si>
  <si>
    <t>Mary River Goldfield (including Reform and Newlook deposits)</t>
  </si>
  <si>
    <t>Mary River Goldfield</t>
  </si>
  <si>
    <t>Cited location is that of the Reform deposit. Cited age is by analogy with the Mount Bradley deposit. Endowment is historical production, mostly alluvial and dollied gold from claims.</t>
  </si>
  <si>
    <t>Mary River Gossan</t>
  </si>
  <si>
    <t>Mundogie Sandstone</t>
  </si>
  <si>
    <t>Medium- to coarse-grained quartz-lithic sandstone and minor carbonaceous slate</t>
  </si>
  <si>
    <t>Endowment includes pre-JORC mineral resources. Within Kakadu National Park.</t>
  </si>
  <si>
    <t>Maryborough goldfield</t>
  </si>
  <si>
    <t>Maryborough</t>
  </si>
  <si>
    <t>https://www.mindat.org/loc-19068.html (accessed March 2024)</t>
  </si>
  <si>
    <t>Cited location is the town of Maryborough, which is central to district. Cited age is by analogy with the Bendigo, Ballarat and Castlemaine districts. Endowment includes 3 t of hard rock and 29 t of deep paleoplacer production (Phillips et al., 2003).</t>
  </si>
  <si>
    <t>Marymia</t>
  </si>
  <si>
    <t>Plutonic</t>
  </si>
  <si>
    <t>Mafic amphibolite (tholeiitic basalt)</t>
  </si>
  <si>
    <t>Pre-ore granitoid</t>
  </si>
  <si>
    <t>Felsic porphyry</t>
  </si>
  <si>
    <t>qtz-hbd-bt±sid (banded iron formation); qtz-hbd-bt-ksp-pl-cal-tit-ep±sch (amphibolite - metabasalt)</t>
  </si>
  <si>
    <t>Cumming and Richards (1975); Vielreicher and McNaughton (2002); Vielreicher et al. (2002)</t>
  </si>
  <si>
    <t>Cumming and Richards (1975); Vielreicher et al. (2002)</t>
  </si>
  <si>
    <t>Catalyst Metals Limited (2023)</t>
  </si>
  <si>
    <t>Cited age is a Cumming and Richards (1975) model age for the least radiogenic analysis (galena: Vielreicher et al., 2002). Two additional analyses give model ages of 2639 Ma and 2636 Ma. The Stacey and Kramer (1975) model age for the same analyses is older than the age of the host rocks. Vielreicher et al. (2002) interpret that gold is syn-D2, which has an age of 2660-2630 Ma based on SHRIMP ages of recrystallised magmatic zircons (Vielreicher and McNaughton, 2002). Vielreicher et al. (2002) interpret base metal mineralisation at 1730-1650 Ma based on lead isotope model ages and relationships to structural elements. Resources are production to 1998 (1.4 Mt at 4.0 g/t Au; Vielreicher et al., 2002) and resources in 2023 (Catalyst Metals Limited 2023). Magnetite is present in iron formation but is not part of the ore assemblage. Endowment includes production and mineral resources.</t>
  </si>
  <si>
    <t>ser-car-py±kao</t>
  </si>
  <si>
    <t>https://www.mindat.org/loc-234510.html (accessed March 2024)</t>
  </si>
  <si>
    <t>Cited location is the Golden Gate mine. Cited age is the weighted average of two 40Ar-39Ar plateau ages (389.3 ± 2.2 Ma and 389.6 ± 2.1 Ma (1σ uncertainties)), with the total uncertainty reported at 2σ (Bierlein et al., 2005). Endowment includes past production of 8.8 t Au (Bottrill et al., 1992) and mineral resources of 59,000 t at 13.4 g/t Au and 153,000 t at 2.5 g/t Au (Green et al., 2014).</t>
  </si>
  <si>
    <t>Matilda</t>
  </si>
  <si>
    <t>Wiluna</t>
  </si>
  <si>
    <t>High-Mg basalt</t>
  </si>
  <si>
    <t>Felsic volcaniclastic rocks</t>
  </si>
  <si>
    <t>Coarse-grained biotite granite</t>
  </si>
  <si>
    <t>ser±sid±bt (proximal) → chl-ser-ank → chl-car (distal)</t>
  </si>
  <si>
    <t>Morgan and El-Raghy (1990); Kent and Hagemann (1996); Blackham Resources (2017, 2018); https://wilunamining.com.au/matilda/ (accessed May 2024)</t>
  </si>
  <si>
    <t>Kent and Hagemann (1996)</t>
  </si>
  <si>
    <t>https://wilunamining.com.au/matilda/ (accessed May 2024)</t>
  </si>
  <si>
    <t xml:space="preserve">Cited age is from Kent and Hagemann (1996), who also reported several younger ages, but interpreted these to have been reset. Endowment includes production through the early 1990s of 2.66 Mt grading 2.31 g/t Au, production to 30 June 2018 (all production from Wiluna-Matilda project assumed to be from Matilda deposit; the production is recorded in terms of tonnage milled and mill feed grade, and does not consider recoveries) and total mineral resources as of 30 June 2018 (4.93 Mt at 1.77 g/t). Most of the Wiluna-Matilda project from 2016 to 30 June 2018 appears to have been from Matilda, but the data have not been attributed to individual deposits. </t>
  </si>
  <si>
    <t>Maud Creek</t>
  </si>
  <si>
    <t>Maud Dolerite</t>
  </si>
  <si>
    <t>Medium-grained, grey-green quartz dolerite, metadolerite</t>
  </si>
  <si>
    <t>Dorothy Volcanic Member</t>
  </si>
  <si>
    <t>Basalt, pyroclastic rocks and tuffaceous sedimentary rocks</t>
  </si>
  <si>
    <t>sil; gra-chl</t>
  </si>
  <si>
    <t>Ahmad and Khan (2013); Fairfield et al. (2016); Edwards and Hitchman (2017)</t>
  </si>
  <si>
    <t>Fairfield et al. (2016) Edwards and Hitchman (2017)</t>
  </si>
  <si>
    <t>Cited age is by analogy with other Pine Creek orogenic gold deposits (e.g., Cleo, Goodall, Howley and Mount Todd). Endowment includes historic (1932-1934: 540 ounces (16.8 kg) from 400 t (42.0 g/t)) and more recent (2000: 173,581 t at 3.32 g/t) production and total mineral resources of 8.48 Mt at 3.16 g/t Au at 15 April 2016 (Fairfield et al., 2016).</t>
  </si>
  <si>
    <t>Maureen</t>
  </si>
  <si>
    <t>Fluorite</t>
  </si>
  <si>
    <t>Volcaniclastic sandstone, tuffaceous rocks and rhyolitic ignimbrite</t>
  </si>
  <si>
    <t>cl-fl</t>
  </si>
  <si>
    <t>Hurtig (2008); Huston et al. (2011b)</t>
  </si>
  <si>
    <t>Huston et al. (2011b)</t>
  </si>
  <si>
    <t>Mauretania</t>
  </si>
  <si>
    <t>hem±mt±chl±qz</t>
  </si>
  <si>
    <t>hem</t>
  </si>
  <si>
    <t>Emmerson Resources (2022)</t>
  </si>
  <si>
    <t>Description of deposit is limited. Endowment is JOCR compliant and include resources.</t>
  </si>
  <si>
    <t>Mawson</t>
  </si>
  <si>
    <t>Weednanna</t>
  </si>
  <si>
    <t>Fine-grained, feldspathic metasedimentary rocks</t>
  </si>
  <si>
    <t>gt-opx-ep</t>
  </si>
  <si>
    <t>Reid et al. (2012)</t>
  </si>
  <si>
    <t>The cited age is consistent with a range of molybdenite Re-Os model ages ranging from 1604 ± 7 Ma to 1548 ± 7 Ma.</t>
  </si>
  <si>
    <t>May Day</t>
  </si>
  <si>
    <t>Mount Hope Group</t>
  </si>
  <si>
    <t>Massive porphyritic crystal tuffs, rhyolitic to rhyodacitic lavas, lithic crystal tuff, crystal-vitric tuff and local sandstone and siltstone</t>
  </si>
  <si>
    <t>Amphitheatre Group</t>
  </si>
  <si>
    <t>Thin- to medium-bedded siltstone and sandstone with minor rhyolitic to rhyodacitic crystal, lithic-crystal and vitric tuff</t>
  </si>
  <si>
    <t>Burton (2012)</t>
  </si>
  <si>
    <t>Burton (2012); Peel Mining Limited (2020b, 2023)</t>
  </si>
  <si>
    <t>Bull et al. (2008)</t>
  </si>
  <si>
    <t>Burton (2012); Peel Mining Limited (2023)</t>
  </si>
  <si>
    <t>Location is from centre of historic open cut (Burton, 2012). Cited age is that of the host Mount Hope Volcanics. This is assumed to be the age based on the inference that the deposit is syngenetic (~75 kg; Peel Mining Limited, 2020b). Endowment includes mineral resources only and do not include production totalling 2398 oz (Burton, 2012).</t>
  </si>
  <si>
    <t>Mayfield</t>
  </si>
  <si>
    <t>Cu-Au-Zn</t>
  </si>
  <si>
    <t>De Drack Formation</t>
  </si>
  <si>
    <t>Sandstone and marble</t>
  </si>
  <si>
    <t xml:space="preserve">Silurian </t>
  </si>
  <si>
    <t>Glenrossal Granite (Braidwood Granodiorite)</t>
  </si>
  <si>
    <t>Hornblende-biotite monzogranite and granodiorite</t>
  </si>
  <si>
    <t>adr-cal-qtz-ep-chl-mt</t>
  </si>
  <si>
    <t>Seccombe et al. (2005); Downes (2009); Bodorkos et al. (2010)</t>
  </si>
  <si>
    <t>Bodorkos et al. (2010)</t>
  </si>
  <si>
    <t>Seccombe et al. (2005); Downes (2009)</t>
  </si>
  <si>
    <t>Cited age is that of a nearby sample from the Braidwood Granodiorite, which forms a major body to the south and extending into the deposit area. Endowment includes mineral resources only.</t>
  </si>
  <si>
    <t>McArthur River (HYC)</t>
  </si>
  <si>
    <t>Barney Creek Formation - HYC Pyrite Shale Member</t>
  </si>
  <si>
    <t>Thinly bedded, laminated, carbonaceous, dolomitic pyritic siltstone; also thin beds of tuffaceous mudstone.</t>
  </si>
  <si>
    <t>kfs-hm; chl-hm</t>
  </si>
  <si>
    <t>Ferroan dol-ank±py (FW and HW)</t>
  </si>
  <si>
    <t>Williams (1978a,b); Rye and Williams (1981); Cooke et al. (1998); Page et al. (2000); Carr et al. (2001); Large et al. (2005); Symons (2007); Ahmad et al. (2013c)</t>
  </si>
  <si>
    <t>Page et al. (2000); Symons (2007)</t>
  </si>
  <si>
    <t>Large et al. (2005); Huston et al. (2006)</t>
  </si>
  <si>
    <t>The cited age is the paleomagnetic age of Symons (2007). The age of the host succession 1639 ± 2 Ma (Page et al., 2000), which is within error (2σ) of the paleomagnetic age, however conglomerate and fold test indicate that mineralization post-dated lithification and burial. The proximal alteration extends up to 50 m into footwall, 200 m into hanging wall and 15 km along strike (Large et al., 2005; note that the alteration observed along strike may be influenced by other mineralising systems and that this may be an over-estimate). Endowment includes pre-mining mineral resources.</t>
  </si>
  <si>
    <t>McKinnons</t>
  </si>
  <si>
    <t>Siltstone intercalated with subordinate mudstone and fine-grained sandstone.</t>
  </si>
  <si>
    <t>sil (proximal) → py → car (distal)</t>
  </si>
  <si>
    <t>McQueen et al. (2005)</t>
  </si>
  <si>
    <t>Elliott et al. (1998); McQueen et al. (2005); Smith et al. (2009)</t>
  </si>
  <si>
    <t>Smith et al. (2009)</t>
  </si>
  <si>
    <t>Cited age of weathering is the younger of two paleomagnetic ages from the regolith. The older age was 60 ± 10 Ma. Endowment includes pre-mining mineral resources. Total production to 2000 was 131 koz (4.07 t) Au).</t>
  </si>
  <si>
    <t>McPhee Creek</t>
  </si>
  <si>
    <t>Minor pisolitic ores also present (Crescent Moon prospect).</t>
  </si>
  <si>
    <t>McPhillamys</t>
  </si>
  <si>
    <t>Andesitic and dacitic volcaniclastic rocks</t>
  </si>
  <si>
    <t>ser±sil±car±chl</t>
  </si>
  <si>
    <t>Duerden (2010); French et al. (2017); Regis Resources (2019)</t>
  </si>
  <si>
    <t>The age and origin of this deposit is controversial. Duerden (2010) interpreted an Silurian (~425 Ma) volcanic-hosted massive sulfide origin, but French et al. (2017) interpreted an orogenic gold origin, but did not present an age. The deposit has unusual characteristics for both models. Endowment includes mineral resources and does not include minor production in 1894 of 6.2 oz (192 g). Significant, but sub-economic, grades of Cu (0.08%) were reported in earlier mineral resource estimates.</t>
  </si>
  <si>
    <t>Menninnie Dam</t>
  </si>
  <si>
    <t>Age of associated intrusion</t>
  </si>
  <si>
    <t>As-Mo-Sb</t>
  </si>
  <si>
    <t>Dolomitic and serpentitic marble</t>
  </si>
  <si>
    <t>Sleaford Complex</t>
  </si>
  <si>
    <t>Quartz-feldspar-biotite schist and megacrystic feldspar-biotite gneiss</t>
  </si>
  <si>
    <t>Bittali Rhyolite</t>
  </si>
  <si>
    <t>Rhyolitic to rhyodacitic, aphyric to quartz- and feldspar-phyric lavas and ignimbrites and rhyolitic feeder dykes</t>
  </si>
  <si>
    <t>qtz-car-chl-adu-phn-fl-rho-tc-phl-dol-hem-mt (gangue to mineralized zone)</t>
  </si>
  <si>
    <t>mh</t>
  </si>
  <si>
    <t>Roache (1996): Fanning et al. (2007); A Reid (2015, pers. comm.); Nicolson et al. (2017)</t>
  </si>
  <si>
    <t>Fanning et al. (2007); A Reid (2015, pers. comm.)</t>
  </si>
  <si>
    <t>Nicolson et al. (2017)</t>
  </si>
  <si>
    <t>Cited age is the overall age of weakly altered and non-altered Gawler Range Volcanics and related intrusions dated by SHRIMP zircon. This age constrains the timing of hydrothermal alteration. Endowment includes mineral resources only.</t>
  </si>
  <si>
    <t>Merlin</t>
  </si>
  <si>
    <t>Re-Cu</t>
  </si>
  <si>
    <t>Hampden Slate, Kuridala Formation</t>
  </si>
  <si>
    <t>Variably bleached carbonaceous metasiltstone-shale</t>
  </si>
  <si>
    <t>Stavely Formation</t>
  </si>
  <si>
    <t>Metadoleritic and amphibolitic sills</t>
  </si>
  <si>
    <t>Mount Dore Granite</t>
  </si>
  <si>
    <t>Equigranular hornblende-biotite and biotite granite, minor aplite. Forms thrusted structural hanging wall to deposit; unaltered at deposit</t>
  </si>
  <si>
    <t>sil-ab±hem±scp, act-dp-ep±bt±mt±scp±gt (pre-ore) → ksp-px-act-ep-scp-qtz (syn-ore)</t>
  </si>
  <si>
    <t>Duncan et al. (2011, 2014); Babo (2014); Faulkner and Phillips (2017); McGeough and Faulkner (2017); Valenta and Hinman (2018)</t>
  </si>
  <si>
    <t>Valenta and Hinman (2018)</t>
  </si>
  <si>
    <t>Cited age is the weighted average Re-Os ages of all analyses of samples MQD0150 @ 170.80 m (three repeat analyses) and MDQ0132 @ 355.40 (two repeat analyses) as reported by Babo (2014; total 5 analyses). These samples are of molybdenite breccia infill. Babo (2014) also reported three younger analyses of veinlet and disseminated molybdenite at 1523 ± 6 Ma, 1521 ± 6 and 1520 ± 6 Ma, which the interpreted as a remobilisation event. He also reported two repeated analysis of slightly weathered molybdenite form the Little Wonder zone that yielded ages of 1591 ± 7 Ma and 1802 ± 7 Ma that were discounted due to irreproducibility. Babo (2014) also reported repeat analyses from the nearby Lanham's shaft with ages of 1559 ± 6 and 1560 ± 7 Ma, which are older that the Merlin results. Duncan et al. (2011, 2014) reported significantly younger ages for the Mount Dore deposit (1503 ± 7 Ma). Endowment includes mineral resources only.</t>
  </si>
  <si>
    <t>Merlin district</t>
  </si>
  <si>
    <t>Merlin kimberlite</t>
  </si>
  <si>
    <t>Kimberlite, consisting of serpentine, iron oxides, silica, calcite/Mg calcite, phlogopite, spinel and chlorite; fresh olivine is rarely present.</t>
  </si>
  <si>
    <t>Atkinson et al. (1990); Lee et al. (1998); Hell et al (2003); Ahmad et al. (2013c); Reddicliffe and Kammermann (2017)</t>
  </si>
  <si>
    <t>Atkinson et al. (1990); Hell et al (2003)</t>
  </si>
  <si>
    <t>Reddicliffe and Kammermann (2017)</t>
  </si>
  <si>
    <t>Cited age is slightly older than an earlier phlogopite Rb-Sr age of 367 ± 4 Ma (Atkinson et al., 1990). Endowment includes production of 0.543 Mct in 198-2010 and total resources as of 29 July 2016 of 4.36 Mct (Reddicliffe and Kammermann, 2017).</t>
  </si>
  <si>
    <t>Miaree</t>
  </si>
  <si>
    <t>Middleback Jaspilite</t>
  </si>
  <si>
    <t>Medium-grained granite</t>
  </si>
  <si>
    <t>Yeates (1989); Jagodzinski et al. (2011); Szpunar et al. (2011)</t>
  </si>
  <si>
    <t>Cited age is the maximum depositional age quartz-biotite-garnet metasedimentary rock interbedded with oxide-facies iron formation at the Bungalow prospect (Jagodzinski et al., 2011). It is supported by a maximum depositional age in overlying Cook Gap Schist of 2566 ± 20 Ma in the Middleback Ranges (Szpunar et al., 2011). At the Bungalow prospect the Lower Middleback Jaspilite is intruded by granite with ages of 1731 ± 6 Ma and 1723 ± 13 Ma (Jagodzinski et al. (2011). According to Yeates (1989) the Upper Middleback Jaspilite in the Middleback Ranges region is a structural repetition of the Lower Middleback Jaspilite.</t>
  </si>
  <si>
    <t>Middleback Range district (includes Cavalier, Iron Baron, Iron Barron South, Iron Chiefton, Iron Duchess, Iron Duke, Iron Knight, Iron Knob, Iron Magnet, Iron Monarch, Iron Mount, Iron Prince, Iron Princess and Iron Queen and Kimba Gap)</t>
  </si>
  <si>
    <t>Middleback Range</t>
  </si>
  <si>
    <t>Succession of iron-rich lithologies that include from base to top: (1) carbonate facies iron formation comprising iron carbonate, silica and iron oxide with some graphitic schist and sulfide facies (pyrite-pyrrhotite) iron formation; (2) silicate facies iron formation dominated by Fe-rich silicates (e.g. Fe-rich talc and cummingtonite-grunerite) interbedded with silica and iron oxides; and (3) and oxide facies iron formation dominated by silica and iron oxides.</t>
  </si>
  <si>
    <t>Unnamed mafic to ultramafic sills and dykes</t>
  </si>
  <si>
    <t>Chlorite-serpentine schist</t>
  </si>
  <si>
    <t>Unnamed mafic dykes (Gairdner equivalents)</t>
  </si>
  <si>
    <t>Undeformed quartz dolerite</t>
  </si>
  <si>
    <t>Yeates (1989); Jagodzinski et al. (2011); Szpunar et al. (2011); Fraser (2012); Government of South Australia (2013); Davis and Twining (2018)</t>
  </si>
  <si>
    <t>Government of South Australia (2013); Davis and Twining (2018)</t>
  </si>
  <si>
    <t>Cited age of precursor is the maximum depositional age of the overlying Cook Gap Schist (Szpunar et al., 2011). The cited age of hypogene upgrading (Fraser, 2012) covers the range (700-500 Ma) from the main peak (43 analyses out of 73) of a spectrum of ages that include minor detrital zircons and probable hydrothermal zircons or hydrothermally disturbed zircons from a sample of iron ore. The spectrum includes zircons with ages as young as ~98 Ma. Endowment includes historic production to 2013 of approximately 200 Mt of ore (assumed grades as the 2013 hematite resource) and mineral resources as of 2013 of 153.2 Mt at 58.0% Fe (hematite ores), 228.2 Mt at 38.8% Fe (magnetite ores) for the Middleback Ranges operations, 18.2 Mt at 58% Fe for the Iron Chieftain deposit (Government of South Australia, 2013), 487.1 Mt at 18.5% Fe for Kimba Gap and 179 Mt at 34.8% Fe at Iron Magnet (Davies and Twining, 2018). The Kimba Gap and Iron Magnet resources are reported separately from the rest of the Middleback and Iron Chieftain deposit.</t>
  </si>
  <si>
    <t>Mindarie</t>
  </si>
  <si>
    <t>Cited age is based on Late Miocene-Early Pliocene (7.2-5.0 Ma) age of host Loxton Sand as reported by Keeling et al. (2016). Endowment includes mineral resources in 2016 of 244 Mt at 3.1% heavy minerals comprising 17.4% zircon, 5.0% rutile, 7.4% leucoxene and 44.4% ilmenite. Titanium content of leucoxene calculated assuming the leucoxene contains 70% TiO2. The endowment does not include production in 2007-2009 and 2012-2015.</t>
  </si>
  <si>
    <t>Mine Corridor (includes Mungana Zn, Griffiths Hill, Girofla, Lady Jane, Dorothy)</t>
  </si>
  <si>
    <t>Supergene/oxide lead</t>
  </si>
  <si>
    <t>I-type biotite-hornblende granodiorite, biotite granite and (monzo) diorite. Deposit is spatially associated with rhyolitic quartz-feldspar porphyry; biotite granite is also present</t>
  </si>
  <si>
    <t>Rhyolitic quartz-feldspar porphyry: hed-ksp (endoskarn; also exoskarn in siliciclastic rocks); marble: gt-cpx-ves-wol±ksp±fl → ilv-cpx-act-ser-cpx-qtz-cal-clay-hem-cp-asp-mol-sl-gn-ten-bn (banded skarn; when in contact with other units), gt-qtz-cap-mt-cp-sl-py-mar (garnet skarn; dominant skarn assemblage), wol-anr-dp±mo±lcp±asp (wollastonite skarn; forms along marble-chert contacts)</t>
  </si>
  <si>
    <t>Chang (2005); Georgees (2007); Lehrmann (2012); Henderson and Donchak (2013); Morrison and Beaton (2015); Consolidated Tin Mines Limited (2017)</t>
  </si>
  <si>
    <t>Georgees (2007)</t>
  </si>
  <si>
    <t>Morrison and Beaton (2015); Consolidated Tin Mines Limited (2017)</t>
  </si>
  <si>
    <t>Cited age is from molybdenite associated with andradite-wollastonite skarn, which is identical to a SHRIMP U-Pb age of the Mungana Granite, although the granite is thought to be unrelated to the skarn (Georgees, 2007). Endowment includes mineral resources from Morrison and Beaton (2015) for the Mungana zinc and Griffith Hill deposits and from Consolidated Tin Mines Limited (2017) for the Girofla deposit. The endowment does not include production and, therefore, is an under-estimate.</t>
  </si>
  <si>
    <t>Mineral Hill</t>
  </si>
  <si>
    <t>Cambelego-Mineral Hill</t>
  </si>
  <si>
    <t>Mineral Hill Volcanics</t>
  </si>
  <si>
    <t>Aphyric to crystal-poor dacite to moderately coarse-grained crystal-rich rhyolite, crystal-lithic and vitric volcaniclastic sandstone, lesser mudstone, siltstone, jasper/chert and limestone.</t>
  </si>
  <si>
    <t>Wilmatha Granite</t>
  </si>
  <si>
    <t>I-type. Fine- to medium-grained weakly porphyritic pale pink leucogranite commonly with miarolitic cavities and micrographic groundmass.</t>
  </si>
  <si>
    <t>Yellow Mountain Granite</t>
  </si>
  <si>
    <t>Foliated, medium-grained, equigranular and porphyritic biotite granite; mylonite zones common. associated, scattered porphyritic biotite micromonzogranite dykes intrude the granite margins.</t>
  </si>
  <si>
    <t>Mount Walton Porphyry</t>
  </si>
  <si>
    <t>I-type. Massive medium-grained crowded pink two-feldspar porphyry typically with accessory fluorite.</t>
  </si>
  <si>
    <t>chl-qtz-ser (Cu-rich veins); [chl-qtz-mt-car±bar (early) → cal-hm (late)] (EOZ skarn), [pre-chl-grd-qtz-gra-ser-ep (early) cal (late)] (Jacks Hut Skarn); [qtz-adu, qtz-hm-chl-ser-car, ser-car] (Parkers Hill epithermals)</t>
  </si>
  <si>
    <t>https://www.mindat.org/loc-76.html (accessed March 2024)</t>
  </si>
  <si>
    <t>Morrison et al. (2004); Jones and MacKenzie (2007); KBL Mining Limited (2013, 2015, 2016); Downes et al. (2016); Downes and Phillips (2018)</t>
  </si>
  <si>
    <t>Downes et al. (2016); Downes and Phillips (2018)</t>
  </si>
  <si>
    <t>Jones and MacKenzie (2007); KBL Mining Limited (2013, 2015, 2016); Kingston Resources Limited (2023)</t>
  </si>
  <si>
    <t>Cited age is constrained by a maximum age of 420.5 ± 2.7 Ma (Downes and Phillips, 2018) for Pierce, the age of the host volcanic Mineral Hill Volcanics 417.6 ± 2.3 Ma and the age of the unconformably overlying, unmineralised Talingaboolba Formation (Pridoli to Lochkovian) (Morrison et al., 2004). Lead isotope model ages suggest a potentially younger event at ca 405 Ma. Endowment includes production of 14,300 t at 24 oz/t Ag and 19% Pb to 1957, 2.1 Mt at 1.14% Cu and 6.5 g/t Au from 1989 to 2005, and 1.15 Mt at 1.31% Cu, 0.16% Zn, 0.19% Zn, 23.4 g/t Ag and 1.6 g/t Au from 2012 to June 2016. Mineral resources at 30 June 2016 were 1.145 Mt at 0.89% Cu, 1.38% Zn, 1.65% Pb, 21.7 g/t Ag and 1.77 g/t Au. Production ceased shortly afterward in 2016, and the KBL Mining went into administration in September 2016. Mineral resources have since been re-established by Kingston Resources Limited (2023) at 8.9 Mt grading 1.0% Cu, 1.1% Zn, 1.6% Pb, 28 g/t Ag and 1.13 g/t Au. this resource, along with the production to June 2016 constitutes the endowment. The endowment does not include production from 30 June until mine closure.</t>
  </si>
  <si>
    <t>Mining Area C</t>
  </si>
  <si>
    <t>The reserves and resources presented by Anger et al. (2017; as of 30 June 2012) are greater than the pre-mining resource cited by Thorne et al. (2008: 950 Mt), so the former are used as the endowment, although production prior to 30 June 2012 has not been included.</t>
  </si>
  <si>
    <t>Minnamoolka</t>
  </si>
  <si>
    <t>Minnie Moxham</t>
  </si>
  <si>
    <t>Plateau-like</t>
  </si>
  <si>
    <t>Vos et al. (2007)</t>
  </si>
  <si>
    <r>
      <t xml:space="preserve">Cited age is a plateau-like segment of an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analysis of alteration sericite. No production or resources are known from this deposit. Endowment is estimated mineral resources (Lysytsyn, 2015).</t>
    </r>
  </si>
  <si>
    <t>Minotaur</t>
  </si>
  <si>
    <t>Dead Bullock Soak Formation - Taurus formation (local name)</t>
  </si>
  <si>
    <t>Hornblende-quartz-cummingtonite±almandine±clinopyroxene±biotite±plagioclase±chlorite schist with cherty lenses and lesser calc-silicate units. Interpreted as sulfide-silicate-facies iron formation</t>
  </si>
  <si>
    <t>Cited age is by analogy with the Callie deposit. Endowment includes production of 0.665 Mt at 2.52 g/t Au and mineral resources of 0.83 Mt at 2.9 g/t.</t>
  </si>
  <si>
    <t>Minyari-WACA</t>
  </si>
  <si>
    <t>Telfer</t>
  </si>
  <si>
    <t>Co-Ag</t>
  </si>
  <si>
    <t>Antipa Minerals Limited (2017b)</t>
  </si>
  <si>
    <t>Antipa Minerals Limited (2017b, 2022)</t>
  </si>
  <si>
    <t>Antipa Minerals Limited (2022)</t>
  </si>
  <si>
    <t>Cited age is by correlation with the Telfer deposit. Endowment includes mineral resources only.</t>
  </si>
  <si>
    <t>Miralga Creek</t>
  </si>
  <si>
    <t>Basalt, dolerite and chert</t>
  </si>
  <si>
    <t>Felsic porphyritic stock</t>
  </si>
  <si>
    <t>qtz-mus-pyr±py±rut±phl (early, magmatic-related) → ank-sid-qtz (late, epithermal)</t>
  </si>
  <si>
    <t>Groves (1987)</t>
  </si>
  <si>
    <t>Groves (1987); Goellnicht et al. (1988); Marshall (2000); Thorpe et al. (1992a,b)</t>
  </si>
  <si>
    <t>Groves (1987); Thorpe et al. (1992a,b)</t>
  </si>
  <si>
    <t>Galena from this deposit yields a Western Superior model age of ca 3447 Ma (Groves, 1987; Thorpe et al., 1992b)</t>
  </si>
  <si>
    <t>Mirrioola</t>
  </si>
  <si>
    <t>CaF2-Sn-W</t>
  </si>
  <si>
    <t>Fine-grained, compact, pale to dark grey mudstone with well-defined bedding which was slightly disturbed, apparently by burrowing organisms. Thin beds of silty or dolomitic limestone present toward the base.</t>
  </si>
  <si>
    <t>[gt-px-ves-wol (proximal, lower) → mt-ves-fl → gt-px-ves-wol-mt-fl (distal, upper)] (early) → fhs-ann-chl (retrograde)</t>
  </si>
  <si>
    <t>Kwak and Askins (1981); Green et al. (2014); Huston et al. (2022)</t>
  </si>
  <si>
    <t>Cited age is by analogy with the Dolcoath molybdenite occurrence (Huston et al., 2021). Endowment includes pre-JORC mineral resources only (Green et al., 2014).</t>
  </si>
  <si>
    <t>Moline district (includes Kendergarten, Moline Dam, Northern Hercules, Southern Hercules and Tumbling Dice)</t>
  </si>
  <si>
    <t>Moline</t>
  </si>
  <si>
    <t>Interbedded carbonaceous sericitic and commonly pyritic or chloritic slate, phyllite, mudstone and siltstone (ore host); fine to coarse feldspathic metagreywacke; ferruginous phyllite (metasiltstone) with chert bands (ore host), lenses and nodules</t>
  </si>
  <si>
    <t>qtz-ser-ksp-ab-adu-chl-tm-car</t>
  </si>
  <si>
    <t>Cited age is by analogy with other Pine Creek orogenic gold deposits (e.g., Cleo, Goodall, Howley and Mount Todd). Endowment includes production of 1.679 Mt at 3.07 g/t Au and mineral resources of 0.502 Mt at 2.96 g/t Au.</t>
  </si>
  <si>
    <t>Molyhil</t>
  </si>
  <si>
    <t>W-Mo</t>
  </si>
  <si>
    <t>Metamorphosed siliciclastic sedimentary rocks with minor marble lenses.</t>
  </si>
  <si>
    <t>Marshall Granite</t>
  </si>
  <si>
    <t>Medium-grained biotite granite</t>
  </si>
  <si>
    <t>Granite: ksp-hbd±qtz±cal±bt±mt (proximal) → chl (distal); sedimentary units: mt-py-px-gt-amp-qtz (proximal) → gt-px-ep-cal±qtz-bt±mt±py → chl (distal)</t>
  </si>
  <si>
    <t>Barraclough (1979); Huston et al. (2006b, 2021); Cross (2009); Scrimgeour (2013a); Kositcin et al. (2018); Thor Mining PLC (2021)</t>
  </si>
  <si>
    <t>Huston et al. (2006b, 2021); Cross (2009); Kositcin et al. (2018)</t>
  </si>
  <si>
    <t>Thor Mining PLC (2021)</t>
  </si>
  <si>
    <t>Cited age is supported by 40Ar-39Ar plateau age from endoskarn hornblende of 1702 ± 5 Ma (not recalculated using decay constants of Kwon et al. (2002): Huston et al., 2006b) and by a single SHRIMP xenotime analysis of 1714 ± 26 Ma (Cross, 2009; Huston et al., 2021). The cited age is within error of the Marshall Granite (1723 ± 12Ma Ma: Kositcin et al., 2018). Endowment includes mineral resources only and excludes minor production of 20 kt for 100 t W concentrate (70% WO3; molybdenite was not recovered). As indicated by Scrimgeour (2013a) the host rock is inferred to be Bonya Metamorphics, although there is significant uncertainty to this interpretation.</t>
  </si>
  <si>
    <t>Monakoff</t>
  </si>
  <si>
    <t>Mont Norna Quartzite</t>
  </si>
  <si>
    <t>Intercalated magnetite-bearing muscovite pelite, psammopelite, and meta-dolerite</t>
  </si>
  <si>
    <t>Massive medium- to coarse-grained meta-dolerite to gabbro in the west, and mixed meta-dolerite, meta-basalt, siliceous siltstone and minor iron formations in the east</t>
  </si>
  <si>
    <t>Massive medium- to coarse-grained meta-dolerite to gabbro in the west, and mixed meta-dolerite, meta-basalt, siliceous siltstone and minor iron formations in the east.</t>
  </si>
  <si>
    <t>Malakoff Granite (Williams Supersuite)</t>
  </si>
  <si>
    <t>Pink, medium-grained biotite granite; minor granodiorite.</t>
  </si>
  <si>
    <t>fl-bar-cal-qtz-py-cp-gn-sl±mt (proximal) → sid-mt±py → bt-mt±py →chl-spe (distal); gt (early) → mt-bt±py → fl-bar-cal-qtz-py-cp-gn-sl±mt (ore stage) → py-alc±gn (late)</t>
  </si>
  <si>
    <t>https://www.mindat.org/loc-127294.html (accessed January 2024)</t>
  </si>
  <si>
    <t>Davidson et al. (2002); Exco Resources (2010); Williams et al. (2015)</t>
  </si>
  <si>
    <t>Endowment includes total resources prior to commencement of mining (Exco Resources, 2010).</t>
  </si>
  <si>
    <t>Monkey Gully</t>
  </si>
  <si>
    <t>Yea</t>
  </si>
  <si>
    <t>Native Dog Granite</t>
  </si>
  <si>
    <t>Granite, granodiorite and tonalite. A reduced I-type transitional (post-orogenic) pluton showing extended fractionation and magma mixing, crosscut by dacite dykes.</t>
  </si>
  <si>
    <t>Van Krieken and Wilson (2015); Huston et al. (2022)</t>
  </si>
  <si>
    <t>Cited molybdenite Re-Os age is within error of the 207Pb-235U SHRIMP age (360 ± 13 Ma: Van Krieken and Wilson, 2015) of the outer zones of magmatic zircons in a dacite dike. These dikes, along with the other phases of Monkey Gully magmatic complex are cut by the molybdenite-W-bearing sheeted quartz veins.</t>
  </si>
  <si>
    <t>Mons Cupri</t>
  </si>
  <si>
    <t>Whim Creek</t>
  </si>
  <si>
    <t>Pb-Au</t>
  </si>
  <si>
    <t>Bookingarra Group - Cistern Formation</t>
  </si>
  <si>
    <t>Upward fining unit consisting of a lower volcanolithic conglomerate (lower Cistern conglomerate) grading upwards into feldspathic sandstone (upper Cistern sandstone). The conglomerate comprises subrounded to subangular boulders and pebbles of rhyolite, basalt and granite.</t>
  </si>
  <si>
    <t>Comstock Member</t>
  </si>
  <si>
    <t>50-250-m-thick sill of high-Mg basalt that is present near the base of Rushall Slate and can be traced for more than 4 km.</t>
  </si>
  <si>
    <t>Louden Volcanics</t>
  </si>
  <si>
    <t>Subaqueous flows of siliceous high-Mg basalt</t>
  </si>
  <si>
    <t>Kialrah Rhyolite</t>
  </si>
  <si>
    <t>Feldspar-phyric, flow-banded and spherulitic rhyolite</t>
  </si>
  <si>
    <t>qtz-chl-sid → qtz-ser±chl±car; tc-ser-mt at depth</t>
  </si>
  <si>
    <t>Anax Metals Limited (2023)</t>
  </si>
  <si>
    <t>Collins and Marshall (1999a); Hooper et al. (2004); Huston (2006); Venturex Resources Limited (2020)</t>
  </si>
  <si>
    <t>Thorpe et al. (1992b); Huston (2006)</t>
  </si>
  <si>
    <t>Lead isotope evolution model used to determine model age is the Western Superior (Wabigoon-Uchi) model of Thorpe et al. (1992b); age of host sequence constrained to between ~2964 Ma and ~2943 Ma (Huston, 2006). Huston (2006) interpreted this deposit as epigenetic based on the presence of base-metal-bearing veins in the overlying Comstock Member that had similar lead isotope signature to main deposit. It is also more radiogenic than the nearby Whim Creek deposit. Endowment is based on total mineral resources at 3 April 2023 (Anax Metals Limited, 2023). Historic and recent production from Mons Cupri are not included, but have been included in included in Whim Creek endowment.</t>
  </si>
  <si>
    <t>Montagne</t>
  </si>
  <si>
    <t>Monte Cristo</t>
  </si>
  <si>
    <t>Ropewalk Granite</t>
  </si>
  <si>
    <t>Dark grey, medium-grained, mostly equigranular, muscovite-biotite granite; commonly foliated and melanocratic, containing biotite-rich clots and schlieren.</t>
  </si>
  <si>
    <t>Cited age is from alteration sericite. Endowment is after Morrison et al. (2019). Anglesite is present but most likely secondary.</t>
  </si>
  <si>
    <t>Moolart Well</t>
  </si>
  <si>
    <t>qtz-car-bt-chl±sul</t>
  </si>
  <si>
    <t>Age is inferred to be similar to the Laverton district, located ~80 km to the south. The sulfide minerals present are not described. Endowment includes pre-mining mineral resources at July 2016.</t>
  </si>
  <si>
    <t>Moolyella</t>
  </si>
  <si>
    <t>Moolyella pegmatite swarm</t>
  </si>
  <si>
    <t>Layered albite pegmatites</t>
  </si>
  <si>
    <t>Moolyella Monzogranite</t>
  </si>
  <si>
    <t>Muscovite-biotite monzogranite, medium-grained, massive to weakly foliated; pegmatite with cassiterite, tantalite, beryl and zinnwaldite</t>
  </si>
  <si>
    <t>Sweetapple and Collins (2002)</t>
  </si>
  <si>
    <t>Kennedy (1998); Kinny (2000); Sweetapple and Collins (2002); Kendall-Langley et al. (2020)</t>
  </si>
  <si>
    <t>Kennedy (1998); Kinny (2000); Kendall-Langley et al. (2020)</t>
  </si>
  <si>
    <t>Cited age (Kendall-Langley et al., 2020) is consistent with 2839 ± 16 Ma cassiterite U-Pb age (Kinny, 2000). Production includes 8864 t Sn concentrate, 141 t Ta concentrate and 12.2 t beryl (Sweetapple and Collins, 2002). Endowment includes alluvial production only and was estimated assuming the Sn concentrate was cassiterite and the Ta concentrate was tantalite.</t>
  </si>
  <si>
    <t>Moomin</t>
  </si>
  <si>
    <t>Cattle Camp Granite</t>
  </si>
  <si>
    <t>Pegmatitic, miarolitic granophyre (host)</t>
  </si>
  <si>
    <t>Cheng et al. (2017); Clarke (2019)</t>
  </si>
  <si>
    <t>No production of resources identified. This deposit is hosted with the upper granophyric phase of a sill of the Cattle Grid Granite, which has a LA-ICP-MS age of 333 ± 7 Ma (Cheng et al., 2017).</t>
  </si>
  <si>
    <t>Mosquito Creek-Twenty Mile Sandy-Middle Creek-Eastern Creek (includes Bartons (cited location), Camel Creek, Five Mile, Golden Eagle and Twenty Mile Sandy)</t>
  </si>
  <si>
    <t>Mosquito Creek</t>
  </si>
  <si>
    <t>Sb</t>
  </si>
  <si>
    <t>Mosquito Creek Formation</t>
  </si>
  <si>
    <t>qtz-tm-py±fld, chl-ser (Golden Eagle); sil-ser (Shearers)</t>
  </si>
  <si>
    <t>Thorpe et al. (1992b); Blewett et al. (2002); Millenium Minerals Limited (2011, 2012, 2013, 2014, 2015); Calidus Resource Limited (2022, 2023)</t>
  </si>
  <si>
    <t>Hickman (1983); Blewett et al. (2002); Calidus Resources Limited (2022, 2023)</t>
  </si>
  <si>
    <t>Sample used to determine lead isotope model age is from unnamed gold-bearing quartz vein in the northeastern part of the district (120.46°, -21.71°) (Thorpe et al. (1992b). Lead isotope evolution model used is Western Superior (Wabigoon-Uchi) of Thorpe et al. (1992b). Gold endowment includes production prior to 1983 (5.263 t Au), production in 2012-2018 (10.95 Mt at 1.6 g/t Au head grade), mineral resources at 31 December 2018 of 22.85 Mt at 1.6 g/t for the Nullagine Gold Project and mineral resources at 22 October 2022 for the Blue Spec deposit of 0.242 kt at 24.3 g/t Au and 1.6% Sb. Production in 2019 (1.44 Mt at 1.6 g/t) and 2021-2022 (128,000 oz Au) from the Nullagine Gold Project has not been included in this estimate as it is included in the mineral resources at 31 December 2018. Antimony endowment includes historic production (mostly from the Blue Spec mine) totalling 1522 t Sb (Hickman, 1983) and the Sb mineral resources at Blue Spec.</t>
  </si>
  <si>
    <t>Mount Adrah (Hobbs Pipe)</t>
  </si>
  <si>
    <t>"Hobbs Pipe" quartz monzonite</t>
  </si>
  <si>
    <t>Seriate, pyrite-sericite±chlorite-altered biotite quartz monzonite</t>
  </si>
  <si>
    <t>py-ser</t>
  </si>
  <si>
    <t>Sovereign Gold Company Limited (2014); Leu (2015); Waltenberg et al. (2016); Wildcat Resources Limited (2020)</t>
  </si>
  <si>
    <t>Perkins et al. (1995); Waltenberg et al. (2016)</t>
  </si>
  <si>
    <t>Wildcat Resources Limited (2020)</t>
  </si>
  <si>
    <t>The deposit is interpreted as an orogenic gold deposit based on analogies with the nearby Adelong gold field, upon which the cited age is based (c.f. Perkins et al, 1995 for age). The age of the host "Hobbs Pipe" quartz monzonite age of 414.7 ± 2.6 Ma (Waltenberg et al., 2016) is consistent with this interpretation. Alternatively the deposit is interpreted as in intrusion-related gold deposit (Leu, 2015), in which case this age is the age of mineralisation. Endowment includes mineral resources only.</t>
  </si>
  <si>
    <t>Mount Angelo South</t>
  </si>
  <si>
    <t>Angelo Microgranite</t>
  </si>
  <si>
    <t>Altered medium- to fine-grained granophyre with local disseminated malachite</t>
  </si>
  <si>
    <t>Altered medium to fine grained granophyre with local disseminated malachite</t>
  </si>
  <si>
    <t>ksp-ser-ab-qtz-ep-chl-rut-sph-sul</t>
  </si>
  <si>
    <t>Sewell (1999)</t>
  </si>
  <si>
    <t>Page et al. (1994); Sheppard et al. (1995); Sewell (1999)</t>
  </si>
  <si>
    <t>Cited age is that of the Koongie Park Formation, with which the host Angelo Microgranite is interpreted to be comagmatic. Cited endowment is a pre-JORC mineral resource of 144 Mt grading ³0.2% Cu.</t>
  </si>
  <si>
    <t>Mount Ararat (Carroll's)</t>
  </si>
  <si>
    <t>Carrolls Amphibolite</t>
  </si>
  <si>
    <t>Hornblende-quartz-feldspar schist; minor greenschist; mylonitic in places; amphibolite rock preserves occasional plagioclase phenocrysts, amygdales, and thin layers of plagioclase, diopside, garnet, quartz-calcareous layers within the basaltic protolith. From Magdala Volcanics (39629) precursor.</t>
  </si>
  <si>
    <t>Lexington Schist</t>
  </si>
  <si>
    <t>Quartz-biotite-muscovite-plagioclase (+/-actinolite+/-cordierite+/-andalusite) schist; banded schist with alternating quartz and pelite layers of transposed bedding</t>
  </si>
  <si>
    <t>Millad (2022)</t>
  </si>
  <si>
    <t>Campbell et al. (2003); Crawford et al. (2003); Squire and Wilson (2005); Stavely Minerals Limited (2020a); Millad (2022)</t>
  </si>
  <si>
    <t>Crawford et al. (2003); Squire and Wilson (2005)</t>
  </si>
  <si>
    <t>Cited location is from Figure 3-1 in Millad (2022). The age is based upon correlation with the Magdala Basalt, which has been dated using a two-end-member Pb-Pb mixing age (Crawford et al., 2003). This is supported by fossil assemblages in low grade equivalents which indicate an age of ~515 Ma (Squire and Wilson, 2005). Campbell et al. (2003) correlate the host unit with the Stavely Volcanic Complex. Endowment includes mineral resources only.</t>
  </si>
  <si>
    <t>Mount Arrowsmith East</t>
  </si>
  <si>
    <t>Mount Arrowsmith</t>
  </si>
  <si>
    <t xml:space="preserve"> Koonenberry</t>
  </si>
  <si>
    <t>Mount Arrowsmith Volcanics</t>
  </si>
  <si>
    <t>Alkali basalt, trachy basalt, trachyte and related intrusive rocks. Ultramafic intrusive rocks associated with the Mount Arrowsmith Volcanics host the prospect.</t>
  </si>
  <si>
    <t>Alkali basalt, trachy basalt, trachyte and related intrusive rocks.</t>
  </si>
  <si>
    <t>Black (2007); Gilmore (2010)</t>
  </si>
  <si>
    <t>Black (2007)</t>
  </si>
  <si>
    <t>Cited age is that of the Mount Arrowsmith Volcanics, which are associated with the host ultramafic intrusion.</t>
  </si>
  <si>
    <t>Mount Aubrey</t>
  </si>
  <si>
    <t>Dulladerry Volcanics</t>
  </si>
  <si>
    <t>Quartz-K-feldspar phyric, welded rhyolitic ignimbrite, rhyolite lavas, volcanic breccia, basalt (main ore host); minor andesite, volcaniclastic sandstone, siltstone, conglomerate.</t>
  </si>
  <si>
    <t>adu-chl-ser-py</t>
  </si>
  <si>
    <t>Perkins et al. (1995); Ardea Resources Limited (2019c); Lambrechts and Ostrowski (2019)</t>
  </si>
  <si>
    <t>Ardea Resources Limited (2019c)</t>
  </si>
  <si>
    <t>Cited location is the approximate centre of the mineral resource extent. Cited age is a K-Ar age of a sericite sample with some quartz (Perkins et al., 1995). Endowment in includes production in 1989-1991 and mineral resources announced in 2019 (Ardea Resources Limited, 2019c).</t>
  </si>
  <si>
    <t>Mount Bischoff</t>
  </si>
  <si>
    <t>Cu-In-Se</t>
  </si>
  <si>
    <t>White Face Dyke, Western Dyke, Stanhope Dyke, Queen Dyke and Little Wheal Dyke (local; names)</t>
  </si>
  <si>
    <t>Strongly altered quartz-orthoclasephyric rhyolite dykes</t>
  </si>
  <si>
    <t>Strongly altered quartz-orthoclase-phyric rhyolite dykes</t>
  </si>
  <si>
    <t>Wombat Flat Granite (NE phase of Meredith Batholith)</t>
  </si>
  <si>
    <t>I-type biotite monzogranite</t>
  </si>
  <si>
    <t>[(chn/nor-po-flb±mag → srp-po-mag±ap±mt) (early, pre-ore) → (mag-po-tc±cas → tc-po-cas → phl-mus-tm±sel±flb±phk±iso → qtz-po-sel-top-fl-cas±sid) (late, ore stage)] (dolostone replacement), [mus-qtz-fl±tm±cas±sl±kao, qtz-top±fl±cas±flu-tm, qtz±top±fl] (porphyry)</t>
  </si>
  <si>
    <t>Wright and Kwak (1989); Halley and Walshe (1995); Black et al. (2005); Green et al. (2014)</t>
  </si>
  <si>
    <t>Cited age is that of the Wombat Flat Granite (Black et al., 2005), a phase of the Meridith Batholith, which forms part of the granite ridge with which Mount Bischoff is spatially associated. Endowment is pre-mining resources (Green et al., 2014).</t>
  </si>
  <si>
    <t>Mount Bonnie</t>
  </si>
  <si>
    <t>Au-Ag-Zn</t>
  </si>
  <si>
    <t>Worden et al. (2008b); Ahmad and Hollis (2013)</t>
  </si>
  <si>
    <t>Cited age is that of the conformably underlying Gerowie Tuff (Worden et al., 2008b). Endowment includes production of 110,000 t of oxide ore grading 7 g/t Au and 230 g/t Ag and mineral resources of 1.545 Mt at 0.22% Cu, 3.76% Zn, 1.12% Pb, 127 g/t Ag and 1.34 g/t Au.</t>
  </si>
  <si>
    <t>Mount Boppy</t>
  </si>
  <si>
    <t>Canbelego</t>
  </si>
  <si>
    <t>Baledmund Formation</t>
  </si>
  <si>
    <t>Thinly laminated, commonly ferruginous, occasionally calcareous, siltstone and minor interbedded, well-sorted fine-grained lithic-quartz sandstone. Boulder to granule polymictic conglomerate and sedimentary breccia are variably developed at the base.</t>
  </si>
  <si>
    <t>sil, phy</t>
  </si>
  <si>
    <t>Fitzherbert et al (2016); Brown et al. (2017)</t>
  </si>
  <si>
    <t>Brown et al. (2017); Manuka Resources Limited (2024)</t>
  </si>
  <si>
    <t>Cited age is that of the regional deformation event. Endowment includes production of 521,460 oz recovered Au from 1.7 Mt ore and 18,575 oz recovered from retreating 398,642 t of tailings from 1930 to 1988, and mineral resources of 4.279 Mt at 1.19 g/t at 15 April 2024.</t>
  </si>
  <si>
    <t>Mount Bulga</t>
  </si>
  <si>
    <t>qtz-chl-ser</t>
  </si>
  <si>
    <t>https://www.mindat.org/loc-291790.html (accessed April 2024)</t>
  </si>
  <si>
    <t>Pogson and Watkins (1998); Downes (2003); Downes and Seccombe (2004)</t>
  </si>
  <si>
    <t>Mount Carbine</t>
  </si>
  <si>
    <t>Hodgkinson tungsten</t>
  </si>
  <si>
    <t>Porphyritic biotite granite</t>
  </si>
  <si>
    <t>Coarse-grained equigranular biotite granite</t>
  </si>
  <si>
    <t>Felsite dyke</t>
  </si>
  <si>
    <t>chl, ill, tm±bt±ap</t>
  </si>
  <si>
    <r>
      <t>Endowment includes production of 5253 t WO</t>
    </r>
    <r>
      <rPr>
        <vertAlign val="subscript"/>
        <sz val="9"/>
        <rFont val="Times New Roman"/>
        <family val="1"/>
      </rPr>
      <t>3</t>
    </r>
    <r>
      <rPr>
        <sz val="9"/>
        <rFont val="Times New Roman"/>
        <family val="1"/>
      </rPr>
      <t xml:space="preserve"> and mineral resources of 2.393 Mt grading 0.29% WO</t>
    </r>
    <r>
      <rPr>
        <vertAlign val="subscript"/>
        <sz val="9"/>
        <rFont val="Times New Roman"/>
        <family val="1"/>
      </rPr>
      <t>3</t>
    </r>
    <r>
      <rPr>
        <sz val="9"/>
        <rFont val="Times New Roman"/>
        <family val="1"/>
      </rPr>
      <t xml:space="preserve"> (Chang et al., 2017).</t>
    </r>
  </si>
  <si>
    <t>Mount Carlton</t>
  </si>
  <si>
    <t>Bowen Basin</t>
  </si>
  <si>
    <t>Lizzie Creek Volcanic Group</t>
  </si>
  <si>
    <t>At Mount Carlton the Lizzie Creek Volcanic Group consists of seven sub-units, from base to top: lower andesite (basaltic andesite); lower rhyodacite (coherent quartz-feldspar-phyric rhyodacite to rhyolite; locally flow banded; host to V2 orebody); middle andesite (plagioclase-phyric andesite); upper rhyodacite (quartz-feldspar crystal tuff (host to Ag-rich A39 orebody) and overlying quartz-feldspar-phyric rhyodacite); upper andesite (dacitic to andesitic volcanic and volcaniclastic rocks); sedimentary unit (interbedded shale, siltstone and sandstone); and trachyte (strongly flow-banded trachyte)</t>
  </si>
  <si>
    <t>Andesitic and rhyodacitic volcanic and volcaniclastic rocks, and trachyte</t>
  </si>
  <si>
    <t>qtz-alu±dck±bar±gyp±py (proximal) → qtz-dck±kao±alu±bar±py → il-smc-qtz-py±kao±chl → chl-cal-smc±il±zeo (distal); pyr±qtz±alu±dck present vertically below qtz-alu zone</t>
  </si>
  <si>
    <t>Trace</t>
  </si>
  <si>
    <t>Dugdale and Howard (2017)</t>
  </si>
  <si>
    <t>Cited age is a weighted mean of two alunite 40Ar-39Ar analyses. Endowment includes production from the V2 (2.30 Mt at 0.30% Cu, 30.2 g/t Ag and 4.63 g/t Au) and A39 lenses (0.5433 Mt at 353 g/t Ag) to December 2016 (Dugdale and Howard, 2017), production for Mount Carlton from January 2016 to June 2022 of 4.87 Mt at a recovered grade 2.87 g/t Au, 12.1 g/t Ag and 0.21% Cu (Evolution Mining Limited, 2017a,b,c,d, 2018c,d,e,f, 2019b,c,d,e, 2020b,c,d,e, 2021a,b,c; Navarre Minerals Limited, 2022a,b)) and mineral resources of 1.104 Mt grading 1.61 g/t Au, 94.7 g/t Ag and 0.26% Cu (Navarre, 2022b). The tonnage processed for October 2021 to June 2022 has been estimated at ~0.75 Mt based on the previous two quarters.</t>
  </si>
  <si>
    <t>Mount Carrington-Drake (including Adeline, Lady Hampton, Mount Carrington and Silver King)</t>
  </si>
  <si>
    <t>Drake</t>
  </si>
  <si>
    <t>Drake Volcanics</t>
  </si>
  <si>
    <t>Interbedded, porphyritic felsic to intermediate volcanic flows and volcaniclastic sedimentary rocks intruded by flow banded rhyolites, quartz andesite and andesite, microdiorite, quartz-feldspar porphyry, and “banded felsite”</t>
  </si>
  <si>
    <t>chl-car (early) → ser±ksp (late)</t>
  </si>
  <si>
    <t>pot, pro</t>
  </si>
  <si>
    <t>Thomson Resources (2022)</t>
  </si>
  <si>
    <t>Bottomer (1986); Beeson and Borton (2006); Cross and Blevin (2010); McQueen (2017); White Rock Minerals Limited (2020); P. Downes (unpublished data)</t>
  </si>
  <si>
    <t>Cross and Blevin (2010); P Downes (unpublished data)</t>
  </si>
  <si>
    <t>Bottomer (1986); McQueen (2017); White Rock Minerals Limited (2020), Thomson Resources (2022)</t>
  </si>
  <si>
    <r>
      <t xml:space="preserve">Cited location is the approximate centre between the proposed Strauss, Kylo North and Kylo West pits. Cited sericite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(P. Downes, unpublished data) is similar to Cross and Blevin (2010) SHRIMP zircon U-Pb age for synvolcanic intrusion in Drake Volcanics of 264.4 ± 2.5 Ma. The sericite age is preliminary, and reported without and estimate of precision. Endowment includes production of prior to 1988 of 4.4 t Ag and 1.1 t Au in the Drake area (Bottomer, 1986), production in 1988-1990 of 0.233 Mt at 7.44 g/t Ag and 2.38 g/t Ag (McQueen, 2018), and total mineral resources in 2022 of 6.00 Mt at 1.59 g/t Ag and 1.17 g/t Au for the Strauss, Kylo West and Kylo North deposits (Thomson Resources Limited, 2022), and total mineral resources in 2020 of 8.950 Mt at 51 g/t Ag and 0.1 g/t Au for the Lady Hampton, Silver King, White Rock and White Rock North deposits.</t>
    </r>
  </si>
  <si>
    <t>Mount Cattlin (Cattlin Creek)</t>
  </si>
  <si>
    <t>Columbite-tantalite</t>
  </si>
  <si>
    <t>Upper intercept</t>
  </si>
  <si>
    <t>Annabelle Volcanics</t>
  </si>
  <si>
    <t>Dominant volcaniclastics, and minor lavas: metamorphosed calc-alkaline basalts (10-20%), andesite (50-70%), and dacite</t>
  </si>
  <si>
    <t xml:space="preserve"> Manyutup Tonalite</t>
  </si>
  <si>
    <t xml:space="preserve">	36848</t>
  </si>
  <si>
    <t>Dominated by coarse-grained equigranular biotite-hornblende tonalite, varies to include dioritic and granodioritic compositions</t>
  </si>
  <si>
    <t>Mount Cattlin pegmatite swarm</t>
  </si>
  <si>
    <t>Quartz-albite-microcline-spodumene with lesser eucryptite, muscovite and lepidolite and minor tourmaline, beryl, microlite, columbite-tantalite and other minerals</t>
  </si>
  <si>
    <t>Unnamed dolerite</t>
  </si>
  <si>
    <t>Donald et al. (2023)</t>
  </si>
  <si>
    <t>Dittrich (2017); Phelps-Barber et al. (2022); Donald et al. (2023)</t>
  </si>
  <si>
    <t>Dittrich (2017)</t>
  </si>
  <si>
    <t>Cited location is the approximate centre of the northeastern open cut in Figure 4-2 of Donald et al. (2023). Cited age is most precise of four upper intercept U-Pb LA-ICP-MS ages (2625 ±14 Ma, 2567 ± 49 Ma, 2626 ± 13 Ma and 2616 ± 16 Ma) reported by Dittrich (2017). Cited endowment includes production from 2010 to 2022 of 976,985 t spodumene concentrate and mineral resources of 12.1 Mt grading 1.3% Li2O and 137 ppm Ta2O5 (Donald et al., 2023). Historic production of Ta is not recorded. To convert the spodumene production to Li production, a grade of 5.95% Li2O was used based on the 2020 production year (Donald et al., 2023).</t>
  </si>
  <si>
    <t>Mount Chalmers</t>
  </si>
  <si>
    <t>Berserker</t>
  </si>
  <si>
    <t>Zn-Ag-Pb</t>
  </si>
  <si>
    <t>Chalmers Formation</t>
  </si>
  <si>
    <t>Siltstone, lithic sandstone, rhyolitic to andesitic volcaniclastic breccia, rhyolitic and dacitic tuff, minor andesitic tuff</t>
  </si>
  <si>
    <t>sil-py; local kao</t>
  </si>
  <si>
    <t>Large and Both (1980); Taube and van der Helder (1983); Taube (1990b); Sainty (1992); Crouch (1999); Murray et al. (2012)</t>
  </si>
  <si>
    <t>QMines Limited (2022)</t>
  </si>
  <si>
    <t>Endowment includes production of 1.24 Mt grading 2.0% Cu, 19 g/t Ag and 3.6 g/t Au and mineral resources of 11.321 Mt grading 0.76% Cu, 0.22% Zn, 0.08% Pb, 4.52 g/t Ag and 0.42 g/t Au (QMines Limited, 2022).</t>
  </si>
  <si>
    <t>Mount Charlotte</t>
  </si>
  <si>
    <t>Vein selvages zoned vertically over ~1000 m: ab&gt;ank&gt;&gt;mus (po&gt; py) → ab&gt;ank&gt;mus (py &gt; po) → mus&gt;ank&gt;ab (py only). Note that muscovite, ankerite and albite are from the inner vein selvage whereas pyrite and pyrrhotite are from the outer margin of the vein selvage.</t>
  </si>
  <si>
    <t>Rasmussen et al. (2009); Vielreicher et al. (2010); Mueller (2015, 2017)</t>
  </si>
  <si>
    <t>Rasmussen et al. (2009); Vielreicher et al. (2010); Mueller (2015)</t>
  </si>
  <si>
    <t>Mueller ( 2017)</t>
  </si>
  <si>
    <r>
      <t>Age is for brittle Mt. Charlotte style mineralisation (Vielreicher et al., 2010), which is in error with another age for the same mineralisation style of 2655 ± 13 Ma (xenotime SHRIMP U-Pb; Rasmussen et al., 2009). Structurally, the Oroya- and Fimiston-style deposits are associated with D</t>
    </r>
    <r>
      <rPr>
        <vertAlign val="subscript"/>
        <sz val="9"/>
        <rFont val="Times New Roman"/>
        <family val="1"/>
      </rPr>
      <t>2</t>
    </r>
    <r>
      <rPr>
        <sz val="9"/>
        <rFont val="Times New Roman"/>
        <family val="1"/>
      </rPr>
      <t>, whereas the Mount Charlotte-style mineralisation is associated with D</t>
    </r>
    <r>
      <rPr>
        <vertAlign val="subscript"/>
        <sz val="9"/>
        <rFont val="Times New Roman"/>
        <family val="1"/>
      </rPr>
      <t>4</t>
    </r>
    <r>
      <rPr>
        <sz val="9"/>
        <rFont val="Times New Roman"/>
        <family val="1"/>
      </rPr>
      <t xml:space="preserve"> (Mueller, 2015). Endowment includes production through 2015 (Mueller, 2017). After this point in time, additional endowment has been included in the Golden Mile deposit.</t>
    </r>
  </si>
  <si>
    <t>Mount Charter</t>
  </si>
  <si>
    <t>ser-sil-py</t>
  </si>
  <si>
    <t>Denwer et al. (2014)</t>
  </si>
  <si>
    <t>Denwer et al. (2014); Mortensen et al. (2015)</t>
  </si>
  <si>
    <t>Cited age is that of the andesite underlying the Hellyer deposit (Mortensen et al., 2015). Endowment includes mineral resources only (Denwer et al., 2014).</t>
  </si>
  <si>
    <t>Mount Cobalt</t>
  </si>
  <si>
    <t>Cu-REE- W</t>
  </si>
  <si>
    <t>Quartz-muscovite-biotite-almandine schist to grey, graphitic muscovite schist with micaceous quartzite</t>
  </si>
  <si>
    <t>Massive, hornblende-plagioclase amphibolite</t>
  </si>
  <si>
    <t>Williams Supersuite (Williams, Gin Creek and Mount Cobalt Granites)</t>
  </si>
  <si>
    <t>bt-pl-scp (syn-ore); tm (post-ore)</t>
  </si>
  <si>
    <t>Nesbitt et al. (1983); McGeough and Faulkner (2017)</t>
  </si>
  <si>
    <t>Nesbitt et al. (1983)</t>
  </si>
  <si>
    <t>Endowment includes pre-1934 production of 0.02 Mt grading 4% Co (Nisbet et al., 1983) for total of 0.779 kt Co (McGeough and Faulkner, 2017)) and pre-JORC mineral resources of 0.06 Mt grading 1.25% Co (Nesbit et al., 1983). The ore assemblages contains cobaltine, xenotime, allanite, scheelite and chalcopyrite in addition to pyrite and pyrrhotite.</t>
  </si>
  <si>
    <t>Mount Coffin district (including Elise Adair and West Jubilee)</t>
  </si>
  <si>
    <t>Mount Coffin</t>
  </si>
  <si>
    <t>Coats (1973); Robertson (1995); Huston and Connolly (2011)</t>
  </si>
  <si>
    <t>Endowment includes pre-JORC mineral resources (2.0 Mt 0.9% Cu at Elise Adair and 0.12 Mt at 0.97% Cu at West Jubilee) only.</t>
  </si>
  <si>
    <t>Mount Colin</t>
  </si>
  <si>
    <t>Lower intercept</t>
  </si>
  <si>
    <t>Cave et al. (2024)</t>
  </si>
  <si>
    <t>Exco Resources Ltd. (2011)</t>
  </si>
  <si>
    <t>As with the nearby Mary Kathleen and Koppany deposits, this deposit has experienced multiple phases of mineralisation. The tonnage reported here excludes ~900 t of ore extracted from 1963-1967.</t>
  </si>
  <si>
    <t>Mount Cooke</t>
  </si>
  <si>
    <t>Manganese Group</t>
  </si>
  <si>
    <t>Sandstone, siltstone, mudstone, conglomerate, chert, dolostone; mineralisation hosted by basal units - sedimentary breccia, sandstone and siltstone</t>
  </si>
  <si>
    <t>Location approximate. Cited age is by correlation with the Butcherbird deposit (Collier Basin). This is preferred over correlation with Woodie Woodie as mineralisation at Mount Cooke is stratiform.</t>
  </si>
  <si>
    <t>Mount Coolon (includes Eastern Siliceous Zone, Eugenia, Glen Eva, Koala and Verbena)</t>
  </si>
  <si>
    <t>Drummond Basin</t>
  </si>
  <si>
    <t>Late Devonian-Visean</t>
  </si>
  <si>
    <t>Granodiorite - 500 m to west of deposit</t>
  </si>
  <si>
    <t>adu-py-bt-act-mt-tm-ep-zeo-car</t>
  </si>
  <si>
    <t>Upper greenschist (contact)</t>
  </si>
  <si>
    <t>Wells et al. (1989); Wood et al. (1990); Hutton et al. (1998); GBM Resources (2017a); gbmr.com.au (accessed July 2024)</t>
  </si>
  <si>
    <t>Hutton et al. (1998)</t>
  </si>
  <si>
    <t>gbmr.com.au (accessed July 2024)</t>
  </si>
  <si>
    <t>Cited age is by analogy with the other epithermal deposits in the Drummond Basin. Currently the deposits are interpreted to be hosted by the Silver Hills Volcanics, but previously the host rock was interpreted to be the Bulgonunna Volcanic Group (2867: Wells et al., 1989), which has an age of 304.7 ± 6.2 Ma (Hutton et al., 1998). If this is the case, the inference that the age of mineralisation is similar to the other Drummond Basin deposits is untenable. Endowment includes production of 0.59 Mt at 12.2 g/t (to 1990s) and mineral resources of 6.65 Mt at 1.54 g/t (gbmr.com.au). The present alteration assemblages are interpreted to be the consequence of overprinting contact metamorphism associated with emplacement of granodiorite to west of prospect.</t>
  </si>
  <si>
    <t>Mount Cuthbert</t>
  </si>
  <si>
    <t>Leichhardt Volcanics</t>
  </si>
  <si>
    <t>Felsitic quartz-feldspar porphyry; minor agglomerate, bedded tuff, arenite, sericitic schist, phyllite, breccia.</t>
  </si>
  <si>
    <t>Kalkadoon Granodiorite</t>
  </si>
  <si>
    <t>Coarse to medium granite, granodiorite, leucogranite, aplite, gneiss. Coarsely porphyritic microgranite and microgranodiorite.</t>
  </si>
  <si>
    <t>ab-qtz (early) → sid-cal-dol-qtz-bt±mt±ilm±ap±py → qtz-cp±py±po±cal±chl (ore stage) → chl (late); cp-py-qtz-dol-chl (proximal, &lt;50 m) → qtz-car±cp±py±po, bt-chl±mt (50-500 m) → ab (distal, &gt;500 m)</t>
  </si>
  <si>
    <t>Matrix Metals (2008); Murison (2015)</t>
  </si>
  <si>
    <t>Matrix Metals (2008)</t>
  </si>
  <si>
    <t>Endowment includes Leichhardt and Mt Cuthbert extended pre-mining resources as of 30 June 2008 (Matrix Metals, 2008).</t>
  </si>
  <si>
    <t>Mount Deans (Scotia)</t>
  </si>
  <si>
    <t>Mount Deans</t>
  </si>
  <si>
    <t>Woolyeener Formation</t>
  </si>
  <si>
    <t>Metabasalt</t>
  </si>
  <si>
    <t>Kent et al. (1996); Fetherston (2004)</t>
  </si>
  <si>
    <t>Kent et al. (1996); Dittrich (2017)</t>
  </si>
  <si>
    <t>Cited age is the most precise of three upper intercept LA-ICP-MS U-Pb ages of 2642 ± 7 Ma, 2638 ± 8 Ma and 2639 ± 22 Ma (Dittrich, 2017) and overlaps an isochron feldspar-garnet Sm-Nd age of 2620 36 Ma reported by Kent et al. (1996). Pre-JORC mineral resources of 9.1 Mt at 0.022% Ta2O5, 0.060% Nb2O5 and 0.170% SnO2 (Fetherston, 2004).</t>
  </si>
  <si>
    <t>Mount Dockrell Goldfield (including Irish Lass and Lady Hopetoun)</t>
  </si>
  <si>
    <t>Mount Dockrell Goldfield</t>
  </si>
  <si>
    <t>Cited location is that of the Dockrell deposit. Cited age is for the Mount Bradley deposit. Endowment includes historic production and a pre-JORC mineral resources for the Mount Dockrell and Irish Lass deposits.</t>
  </si>
  <si>
    <t>Mount Dore</t>
  </si>
  <si>
    <t>Au-Pb</t>
  </si>
  <si>
    <t>Duncan et al. (2011, 2014); Faulkner and Phillips (2017); McGeough and Faulkner (2017); Valenta and Hinman (2018)</t>
  </si>
  <si>
    <t>Chinova Resources Limited (2016)</t>
  </si>
  <si>
    <t>Cited age is weighted average of Re-Os ages of molybdenite from a calcite-pyrite vein adjacent to a chalcopyrite-bornite-bearing K-feldspar-altered black shale breccia. This age is significantly younger than the age cited for the nearby Merlin deposit of 1535 ± 3 (Babo, 2014). Endowment includes mineral resources only and exclude minor historic production of 15.7 t Cu.</t>
  </si>
  <si>
    <t>Mount Doreen wolfram field (including Wolfram Hill)</t>
  </si>
  <si>
    <t>Mount Doreen</t>
  </si>
  <si>
    <t>Supergene/oxide tungsten</t>
  </si>
  <si>
    <t>Lander Rock Formation</t>
  </si>
  <si>
    <t>Interlayered pelitic schist and psammite, metagreywacke; gneiss; may include meta-banded iron-formation, metavolcanic rocks, amphibolite sills; greenschist to granulite facies metamorphism.</t>
  </si>
  <si>
    <t>Wolfram Hill pegmatite swarm</t>
  </si>
  <si>
    <t>Muscovite-bearing pegmatite</t>
  </si>
  <si>
    <t>Yarunganyi Granite</t>
  </si>
  <si>
    <t>Megacrystic muscovite-biotite granite.</t>
  </si>
  <si>
    <t>McGloin and Matchan (2019)</t>
  </si>
  <si>
    <t>Young et al. (1995a,b); Frater (2005); Ahmad and Khan (2013); Scrimgeour (2013a); McGloin and Matchan (2019)</t>
  </si>
  <si>
    <t>Young et al. (1995b); McGloin and Matchan (2019)</t>
  </si>
  <si>
    <t>Scrimgeour (2013a)</t>
  </si>
  <si>
    <t>Cited location is that of the pegmatite sample analysed by McGloin and Matchan (2019). Cited age include high temperature steps (26% of total gas) from muscovite 40Ar-39Ar spectrum. It is supported by a second analysis on separate grain that yielded an age of 1550 ± 4 Ma (McGloin and Matchan, 2019). These ages are considered minimum ages and are consistent with a SHRIMP zircon U-Pb analysis from the nearby Yarunganyi Granite of 1567 ± 11 Ma (Young et al., 1995a) to which this pegmatite swarm in inferred to be related. In addition to wolframite, the deposits also contain accessory scheelite, pyrite, galena and siderite, along with secondary chalcocite, anglesite, malachite, azurite, chrysocolla and wulfenite. Endowment includes production only. This is not the same as the Wolfram Hill deposit in Pine Creek.</t>
  </si>
  <si>
    <t>Mount Edon (MC-59/7089)</t>
  </si>
  <si>
    <t>Mount Edon</t>
  </si>
  <si>
    <t>Li-Rb</t>
  </si>
  <si>
    <t>Payne's Find Greenstone Belt</t>
  </si>
  <si>
    <t>Mafic greenstones and metasedimentary rocks</t>
  </si>
  <si>
    <t>Mafic greenstones</t>
  </si>
  <si>
    <t>Everest Metals Corporation (2023a)</t>
  </si>
  <si>
    <t>Fetherston (2004); Kendall-Langley et al. (2020); Everest Metals Corporation (2023a)</t>
  </si>
  <si>
    <t>Everest Metals Corporation (2023b)</t>
  </si>
  <si>
    <t>Cited location is approximate centre of pegmatite swarm. Cited age is supported by a tapiolite LA-ICP-MS U-Pb age of 2644 ± 5 Ma (Kendall-Langley et al., 2020). An exploration target of 3.2-4.5 Mt grading 0.23-0.35% Rb2O and 0.08-0.12% Li2O has been defined.</t>
  </si>
  <si>
    <t>Mount Elliott (including Corbould and Corbould West)</t>
  </si>
  <si>
    <t>Calc-silicate-altered, fine-grained carbonaceous metasiltstone, phyllite and minor schist</t>
  </si>
  <si>
    <t>Metabasalt (subsidiary ore host)</t>
  </si>
  <si>
    <t>Williams Supersuite (Squirrel Hills Granite)</t>
  </si>
  <si>
    <t>Microdiorite</t>
  </si>
  <si>
    <t>[ksp-cal-cpx±anr (early) → cpx-act-scp-cal-mt±adr±tm±all±ap±bt±ksp → chl-ep-cal-cp-py-mt (late)] (proximal) → cpx±amp±scp → qtz-hm-ab-ser-cal±scp±py±po±fl (distal)</t>
  </si>
  <si>
    <t>Endowment includes production of 5.1 Mt grading 2.9% Cu and 1.5 g/t Au and mineral resources of 24.8 Mt grading 0.94% Cu and 0.50 g/t Au (Mount Elliott), and 11.3 Mt grading 0.86% Cu and 0.49 g/t Au (Corbould West). Metal production also includes production (1909-1919) of 24.8 kt Cu and 34,000 oz Au (McGeough and Faulkner, 2017).</t>
  </si>
  <si>
    <t>Mount Fitch</t>
  </si>
  <si>
    <t>Co-Cu-Ni</t>
  </si>
  <si>
    <t>Ahmad et al. (2006); Compass Resources (2008); Ahmad and Hollis (2013); Ahmad and Khan (2013); Johansen and Johnstone (2017)</t>
  </si>
  <si>
    <r>
      <t>Endowment includes mineral resources only. These include a copper oxide resource of 1.3 Mt at 0.60% Cu, 0.21% Co and 0.20% Ni, and a uranium resource 18.3 Mt at 0.036%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(at 0.50 lb/t U</t>
    </r>
    <r>
      <rPr>
        <vertAlign val="subscript"/>
        <sz val="9"/>
        <rFont val="Times New Roman"/>
        <family val="1"/>
      </rPr>
      <t>3</t>
    </r>
    <r>
      <rPr>
        <sz val="9"/>
        <rFont val="Times New Roman"/>
        <family val="1"/>
      </rPr>
      <t>O</t>
    </r>
    <r>
      <rPr>
        <vertAlign val="subscript"/>
        <sz val="9"/>
        <rFont val="Times New Roman"/>
        <family val="1"/>
      </rPr>
      <t>8</t>
    </r>
    <r>
      <rPr>
        <sz val="9"/>
        <rFont val="Times New Roman"/>
        <family val="1"/>
      </rPr>
      <t xml:space="preserve"> cutoff).</t>
    </r>
  </si>
  <si>
    <t>Mount Francisco district</t>
  </si>
  <si>
    <t>Mount Francisco</t>
  </si>
  <si>
    <t>Sulphur Springs Group</t>
  </si>
  <si>
    <t>Felsic to mafic volcanics and volcaniclastic rocks, chert, volcaniclastic sandstone, greywacke, shale, basalt, komatiitic basalt, amphibolite, mafic and ultramafic schist, banded iron formation, quartz-carbonate rock, siltstone. Pegmatites hosted by ultramafic schist and metasedimentary rocks.</t>
  </si>
  <si>
    <t>Mount Francisco pegmatite swarm</t>
  </si>
  <si>
    <t>Massive and layered LCT pegmatite</t>
  </si>
  <si>
    <t>Felsic to mafic volcanics and volcaniclastic rocks, chert, volcaniclastic sandstone, greywacke, shale, basalt, komatiitic basalt, amphibolite, mafic and ultramafic schist, banded iron formation, quartz-carbonate rock, siltstone. Pegmatites hosted by ultramafic schist, metabasalt and metasedimentary rocks.</t>
  </si>
  <si>
    <t>Ferguson and Ruddock, 2001); Sweetapple and Collins (2002); Kendall-Langley et al. (2020)</t>
  </si>
  <si>
    <t>Cited location is that of the Mount Francisco tin occurrence (8008: Ferguson and Ruddock, 2001). Endowment includes historic production, including 39.4 t BeO and minor copper production (Ferguson and Ruddock, 2021).</t>
  </si>
  <si>
    <t>Mount Garnet</t>
  </si>
  <si>
    <t>gt(adr)-cpx-ves-cal±wol (prograde skarn) → mt → amp-cal-chl-ep-hyg-mt-sul (retrograde skarn) → py-cal</t>
  </si>
  <si>
    <t>Morrison and Treacy (2001); Chang (2005); Henderson and Donchak (2013); Morrison and Beaton (2015)</t>
  </si>
  <si>
    <t>Morrison and Beaton (2015)</t>
  </si>
  <si>
    <t>Endowment includes both mineral resources and production as of 2015 (Morrison and Beaton, 2015).</t>
  </si>
  <si>
    <t>Mount Gee-Armchair</t>
  </si>
  <si>
    <t>Mount Gee</t>
  </si>
  <si>
    <t>Radium Creek Group</t>
  </si>
  <si>
    <t>Foliated quartz-feldspar-biotite gneisses and schists, in part migmatitic, representing metapelites, metapsammites and felsic metaigneous rocks</t>
  </si>
  <si>
    <t>Radium Ridge Breccia</t>
  </si>
  <si>
    <t>Granite breccia, hematite-rich breccia and chlorite-rich breccia</t>
  </si>
  <si>
    <t>Mount Gee Sinter</t>
  </si>
  <si>
    <t>Banded quartz and hematite (overall ~60:40 volume ratio), alternating with layers of quartz that apparently supports clasts of coarse specular hematite, and finely laminated quartz-hematite</t>
  </si>
  <si>
    <t>Hodgkinson Granodiorite (Paralana Granodiorite)</t>
  </si>
  <si>
    <t>I-type granodiorite with plagioclase, quartz, biotite, with minor K-feldspar</t>
  </si>
  <si>
    <t>British Empire Granite</t>
  </si>
  <si>
    <t>S-type granite with K-feldspar, quartz, muscovite, garnet and accessory garnet.</t>
  </si>
  <si>
    <t>bt-fl-ap-mnz, mt, hm (pre-brecciation) → hm-chl-py-fl-ur-qtz-mol-mnz</t>
  </si>
  <si>
    <t>Skirrow et al. (2011)</t>
  </si>
  <si>
    <t xml:space="preserve">Cited age is the middle of three overlapping molybdenite Re-Os ages. The other two ages are 360.8 ± 1.7 Ma and 364.6 ± 1.5 Ma. Uranium endowment includes mineral resources of 51 Mt at 615 ppm U3O8 at Mount Gee and 0.68 Mt at 1000 ppm U3O8 at Armchair. REE resources include 44 Mt at 0.12% La + Ce. </t>
  </si>
  <si>
    <t>Mount Gibson</t>
  </si>
  <si>
    <t>Tholeiitic basalt and dolerite with lesser magnesian basalt</t>
  </si>
  <si>
    <t>Post-tectonic granitoid</t>
  </si>
  <si>
    <t>qtz-crd-mus</t>
  </si>
  <si>
    <t>Yeats et al. (1996); Yeats and Groves (1998); McConachy et al. (2004)</t>
  </si>
  <si>
    <t>Yeats et al. (1996)</t>
  </si>
  <si>
    <t>Age is that of a subvolcanic porphyry intruding the mineralised sequence. Polymetallic VHMS mineralised zones have been overprinted by lode gold veins ~300 million years afterward. Resources total 25.9 Mt @ 1.94 g/t Au, but this is dominantly from overprinting lode gold mineralisation</t>
  </si>
  <si>
    <t>Mount Gibson district (includes Hornet, Enterprise, Donkey D, Orion North, Orion One, Orion Two and Deep South)</t>
  </si>
  <si>
    <t>Mine Sequence (local name)</t>
  </si>
  <si>
    <t>Tholeiitic metabasalt and metadolerite with lesser magnesian metabasalt and intrusive quartz-feldspar porphyry</t>
  </si>
  <si>
    <t>Basalt in Mine Sequence (local name)</t>
  </si>
  <si>
    <t>Intrusive quartz-feldspar porphyry in Mine Sequence (local name)</t>
  </si>
  <si>
    <t>Intrusive quartz-feldspar porphyry</t>
  </si>
  <si>
    <t>Post-tectonic granitoid (spatial relationship with gold mineralisation)</t>
  </si>
  <si>
    <t>qtz-bt±sul</t>
  </si>
  <si>
    <t>Yeats et al. (1996); Yeats and Groves (1998); Stein and Markey (2001); http://www.portergeo.com.au/database/mineinfo.asp?mineid=mn605 (accessed March 2021).</t>
  </si>
  <si>
    <t>Yeats and Groves (1998); Stein and Markey (2001)</t>
  </si>
  <si>
    <t>http://www.portergeo.com.au/database/mineinfo.asp?mineid=mn605 (accessed March 2021); Capricorn Metals Limited, 2022)</t>
  </si>
  <si>
    <t>Cited age (Stein and Markey, 2001) is supported by the age (2627 ± 13 Ma) of hydrothermal zircon interpreted to be synchronous with gold mineralisation (Yeates et al., 1996). Endowment includes total production of 27 t Au between 1986 and 1999 (http://www.portergeo.com.au/database/mineinfo.asp?mineid=mn605), mineral resource estimate of 104.0 mt at 0.8 g/t Au and ore reserve of 48.7 mt at 0.9 g/t Au (Capricorn Metals Limited, 2022).</t>
  </si>
  <si>
    <t>Mount Goldsworthy (including Mount Goldsworth, Shay Gap, Sunrise Hill, Minigarra and Yarrie)</t>
  </si>
  <si>
    <t>Mount Goldsworthy</t>
  </si>
  <si>
    <t>DS1 dolerite dykes</t>
  </si>
  <si>
    <t>Dolerite dykes with mafic to ultramafic compositions that are altered by iron-oxide minerals and locally form ore zones.</t>
  </si>
  <si>
    <t>Neoarchean (?)</t>
  </si>
  <si>
    <t>DS2 dolerite dykes</t>
  </si>
  <si>
    <t>Dolerite dykes altered by iron oxide minerals, locally forming ore zones</t>
  </si>
  <si>
    <t>DS4 dolerite dykes</t>
  </si>
  <si>
    <t>Black Range Dolerite (DS3)</t>
  </si>
  <si>
    <t>A prominent swarm of black to very dark brown weathering dolerite dykes with north to north-east strike-related to basaltic lavas Mount Roe Basalt (of Fortescue Group).</t>
  </si>
  <si>
    <t>DS5 dolerite dykes</t>
  </si>
  <si>
    <t>Unaltered dolerite dyke that cuts ore.</t>
  </si>
  <si>
    <t>Podmore (1990); Nelson (1998); Sheppard et al. (2016a); Duuring et al. (2017)</t>
  </si>
  <si>
    <t>Dominantly supergene-enriched ore with lesser hypogene-enriched ore; minor derived ore. The hypogene-enriched ore zones form in banded iron-formation (Duuring et al., 2017) and also in in three of five sets of mafic dykes that cut the host stratigraphy (Sheppard et al., 2016a). One dyke set (Black Range Dolerite) is not described as being an ore host, and there is one dolerite dyke set that cuts ore. Both the supergene- and hypogene-enriched ores contain hematite, with massive hematite characterising hypogene-enriched ores. SHRIMP U-Pb ages of xenotime associated hypogene hematite indicates a protracted history of mineralisation, with the earliest (cited herein) age of 2249 ± 19 Ma (from ore developed in banded iron formation; supported by a second age of 2243 ± 31 Ma from a mineralised dolerite dyke), followed by ages of 2187 ± 12 Ma, 1668 ± 27 Ma and 981 ± 39 Ma (Sheppard et al., 2016). The age of the supergene-enriched ore is not clear.</t>
  </si>
  <si>
    <t>Mount Gunson (includes Cattlegrid; Cattlegrid South; East and West Lagoon; Main Open Cut, House and Gunyot; MG14; tailings and Windabout)</t>
  </si>
  <si>
    <t>Mount Gunson</t>
  </si>
  <si>
    <t>Whyalla Sandstone</t>
  </si>
  <si>
    <t>Reddish-brown sandstones with minor conglomeratic and silty-shaly portions; locally contains clasts of Pandurra Formation and Gawler Range Volcanics.</t>
  </si>
  <si>
    <t>Pandurra Formation</t>
  </si>
  <si>
    <t>Unmetamorphosed, dominantly fluvial redbed sediments: medium- to coarse-grained, poorly sorted, subangular quartz and lithic sandstone; minor conglomerate, mudstone, siltstone. Large-scale cross-bedding; liesegang banding.</t>
  </si>
  <si>
    <t>Huston and Connolly (2011), CODA minerals (2020)</t>
  </si>
  <si>
    <t>Endowment includes production (7.5 Mt at 1.9% Cu and 8.3 g/t Ag at Cattlegrid; 0.032 Mt at 3.5% Cu and 12 g/t and 0 .27 Mt at unspecified grade at Main Open Cut, House and Gunyot combined; 0.234 Mt at 0.79% Cu and 12 g/t Ag at East and West Lagoon), tailings (7.2 Mt at 0.14% Cu and 0.01% Co) and mineral resources (0.7 Mt at 1.7% Cu and 10 g/t Ag at Cattlegrid South; 1.83 Mt at 1.24% Cu, 14 g/t Ag and 0.033% Co at MG14; and 17.67 Mt at 0.77% Cu, 8 g/t Ag and 0.049% Co at Windabout).</t>
  </si>
  <si>
    <t>Mount Gunyan</t>
  </si>
  <si>
    <t>Texas</t>
  </si>
  <si>
    <t>Woolomin</t>
  </si>
  <si>
    <t>Pb-Zn-Au</t>
  </si>
  <si>
    <t>Silver Spur beds</t>
  </si>
  <si>
    <t>Steeply dipping, rhythmically interbedded fine-grained-mudstones and lithic arenite (with a felsic volcaniclastic composition), with minor felsic tuff and lenses of conglomerate and sandstone.</t>
  </si>
  <si>
    <t>Minor felsic tuff.</t>
  </si>
  <si>
    <t>Porphyritic dolerite dyke</t>
  </si>
  <si>
    <t>ksp-ser-py±pyb±rut, sil</t>
  </si>
  <si>
    <t>Halloran et al. (2017); Thomson Resources Limited (2022b)</t>
  </si>
  <si>
    <t>Thomson Resources Limited (2022b)</t>
  </si>
  <si>
    <t>Cited age is by analogy with the Twin Hills deposit. Endowment includes mineral resources only.</t>
  </si>
  <si>
    <t>Mount Hogan</t>
  </si>
  <si>
    <t>Mount Hogan Granite</t>
  </si>
  <si>
    <t>Medium- to coarse-grained, equigranular, sparsely porphyritic, biotite adamellite</t>
  </si>
  <si>
    <t>Andesite dykes</t>
  </si>
  <si>
    <t>ser (proximal) → chl-ep (distal)</t>
  </si>
  <si>
    <t>Bain et al. (1998); Kositcin et al. (2009); Morrison et al. (2019)</t>
  </si>
  <si>
    <t>Cited age is supported by three additional sericite K-Ar ages of between ~402 Ma and ~396 Ma, but Pb isotope model ages yield Mesoproterozoic ages. Endowment (Morrison et al., 2019) includes production (2.53 t Au at a grade of 5.2 g/t) and resources (0.137 Mt at 5.51 g/t Au). This deposit is unusual in that elevated uranium is associated with the gold.</t>
  </si>
  <si>
    <t>Mount Holmes</t>
  </si>
  <si>
    <t>Mount Alto</t>
  </si>
  <si>
    <t>Porphyritic (biotite-) garnet-tourmaline-muscovite granite.</t>
  </si>
  <si>
    <t>de Roo (1988); Chang et al. (2017)</t>
  </si>
  <si>
    <t>Endowment includes production of 142 t Sn and mineral resources of 10 Mt grading 0.055% Sn (Chang et al., 2017).</t>
  </si>
  <si>
    <t>Mount Hope</t>
  </si>
  <si>
    <t>Broken Range Group</t>
  </si>
  <si>
    <t>Thin to thick-bedded, massive or graded, parallel-laminated and ripple cross laminated, poorly sorted, fine to medium sometimes coarse-grained, quartzose to lithic sandstone and interbedded siltstone. Minor pebbly sandstone, conglomerate, rhyolite lava.</t>
  </si>
  <si>
    <t>Minor rhyolite lava.</t>
  </si>
  <si>
    <t>ser, sil</t>
  </si>
  <si>
    <t>Suppel and Gilligan (1993)</t>
  </si>
  <si>
    <t>Suppel and Gilligan (1993); McQueen (2016)</t>
  </si>
  <si>
    <t>McQueen (2016)</t>
  </si>
  <si>
    <t>Endowment includes production to 1907 (McQueen, 2016).</t>
  </si>
  <si>
    <t>Mount Hutton (including Mount Hutton south)</t>
  </si>
  <si>
    <t>Mount Ida</t>
  </si>
  <si>
    <t>Mount Isa-Ularring Greenstone Belt</t>
  </si>
  <si>
    <t>Steeply southwest-dipping mafic volcanic and intrusive rocks; mostly hosted by anorthosite/leucogabbro</t>
  </si>
  <si>
    <t>Mount Ida pegmatite swarm</t>
  </si>
  <si>
    <t>Mount Isa pegmatite swarm</t>
  </si>
  <si>
    <t>Red Dirt Metals (2022)</t>
  </si>
  <si>
    <t>Phelps-Barber et al. (2022); Red Dirt Metals (2022)</t>
  </si>
  <si>
    <t>Cited location is midpoint between Sparrow/Sparrow North and Timoni/Sister Sam mineralised zones. Cited age is by analogy with other Eastern Goldfields pegmatites.</t>
  </si>
  <si>
    <t>Mount Isa - copper</t>
  </si>
  <si>
    <t>Replacive copper-cobalt</t>
  </si>
  <si>
    <t>Mt Isa</t>
  </si>
  <si>
    <t>Au-Co</t>
  </si>
  <si>
    <t>Spear Siltstone</t>
  </si>
  <si>
    <t>Rhythmically laminated dolomitic siltstone in the upper section. Also this unit contains stromatolites, halite pseudomorphs, flat pebble conglomerates and cross-bedded channel deposits. Minor ore host.</t>
  </si>
  <si>
    <t>Native Bee Siltstone</t>
  </si>
  <si>
    <t>Laminated chert (lower unnamed member), and overlying thinly bedded dolomite, sandy dolomite and coarse siltstone. Contains stromatolites, halite pseudomorphs, flat pebble conglomerates and cross-bedded channel deposits. Minor ore host.</t>
  </si>
  <si>
    <t>Sybella Granite</t>
  </si>
  <si>
    <t>Foliated coarse porphyritic biotite granite.</t>
  </si>
  <si>
    <t>Tuffaceous horizons within carbonaceous, pyritic and dolomitic siltstones.</t>
  </si>
  <si>
    <t>sil (proximal, ore host) → dol → chl-tc-stp (distal)</t>
  </si>
  <si>
    <t>Perkins (1984, 1990); Perkins et al. (1999); Valenta (2018a)</t>
  </si>
  <si>
    <t>Williams (1998)</t>
  </si>
  <si>
    <t>Pyrrhotite is best developed along contacts of silica-dolomite alteration zones with Pb-Zn-rich mineralisation (Perkins, 1984). Endowment includes pre-production mineral resources.</t>
  </si>
  <si>
    <t>Mount Isa - zinc-lead-silver</t>
  </si>
  <si>
    <t>Zn-Pb-Ag</t>
  </si>
  <si>
    <t>Smith et al. (1978); Forrestal (1990); Painter et al. (1999); Page et al. (2000); Carr et al. (2001); Valenta (2018a)</t>
  </si>
  <si>
    <t>Forrestal (1990)</t>
  </si>
  <si>
    <t>Cited age is that of a tuff in the host Urquhart Shale and assumed a syn- or early diagenetic timing of mineralisation. Endowment is a minimum as estimated by Forrestal (1990).</t>
  </si>
  <si>
    <t>Mount Jennifer</t>
  </si>
  <si>
    <t>Mount Keith Ultramafic Unit</t>
  </si>
  <si>
    <t>Olivine adcumulate, olivine orthocumulate, pegmatoid and olivine-sulfide adcumulate</t>
  </si>
  <si>
    <t>Hopf and Head (1998); Lambert et al. (1998); Fiorentini et al. (2012); Perring (2015); Perring et al. (2017)</t>
  </si>
  <si>
    <t>Lambert et al. (2008); Fiorentini et al. (2012)</t>
  </si>
  <si>
    <t>Perring (2015)</t>
  </si>
  <si>
    <t>Cited age is the average age reported for dacite that underlies (2713 ± 6 Ma) and overlies (2706 ± 6 Ma) the host komatiitic unit (Fiorentini et al., 2012), which is interpreted as a shallow, synvolcanic sill. The cited uncertainty includes the combined total uncertainties covered by the two ages. It is consistent with a Re-Os isochron age of 2706 ± 36 Ma determined from ore minerals of the widely dispersed Kambalda, Perseverance and Mount Keith deposits (Lambert et al., 1998). Alteration is post mineralisation. Endowment includes production and mineral resources (Perring, 2015).</t>
  </si>
  <si>
    <t>Mount Leyshon</t>
  </si>
  <si>
    <t>Mount Leyshon Complex - basement element</t>
  </si>
  <si>
    <t>Basement rocks forming the margins to Mount Leyshon Complex. Includes Cambrian Puddler Creek Formation (23922: metamorphosed siltstone and sandstone), Ordovician Fenian Granite (25906) and pre-breccia rhyolite and dolerite dykes of likely Siluro-Devonian age.</t>
  </si>
  <si>
    <t>Mount Leyshon Complex - Main Breccia Pipe</t>
  </si>
  <si>
    <t>Polymictic, matrix-supported breccia with sub-angular to sub-rounded, pebble- to cobble-sized clasts of granite, dolerite, metasediment in a matrix of clay, chlorite, muscovite and fine rock fragments.</t>
  </si>
  <si>
    <t>Mount Leyshon Complex - interactive magma-breccia sequence</t>
  </si>
  <si>
    <t>Smaller-scale breccia pipes, dykes and igneous bodies emplaced into western part of complex. The magmatic rocks include andesite/quartz andesite and rhyodacite/rhyolite groups</t>
  </si>
  <si>
    <t>Fennian Granite</t>
  </si>
  <si>
    <t>Pink to red, medium-grained, altered biotite granite, locally deformed</t>
  </si>
  <si>
    <t>Pre-breccia rhyolite dykes</t>
  </si>
  <si>
    <t>Pre-breccia dolerite dykes</t>
  </si>
  <si>
    <t>Andesite to quartz andesite group</t>
  </si>
  <si>
    <t>Porphyritic andesite and quartz andesite</t>
  </si>
  <si>
    <t>Rhyodacite to dacite group</t>
  </si>
  <si>
    <t>Rhyodacite to dacite</t>
  </si>
  <si>
    <t>Basalt dykes</t>
  </si>
  <si>
    <t>il-smc (early) → bt-ksp-mt (grades out to chl-ep-ab) → qtz-ser (pre magma-breccia sequence) → il-smc → chl-ep-py±ab±ksp → qtz-ser-py → lea → sid → py-sul (ore assemblage, late)</t>
  </si>
  <si>
    <t>Paull et al. (1990); Perkins and Kennedy (1998); Murgulov et al. (2008); Wormald (2017)</t>
  </si>
  <si>
    <t>Perkins and Kennedy (1998)</t>
  </si>
  <si>
    <t>Wormald (2017)</t>
  </si>
  <si>
    <t>Cited age is that of an early (pre-mineralisation) dyke, but its age overlaps with a late (post-mineralisation) dyke with an age of 288 ± 5 Ma. Both ages are within error of an earlier SHRIMP age of 292 ± 3 Ma from the early dike by Perkins and Kennedy (1998). These ages are supported three plateau-like Ar-Ar segments from alteration sericite that gave ages of ~291 to ~295 Ma (Perkins and Kennedy, 1998). It is also consistent with age an Ar-Ar plateau age of 281.2 ± 1.4 Ma from hornblende from a post-mineralisation basalt dyke (Perkins and Kennedy, 1998). Endowment includes production only (Wormald, 2017).</t>
  </si>
  <si>
    <t>Mount Lindsay (including Eastern, Main, No 1, No 2 and Reward lenses)</t>
  </si>
  <si>
    <t>Mount Lindsay</t>
  </si>
  <si>
    <t>Sn-Fe-W</t>
  </si>
  <si>
    <t>Bi-In-Mo</t>
  </si>
  <si>
    <t>Crimson Creek Formation</t>
  </si>
  <si>
    <t>Argillites, siltstones, volcaniclastics, basic volcanics, greywacke an minor limestone (ore host).</t>
  </si>
  <si>
    <t>Success Creek Group</t>
  </si>
  <si>
    <t>Fluviatile deposits - lower siliceous sandstone; upper siliceous siltstone, mudstone, dolostone (ore host) and stromatolite clast-bearing, oolitic, chert breccia units.</t>
  </si>
  <si>
    <t>gt-px-ves-amp-bt-chl-mt-cal-sid-po-py-fl-von-hul (limestone-hosted - Eastern, Main, No 1 and No 2), ol-srp-phl-dp-ldw-flb-hum-chn-mt-cal-sid-fl-po-py (dolostone-hosted - Reward), px-bt-ax-mt-po-amp-qtz (siliciclastic replacement); mt (granite-proximal)→ po → py (distal) (zonation in Fe-S-O minerals)</t>
  </si>
  <si>
    <t>Owen et al. (2017)</t>
  </si>
  <si>
    <t>Hong et al. (2017); Owen et al. (2017); Denholm et al. (2021)</t>
  </si>
  <si>
    <t>Venture Minerals (2012); Owen et al. (2017)</t>
  </si>
  <si>
    <t>Cited age (Denholm et al., 2021) overlaps with that of the Meredith Granite (374 ± 4 Ma (LA-ICP-MS U-Pb): Hong et al., 2017), to which the deposit is spatially associated. Endowment includes mineral resources at a 0.2% Sn equivalent cutoff, with iron resource reported as 17% magnetite (Owen et al., 2017).</t>
  </si>
  <si>
    <t>Mount Lindsay (Livingstone)</t>
  </si>
  <si>
    <t>y</t>
  </si>
  <si>
    <t>ol-srp-phl-dp-lud-flb-hum-chn-mt-cal-sid-fl-po-py (dolostone-hosted), px-bt-ax-mt-po-amp-qtz (siliciclastic replacement)); mt (granite-proximal)→ po → py (distal) (zonation in Fe-S-O minerals)</t>
  </si>
  <si>
    <t>Hong et al. (2017); Owen et al. (2017)</t>
  </si>
  <si>
    <t>Cited age is that of the Meredith Granite (Hong et al., 2017), to which the deposit is spatially associated. Endowment is only for direct shipping, gossan resources.</t>
  </si>
  <si>
    <t>Mount Lyell - Cu-Au</t>
  </si>
  <si>
    <t>Southern Central Volcanic Complex</t>
  </si>
  <si>
    <t>Dominated by felsic to intermediate, generally feldspar-phyric rocks: lavas, intrusives and volcaniclastic rocks, with minor non-volcanic sandstones and shales; granites and andesites; pumice-rich mass-flow breccias common.</t>
  </si>
  <si>
    <t>qtz-chl-py±ser → qtz-pyr-ser-py±top±fl±bar±wo±zu → qtz-ser-py → chl-car±ser±hm±py</t>
  </si>
  <si>
    <t>Svanbergite-woodhouseite</t>
  </si>
  <si>
    <t>https://www.mindat.org/loc-18798.html (accessed March 2024)</t>
  </si>
  <si>
    <t>Walshe et al. (1981); Manning (1990); Raymond (1992); Huston and Kamprad (2001); Corbett (2014); Seymour et al. (2006); Denwer et al. (2017b)</t>
  </si>
  <si>
    <t>D Huston (unpublished data)</t>
  </si>
  <si>
    <t>Seymour et al. (2006); Denwer et al. (2017b)</t>
  </si>
  <si>
    <t>Location is as that of the Prince Lyell orebody, the largest deposit in the district. The district extends 4 km north-south and 2 km east-west, with Prince Lyell in the southwest part of the district. Ore formation in the Mount Lyell field appears to have occurred during four events, three of which are Cu-Au-dominant, and the fourth Zn-Pb dominant (see Tasman/Crown Lyell). The earliest event, at ~500 Ma involved deposition of massive sulfide lenses (e.g. The Blow and South Lyell) and disseminated pyrite-chalcopyrite lenses (e.g. Prince Lyell) during volcanism. The second event, at ~491 Ma, involved the overprinting of the syn-volcanic ores by high sulfidation epithermal bornite-rich ores (e.g. North Lyell), and the third event involved the formation of paleo-gossan and related supergene deposits (e.g. King Lyell). The timing of formation of gossans and supergene zones may have occurred as far back as the Ordovician and there is some evidence of active formation (Corbett, 2014). Endowment includes pre-mining resources (311 Mt 0.97% Cu and 0.31 g/t Au: Seymour et al., 2006) for deposits discovered before 2005 and mineral resources for the Chert deposit (4.3 Mt at 1.5% Cu and 0.79 g/t Au: Denwer et al., 2017b), which was discovered in 2011.</t>
  </si>
  <si>
    <t>Mount Lyell - Tasman and Crown Lyell (Zn-Pb)</t>
  </si>
  <si>
    <t>Zn-Pb-Au</t>
  </si>
  <si>
    <t>Tyndall Group</t>
  </si>
  <si>
    <t>Marine. Andesitic to felsic volcaniclastic to polymict sandstone (crystal-rich), siltstone, mudstone, breccias, conglomerate, with minor lavas, rare limestone lenses (with fossils), welded ignimbrites. Basal exhalative massive sulfide lenses.</t>
  </si>
  <si>
    <t>https://www.mindat.org/loc-194519.html (accessed March 2024)</t>
  </si>
  <si>
    <t>MacDonald (1991); Corbett (2014); Denwer et al. (2017b)</t>
  </si>
  <si>
    <t>Corbet (2014); Mortensen et al. (2015)</t>
  </si>
  <si>
    <t>Denwer et al. (2017b)</t>
  </si>
  <si>
    <t>Location is that of the Tasman Crown Lyell Extended deposit. Cited primary age is the age of the host Tyndall Group (Mortensen et al., 2015). Age of gossan formation is interpreted to be Tertiary (Corbett, 2014). Endowment includes mineral resources only and excludes minor historic production.</t>
  </si>
  <si>
    <t>Mount Magnet (including Hill 50, Morning Star, Saint George, Galtee Moore, Hill 60, Eclipse and many other smaller deposits)</t>
  </si>
  <si>
    <t>Mount Magnet</t>
  </si>
  <si>
    <t>Luke Creek Group, Sirdar Formation</t>
  </si>
  <si>
    <t xml:space="preserve">Mafic volcanic rocks (mainly basaltic flows - secondary ore host) interlayered with lesser banded iron formation (main ore host) and ultramafic volcanic rocks (secondary ore host) and minor felsic tuff. </t>
  </si>
  <si>
    <t>Luke Creek Group - Vicqueries Formation</t>
  </si>
  <si>
    <t xml:space="preserve">Mafic volcanic rocks (mainly basaltic flows) interlayered with lesser felsic volcanic(lastic) rocks and minor iron-rich chert (secondary ore host). </t>
  </si>
  <si>
    <t>Western granitoid (west of Wattle Creek Fault)</t>
  </si>
  <si>
    <t>Jumbulyer Granite</t>
  </si>
  <si>
    <t>Biotite granite</t>
  </si>
  <si>
    <t>Felsic porphyry intrusions</t>
  </si>
  <si>
    <t>Peridotite-gabbro dykes</t>
  </si>
  <si>
    <t>po (Hill 50-type - BIF-hosted); ser-py (Morning Star-type - basalt-hosted)</t>
  </si>
  <si>
    <t>Balde and Woolfe (1990); Thompson et al. (1990); Wilson (1990); www.rameliusresources.com.au</t>
  </si>
  <si>
    <t>Ramelius Resources (2021, 2013, 2014, 2015, 2016, 2017, 2018, 2019, 2020, 2021, 2022, 2023)</t>
  </si>
  <si>
    <t>Endowment includes production to 1987. Ore hosts are mostly banded iron formation of the Sirdar and Vicqueries formations (80%), but also mafic and ultramafic volcanic rocks. Alteration involves replacement of BIF-hosted magnetite by pyrrhotite. Endowment include a 6 MOz pre-2007 historical resources, production by Ramelius Resources since 2012 and mineral resources as of 30 June 2023 (Ramelius Resources, 2012-2023)</t>
  </si>
  <si>
    <t>Mount Marion</t>
  </si>
  <si>
    <t>High-magnesium basalt: komatiitic basalt, amphibolite-chlorite rock, talc-carbonate rock and serpentinite</t>
  </si>
  <si>
    <t>Mount Marion Pegmatite</t>
  </si>
  <si>
    <t>Spodumene-quartz-albite-K-feldspar-muscovite pegmatite</t>
  </si>
  <si>
    <t>Smith and Ross (2017)</t>
  </si>
  <si>
    <t>Endowment includes total pre-mining mineral resources at October 2016. Cited age is by analogy with other Eastern Goldfields Superterrane LCT pegmatites.</t>
  </si>
  <si>
    <t>Mount McClure (including Anomaly 45, Challenger, Cockburn, Dragon, Gilmore, Lotus, Parmelia and Success)</t>
  </si>
  <si>
    <t>Mount McClure</t>
  </si>
  <si>
    <t>Lotus Dolerite</t>
  </si>
  <si>
    <t>Quartz dolerite with local granophyric zones. Host to the Lotus and Cockburn deposits. This unit appears to be the most important host in the Mount McClure district.</t>
  </si>
  <si>
    <t>Graphitic, cherty, felsic tuff, chert and chloritic tuff (secondary host)</t>
  </si>
  <si>
    <t>Talc-tremolite-chlorite-carbonate schist (metamorphosed ultramafic volcanic rock - secondary host)</t>
  </si>
  <si>
    <t>Quartz dolerite with local granophyric zones</t>
  </si>
  <si>
    <t>Basalt, andesitic volcanics and ultramafic volcanics from host greenstone succession</t>
  </si>
  <si>
    <t>Felsic dykes - sericite-silica altered</t>
  </si>
  <si>
    <t>Intermediate dykes including diorite, feldspar-amphibole-phyric and aphyric intermediate dykes. These dykes have give emplacement ages of ~2668 Ma to ~2656 Ma (Yeats et al., 1999) and are interpreted to post-date mineralisation.</t>
  </si>
  <si>
    <t>bt-chl-car-sul±mt (mafic hosts); bt-chl-car-ser (cherty hosts); ser-sil-py (felsic hosts)</t>
  </si>
  <si>
    <t>Harris (1998); Yeats et al. (1999)</t>
  </si>
  <si>
    <t>Yeats et al. (1999)</t>
  </si>
  <si>
    <t>Harris (1998); Yandal Resources Limited (2023)</t>
  </si>
  <si>
    <t>Cited age is the youngest age of three post-ore dykes. This age is supported by two additional ages of 2663 ± 4 Ma and 2668 ± 10 Ma and is a minimum age of mineralisation (Yeats et al., 1999). Endowment includes production and mineral resources at 3 October 2023.</t>
  </si>
  <si>
    <t>Mount Molloy</t>
  </si>
  <si>
    <t>Gregory et al. (1980); Gregory and Robinson (1984); Bultitude et al. (1997); Kositcin et al. (2009); https://www.wetherbystation.com/downloads/Geology-%20Wetherby%20Station%20Mount%20Molloy.pdf (accessed April 2024)</t>
  </si>
  <si>
    <t>https://www.wetherbystation.com/downloads/Geology-%20Wetherby%20Station%20Mount%20Molloy.pdf (accessed April 2024)</t>
  </si>
  <si>
    <t>Endowment includes past production and remaining resource when mine closed in 1909. Although not recovered, significant zinc was present in the ores.</t>
  </si>
  <si>
    <t>Mount Monger (including Daisy Milano, Randalls and Salt Creek)</t>
  </si>
  <si>
    <t>Mount Monger</t>
  </si>
  <si>
    <t>Mount Belches Formation</t>
  </si>
  <si>
    <t>Metamorphosed, multiply deformed wacke and mudstone with local iron-rich units (banded iron formation - ore host at Randalls).</t>
  </si>
  <si>
    <t>Mount Monger intermediate volcaniclastic package (local name - ore host for Daisy group deposits)</t>
  </si>
  <si>
    <t>Andesite, epiclastic rocks and conglomerate</t>
  </si>
  <si>
    <t>Green porphyry (local name - ore host for Daisy group deposits)</t>
  </si>
  <si>
    <t>Feldspar-quartz-phyric granodiorite</t>
  </si>
  <si>
    <t>Green porphyry (local name)</t>
  </si>
  <si>
    <t>Spotted Dog porphyry (local name)</t>
  </si>
  <si>
    <t>Red porphyry (local name)</t>
  </si>
  <si>
    <t>Hematitically altered feldspar-quartz-phyric granodiorite</t>
  </si>
  <si>
    <t>mus-car-fch (Daisy); amp-bt-car-po-asp (Randalls); sil-ab-po (Salt Creek)</t>
  </si>
  <si>
    <t>Goodz et al. (2017)</t>
  </si>
  <si>
    <t>Goodz et al. (2017); Silverlake Resources (2017, 2018, 2019, 2020, 2021, 2022, 2023)</t>
  </si>
  <si>
    <t>Age is inferred by correlation with the Coolgardie goldfield. Pyrite is the only Fe-S mineral in the Daisy group of deposits. Pyrrhotite and minor pyrite are present at Randalls and Salt Creek. Endowment incudes production to and mineral resources at 30 June 2023.</t>
  </si>
  <si>
    <t>Ag-Zn</t>
  </si>
  <si>
    <t>Mount Morgan Trondhjemite</t>
  </si>
  <si>
    <t>Porphyritic hornblende trondhjemite, biotite-hornblende tonalite, hornblende diorite, quartz diorite, gabbro</t>
  </si>
  <si>
    <t>qtz-chl-py±ser</t>
  </si>
  <si>
    <t>Eadington et al. (1974); Arnold and Sillitoe (1989); Taube (1986; 1990a); Golding et al. (1993; 1994); Messenger and Golding (1996); Donchak et al. (2013); Carbine Resources Limited (2017)</t>
  </si>
  <si>
    <t>Taube et al. (1990a)</t>
  </si>
  <si>
    <t>The cited age is that of the host Mount Warner Volcanics, which, based on faunal assemblages have an Eifelian (Middle Devonian: 393.3-387.7 Ma). This age assumes a volcanic-hosted massive sulfide origin (e.g. Taube, 1986, 1990a) and is slightly older that the Mount Morgan Trondhjemite (379.9 ± 4.3 Ma: Donchak et al., 2013), which intrudes and contact metamorphoses the host volcanic succession. Alternatively, the deposit is an intrusion-related gold deposit associated with the Mount Morgan Trondhjemite (e.g. Sillitoe and Arnold, 1989). Endowment includes production only. Current tailings resource of 37.18 Mt grading 0.71 g/t Au, 0.09% Cu and 1.33 g/t Ag (Carbine Resources Limited, 2017) have not been included, and a mineral resource estimate for the Carpark and Slagheap Zn-rich ore lenses have not been determined.</t>
  </si>
  <si>
    <t>Mount Morgans</t>
  </si>
  <si>
    <t>chl-sid-qtz-py-cpy, py-po-dol-qtz (proximal) → ep-chl-cal-ab (basalt, trm-tc-dol-mt-chl (ultramafic rocks) (distal)</t>
  </si>
  <si>
    <t>Endowment includes mineral resources.</t>
  </si>
  <si>
    <t>Mount Mulcahy</t>
  </si>
  <si>
    <t>Zn-Co</t>
  </si>
  <si>
    <t>Chert-like sedimentary rock, quartz-sericite phyllite, black shale and felsic volcanic rocks (all ore hosts). These form a minor component within a succession dominated by mafic igneous/volcanic rocks.</t>
  </si>
  <si>
    <t>Felsic volcanic rocks that form a minor component within a succession dominated by mafic igneous/volcanic rocks.</t>
  </si>
  <si>
    <t>Mafic igneous/volcanic rocks.</t>
  </si>
  <si>
    <t>Barley (1992); Ferguson (1999); Van Kranendonk and Ivanic (2008); Hollis et al. (2015, 2017a)</t>
  </si>
  <si>
    <t>Van Kranendonk and Ivanic (2008)</t>
  </si>
  <si>
    <t>Scorpion Metals Limited (2019)</t>
  </si>
  <si>
    <t>Mount Mulgine (includes Mulgine Hill and Mulgine Trench)</t>
  </si>
  <si>
    <t>Mount Mulgine</t>
  </si>
  <si>
    <t>Be-Bi-F-Li-Sn</t>
  </si>
  <si>
    <t>Mafic schist after volcanic rock; metamorphosed BIF</t>
  </si>
  <si>
    <t>Mulgine Granite</t>
  </si>
  <si>
    <t>Muscovite metamonzogranite, biotite-metagranodiorite and hornblende metatonalite phases. Host to Mo-W mineralisation. Locally strongly deformed.</t>
  </si>
  <si>
    <t>phl-car (Mulgine Trench); qtz-mus (greisen: Mulgine Hill)</t>
  </si>
  <si>
    <t>pot; gre</t>
  </si>
  <si>
    <t>mc</t>
  </si>
  <si>
    <t>Migisha (1983); Migisha and Both (1991); Fletcher and McNaughton (2002); Vearncombe et al. (2017); Tungsten Mining NL (2019, 2020); Huston et al. (2022)</t>
  </si>
  <si>
    <t>Fletcher and McNaughton (2002); Huston et al. (2022)</t>
  </si>
  <si>
    <r>
      <t>Mulgine Trench (247 Mt grading 0.11% WO</t>
    </r>
    <r>
      <rPr>
        <vertAlign val="subscript"/>
        <sz val="9"/>
        <color rgb="FF000000"/>
        <rFont val="Times New Roman"/>
        <family val="1"/>
      </rPr>
      <t>3</t>
    </r>
    <r>
      <rPr>
        <sz val="9"/>
        <color rgb="FF000000"/>
        <rFont val="Times New Roman"/>
        <family val="1"/>
      </rPr>
      <t>), 280 ppm Mo, 0.04% Cu, 6 g/t Ag and 0.13 g/t Au) is hosted mostly by mafic volcanic rocks with lesser banded iron formation and associated with phlogopite-carbonate alteration assemblages. Mulgine Hill (12.3 Mt grading 0.21% WO</t>
    </r>
    <r>
      <rPr>
        <vertAlign val="subscript"/>
        <sz val="9"/>
        <color rgb="FF000000"/>
        <rFont val="Times New Roman"/>
        <family val="1"/>
      </rPr>
      <t>3</t>
    </r>
    <r>
      <rPr>
        <sz val="9"/>
        <color rgb="FF000000"/>
        <rFont val="Times New Roman"/>
        <family val="1"/>
      </rPr>
      <t xml:space="preserve"> and 125 ppm Mo) is hosted by Mulgine Granite and associated with quartz-muscovite greisen alteration assemblages. Age is of molybdenite from the greisen (Huston et al., 2022) and overlaps with the age of the associated Mulgine Granite (2756 ± 20 Ma: SHRIMP U-Pb; Fletcher and McNaughton, 2002). Endowment includes mineral resources only.</t>
    </r>
  </si>
  <si>
    <t>Mount O'Connor</t>
  </si>
  <si>
    <t>Mount Olympus (including Mount Olympus, Zeus, Peake and Waugh)</t>
  </si>
  <si>
    <t>Carlin-type</t>
  </si>
  <si>
    <t>Mount Olympus</t>
  </si>
  <si>
    <t>Ashburton</t>
  </si>
  <si>
    <t>As-Sb</t>
  </si>
  <si>
    <t>Mount McGrath Formation</t>
  </si>
  <si>
    <t>Ferruginous epiclastic sedimentary rocks - conglomerate, sandstone and siltstone</t>
  </si>
  <si>
    <t>Duck Creek Dolomite</t>
  </si>
  <si>
    <t>Dolostone, siltstone and chert</t>
  </si>
  <si>
    <t>kao (proximal) → ser → chl (distal) (in siltstones); alu±kao (proximal) → dck → ser → chl (distal) or ser-kao (sandstone); ser-dck (proximal) kao-dck (distal) (conglomerate)</t>
  </si>
  <si>
    <t>Jarosite</t>
  </si>
  <si>
    <t>Young et al. (2003); Şener et al. (2005); Northern Star Resources Limited (2011, 2019); Wells et al. (2016); Fielding et al. (2019); www.nstltd.com (accessed November 2019)</t>
  </si>
  <si>
    <t>Şener et al. (2005); Fielding et al. (2019)</t>
  </si>
  <si>
    <t>The Mount Olympus deposit has been interpreted as an orogenic gold deposit (Şener et al., 2005) or as a Carlin-like deposit (Young et al., 2003; Fielding et al., 2019). It also has advanced argillic alteration assemblages (Wells et al., 2016). Given these inconsistent and contradictory interpretations, the deposit type has been classified as uncertain. Şener et al. (2005) interpreted an age of 1738 ± 5 Ma, however, reinterpretation of the data of Şener et al. (2005) by Fielding et al. (2019) indicates the presence of two modes (at 1771 ± 7 Ma and 1739 ± 5 Ma), that correspond to two of three modes (1769 ± 5 Ma, 1727 ± 7 Ma and 1763 ± 8 Ma) identified by Fielding et al. (2019). The oldest mode identified by Fielding et al. (2019) is interpreted as the age of mineralisation, with the two younger peaks either secondary mineralising events or remobilisation events. The endowment includes total past production (1998-2004: 3.2 Mt grading 3.3 g/t Au (Northern Star Resources Limited, 2011) and mineral resources at 30 June 2019 (21.331 Mt grading 2.4 g/t Au: www.nsrltd.com). The aluminous alteration minerals (kaolinite, dickite and pyrophyllite) and the sulfate minerals (alunite and kaolinite) appear to be at least in part primary, although they also appear to be in part related to weathering.</t>
  </si>
  <si>
    <t>Mount Oscar</t>
  </si>
  <si>
    <t>https://oscarresources.com.au/page/mt_oscar_iron_ore_project.html (accessed April 2024)</t>
  </si>
  <si>
    <t>Duuring et al. (2017); https://oscarresources.com.au/page/mt_oscar_iron_ore_project.html (accessed April 2024)</t>
  </si>
  <si>
    <t>Cited location is approximate centre of outcropping BIF. Mostly un-enriched quartz-magnetite-rich iron formation with minor supergene-enriched goethite-hematite supergene-enriched and pisolitic ores. Cited endowment is from Duuring et al. (2017). Oscar Resources indicate and exploration target of 300-500 Mt grading 31-37% Fe. Using the midpoints of the ranges gives and endowment of 136 Mt Fe.</t>
  </si>
  <si>
    <t>Mount Peake</t>
  </si>
  <si>
    <t>Magnetite gabbro</t>
  </si>
  <si>
    <t>Cited age is based on the inference that the host gabbro is related to the Kalkarindji Large Igneous Province. The gabbro intrudes the Aileron Province and the Ediacaran (~560 Ma) Central Mount Stuart Formation. Endowment includes mineral resources only.</t>
  </si>
  <si>
    <t>Mount Playfair</t>
  </si>
  <si>
    <t>Mount Pleasant</t>
  </si>
  <si>
    <t>Aarons Pass Granite</t>
  </si>
  <si>
    <t>I-type biotite-muscovite granite</t>
  </si>
  <si>
    <t>Dolerite sill</t>
  </si>
  <si>
    <t>qtz-ksp-ser-car</t>
  </si>
  <si>
    <t>Vicary (1983); Barron et al. (1999); Downes (1999)</t>
  </si>
  <si>
    <t>Vicary (1983)</t>
  </si>
  <si>
    <t>Cited age is the more precise of two overlapping Rb-Sr ages (Vicary, 1983). The Endowment includes only a pre-JORC mineral resource (Vicary, 1983). The Rb-Sr age cited has been calculated using the decay constant of Villa et al. (2015).</t>
  </si>
  <si>
    <t>Mount Porter</t>
  </si>
  <si>
    <t>Ahmad and Khan (2013); PNX Metals Limited (2022)</t>
  </si>
  <si>
    <t>PNX Metals Limited (2022b)</t>
  </si>
  <si>
    <t>Mount Rawdon</t>
  </si>
  <si>
    <t>As-Bi-Cu</t>
  </si>
  <si>
    <t>Aranbanga Volcanic Group</t>
  </si>
  <si>
    <t>Rhyolitic to dacitic lava and pyroclastic deposits, minor volcaniclastics.</t>
  </si>
  <si>
    <t>Late Triassic</t>
  </si>
  <si>
    <t>Eastern Dacite (local name)</t>
  </si>
  <si>
    <t>Dacite stock and associated dykes</t>
  </si>
  <si>
    <t>chl-car-ep-act-sul (proximal, chloritic) → sil-py±fld → ser-qtz-py±ank±chl (sericitic) → ser-qtz-py (phyllic) → chl-cal±ep±il±py (distal, propylitic)</t>
  </si>
  <si>
    <t>Brooker and Jaireth (1995); Howard (2017)</t>
  </si>
  <si>
    <t>Howard (2017)</t>
  </si>
  <si>
    <t>Evolution Mining Limited (2017a,b,c,d, 2018c,d,e,f, 2019b,c,d,e, 2020b,c,d,e, 2021a,b,c,d, 2022a,b,c,d, 2023a,b,c,d, 2024)</t>
  </si>
  <si>
    <t>Endowment includes production (to December 2016) of 51.8 Mt at 1.03 g/t Au (Howard, 2017), production from 2017 through 2023 of 21.630 Mt at 0.85 g/t (Evolution Mining Limited, 2017a,b,c,d, 2018c,d,e,f, 2019b,c,d,e, 2020b,c,d,e, 2021a,b,c,d, 2022a,b,c,d, 2023a,b,c,d), and mineral resources at 31 December 2023 of 28.8 Mt at 0.52 g/t Au (Evolution Mining Limited, 2024). Production of 699,428 oz Ag reported from 2017 to 2023, but not for previous production period or resources.</t>
  </si>
  <si>
    <t>Mount Royal</t>
  </si>
  <si>
    <t>Mount Sholl</t>
  </si>
  <si>
    <t>Radio Hill</t>
  </si>
  <si>
    <t>PGE-Au-Au-Co</t>
  </si>
  <si>
    <t>Mt. Sholl intrusion</t>
  </si>
  <si>
    <t>gabbro-peridotite bodies</t>
  </si>
  <si>
    <t>Mathison and Marshall (1981); Raiden Resources (2023)</t>
  </si>
  <si>
    <t>Raiden Resources (2023)</t>
  </si>
  <si>
    <t>Resources are mineral resource estimate for open pit and underground using a cutoff of 0.35 and 0.5% Ni eq respectively (Raiden Resources, 2023)</t>
  </si>
  <si>
    <t>Mount Shoobridge (including Barretts)</t>
  </si>
  <si>
    <t>Mount Shoobridge</t>
  </si>
  <si>
    <t>Be-Hf-Nb-Ta</t>
  </si>
  <si>
    <t>Mount Shoobridge pegmatite swarm</t>
  </si>
  <si>
    <t>Shoobridge Granite</t>
  </si>
  <si>
    <t>Dark grey to pink, mainly porphyritic hornblende-biotite granite, core of leucocratic granite and fringe of hornblende-biotite granodiorite.</t>
  </si>
  <si>
    <t>Core Lithium (2022b)</t>
  </si>
  <si>
    <t>Stuart-Smith et al. (1993); Frater (2005); Ahmad and Hollis (2013); Ahmad and Khan (2013); Core Lithium Limited (2022b)</t>
  </si>
  <si>
    <t>Cite location is that of the Old Company pegmatite, near the centre of the Mount Shoobridge pegmatite field. Cited age is that of the Shoobridge Granite (Stuart-Smith et al., 1993), to which the pegmatite swarm is interpreted to be related. Endowment includes production only.</t>
  </si>
  <si>
    <t>Mount Specimen</t>
  </si>
  <si>
    <t>Mount Remarkable</t>
  </si>
  <si>
    <t>Altered diorite</t>
  </si>
  <si>
    <t>Altered felsic porphyry dykes</t>
  </si>
  <si>
    <t>sil-chl-ser-ep (early) → qtz-ser-py (late); bt</t>
  </si>
  <si>
    <t>http://activex.com.au/projects/pentland-gold/ (accessed May 2021); Huston et al. (2022)</t>
  </si>
  <si>
    <t>Mount Todd district (including Golf, Golf West, Quigleys (North, South and Extended) and Mount Todd)</t>
  </si>
  <si>
    <t>Mount Todd</t>
  </si>
  <si>
    <t>Şener (2004); Ahmad and Hollis (2013); Bryan et al. (2020)</t>
  </si>
  <si>
    <t>Şener (2004)</t>
  </si>
  <si>
    <t>Marks et al. (2024)</t>
  </si>
  <si>
    <t>Endowment includes production of 13.2 Mt grading 0.96 g/t Au (1993-1997) and total mineral resources of 606.181 Mt grading 0.80 g/t Au (Batman), 20.714 Mt at 0.54 g/t (heap leach pad) and 11.876 Mt at 1.22 g/t (Quigleys) (Marks et al., 2024).</t>
  </si>
  <si>
    <t>Mount Todd tin field</t>
  </si>
  <si>
    <t>Crohn (1968); Ahmad and Khan (2013)</t>
  </si>
  <si>
    <t>Very little information available, but Crohn (1968) described the deposits as similar to those in the Horseshoe Creek field (quartz lodes with cassiterite). Endowment includes production only.</t>
  </si>
  <si>
    <t>Mount Tom Price</t>
  </si>
  <si>
    <t>mrt-hm-mt-ap (proximal) → hm-mt-ank-chl → mt-sid-stp (distal (hypogene)</t>
  </si>
  <si>
    <t>Harmsworth et al. (1990); Taylor et al. (2001); Pickard (2002); Thorne et al. (2008, 2015, 2017); Angerer et al. (2014)</t>
  </si>
  <si>
    <t>Harmsworth et al. (1990)</t>
  </si>
  <si>
    <t>Cited precursor age is from Pickard (2002). Cited hypogene-enrichment age by analogy with Müller et al. (2005). Age of hypogene enrichment is based on correlation with the Paraburdoo deposit. Dominantly hypogene-enriched with lesser supergene-enriched ore. Endowment includes pre-mining mineral resources (Harmsworth et al., 1990).</t>
  </si>
  <si>
    <t>Mount Torrens</t>
  </si>
  <si>
    <t>Talisker Formation (Kanmantoo Group)</t>
  </si>
  <si>
    <t>Calcareous and scapolitic siltstone</t>
  </si>
  <si>
    <t>Belpario et al. (1998); Jenkins et al. (2002); Skwarnecki and Fitzpatrick (2003); Foden et al. (2006); Haines et al. (2009); Porter (2017e)</t>
  </si>
  <si>
    <t>Belpario et al. (1998); Skwarnecki and Fitzpatrick (2003)</t>
  </si>
  <si>
    <t>Age of the host Kanmantoo Group is constrained by a maximum age of 522 ± 2 Ma from tuff in the underlying Heatherdale Shale (Jenkins et al., 2002) and by a minimum age of 514 ± 3 Ma from magmatism associated with the overprinting Delamerian Orogeny (Foden et al., 2006). Two interpretations have been proposed for the origin of Kanmantoo Zn-Pb deposits, syn-sedimentary (e.g. Belperio et al., 1998) and syn-tectonic, emplaced prior to peak metamorphism (i.e. 514 ± 3 Ma: Porter, 2017e). Both interpretations are accommodated by the cited age when uncertainties are considered. Endowment includes pre-JORC mineral resources only.</t>
  </si>
  <si>
    <t>Mount Turner</t>
  </si>
  <si>
    <t>Mount Turner Granite</t>
  </si>
  <si>
    <t>Mount Darcy Microgranodiorite</t>
  </si>
  <si>
    <t>Grey abundantly porphyritic biotite and hornblende-biotite microgranodiorite.</t>
  </si>
  <si>
    <t>bt (proximal) → sil → ser (distal) (early; phase 1) → ser‐chl‐kao (fracture controlled; late - phase 2); intense qtz-ser on peripheral lode structures</t>
  </si>
  <si>
    <t>Cited age is from alteration sericite. Endowment after Morrison et al. (2019).</t>
  </si>
  <si>
    <t>Mount Watson</t>
  </si>
  <si>
    <t>Surprise Creek Formation</t>
  </si>
  <si>
    <t>The ores are concentrated in the sandstone and in concretion-rich intervals at the base of the upper Surprise Creek Formation, which includes siltstone, sandstone and graphitic and dolomitic shale.</t>
  </si>
  <si>
    <t>Jackson et al. (2005); Godsmark et al. (2017)</t>
  </si>
  <si>
    <t>Jackson et al. (2005)</t>
  </si>
  <si>
    <t>Cited primary age is that of the host Surprise Creek Formation (Jackson et al., 2005). Godsmark et al. (2017) indicate that "primary copper mineralisation is observed as early pre- to syn-diagenetic disseminations and various structural styles of mineralisation", so that it is possible that there are several periods of mineralisation and remobilisation, or that the mineralisation is epigenetic, in which case the inferred age is incorrect. Hence the age is given a low level of certainty. Endowment includes past production and resources as of 30 June 2017.</t>
  </si>
  <si>
    <t>Mount Webber (including Fender Daltons, Gibson and Ibanez)</t>
  </si>
  <si>
    <t>Mount Webber</t>
  </si>
  <si>
    <t>Pincunah Banded-Iron Member</t>
  </si>
  <si>
    <t>Banded iron-formation; jaspilitic; minor layered chert and shale; metamorphosed</t>
  </si>
  <si>
    <t>Buick et al. (2002); Duuring et al. (2017)</t>
  </si>
  <si>
    <t>Cited precursor age is that of the underlying Kangaroo Caves Formation to the Soanseville Group of which the Pincunah Banded-Iron Member is part. Strictly, the cited age is a maximum age. Endowment includes production and mineral resources.</t>
  </si>
  <si>
    <t>Mount Weld - Central Lanthanide</t>
  </si>
  <si>
    <t>Mount Weld</t>
  </si>
  <si>
    <t>Mount Weld Carbonatite</t>
  </si>
  <si>
    <t>Carbonatite, ranging from calcite-dominant (sövite) to dolomite-dominant (beforsite) with accessory apatite, magnetite and pyrochlore; local intrusion of rauhaugite.</t>
  </si>
  <si>
    <t>High-Mg basalt and serpentinised serpentinite</t>
  </si>
  <si>
    <t>bt</t>
  </si>
  <si>
    <t>gli</t>
  </si>
  <si>
    <t xml:space="preserve"> www.lynasrareearths.com (accessed January 2024)</t>
  </si>
  <si>
    <t>Middlemost (1990); Lottermoser (1990); Kinhill Engineers Ltd. (1992); Graham et al. (2004); Pirajno et al. (2017); Cook et al. (2023); Chandler et al. (2024)</t>
  </si>
  <si>
    <t>Fiorentini et al. (2020); Zhukova et al. (2021)</t>
  </si>
  <si>
    <t>Lynas Corporation Limited (2013, 2014, 2015, 2016, 2017, 2018, 2019, 2020); Lynas Rare Earths (2021, 2022); Cook et al. (2023)</t>
  </si>
  <si>
    <t>Cited location taken from location plan on www.lynasrareearths.com (accessed January 2024). The LA-ICPMS Rb-Sr age reported here is supported by less precise apatite U-Pb (2059 ± 15 Ma; Fiorentini et al., 2020) and monazite Th-Pb (2056 ± 57 Ma; Zhukova et al., 2021) ages, as well as overlapping with a number of other alkaline intrusions in the region (Graham et al., 2004). Significant upgrading to form ores occurred as a consequence of weathering during the Mesozoic to Cenozoic. Endowment includes production to and mineral resources at 30 June 2022 (Lynas Corporation Limited, 2013, 2014, 2015, 2016, 2017, 2018, 2019, 2020; Lynas Rare Earths, 2021, 2022). The production data (130,807 t TREO) are reported as total rare earth element oxides and include lanthanide oxides and yttrium oxide. Current resources of the Central Lanthanide deposit total 54.7 Mt grading 5.3% TREO (including Y2O3) and are JORC-compliant. The endowment of individual REOs and Y2O3 were estimated from the total REO endowment and the average REO proportions of two bulk metallurgical samples reported by Cook et al. (2023). These estimates are approximate and not compliant with reporting codes. The Rb-Sr age cited has been calculated using the decay constant of Villa et al. (2015).</t>
  </si>
  <si>
    <t>Mount Weld - Duncan</t>
  </si>
  <si>
    <t>Lynas Rare Earths (2022); Cook et al. (2023)</t>
  </si>
  <si>
    <t>Cited location taken from location plan on www.lynasrareearths.com (accessed January 2024). The LA-ICPMS Rb-Sr age reported here is supported by less precise apatite U-Pb (2059 ± 15 Ma; Fiorentini et al., 2020) and monazite Th-Pb (2056 ± 57 Ma; Zhukova et al., 2021) ages, as well as overlapping with a number of other alkaline intrusions in the region (Graham et al., 2004). Significant upgrading to form ores occurred as a consequence of weathering during the Mesozoic to Cenozoic. Grades, tonnage and endowments for TREO, Y, Nb, Zr, P2O5 and Ti include mineral resources only and is JORC-compliant (Y, Nb, Zr and Ti grades were converted from oxide to metal). The endowment of individual REOs were estimated from the total REO endowment and the average REO proportions of one bulk metallurgical samples reported by Cook et al. (2023). These estimates are approximate and not compliant with reporting codes. The Rb-Sr age cited has been calculated using the decay constant of Villa et al. (2015).</t>
  </si>
  <si>
    <t>Mount Wells</t>
  </si>
  <si>
    <t>Unnamed greisenised biotite-muscovite granite</t>
  </si>
  <si>
    <t>qtz-mus-tm-fls-chl (vein gangue)</t>
  </si>
  <si>
    <t>Ahmad and Hollis (2013); Jadar Resources Limited (2021)</t>
  </si>
  <si>
    <r>
      <t>Tin endowment includes production of 1690 t SnO</t>
    </r>
    <r>
      <rPr>
        <vertAlign val="subscript"/>
        <sz val="9"/>
        <color rgb="FF000000"/>
        <rFont val="Times New Roman"/>
        <family val="1"/>
      </rPr>
      <t>2</t>
    </r>
    <r>
      <rPr>
        <sz val="9"/>
        <color rgb="FF000000"/>
        <rFont val="Times New Roman"/>
        <family val="1"/>
      </rPr>
      <t xml:space="preserve"> and mineral resources of 0.410 Mt grading 0.74% Sn and 0.21% Cu.</t>
    </r>
  </si>
  <si>
    <t>Mount Wills</t>
  </si>
  <si>
    <t>Electron microprobe</t>
  </si>
  <si>
    <t>Blue Jacket Pegmatite</t>
  </si>
  <si>
    <t>Coarse-grained quartz, K-rich feldspar and muscovite, with sporadic pale tourmaline veins and cassiterite crystals, surrounding a thick core of massive quartz.</t>
  </si>
  <si>
    <t>Mount Wills Granite</t>
  </si>
  <si>
    <t>Coarse-grained granite; consists of orthoclase, quartz, plagioclase, abundant deformed muscovite, biotite and tourmaline</t>
  </si>
  <si>
    <t>Boucher and Turnbull (2017)</t>
  </si>
  <si>
    <t>Campbell et al. (2003); Eagle et al. (2015); Boucher and Turnbull (2017)</t>
  </si>
  <si>
    <t>Eagle et al. (2015)</t>
  </si>
  <si>
    <t>Cited location is that of the Blue Jacket pegmatite as reported by Boucher and Turnbull (2017). Cited hypogene age is an electron microprobe chemical age of monazite (Eagle et al., 2015). It was determined from monazite from the Blue Jacket and nearby Knocker pegmatites. Supergene minerals include autunite and possibly phosphuranylite (Eagle et al., 2015). A total of 3246 t of cassiterite concentrate was produced from the tin field; this is converted to tin metal in the endowment. Endowment includes production only.</t>
  </si>
  <si>
    <t>Mount Windarra (includes Mount Windarra, South Windarra and Cerberus)</t>
  </si>
  <si>
    <t>Windarra</t>
  </si>
  <si>
    <t>Windarra Ultramafic Sequence (local name)</t>
  </si>
  <si>
    <t>Olivine peridotite flows at base of 100-300-m-thick package of differentiated ultramafic flows with high-Mg and then tholeiitic basalt at top.</t>
  </si>
  <si>
    <t>Reddell and Schmulian (1990); Kositcin et al. (2008); http://www.portergeo.com.au/database/mineinfo.asp?mineid=mn768 (accessed March 2021).</t>
  </si>
  <si>
    <t>Poseidon Nickel Limited (2015); http://www.portergeo.com.au/database/mineinfo.asp?mineid=mn768 (accessed March 2021).</t>
  </si>
  <si>
    <t>Cited age is that of a turbiditic sandstone within the succession. Technically, this age is a maximum depositional age, and, therefore, a maximum age of the succession, but Kositcin et al. (2008) interpret the age as depositional due to a likely volcaniclastic origin of the sandstone, and the morphology of the analysed zircons. It must be noted that one analysed zircon yielded an age of ca 2723 Ma. Endowment includes production during 1974-1978 and 1981-1989 at Mount Windarra (4.723 at 1.69% Ni) and South Windarra (2.109 Mt at 1.42% Ni and 0.278 Mt at 1.22% Ni) (http://www.portergeo.com.au/database/mineinfo.asp?mineid=mn768), an mineral resources at 17 March 2015 of 4.358 Mt at 1.64% Ni: Mount Windarra), 0.772 Mt at 0.98% Ni (South Windarra), and 4.551 Mt at 1.51% Ni (Cerubus) (Poseidon Nickel Limited, 2015).</t>
  </si>
  <si>
    <t>Mount Wright</t>
  </si>
  <si>
    <t>Ravenswood</t>
  </si>
  <si>
    <t>Mount Wright Breccia - rhyolite facies (main phase)</t>
  </si>
  <si>
    <t>Intrusive rhyolite within Mount Wright Breccia; grades into "tuffisite"</t>
  </si>
  <si>
    <t>Early Permian-Mississippian</t>
  </si>
  <si>
    <t>Mount Wright Breccia - "tuffisite" facies</t>
  </si>
  <si>
    <t>"Tuffisite" (rhyolite-rich, fine-grained fragmental rock) within Mount Wright Breccia that is interpreted as a magmatic-hydrothermal breccia</t>
  </si>
  <si>
    <t>Mount Wright Breccia - granite breccia facies</t>
  </si>
  <si>
    <t>Polymictic, granite-clast-dominated breccia facies within Mount Wright Breccia</t>
  </si>
  <si>
    <t>Millaroo Granite</t>
  </si>
  <si>
    <t>Pink or buff, medium to coarse-grained, seriate or porphyritic biotite granite</t>
  </si>
  <si>
    <t>Unnamed dolerite and andesite/basalt dykes</t>
  </si>
  <si>
    <t>Dolerite and andesite/basalt dikes that cut the Millaroo Granite but are cut by the Mount Wright Breccia</t>
  </si>
  <si>
    <t>Ordovician-Silurian</t>
  </si>
  <si>
    <t>Mount Wright Breccia - rhyolite facies (early phase)</t>
  </si>
  <si>
    <t>Intrusive rhyolite within Mount Wright Breccia</t>
  </si>
  <si>
    <t>Mount Wright Breccia - rhyolite facies (late phase)</t>
  </si>
  <si>
    <t>Intrusive rhyolite within Mount Wright Breccia (late phase)</t>
  </si>
  <si>
    <t>ser-il-qtz, car (in main phase rhyolite), ser-chl (granite and granite breccia)</t>
  </si>
  <si>
    <t>Perkins and Kennedy (1998); Lisowiec and Morrison (2017)</t>
  </si>
  <si>
    <t>Lisowiec and Morrison (2017)</t>
  </si>
  <si>
    <t>Cited age is supported by two alteration sericite Ar-Ar ages of ~306 Ma. Endowment is after Lisowiec and Morrison (2017).</t>
  </si>
  <si>
    <t>Mount York (including Breccia Hill, Iron Stirrup, Main Hill, McPhees and Zakanaka)</t>
  </si>
  <si>
    <t>Mount York</t>
  </si>
  <si>
    <t>Euro Basalt</t>
  </si>
  <si>
    <t>Tholeiitic and komatiitic basalt with interflow sedimentary units (hosts Iron Stirrup, McPhees and Zakanaka)</t>
  </si>
  <si>
    <t>Gorge Creek Group</t>
  </si>
  <si>
    <t>Chert, ferruginous chert, banded iron formation, jaspilite; minor siltstone, shale, sandstone, pebbly sandstone, quartzite, polymictic conglomerate, felsic volcaniclastic rock, basalt, ultramafic schist, mafic schist (hosts Breccia Hill and Main Hill)</t>
  </si>
  <si>
    <t>Euro basalt</t>
  </si>
  <si>
    <t>Tholeiitic and komatiitic basalt with interflow sedimentary units</t>
  </si>
  <si>
    <t>ab-act-tm (McPhees); po-bt (selvage) → act-sas-mt-gra (distal) (Breccia Hill and Main Hill); bt (Zakanaka)</t>
  </si>
  <si>
    <t>Neumayr et al. (1993, 1998); Baker et al. (2002); Huston et al. (2002a); Geological Survey of Western Australia mineral deposits database.</t>
  </si>
  <si>
    <t>Neumayr et al. (1998)</t>
  </si>
  <si>
    <t>Huston et al. (2002a); Kairos Minerals (2023).</t>
  </si>
  <si>
    <t>Endowment includes production of 3.844 t (Huston, 2002a) and resources of 49.24 Mt at 1.02 g/t Au as reported by Kairos Mineral (2023). Total tonnage and average grade does not include historical figure as grade was not provided. Au tonnes includes historical and resources.</t>
  </si>
  <si>
    <t>Mountain Maid</t>
  </si>
  <si>
    <t>Post-ore (~390 Ma) and pre-ore (~270 Ma)</t>
  </si>
  <si>
    <t>qtz, ser, chl</t>
  </si>
  <si>
    <t>Cited age is or sericite from altered rhyolite. Alternative sericite ages of 388.1 ± 8.9 Ma and 391.4 ± 9.0 Ma of altered granite may reflect contamination from granite muscovite. Alternatively they could represent an earlier phase of mineralisation. In support of this possibility. Morrison et al. (2019) indicated that the quartz-sulfide veins are cut by Permian (?) rhyolite dikes that are themselves mineralised and altered. Morrison et al. (2019) indicated that based on other features they expected a Permian age. Endowment is after Morrison et al. (2019).</t>
  </si>
  <si>
    <t>Mountain of Light district (includes Paltridge North and Rossman East)</t>
  </si>
  <si>
    <t>Mountain of Light</t>
  </si>
  <si>
    <t>Coats (1973); Brampton (2003); Huston and Connolly (2011)</t>
  </si>
  <si>
    <t>Endowment includes minor historic production (600 t Cu) but mostly mineral resources (0.89 Mt at 0.83% Cu at Paltridge North and 0.18 Mt at 0.8% Cu at Rossmann East).</t>
  </si>
  <si>
    <t>Mud Tank Carbonatite</t>
  </si>
  <si>
    <t>Discordia - upper intercept</t>
  </si>
  <si>
    <t>Supergene vermiculite</t>
  </si>
  <si>
    <t>Active Process</t>
  </si>
  <si>
    <t>Felsic granulite, migmatite; some mafic granulite, cordierite granulite, cordierite felsic granulite, quartzite; magnesian-rich rocks.</t>
  </si>
  <si>
    <t>Crystalline carbonate rocks; foliated micaceous carbonate rocks, rich in pale brown phlogopite; feldspathic carbonate rocks with variable amounts of sodic plagioclase, clinopyroxene, amphibole and biotite. Significant vermiculite occurs.</t>
  </si>
  <si>
    <t>Tonian</t>
  </si>
  <si>
    <t>https://www.mindat.org/loc-18809.html (Accessed January 2024)</t>
  </si>
  <si>
    <t>Black and Gulson (1978); Crohn and Moore (1984); Currie et al. (1992)</t>
  </si>
  <si>
    <t>Black and Gulson (1978)</t>
  </si>
  <si>
    <t>The Mud Tank carbonatite is an important fossicking site for zircon and apatite. 70 kt of vermiculite products were produced from weathered phlogopite between 1995 and 2003, with current stockpiles containing another 30 kt of vermiculite product (Scrimgeour, 2013a). Phlogopite appears to be a magmatic phase and not a product of fenitisation. The country rocks apparently have not been strongly altered, although amphiboles in the wall rock may have become more sodic. Primary magnetite has been hematised to form martite, but this does not appear to be a primary process.</t>
  </si>
  <si>
    <t>Munbinea and Gingin districts (includes Atlas, Bidaminna, Boonanarring, Cooljarloo, McCalls and Yandanooka)</t>
  </si>
  <si>
    <t>Baxter (1977)</t>
  </si>
  <si>
    <t>Tronox Holdings PLC (2022); Image Resources Ltd. (202s); Image Resources Ltd. (2023)</t>
  </si>
  <si>
    <t>Munni Munni</t>
  </si>
  <si>
    <t>Cr</t>
  </si>
  <si>
    <t>Munni Munni Intrusion</t>
  </si>
  <si>
    <t>The intrusion has a lower ultramafic zone (orthopyroxenite, websterite, clinopyroxenite, lherzolite and dunite) and an upper gabbroic zone (anorthosite, anorthositic gabbro and gabbronorite). Mineralised zones associated with basal contact of ultramafic zone and in porphyritic websterite below the ultramafic/gabbroic zone boundary.</t>
  </si>
  <si>
    <t>Anorthosite, anorthositic gabbro, gabbronorite, orthopyroxenite, websterite, clinopyroxenite, lherzolite and dunite.</t>
  </si>
  <si>
    <t>Hoatson et al. (1992); Arndt et al. (1991); Platina Resources Limited (2010)</t>
  </si>
  <si>
    <t>Arndt et al. (1991)</t>
  </si>
  <si>
    <t>Platina Resources Limited (2010)</t>
  </si>
  <si>
    <t>Cited age is that of the host mafic-ultramafic intrusive complex, which itself is a weighted median age of three isochrons. This age is similar to a SHRIMP zircon age of 2925 ± 16 Ma for a ferrogabbro pegmatite below the ultramafic-gabbroic zone contact. Endowment includes mineral resources only.</t>
  </si>
  <si>
    <t>Murrawombie (Girilambone)</t>
  </si>
  <si>
    <t>sil, chl-ser-ep-sid-mt</t>
  </si>
  <si>
    <t>https://www.mindat.org/loc-16762.html (accessed April 2024)</t>
  </si>
  <si>
    <t>Iwata et al. (1995); Fogarty (1998); Jones (2012; pers. comm., 2014); P. Gilmore (pers. comm., 2013); Gilmore et al. (2015); Downes et al. (2017a); Fitzherbert and Huang (2019); Aeris Resources Limited (2020a,b)</t>
  </si>
  <si>
    <t>Fogarty (1998); Aeris Resources Limited (2020a,b)</t>
  </si>
  <si>
    <t>Cited primary age is based on the age of the faunal assemblage reported by Iwata et al. (1995) for the host succession. Cited hydrothermal age is by analogy with the Avoca Tank deposit (Fitzherbert and Huang, 2019). Endowment includes production from 1992 to March 1997 of 6.1 Mt of oxide/supergene ore at 1.69% Cu (Fogarty, 1998), production of a 0.570 Mt parcel of sulfide ore in 2004-2005 (grade not given; Aeris Resources Limited, 2020a), and sulfide mineral resources of 5.1 Mt at 1.5% Cu, 5.0 g/t Ag and 0.3 g/t Au (Aeris Resources Limited (2020a,b). In calculating overall grades and endowment, the 0.570 Mt parcel mined in 2004-2005 was assumed to have a similar grade to the 2020 mineral resource estimate of the sulfide ores.</t>
  </si>
  <si>
    <t>Murrays Reward</t>
  </si>
  <si>
    <t>Balfour-Temma</t>
  </si>
  <si>
    <t>Balfour Group</t>
  </si>
  <si>
    <t>Trough cross-bedded and gutter-cast quartz sandstone interbedded with siliceous and carbonaceous siltstone, fining up to predominantly laminated chloritic siltstone, lesser micaceous sandstone, and rare quartzite. Deposit is located along sheared contact between chloritic siltstone and slate and carbonaceous shale.</t>
  </si>
  <si>
    <t>Mesoproterozoic-Neoproterozoic</t>
  </si>
  <si>
    <t>Interview Granite</t>
  </si>
  <si>
    <t>S-type. Biotite monzogranite - equigranular, medium to coarse-grained.</t>
  </si>
  <si>
    <t>sil, chl, ser</t>
  </si>
  <si>
    <t>Taheri and Bottrill (2004); Black et al. (2005); Green et al. (2014)</t>
  </si>
  <si>
    <t>Endowment includes pre-JORC mineral resource only (Green et al. 2014). The origin of this deposit is not well determined. Following Taheri and Bottrill (2004), it is interpreted as a (possibly) remobilised shale-hosted copper deposit, in which case the deposit would be of Mesoproterozoic or Neoproterozoic age. Alternatively, the deposit is genetically related to the Interview Granite, which has an age of 362.4 ± 1.9 Ma (Black et al., 2005). If this is true the granite age would be the best estimate of the age of mineralisation.</t>
  </si>
  <si>
    <t>Murrin Murrin (includes Murrin Murrin South and Murrin Murrin North)</t>
  </si>
  <si>
    <t>Murrin Murrin</t>
  </si>
  <si>
    <t>Murrin Murrin Formation</t>
  </si>
  <si>
    <t>Pyroxene spinifex-textured basalt; includes ultramafic and minor felsic volcanic rocks; metamorphosed.</t>
  </si>
  <si>
    <t>Wells (2003); Nelson (2005); Groenewald et al. (2006)</t>
  </si>
  <si>
    <t>Nelson (2005); Groenewald et al. (2006)</t>
  </si>
  <si>
    <t>Glencore (2024); https://en.wikipedia.org/wiki/Murrin_Murrin_Mine (accessed March 2024)</t>
  </si>
  <si>
    <t>Cited age of precursor Murrin Murrin Formation is of felsic volcaniclastic rocks interlayered with mafic-ultramafic cumulates (Nelson, 2005; Groenewald et al., 2006). Age of lateritisation is poorly constrained, although Wells (2003) indicates both Mesozoic and Tertiary weathering events (Wells, 2003). Endowment includes total mineral resources at 31 December 2023 (220 Mt grading 1.00% Ni and 0.08% Co) (Glencore, 2024) and total production from 2000 to 2023, inclusive, of 0.756 Mt Ni and 56.0 kt Co (https://en.wikipedia.org/wiki/Murrin_Murrin_Mine)</t>
  </si>
  <si>
    <t>Muster Dam</t>
  </si>
  <si>
    <t>Magnetite Mines Limited (2023)</t>
  </si>
  <si>
    <t>Myall (Corvette and Kingswood)</t>
  </si>
  <si>
    <t>Myall</t>
  </si>
  <si>
    <t>Narromine Igneous Complex</t>
  </si>
  <si>
    <t>Basaltic to intermediate volcanic and volcaniclastic rocks intruded by plutons of gabbro to diorites and quartz-monzodiorites</t>
  </si>
  <si>
    <t>Middle-Upper Ordovician</t>
  </si>
  <si>
    <t>ep-chl-ser-car-hm-ksp</t>
  </si>
  <si>
    <t>Magmatic Resources Limited (2023)</t>
  </si>
  <si>
    <t>Cited location is in a higher grade zone of the Corvette zone and the approximate centroid of the combined extent of the combined mineralised zone. Insufficient data are available to infer the type (alkalic vs calc-alkalic) or the age of mineralisation.</t>
  </si>
  <si>
    <t>Myrtle</t>
  </si>
  <si>
    <t>Barney Creek Formation</t>
  </si>
  <si>
    <t>Thinly bedded to laminated, dolomitic, carbonaceous and pyritic shale and siltstone, dololutite, rare breccia and sandstone; occasional gypsum casts; talus slope breccia adjacent to Emu Fault. Locally abundant tuffs and breccias.</t>
  </si>
  <si>
    <t>Sun et al. (1996a); Ahmad et al. (2013c); Huston et al. (2019)</t>
  </si>
  <si>
    <t>Sun et al. (1996a); Huston et al. (2019)</t>
  </si>
  <si>
    <t>Lead isotope model age calculated using CSIRO-AGSO North Australia model (Sun et al., 1996a) using data of Huston et al. (2019). Endowment includes mineral resources only.</t>
  </si>
  <si>
    <t>Myrtle Creek-Scorpian Hill</t>
  </si>
  <si>
    <t>Myrtle Creek</t>
  </si>
  <si>
    <t>bt (early) → ser (late)</t>
  </si>
  <si>
    <t>Dean (2010); Huston et al. (2022)</t>
  </si>
  <si>
    <t>Bierlein et al. (2001); Huston et al. (2022)</t>
  </si>
  <si>
    <t xml:space="preserve">The cited molybdenite Re-Os age is within error the 369 ± 2 Ma age of the host Harcourt Granodiorite (Bierlein et al., 2001). </t>
  </si>
  <si>
    <t>Myrtle Springs</t>
  </si>
  <si>
    <t>Cited age is that of a rhyolitic rock hosted within the Skillogalee Dolomite (Preiss et al., 2009). Endowment includes South Australia-wide production from 1915 to 2015 and mineral resources assigned to this deposit. According to Horn et al. (2017), South Australian production is small and largely come from this deposit.</t>
  </si>
  <si>
    <t>Nabarlek</t>
  </si>
  <si>
    <t>Nourlangie Schist (Hangingwall Schist - local name)</t>
  </si>
  <si>
    <t>Quartz-muscovite-biotite schist.</t>
  </si>
  <si>
    <t>Nourlangie Schist (Footwall amphibolite - local name)</t>
  </si>
  <si>
    <t xml:space="preserve">Hornblende amphibolite and muscovite-biotite-quartz-schist </t>
  </si>
  <si>
    <t>Nabarlek Granite</t>
  </si>
  <si>
    <t>Altered pale pink biotite granite</t>
  </si>
  <si>
    <t>Oenpelli Dolerite</t>
  </si>
  <si>
    <t>Porphyritic olivine doleritic sills, ophitic dolerite, granophyric dolerite</t>
  </si>
  <si>
    <t>ser-chl-hm (proximal) → chl-ser-qtz (distal)</t>
  </si>
  <si>
    <t>Maas (1989); Wilde and Noakes (1990); Polito et al. (2004); Lally and Bajwah (2006); Ahmad and Hollis (2013); Ahmad and Khan (2013)</t>
  </si>
  <si>
    <t>Maas (1989); Polito et al. (2004)</t>
  </si>
  <si>
    <t>Cited age is the oldest, most precise 207Pb-206Pb age. It is supported by a second 207Pb-206Pb age of 1620 ± 32 Ma and a U-Pb uraninite age of 1648 ± 120 Ma and by a uraninite Sm-Nd age of 1616 ± 50 Ma (Maas, 1989). Endowment includes production only. The mine was active between June and October 1979. Deposit is near culturally sensitive land.</t>
  </si>
  <si>
    <t>Nammuldi-Brockman 2</t>
  </si>
  <si>
    <t>Pickard (2002); Thorne et al. (2017); Rio Tinto Limited (2013)</t>
  </si>
  <si>
    <t>Rio Tinto Limited (2013)</t>
  </si>
  <si>
    <t>Endowment includes mineral resources (including ore reserves) at 31 December 2011. The main ore type is unclear (supergene-enriched versus hypogene-enriched), but significant detrital ore is present.</t>
  </si>
  <si>
    <t>Namoona South</t>
  </si>
  <si>
    <t>Shale-hosted vein zinc-lead-silver</t>
  </si>
  <si>
    <t>Namoona</t>
  </si>
  <si>
    <t>Reddish-brown, carbonaceous-pyritic and dolomitic slate, phyllite and schist; carbonaceous pyritic dololutite; medium to coarse quartz meta-arenite, coarse to very coarse, poorly sorted feldspathic-quartz metagreywacke, fine to coarse dolarenite.</t>
  </si>
  <si>
    <t>Stag Creek Volcanics</t>
  </si>
  <si>
    <t>Altered, massive, fine amygdaloidal and slightly porphyritic basalt and basaltic andesite, basaltic agglomerate, mafic volcaniclastic shale and arenite.</t>
  </si>
  <si>
    <t>Huston et al. (2019)</t>
  </si>
  <si>
    <t>Sun et al. (1996a); Ahmad and Hollis (2013); Huston et al. (2019)</t>
  </si>
  <si>
    <t>Sun et al. (1996a); Worden et al. (2008a); Huston et al. (2019)</t>
  </si>
  <si>
    <t>Cited location is that of drill core sampled for lead isotope analysis. Medium-grained massive sphalerite-galena-pyrite veins interpreted to be remobilised from stratiform lenses. Cited age is that of the conformably overlying Stag Creek Volcanics (Worden et al., 2008a). Lead isotope model age of ~2020 Ma using the Sun et al. (1996a) Northern Australia Model.</t>
  </si>
  <si>
    <t>Napperby (New Well)</t>
  </si>
  <si>
    <t>Napperby</t>
  </si>
  <si>
    <t>Narlarla</t>
  </si>
  <si>
    <t>Lower Napier Formation</t>
  </si>
  <si>
    <t>Variably dolomitised packstone and grainstone</t>
  </si>
  <si>
    <t>dol±chl</t>
  </si>
  <si>
    <t xml:space="preserve">Ringrose (1989); Vaasjoki and Gulson (1986); Taylor et al. (2009); </t>
  </si>
  <si>
    <t>Taylor et al. (2009)</t>
  </si>
  <si>
    <t>Endowment is approximated pre-development mineral inventory</t>
  </si>
  <si>
    <t>Nebo-Babel</t>
  </si>
  <si>
    <t>Musgrave</t>
  </si>
  <si>
    <t>PGE-Co-Au</t>
  </si>
  <si>
    <t>Nebo-Babel intrusion</t>
  </si>
  <si>
    <t>hbl-cum±ep±scp</t>
  </si>
  <si>
    <t>Sun et al. (1996b); Seat et al. (2011, 2017)</t>
  </si>
  <si>
    <t>Sun et al. (1996b)</t>
  </si>
  <si>
    <t>OZ Minerals Limited (2022)</t>
  </si>
  <si>
    <t>Alteration is post mineralisation. Endowment includes total mineral resources only.</t>
  </si>
  <si>
    <t>Nelson Bay River</t>
  </si>
  <si>
    <t>Cowrie Siltstone</t>
  </si>
  <si>
    <t>Siltstone, sandstone and carbonaceous mudstone</t>
  </si>
  <si>
    <t>"Ultramafic-dyke-like structure"</t>
  </si>
  <si>
    <t>Cross-cutting, up to 40-m-wide quartz-carbonate-magnetite-pyrite-garnet-chlorite-amphibolite dyke-like rock</t>
  </si>
  <si>
    <t>qtz-car-mt-py-gt-chl-amp</t>
  </si>
  <si>
    <t>Shree Minerals Ltd (2020)</t>
  </si>
  <si>
    <t>Black et al. (2005); Green et al. (2014); Loyalka (2016); Shree Minerals Ltd (2020)</t>
  </si>
  <si>
    <t>Cited location is the approximated centre of open cut. Endowment includes production (2013-2014) of 181,000 t of direct shipping or at 57.5% Fe and a global mineral resource of 11.3 Mt at 36.3% Fe (Shree Minerals Ltd, 2020).</t>
  </si>
  <si>
    <t>Nevoria</t>
  </si>
  <si>
    <t>Luke Creek Greenstone</t>
  </si>
  <si>
    <t>Amphibolite (minor)</t>
  </si>
  <si>
    <t>Nevoria granite-pegmatite complex</t>
  </si>
  <si>
    <t>Peraluminous two-mica granite; pegmatite</t>
  </si>
  <si>
    <t>hed-act-po-py; alm-hbd-po-py</t>
  </si>
  <si>
    <t>Cullen et al. (1990); Mueller (1997); Qiu et al. (1999); Mueller et al (2004); Verbaas and Beckett (2012)</t>
  </si>
  <si>
    <t>Qiu et al. (1999)</t>
  </si>
  <si>
    <t>Verbaas and Beckett (2012)</t>
  </si>
  <si>
    <t>Cited age is consistent with post-mineralisation granite-pegmatite complex dated at 2634 ± 4 Ma (Qiu et al. 1999). It is based on analysis of allanite inclusions in garnet. Endowment includes production to 1996 and resources in 2012 (Verbaas and Beckett, 2012); production data for 1996 to 2009 are not known.</t>
  </si>
  <si>
    <t>Banded iron formation and amphibolite</t>
  </si>
  <si>
    <t>Bloem et al. (1995); Kent et al. (1996); Qiu et al. (1999)</t>
  </si>
  <si>
    <t>Kent et al. (1996); Qiu et al. (1999)</t>
  </si>
  <si>
    <t>Age is that of the Nevoria granite-pegmatite complex, which cut auriferous gold veins at the Nevoria deposit (Qiu et al., 1999), and is supported by a Sm-Nd isochron age of 2628 ± 10 Ma of a pegmatite dyke (Kent et al., 1996).</t>
  </si>
  <si>
    <t>New Celebration (including Celebration, Mutooroo, Hampton-Boulder-Jubilee and Golden Hope)</t>
  </si>
  <si>
    <t>New Celebration</t>
  </si>
  <si>
    <t>Pernatty Dolerite</t>
  </si>
  <si>
    <t>Differentiated dolerite sill (main host) with six sub-units: (1) cumulate pyroxenite, (2) melanocratic dolerite, (3) equigranular, magnetite-rich dolerite, (4) magnetite granophyre, (5) fine-grained, oxide-rich dolerite, and (6) fine-grained chilled margin</t>
  </si>
  <si>
    <t>Kambalda Komatiite (equivalent)</t>
  </si>
  <si>
    <t>Metamorphosed ultramafic rock with extensive alteration to metamorphic talc, serpentine, tremolite and chlorite.</t>
  </si>
  <si>
    <t>M2 porphyry dyke</t>
  </si>
  <si>
    <t>Metamorphosed ultramafic rock</t>
  </si>
  <si>
    <t>M1 porphyry dyke</t>
  </si>
  <si>
    <t>Plagioclase-rich porphyry dykes</t>
  </si>
  <si>
    <t xml:space="preserve">ank-ser-py-bt (proximal) → ank-ser-bt (distal) (mylonite-style); py-ser-ank (proximal) → ank-ser-py-bt → ank-bt-ser-py → bt-ank-chl (distal) (contact-style); ser±ank±py (fracture-infill-style) </t>
  </si>
  <si>
    <t>Norris (1990); Copeland (1998); Nichols and Hagemann (2014)</t>
  </si>
  <si>
    <t>Nichols and Hagemann (2014)</t>
  </si>
  <si>
    <t>Resources are the total of production until 1999 and mineral resources in 2012 (Nichols and Hagemann, 2014). Production data between 2000 and 2012 are not available. In 2002, the New Celebration operations were merged with the Jubilee operations to form the South Kalgoorlie operations. After its acquisition by Northern Star Resources Limited in 2018, mineral resources has been reported jointly with the Kanowna Bell operations. Production and resources have been reported as part of the Kanowna Bell deposit.</t>
  </si>
  <si>
    <t>New Cobar (including New Cobar South)</t>
  </si>
  <si>
    <t>Endowment includes production of 5 kt Cu and 0.242 Moz, 0.066 Moz Au from 2000 to 2004, and 13 kt Cu and 0.232 Moz Au from 2004 to 2016.</t>
  </si>
  <si>
    <t>New Occidental</t>
  </si>
  <si>
    <t>Endowment includes production of 0.691 Moz Au from 1889 to 1952 and 4 kt Cu and 0.526 Moz Au from 2001 to 2013.</t>
  </si>
  <si>
    <t>Newman-Mount Whaleback</t>
  </si>
  <si>
    <t>Newman</t>
  </si>
  <si>
    <t>Cited precursor age is from Pickard (2002). Cited hypogene-enrichment age by analogy with Müller et al. (2005). The reserves and resources presented by Anger et al. (2017; as of 30 June 2012) are greater than the pre-mining resource cited by Thorne et al. (2008: 1800 Mt at 65% Fe), so the former are used as the endowment, although production prior to 30 June 2012 has not been included.</t>
  </si>
  <si>
    <t>Nicholas Downs</t>
  </si>
  <si>
    <t>Nicolas Downs</t>
  </si>
  <si>
    <t>Location approximate. Cited age is by correlation with the Butcherbird deposit (Collier Basin). This is preferred over correlation with Woodie Woodie as mineralisation at Nicolas Downs is stratiform.</t>
  </si>
  <si>
    <t>Nicolson's (including Nicolson's Find and Wagtail)</t>
  </si>
  <si>
    <t>Nicolson's</t>
  </si>
  <si>
    <t>Metamorphosed felsic volcanic and volcaniclastic rocks, metasedimentary rocks, metabasalt, and hornfels</t>
  </si>
  <si>
    <t>Loadstone Monzogranite</t>
  </si>
  <si>
    <t>Weakly porphyritic biotite monzogranite and syenogranite and minor microgranodiorite</t>
  </si>
  <si>
    <t>Lamboo Ultramafics</t>
  </si>
  <si>
    <t>Metamorphosed ultramafic and mafic intrusives</t>
  </si>
  <si>
    <t>Sanders (1999); Hassan (2000); Pantoro Limited (2016, 2017, 2018, 2019, 2020, 2021, 2022, 2023); Kohanpour et al. (2020)</t>
  </si>
  <si>
    <t>Hassan (2000); Pantoro Limited (2016, 2017, 2018, 2019, 2020, 2021, 2022, 2023)</t>
  </si>
  <si>
    <t>Cited age is for the Nicolson's Find deposit (Kohanpour et al., 2020). Resource data includes production of 76.2 kg in 1996 (Hassan, 2000) as well as production from 2016 to June 2023 of 277,530 oz Au (8.63 t) mostly from the Nicolson's Find and Wagtail deposits (Pantoro Limited, 2016, 2017, 2018, 2019, 2020, 2022, 2023), and mineral resources at 30 June 2023 of 0.771 Mt at 6.0 g/t. The major deposit is Nicolson's Find with a total resource of 12.32 t Au.</t>
  </si>
  <si>
    <t>Nifty</t>
  </si>
  <si>
    <t>Carbonaceous shale and dolomitic mudstone</t>
  </si>
  <si>
    <t>qtz-crb-py-ap-ura (proximal) → sil → qtz-dol (distal)</t>
  </si>
  <si>
    <t>Blockley and Myers (1990); Anderson et al. (2001); Maidment et al. (2017); Porter (2017c); Huston et al. (2020a)</t>
  </si>
  <si>
    <t>Blockley and Myers (1990); Huston et al. (2020a)</t>
  </si>
  <si>
    <t>Porter (2017c); Cyprium Metals Limited</t>
  </si>
  <si>
    <t>Cited age is supported by an apatite Sm-Nd isochron age of 791 ± 42 Ma (Huston et al., 2020a) and a galena Pb model age of ca 875 Ma (Blockley and Myers, 1990). Endowment includes production (Porter, 2017c) and mineral resources (Cyprium Metals Limited, 2022).</t>
  </si>
  <si>
    <t>Nimbus</t>
  </si>
  <si>
    <t>Quartz-plagioclase-phyric dacite</t>
  </si>
  <si>
    <t>qtz-ser(fch)-py±tm±car±chl±ab (dacite); qtz-car-chl (mafic rocks)</t>
  </si>
  <si>
    <t>Mulholland et al. (1998); Kositcin et al. (2008); Hollis et al. (2015, 2017a,b); MacPhersons Resources Limited (2015)</t>
  </si>
  <si>
    <t>Kositcin et al. (2008); Hollis et al. (2017b)</t>
  </si>
  <si>
    <t>McPherson Resources Limited (2015)</t>
  </si>
  <si>
    <t>Endowment includes production of 0.319 Mt grading 352 g/t Ag and mineral resources at 28 April 2015 (McPherson Resources Limited, 2015).</t>
  </si>
  <si>
    <t>Nippon Hill</t>
  </si>
  <si>
    <t>Magnetite Mines Limited (2017)</t>
  </si>
  <si>
    <t>Cited location is approximate centroid of resource outline. The cited age (Fanning and Link, 2008) is that of a felsic volcaniclastic rock in the Wilyerpa Formation, which directly overlies the Benda Siltstone that hosts the host Braemar Iron Formation. Endowment includes mineral resources only. Davis tube recoveries were 19.7%, producing a concentrate grading 69.8% Fe; these data were used to estimate iron grade.</t>
  </si>
  <si>
    <t>Nobles Nob</t>
  </si>
  <si>
    <t>Bi-Cu-Se</t>
  </si>
  <si>
    <t>chl±mt</t>
  </si>
  <si>
    <t>Yates and Robinson (1990); Compston and McDougal (1994); Kwon et al. (2002); Fraser et al. (2008); Donnellan (2013a)</t>
  </si>
  <si>
    <t>Noganyer Formation</t>
  </si>
  <si>
    <t>Kalgoorlie-Norseman</t>
  </si>
  <si>
    <t>Persistent BIF layers within clastic, partly felsic sedimentary rocks.</t>
  </si>
  <si>
    <t>Campbell and Hill (1988)</t>
  </si>
  <si>
    <t>These zircons are interpreted as hydrothermal by the authors. If not hydrothermal, they directly date the iron formation.</t>
  </si>
  <si>
    <t>Nolans Bore</t>
  </si>
  <si>
    <t>Nolans</t>
  </si>
  <si>
    <t>Hypogene-modified rare earth element</t>
  </si>
  <si>
    <t>P-U-Y</t>
  </si>
  <si>
    <t>Apatite vein</t>
  </si>
  <si>
    <t>amp-ksp-dp-gt-cal-qtz</t>
  </si>
  <si>
    <t>Hussey and Goulevitch (2017)</t>
  </si>
  <si>
    <t>Schoneveld et al. (2015); Huston et al. (2016); Hussey and Goulevitch (2017); Anenburg et al. (2020)</t>
  </si>
  <si>
    <t>Schoneveld et al. (2015); Huston et al. (2016)</t>
  </si>
  <si>
    <t>Huston et al. (2016); Hussey and Goulevitch (2017)</t>
  </si>
  <si>
    <t>Cited resource and grades based are from Hussey and Goulevitch (2017); grades of individual lanthanides and Y based on proportions from Huston et al. (2016); Pr oxide concentrations converted to Pr2O3 from reported values in Pr6O11. Cited age is the midpoint of an age range with an upper bound of 1550 ± 6 Ma provided by a monazite U-Pb SHRIMP age from a pegmatite that is cut by mineralised apatite veins, and lower bound of 1525 ± 18 Ma provided by paragenetically late allanite. There has been extensive resetting of isotopic systems, which has produced a large number of anomalously young ages, with significant hypogene remobilisation of ores during the Devonian to Carboniferous. Cited age of major remobilisation event from Schoneveld et al. (2015). The ores have been almost entirely overprinted by supergene mineral assemblages, with only minor remnant hypogene ore. Overall endowment includes mineral resources only and is code-compliant; individual REO grades are estimates and are NOT code-compliant. The origin of the apatite veins is interpreted as originally magmatic (carbonatitic: Anenburg et al., 2020).</t>
  </si>
  <si>
    <t>Norma Vale</t>
  </si>
  <si>
    <t>Polymictic pebble to cobble conglomerate with clasts of siltstone, sandstone, coherent volcanic rocks and limestone</t>
  </si>
  <si>
    <t>Unnamed granitic rocks</t>
  </si>
  <si>
    <t>Compositionally complex, dioritic, granodioritic and local miarolitic leuco-syenogranite</t>
  </si>
  <si>
    <t>[cal-hed-po (early) → ep-cal-act-po (late)] (vein assemblage) → stp (proximal) → act-ep (distal)</t>
  </si>
  <si>
    <t>Fitzherbert et al. (2017b)</t>
  </si>
  <si>
    <t>Fitzherbert et al. (2017b, 2019)</t>
  </si>
  <si>
    <t>Fitzherbert et al. (2019)</t>
  </si>
  <si>
    <t>Cited location is that of the drill hole (DD09NV0005) from which the sample analysed was taken.</t>
  </si>
  <si>
    <t>Normay</t>
  </si>
  <si>
    <t>North Star Basalt</t>
  </si>
  <si>
    <t>Chert, basalt and dolerite</t>
  </si>
  <si>
    <t>North Pole Monzogranite</t>
  </si>
  <si>
    <t>Biotite monzogranite; equigranular to weakly porphyritic.</t>
  </si>
  <si>
    <t>Thorpe et al. (1992b); Marshall (2000)</t>
  </si>
  <si>
    <t>Marshall (2000)</t>
  </si>
  <si>
    <t>Lead isotope evolution model used is Western Superior (Wabigoon-Uchi) of Thorpe et al. (1992b). Endowment includes 475 kg of production and a 1998, pre-JORC resource of 0.162 Mt grading 16.0 g/t Au (Marshall, 2000)</t>
  </si>
  <si>
    <t>Norseman (including Bullen, Crown, Harlequin, Maranoa, OK, Royal and Scotia)</t>
  </si>
  <si>
    <t>Norseman</t>
  </si>
  <si>
    <t>Woolyeenyer Formation</t>
  </si>
  <si>
    <t>Intrusive gabbro</t>
  </si>
  <si>
    <t>Granite batholith</t>
  </si>
  <si>
    <t>bt-trm-act-chl-cal-sul</t>
  </si>
  <si>
    <t>Thomas et al. (1990); Archer and Turner (1998); http://www.portergeo.com.au/database/mineinfo.asp?mineid=mn766 (accessed March 2021)</t>
  </si>
  <si>
    <t>Archer and Turner (1998); Pantoro (2023)</t>
  </si>
  <si>
    <t>Endowment include production to June 1996 (~5.0 Moz) and 2023 mineral resources of 4.8 million ounces of gold with an ore reserve of 973,000 ounces. It does not include production between 1996 and 2019.</t>
  </si>
  <si>
    <t>North East</t>
  </si>
  <si>
    <t>https://www.mindat.org/loc-98776.html (accessed April 2024)</t>
  </si>
  <si>
    <t>Cited primary age is based on the age of the faunal assemblage reported by Iwata et al. (1995) for the host succession. Cited hydrothermal age is by analogy with the Avoca Tank deposit (Fitzherbert and Huang, 2019). Endowment includes production from 1996 to March 1997 of 0.157 Mt of oxide/supergene ore at 0.77% Cu, oxide/supergene mineral resources of 0.966 Mt at 0.82% Cu and sulfide mineral resources of 1.312 Mt at 0.96% Cu (Fogarty, 1998).</t>
  </si>
  <si>
    <t>North Portia</t>
  </si>
  <si>
    <t>Williams and Skirrow (2000); Giles and Just (2017)</t>
  </si>
  <si>
    <t>Williams and Skirrow (2000)</t>
  </si>
  <si>
    <t>Havilah Resources Limited (2018)</t>
  </si>
  <si>
    <t>Cited age is midpoint of age range (1616-1614 Ma) cited by Williams and Skirrow (2000). No uncertainties were provided in reference. Endowment includes mineral resources only. It includes an oxide inferred resources of 0.49Mt at 1.17 g/t Au, a supergene resources at 3.856Mt at 0.73% Cu, 0.51 g/t Au, 154 ppm Co and 275 ppm Mo, and a primary sulphide resource of 8.61Mt at 0.85 % Cu, 0.6 g/t Au and 452 ppm Mo.</t>
  </si>
  <si>
    <t>Northcote</t>
  </si>
  <si>
    <t>qtz-mus-py</t>
  </si>
  <si>
    <t>Lisitsin and Jackson (2017)</t>
  </si>
  <si>
    <t>Cited age is by analogy with the Minnie Moxham deposit. Endowment includes mineral resources only.</t>
  </si>
  <si>
    <t>Northern Star</t>
  </si>
  <si>
    <t>tc-chl-hm (proximal) → dol-hm (distal)</t>
  </si>
  <si>
    <t>Edwards (1987); Donnellan (2013a)</t>
  </si>
  <si>
    <t>Endowment includes production only, with the grades cited the recovered grades. Anomalous in U, with local zones to 0.6% uraninite.</t>
  </si>
  <si>
    <t>Northparkes district (including Endeavour 22 (EN22), Endeavour 26 (EN 26), Endeavour 27 (EN 27), Endeavour 48 (EN 48), and GRP314)</t>
  </si>
  <si>
    <t>Wombin Volcanics</t>
  </si>
  <si>
    <t>Polymict volcanic breccia and turbiditic crystal-rich sandstone with syn-sedimentary trachyandesite sills.</t>
  </si>
  <si>
    <t>Bedded volcaniclastic sandstone, siltstone, limestone and volcanic breccia overlain by unit of volcanic conglomerate, mass flow sandstone and basaltic andesite lava.</t>
  </si>
  <si>
    <t>QMZ (local name)</t>
  </si>
  <si>
    <t>Crowded porphyritic quartz monzonite</t>
  </si>
  <si>
    <t>BQM (local name)</t>
  </si>
  <si>
    <t>Biotite quartz-monzonite</t>
  </si>
  <si>
    <t>Early-, syn- and late mineralisation quartz-monzonite porphyries</t>
  </si>
  <si>
    <t>Zero porphyry</t>
  </si>
  <si>
    <t>hm (reddening or host rocks)</t>
  </si>
  <si>
    <t>[ksp (proximal) → ksp-bt-anh±mt → mt±bt → ep-chl-hm (distal)] (early) → ser (late)</t>
  </si>
  <si>
    <t>Owens et al. (2017)</t>
  </si>
  <si>
    <t>Perkins et al. (1990, 1995); Butera et al. (2001); Lickford et al. (2003, 2007); Owens et al. (2017); Pacey et al. (2019); Wells et al. (2021)</t>
  </si>
  <si>
    <t>Perkins et al. (1990, 1995); Butera et al. (2001); Lickford et al. (2003, 2007); Wells et al. (2021)</t>
  </si>
  <si>
    <t>The cited location is that of Owens et al. (2017) for the district. Cited age is the average of two molybdenite Re-Os analyses from the E 27 and E 48 and deposits: Wells et al., 2021), and is supported by numerous other ages (40Ar-39Ar of alteration minerals and U-Pb zircon of related intrusions) of between 441 and 437 Ma (Perkins et al., 1990, 1995; Butera et al., 2001; Lickfold et al., 2003, 2007). Endowment is the sum of production to December 2016 (0.9 Mt Cu and 1.2 Moz Au) and mineral resources (481.52 Mt and 0.56% Cu and 0.18 g/t Au) and mineral reserves (121.17 Mt at 0.58% Cu and 0.22 g/t Au) as of 31 December 2016 (resources reported exclusive of reserves) as reported in Owens et al. (2017). The resulting endowment is significantly larger that the endowment reported by Owens et al. (2017) in their text, which does not include past production.</t>
  </si>
  <si>
    <t>Nova-Bollinger</t>
  </si>
  <si>
    <t>Fraser</t>
  </si>
  <si>
    <t>Nova-Bollinger intrusive complex (local name)</t>
  </si>
  <si>
    <t>Peridotite, pyroxenite, and gabbronorite</t>
  </si>
  <si>
    <t>Parker et al. (2017a)</t>
  </si>
  <si>
    <t>De Waele and Pisarevsky (2008); Thomas (2013); Clark et al. (2014); Parker et al. (2017a); Taranovic et al. (2022)</t>
  </si>
  <si>
    <t>De Waele and Pisarevsky (2008); Thomas (2013); Clark et al. (2014)</t>
  </si>
  <si>
    <t>(Ultra)mafic magmatism in the Fraser Zone of the Albany-Fraser Province has been dated consistently between 1300 and 1290 Ma, with the most precise analysis (cited here) being 1299 ± 3 Ma based on SHRIMP U-Pb dating of magmatic zircon (Clark et al., 2014). This age is supported by two other SHRIMP U-Pb determinations of magmatic ages for (ultra)mafic complexes in the Fraser Zone of 1292 ± 6 Ma (interpreted as either the age of the overprinting granulite facies magmatism or the age of magmatism coeval with metamorphism: Clark et al., 2014) and 1291 ± 8 Ma (De Waele and Pisarevsky, 2008). At the Nova-Bollinger deposit the age is consistent with LA-ICP-MS zircon ages of 1299 ± 5 Ma and 1295 ± 6 Ma for felsic dykes that cut the Nova-Bollinger intrusive complex (Thomas, 2013). Endowment includes pre-mining mineral resources at 30 June 2016 (Parker et al., 2017a).</t>
  </si>
  <si>
    <t>Nullagine-Bonnie Creek</t>
  </si>
  <si>
    <t>Paleochannel iron</t>
  </si>
  <si>
    <t>Nundle district</t>
  </si>
  <si>
    <t>Nundle</t>
  </si>
  <si>
    <t>Tamworth</t>
  </si>
  <si>
    <t>Fuchsite</t>
  </si>
  <si>
    <t>Deep lead gold</t>
  </si>
  <si>
    <t>Woolomin Group</t>
  </si>
  <si>
    <t>Chert, jasper, slate, phyllite, basalt (main ore host for lode gold), minor sandstone. Sedimentary rock types also host lode gold.</t>
  </si>
  <si>
    <t>Silurian to Late Devonian</t>
  </si>
  <si>
    <t>Dolerite (intruded into Woolomin Group)</t>
  </si>
  <si>
    <t>Fluviatile sedimentary rocks underlying Tertiary basalt</t>
  </si>
  <si>
    <t>Tertiary</t>
  </si>
  <si>
    <t>Fluviatile terraces adjacent to Peel River</t>
  </si>
  <si>
    <t>Active fluviatile deposits in present-day watercourses</t>
  </si>
  <si>
    <t>Silurian-Late Devonian</t>
  </si>
  <si>
    <t>car-qtz-ser-py-rut (proximal) → car-chl-py (distal) (mafic and sedimentary rocks); mag-qtz-ser-py±chl (proximal) → mag-tc±qtz (distal (ultramafic rocks)</t>
  </si>
  <si>
    <t>Downes (2017)</t>
  </si>
  <si>
    <t>Weber (1979); Ashley and Hartshorn (1988); Ashley and Brownlow (1993); Downes (2017)</t>
  </si>
  <si>
    <t xml:space="preserve">Ashley and Brownlow (1993) </t>
  </si>
  <si>
    <t>Markham (1975)</t>
  </si>
  <si>
    <t>Cited age is the oldest of two whole-rock K-Ar analyses of fuchsite-bearing silica–carbonate rocks (Ashley and Brownlow, 1993; the younger analysis yielded an age of 243 ± 2). Minor auriferous veins also present in the Baldwin Formation, Andersons Flat Beds and Great Serpentinite Belt. Ashley and Brownlow (1993) suggest that similar fluids were responsible for orogenic-related mineralisation along the Peel Fault.</t>
  </si>
  <si>
    <t>Nyidinghu</t>
  </si>
  <si>
    <t>Pickard (2002); Kepert et al. (2017)</t>
  </si>
  <si>
    <t>Dominantly supergene-enriched ore with some relic hypogene-enriched (microplaty hematite) and minor channel-iron and detrital-iron ore. Endowment includes total mineral resources only.</t>
  </si>
  <si>
    <t>Quartz turbidites interbedded with siltstone and shale</t>
  </si>
  <si>
    <t>bt-stp-act/trm-chl-tc±gt±sch (proximal) → bt-chl-pla (distal)</t>
  </si>
  <si>
    <t>Page (2011); Fitzherbert et al. (2017a, 2021); Aurelia Metals Limited (2019); Fitzherbert and Downes (2020)</t>
  </si>
  <si>
    <t>Aurelia Metals Limited (2019); Fitzherbert and Downes (2020)</t>
  </si>
  <si>
    <t>Endowment includes production of 0.422 Mt at 5.8% Cu between 1881 and 1917 and mineral resources (as of 30 June 2019) of 1.45 M at 2.2% Cu, 1.4% Zn, 0.8% Pb and 18 g/t Ag.</t>
  </si>
  <si>
    <t>Oakdale-Oakdale East</t>
  </si>
  <si>
    <t>Coulta</t>
  </si>
  <si>
    <t>Graphitic schist and gneiss intercalated with felsdpar-sillimanite-quartz±pyrrhotite gneiss, marble, calc-silicate and mafic volcanic rocks</t>
  </si>
  <si>
    <t>Mafic volcanic rocks in Sleaford Complex</t>
  </si>
  <si>
    <t>Mafic volcanic rocks</t>
  </si>
  <si>
    <t>Keeling (2017); https://asud.ga.gov.au/search-stratigraphic-units/results/27899</t>
  </si>
  <si>
    <t>Jagodzinski et al. (2020); https://asud.ga.gov.au/search-stratigraphic-units/results/27899</t>
  </si>
  <si>
    <t>Cited precursor age is the average of age range in the Australian Stratigraphic Units Database of the Sleaford Complex. Cited primary age is that of the Sleaford Orogeny as established from zircon overgrowths for sample R2147102 from Jagodzinski et al. (2020). This orogeny produced the high grade metamorphism that crystallised the graphite. Endowment includes mineral resources only.</t>
  </si>
  <si>
    <t>Oasis</t>
  </si>
  <si>
    <t>Mywyn Granite</t>
  </si>
  <si>
    <t>Grey, foliated porphyritic biotite granite with K-feldspar megacrysts.</t>
  </si>
  <si>
    <t>ab-bt</t>
  </si>
  <si>
    <t>Huston et al. (2011a)</t>
  </si>
  <si>
    <r>
      <t xml:space="preserve">Cited age is supported by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ages from four samples of alteration-related biotite and muscovite that range from 429 ± 2 Ma to 439 ± 3 Ma</t>
    </r>
  </si>
  <si>
    <t>Oberon-Titania</t>
  </si>
  <si>
    <t>Oberon</t>
  </si>
  <si>
    <t>Pebbly greywacke and graphitic and pyritic siltstone.</t>
  </si>
  <si>
    <t>https://resourcingtheterritory.nt.gov.au/minerals/mineral-commodities/gold (accessed May 2024)</t>
  </si>
  <si>
    <t>O'Callaghans</t>
  </si>
  <si>
    <t>Puntapunta Formation</t>
  </si>
  <si>
    <t>Dolomitic siltstone,
rare limestone, dolomitic sandstone, chert and shale</t>
  </si>
  <si>
    <t>O'Callaghans Granite</t>
  </si>
  <si>
    <t>Biotite-K-feldspar monzogranite</t>
  </si>
  <si>
    <t>bt-ksp-trm/hbd</t>
  </si>
  <si>
    <t>Goellnicht et al. (1989); Maidment et al. (2010, 2017)</t>
  </si>
  <si>
    <t>Newcrest Mining Limited (2023a)</t>
  </si>
  <si>
    <t>https://www.mindat.org/loc-253493.html (accessed March 2024)</t>
  </si>
  <si>
    <t>Taylor and Mathison (1990); Anderson &amp; Schwab Australia Limited (2006); Seymour et al. (2006); Calver et al. (2014)</t>
  </si>
  <si>
    <t>Anderson &amp; Schwab Australia Limited (2006)</t>
  </si>
  <si>
    <t>Taylor and Mathison (1990) interpreted the deposit as an Irish-style deposit, in which case the age of mineralisation is similar to the age of sedimentation. Alternatively the deposit is a Mississippi Valley-type deposit, in which case the age of deposit would be younger than the age of sedimentation. Lead isotope model ages are consistent with an Ordovician timing and indicate an older age than veins more typical the Zeehan district (Taylor and Mathison, 1990). Interpreted age is that of the portion of the Gordon Group that hosts the deposit based on Tasmanian biostratigraphic zones (Calver et al., 2014). Endowment is based on production of 131,821 t at 11.6% Pb and 132 g/t Ag (Anderson &amp; Schwab Australia Limited, 2006) and indicated mineral resources of 665,531 at 2.3% Zn, 5.2% Pb and 29 g/t Ag and inferred mineral resources of 938,147 t at 1.2% Zn, 2.6% Pb and 16.3 g/t Ag (Anderson &amp; Schwab Australia Limited, 2006).</t>
  </si>
  <si>
    <t>Odin</t>
  </si>
  <si>
    <t>Wyborn (1987); Bain et al. (1992); Heinrich et al. (1995); Gregory et al. (2005); Kositcin et al. (2009); Polito et al. (2009); Wilde et al. (2013); Wilde and Andrews (2017)</t>
  </si>
  <si>
    <t>OK</t>
  </si>
  <si>
    <t>chl-sil</t>
  </si>
  <si>
    <t>https://apps.des.qld.gov.au/heritage-register/detail/?id=601363 (accessed April 2024)</t>
  </si>
  <si>
    <t>Kositcin et al. (2009)</t>
  </si>
  <si>
    <t>Endowment includes past production only.</t>
  </si>
  <si>
    <t>Olary Creek</t>
  </si>
  <si>
    <t xml:space="preserve">The cited age (Fanning and Link, 2008) is that of a felsic volcaniclastic rock in the Wilyerpa Formation, which directly overlies the Benda Siltstone that hosts the host Braemar Iron Formation. </t>
  </si>
  <si>
    <t>Old Pirate</t>
  </si>
  <si>
    <t>Huston et al. (2007a); Ahmad and Khan (2013); Ahmad et al. (2013b); Bagas et al. (2014); Eiloart et al. (2014); Wygralak et al. (2017)</t>
  </si>
  <si>
    <t>Ollera (including Bellevue, Better Luck, Birthday Gift, Cantover, Fernery, Greenhouse, Little Sailor Boy, Sailor Boy, Wild Irishman and Wolfram King)</t>
  </si>
  <si>
    <t>Fluvial placer tungsten</t>
  </si>
  <si>
    <t>Mo-Bi</t>
  </si>
  <si>
    <t>Be-F-Li-Sn</t>
  </si>
  <si>
    <t>Rollingstone Granite</t>
  </si>
  <si>
    <t>Mottled cream and pink, fine to medium-grained, slightly to abundantly porphyritic biotite granite.</t>
  </si>
  <si>
    <t>Alluvial and eluvial deposits</t>
  </si>
  <si>
    <t>Paluma Rhyolite</t>
  </si>
  <si>
    <t>Dark grey, crystal-rich to very crystal-rich rhyolitic ignimbrite</t>
  </si>
  <si>
    <t>qtz-ksp (proximal) → qtz-mt-py-mus → qtz-mus → hm (distal; dusting)</t>
  </si>
  <si>
    <t>Clarke et al. (1994); Cheng et al. (2017)</t>
  </si>
  <si>
    <r>
      <t xml:space="preserve">The molybdenite Re-Os age overlaps with an undefined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 xml:space="preserve">Ar age of 343 ± 7 Ma reported for the deposit. The age of the host Rollingstone Granite has a LA-ICP-MS zircon U-Pb age of 344 ± 3 Ma, overlapping the molybdenite Re-Os and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of the deposit. Endowment includes production (1895-1970s) of 495 t wolframite, 22.35 t molybdenite, and 10.06 t Bi. Metal/metal oxide production calculated assuming wolframite has composition of Fe</t>
    </r>
    <r>
      <rPr>
        <vertAlign val="subscript"/>
        <sz val="9"/>
        <rFont val="Times New Roman"/>
        <family val="1"/>
      </rPr>
      <t>0.5</t>
    </r>
    <r>
      <rPr>
        <sz val="9"/>
        <rFont val="Times New Roman"/>
        <family val="1"/>
      </rPr>
      <t>Mn</t>
    </r>
    <r>
      <rPr>
        <vertAlign val="subscript"/>
        <sz val="9"/>
        <rFont val="Times New Roman"/>
        <family val="1"/>
      </rPr>
      <t>0.5</t>
    </r>
    <r>
      <rPr>
        <sz val="9"/>
        <rFont val="Times New Roman"/>
        <family val="1"/>
      </rPr>
      <t>WO</t>
    </r>
    <r>
      <rPr>
        <vertAlign val="subscript"/>
        <sz val="9"/>
        <rFont val="Times New Roman"/>
        <family val="1"/>
      </rPr>
      <t>4</t>
    </r>
    <r>
      <rPr>
        <sz val="9"/>
        <rFont val="Times New Roman"/>
        <family val="1"/>
      </rPr>
      <t>. 6.71 t of Bi-wolframite concentrates and 0.50 t of molybdenite-wolframite concentrates were also produced but not included in endowment.</t>
    </r>
  </si>
  <si>
    <t>Olympic Dam</t>
  </si>
  <si>
    <t>REE-Cu</t>
  </si>
  <si>
    <t>Bi-Co-Mo-Te</t>
  </si>
  <si>
    <t>Roxby Downs Granite</t>
  </si>
  <si>
    <t>Dominantly porphyritic, medium- to coarse-grained syenogranite to monzogranite with minor intervals of equigranular granite and quartz and feldspar microgranophyre.</t>
  </si>
  <si>
    <t>Bedded clastic facies (local name)</t>
  </si>
  <si>
    <t>Interbedded sandstone and red mudstone, interbedded green sandstone and mudstone, thinly bedded tuffaceous green and red mudstone, and polymictic conglomerate with felsic and mafic clasts.</t>
  </si>
  <si>
    <t>Intensely altered olivine-pyroxene basalt immediately below Neoproterozoic unconformity</t>
  </si>
  <si>
    <t>Intensely altered olivine-pyroxene dikes.</t>
  </si>
  <si>
    <t>Strongly muscovite-altered sub-volcanic rhyolite; interpreted to pre-date Roxby Downs Granite</t>
  </si>
  <si>
    <t>Relatively unaltered pyroxene-plagioclase-phyric dolerite dikes</t>
  </si>
  <si>
    <t>Spatial: hm-bar-qtz (barren core) → hm-mus (Olympic Dam breccia complex) → ab-ksp-mus (distal - in granite); temporal (in breccia complex): mt-ap-ank/sid-chl-qtz (early) → hm-mus-qtz-fl (ore assemblage) → hm-qtz-bar (late; in deposit core)</t>
  </si>
  <si>
    <t>Celestine</t>
  </si>
  <si>
    <t>Ehrig et al. (2017)</t>
  </si>
  <si>
    <t>Oreskes and Einaudi (1990); Reeve et al. (1990); Johnson and Cross (1995); Meffre et al. (2010); Ehrig et al. (2012, 2017); Ciobanu et al. (2013); Jagodzinski (2014); Apukhtina et al. (2017)</t>
  </si>
  <si>
    <t>Johnson and Cross (1995); Meffre et al. (2010); Ciobanu et al. (2013); Jagodzinski (2014); Apukhtina et al. (2017)</t>
  </si>
  <si>
    <t>Ehrig et al. (2017); http://portergeo.com.au/database/mineinfo.asp?mineid=mn001 (accessed January 2023)</t>
  </si>
  <si>
    <t>The cited age is a uraninite age from Olympic Dam-like alteration at depth in the Roxby Downs Granite (Apukhtina et al., 2017). The age overlaps the age of the host Roxby Downs Granite (1593.5 ± 1.2 Ma: zircon SHRIMP U-Pb; Jagodzinski, 2014) and is supported by an age of 1584 ± 20 Ma from a felsic volcanic rock interpreted to be a peperite intruded into the mineralised breccias at Olympic Dam (Johnson and Cross, 1995) and a U-Pb and Pb-Pb ages of hematite of 1592 ± 15 Ma, 1590 ± 8 Ma and 1577 ± 5 ma (Ciobanu et al., 2013; Apukhtina et al., 2017). The cited ages are in contrast to much younger ages of ~1400 Ma to ~1200 Ma proposed by Meffre et al. (2010) based on pyrite Pb data. It is likely that significant disturbance or remobilisation has effect the ores post deposition. Endowment includes production of 3.8 Mt Cu, 0.53 kt (17 Moz) Ag, 59.1 t (1.9 Moz) Au and 81 kt U3O8 and total mineral resources at 30 June 2016 of 10,400 Mt at 0.77% Cu, 250 ppm U3O8, 1 g/t Ag and 0.32 gt Au (Ehrig et al., 2017). The lanthanide oxide grades were determined using La and Ce grades of 0.17% and 0.25%, respectively (http://portergeo.com.au/database/mineinfo.asp?mineid=mn001; accessed January 2023), and unweighted averages of La/Ce for ore types with over 0.3% Cu as tabulated in Ehrig et al. (2017). The estimated La grades were then converted to La oxide grades. The endowment of the lanthanides were estimated using the total mineral resource at 30 June 2016 and do not contain lanthanides contained in production prior to that date. It must be stressed here that the estimated grades for individual lanthanides are approximate and NOT code-compliant.</t>
  </si>
  <si>
    <t>Onedin</t>
  </si>
  <si>
    <t>tc-phl-chl-sil-ser</t>
  </si>
  <si>
    <t>https://www.mindat.org/loc-217009.html (accessed April 2024)</t>
  </si>
  <si>
    <t>Page et al. (1994); Sewell (1999); Anglo Australian Resources NL (2019)</t>
  </si>
  <si>
    <t>Williams (2022)</t>
  </si>
  <si>
    <t>Oonagalabi</t>
  </si>
  <si>
    <t>Oonagalabi Tongue</t>
  </si>
  <si>
    <t>Bungitina Metamorphics</t>
  </si>
  <si>
    <t>Biotite±garnet quartzofeldspathic gneiss with minor quartzite, carbonate and calc-silicate rock. The deposit is hosted in the carbonate rocks and associated with calc-silicate rocks. The unit also contains concordant and discordant mafic granulite bodies, interpreted as sills and dykes.</t>
  </si>
  <si>
    <t>Mafic granulite sills and dykes</t>
  </si>
  <si>
    <t>ant → qtz-gt; dp-qtz</t>
  </si>
  <si>
    <t>Hussey et al. (2005); Huston et al. (2006a)</t>
  </si>
  <si>
    <t>Zircon U-Pb define a unimodal population (1764.8 ± 4.2 Ma) which is interpreted as closely approximating the depositional age of host metavolcaniclastic rocks. Endowment includes pre-JORC mineral resources only.</t>
  </si>
  <si>
    <t>Opie</t>
  </si>
  <si>
    <t>Ora Banda (including Boundary, Enterprise, Gimlet South, Nazzaris, Sleeping Beauty and Slippery Gimlet)</t>
  </si>
  <si>
    <t>Ora Banda</t>
  </si>
  <si>
    <t>Victorius Basalt (host to Gimlet-style deposits)</t>
  </si>
  <si>
    <t>Bent Tree Basalt (host to Gimlet-style deposits)</t>
  </si>
  <si>
    <t>Enterprise dolerite (host to Enterprise-style deposits)</t>
  </si>
  <si>
    <t>Victorius Basalt</t>
  </si>
  <si>
    <t>Bent Tree Basalt</t>
  </si>
  <si>
    <t>Dolerite (including Enterprise Dolerite, Mount Pleasant Sill, Ora Banda Sill and Orinda Sill)</t>
  </si>
  <si>
    <t>Lone Hand Monzogranite</t>
  </si>
  <si>
    <t>Quartz-feldspar dykes and sills with pervasive muscovite alteration and associated fluorite and molybdenite</t>
  </si>
  <si>
    <t>mus-py/po-cal/ank±bt±tm (Gimlet-style); bt-py (Enterprise-style)</t>
  </si>
  <si>
    <t>Harrison et al. (1990); Tripp (2000)</t>
  </si>
  <si>
    <t>Harrison et al. (1990); Norton Gold Fields Limited (2023)</t>
  </si>
  <si>
    <t>Endowment includes production up to November 1998 and mineral resources as April 2023 (Norton Gold Fields Limited, 2023). Production since November 1998 not reported.</t>
  </si>
  <si>
    <t>Orchard Tank-Acacia</t>
  </si>
  <si>
    <t>Orlando</t>
  </si>
  <si>
    <t>Ag-Bi</t>
  </si>
  <si>
    <t>chl (main zone); dol-tc (Zn-Pb-rich ore shoot)</t>
  </si>
  <si>
    <t>Donnellan (2013a); CuFe Limited (2023)</t>
  </si>
  <si>
    <t>Endowment includes production (with the grades cited the recovered grades) (Donnellan, 2013a) and mineral resources (CuFe Limited, 2023).</t>
  </si>
  <si>
    <t>Orleans</t>
  </si>
  <si>
    <t>Fuller et al. (2014); Osborne et al. (2017); Gold Road Resources (2019, 2024)</t>
  </si>
  <si>
    <t>Orodruin (Mithril)</t>
  </si>
  <si>
    <t>Mordor</t>
  </si>
  <si>
    <t>Mordor Igneous Complex</t>
  </si>
  <si>
    <t>Phlogopite syenite intruded by complex mafic ultramafic suite, with four general rock types: porphyritic pyroxene syenite ("porphyritic shonkinite"), feldspathic phlogopite pyroxenites ("mafic shonkinite"), pyroxenite and wehrlite.. Magmatic sulfides are hosted by pyroxenite and wehrlite.</t>
  </si>
  <si>
    <t>Phlogopite syenite intruded by complex mafic ultramafic suite.</t>
  </si>
  <si>
    <t>Barnes et al. (2008)</t>
  </si>
  <si>
    <t>Claoue-Long and Hoatson (2005); Barnes et al. (2008)</t>
  </si>
  <si>
    <t>Claoue-Long and Hoatson (2005)</t>
  </si>
  <si>
    <t>Osborne</t>
  </si>
  <si>
    <t>Banded iron formation (magnetite-quartz-apatite rock) with marginal anthophyllite/cummingtonite schist in a package of feldspathic granoblastic and metapelitic schist</t>
  </si>
  <si>
    <t>Tholeiitic amphibolite dikes</t>
  </si>
  <si>
    <t>Amphibolitic peridotite</t>
  </si>
  <si>
    <t>ep-anr-tit±cpx±amp±mt±hm±cal±qtz±py±po (pre-ore I) → qtz-py±mt±sid±tc (pre-ore II) → po-py-mt-sid-tc-chl-fpy, cp-hm-py-mt-tc-dol-chl-ap (ore stage)</t>
  </si>
  <si>
    <t>Davidson et al. (1989); Perkins and Wyborn (1998); Adshead (1995); Gauthier et al. (2001); Valenta (2019b)</t>
  </si>
  <si>
    <t>Perkins and Wyborn (1998); Gauthier et al. (2001)</t>
  </si>
  <si>
    <t>chinovaresources.com (accessed 10/04/2024)</t>
  </si>
  <si>
    <r>
      <t xml:space="preserve">Cited primary age is supported by a second molybdenite Re-Os age of 1600 ± 6 Ma and a hydrothermal titanite age (method not defined) of 1595 ± 5 Ma (Gauthier et al., 2001). Alternatively, ore-associated biotite yielded a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of ~1542 Ma, (Perkins and Wyborn, 1998), but revisions to the K decay constant would increase this age. Minor oxide zone developed at pre-Mesozoic unconformity. Endowment includes production between 1995 and 2021 (chinovaresources.com; accessed 10/04/2024).</t>
    </r>
  </si>
  <si>
    <t>Ouyen district (includes Adaptordie, Anomaly B, Archer, Bels, Boulka, Cyclops, Mittyack, Nunga West and Wagnut)</t>
  </si>
  <si>
    <t>Ouyen</t>
  </si>
  <si>
    <t>Cited location is that of the Bells deposit. Cited age is based on Late Miocene-Early Pliocene (7.2-5.0 Ma) age of host Loxton Sand as reported by Keeling et al. (2016). Endowment includes mineral resources at 31 December 2016 as reported by Iluka Resources Limited (2017) but not production to 31 December 2016.</t>
  </si>
  <si>
    <t>Overflow</t>
  </si>
  <si>
    <t>Cu-Ag-Zn</t>
  </si>
  <si>
    <t>Bobadah Tuff Member, Majuba Volcanics</t>
  </si>
  <si>
    <t>Strongly foliated rhyolitic pumice-crystal tuff</t>
  </si>
  <si>
    <t>Strongly foliated tuff</t>
  </si>
  <si>
    <t>Suppel and Gilligan (1993); TriAusMin (2014)</t>
  </si>
  <si>
    <t>Endowment includes production of 9970 t to produce 45.8 t Cu, 3.45 t Zn, 708 t Pb, 474.981 kg Ag and 163.171 kg Au and gold mineral resources in 1936 totalling 6553 t at 9.65 g/t (Suppel and Gilligan, 1993). Deposit occurs along faulted unconformity between Bobadah Tuff Member and Girilambone Group (TriAusMin Limited, 2014).</t>
  </si>
  <si>
    <t>Paddington</t>
  </si>
  <si>
    <t xml:space="preserve"> </t>
  </si>
  <si>
    <t>Paddington Dolerite</t>
  </si>
  <si>
    <t>Dolerite, with granophyric quartz dolerite phase the main ore host</t>
  </si>
  <si>
    <t>Paddington Volcanics</t>
  </si>
  <si>
    <t>qtz-ser-chl-car-py-asp (adjacent to veins); ser-ank-qtz-asp-py-mic (most intensely altered) → dol-ank-ser-asp-py → chl-ab-cal (least intensely altered)</t>
  </si>
  <si>
    <t>Hancock et al. (1990b); Morey et al. (2007)</t>
  </si>
  <si>
    <t>Morey et al. (2007)</t>
  </si>
  <si>
    <t>Cited production is that reported by Morey et al. (2007) for production to 2000 (note that there are inconsistencies in the reported production data in this reference). Endowment is the pre-mining resource of 27 t Au reported by Hancock et al. (1990).</t>
  </si>
  <si>
    <t>Paddy's Flat</t>
  </si>
  <si>
    <t>Quartz-feldspar porphyry (intrusive into Yaloginda Formation)</t>
  </si>
  <si>
    <t>Ultramafic volcanic rocks</t>
  </si>
  <si>
    <t>qtz-car (sid)-sul±chl (BIF-hosted ores); qtz-car-fch±sul (proximal) → car-chl → tc-car-chl (distal) (shear-hosted quartz vein ores); qtz-car-sul (stockwork vein ores; alteration assemblages variable)</t>
  </si>
  <si>
    <t>Groves and Ho (1990); Metals X Limited (2014a)</t>
  </si>
  <si>
    <t>Groves and Ho (1990); Westgold Resources Limited (2023)</t>
  </si>
  <si>
    <t>Endowment includes historical production of 1.5 MOz (Groves and Ho, 1990; Westgold Resources Limited, 2023) and mineral resources at June 2023 (Westgold Resources Limited, 2023).</t>
  </si>
  <si>
    <t>Pajingo (including Camembert, Cindy, Scott, Steph and Vera-Nancy lodes)</t>
  </si>
  <si>
    <t>Vera-Nancy Volcanics</t>
  </si>
  <si>
    <t>Rhyolitic and andesitic lava, rhyolitic ignimbrite; minor volcaniclastic sandstone. Two subunits comprise: rhyolitic lava and ignimbrite with minor volcaniclastic sandstone; and andesitic lava.</t>
  </si>
  <si>
    <t>Sills and dykes ranging from basaltic andesite to flow-banded rhyolite. Porphyritic intermediate intrusions are concordant to veining at the Scott and Vera zones</t>
  </si>
  <si>
    <t>py±sil±kao±dck±il (inner proximal) → il±il/smc±py (outer proximal) → hm±il/smc±smc (medial) → chl±cal (distal)</t>
  </si>
  <si>
    <t>Porter (1990); Richards et al. (1998); Osborne and Chambers (2017); Evolution Mining Limited (2015)</t>
  </si>
  <si>
    <t>Evolution Mining Limited (2015</t>
  </si>
  <si>
    <t>Endowment includes Battle Mountain production from the Scott (September 1987-December 1993: 1.353 Mt at 8.86 g/t Au and 29.4 g/t Ag) and Cindy (February 1994-April 1996: 0.207 Mt grading 7.28 g/t Au and 4.52 g/t Ag) lodes, Evolution production from 1996 to 31 December 2014 (2.7 Moz) and Evolution mineral resources at 31 December 2014 (4.74 Mt at 5.41 g/t Au) (Richards et al., 1998; Evolution Mining Limited, 2015).</t>
  </si>
  <si>
    <t>Panbula (Yowaka) goldfield (including Black and Berry, Diorite-Killaloe, Falkner, Hidden Treasure, Mount Gahan and several minor deposits)</t>
  </si>
  <si>
    <t>Eden-Comerong-Yalwal Rift Zone</t>
  </si>
  <si>
    <t>Boyd Volcanic Group (Eden Volcanics)</t>
  </si>
  <si>
    <t>Acid volcanics, basalts; quartz porphyries and minor sediments.</t>
  </si>
  <si>
    <t>sil±kao±pyr±ab, qtz-ser-py</t>
  </si>
  <si>
    <t>adv arg, ser</t>
  </si>
  <si>
    <t>Willis (1970); Herzberger and Barnes (1978); Glaser (1988); Downes (2009)</t>
  </si>
  <si>
    <t>Downes (2009)</t>
  </si>
  <si>
    <t>Endowment includes historic production only.</t>
  </si>
  <si>
    <t>Pandanus Gurrumba</t>
  </si>
  <si>
    <t>Panton</t>
  </si>
  <si>
    <t>Panton intrusion (part of Panton Suite (40198)</t>
  </si>
  <si>
    <t>Layered mafic-ultramafic intrusion: dunite, harzburgite, chromitite, amphibolite, gabbro, gabbronorite, norite, anorthositic gabbro, anorthosite, ferrogabbro, tremolite-anthophyllite peridotite and chromitite. Two chromitite horizons (Middle and Upper Chromitite Reefs) host ore.</t>
  </si>
  <si>
    <t>Layered mafic-ultramafic intrusion: dunite, harzburgite, chromitite, amphibolite, gabbro, gabbronorite, norite, anorthositic gabbro, anorthosite, ferrogabbro, tremolite-anthophyllite peridotite</t>
  </si>
  <si>
    <t>Hoatson (2000); Page and Hoatson (2000); Panoramic Resources Ltd (2014); Future Metals Limited (2023)</t>
  </si>
  <si>
    <t>Page and Hoatson (2000)</t>
  </si>
  <si>
    <t>Future Metals Limited (2023)</t>
  </si>
  <si>
    <t>Paradise Lode</t>
  </si>
  <si>
    <t>bt-fl±top±mnz±zcn</t>
  </si>
  <si>
    <t>The cited age is slightly younger than the host Mole Granite, which has TIMS U-Pb zircon and monazite ages of 247.6 ± 0.4 Ma and 247.7 ± 0.5 Ga. No production or resources are recorded from this prospect.</t>
  </si>
  <si>
    <t>Paradise North (Lady Jane)</t>
  </si>
  <si>
    <t>Paradise</t>
  </si>
  <si>
    <t>https://www.nwphos.com/projects/paradise-north/ (accessed on 9 May 2024)</t>
  </si>
  <si>
    <t>Paradise South (Lady Annie)</t>
  </si>
  <si>
    <t>https://www.nwphos.com/projects/paradise-south/ (accessed on 9 May 2024)</t>
  </si>
  <si>
    <t>Pardoo (including Bobby, Glenda, Alice, Olivia and Ridley)</t>
  </si>
  <si>
    <t>Pardoo</t>
  </si>
  <si>
    <t>Dominantly supergene-enriched ore with lesser hypogene-enriched ore.</t>
  </si>
  <si>
    <t>Paris</t>
  </si>
  <si>
    <t>Dolomitic marble with forsterite-dominated calc-silicate rocks</t>
  </si>
  <si>
    <t>Unnamed granitic dykes</t>
  </si>
  <si>
    <t>Granitic dykes</t>
  </si>
  <si>
    <t>Unnamed granodiorite (Hiltaba Suite)</t>
  </si>
  <si>
    <t>Unnamed granodiorite to southeast of prospect (interpreted to be Hiltaba Suite)</t>
  </si>
  <si>
    <t>Unnamed rhyolitic dykes</t>
  </si>
  <si>
    <t>Illite-fluorite-altered rhyolite dykes interpreted to be syn-ore and related to Gawler Range Volcanics</t>
  </si>
  <si>
    <t>il-fl (rhyolite); sil-py, cl, car</t>
  </si>
  <si>
    <t>Jagodzinski et al. (2012); Investigator Resources Limited (2017, 2021, 2023); Nicolson et al. (2017)</t>
  </si>
  <si>
    <t>Jagodzinski et al. (2012)</t>
  </si>
  <si>
    <t>Investigator Resources Limited (2023)</t>
  </si>
  <si>
    <t>Cited age is that of a rhyodacite dike that is interpreted to cut and to be closely related to mineralised veins. The veins are interpreted to post-date porphyritic monzogranite with an age of 1593 ± 8 Ga. Endowment includes mineral resources only.</t>
  </si>
  <si>
    <t>Parkes district (including hard rock production from London-Victoria and Nibblers Hill and alluvial production for the Forbes-Parkes region)</t>
  </si>
  <si>
    <t>Parkes</t>
  </si>
  <si>
    <t>sil-ser-py-car-ab-fch±chl (inner) → chl-bt-qtz-car-ep-cal-cpx-act (outer) (London-Victoria); qtz-ab-ank-ser-py (ore-related), qtz-ank-ser±chl±cal, qtz-ab-chl-cal-ep (Nibblers Hill)</t>
  </si>
  <si>
    <t>Carr et al. (1995)</t>
  </si>
  <si>
    <t>Cited age is a Carr et al. (1995) Lachlan lead isotope model age. Endowment includes production of 9.3 t Au of alluvian gold in 1865-1867 (for Forbes-Parkes region), hard rock production from the London-Victoria deposit of 0.155 t prior to 1988 and 3.0 Mt at 1.5 g/t in 1988-1996, and mineral resources at this deposit of 0.67 Mt at 2.4 g/t in 1998.</t>
  </si>
  <si>
    <t>Paroo Station (including Magellan, Cano and Pinzon)</t>
  </si>
  <si>
    <t>Paroo Station</t>
  </si>
  <si>
    <t>Massive to algal, laminated dolostone, with sandy dolostone and feldspathic sandstone beds at top and bottom of dolostone succession.</t>
  </si>
  <si>
    <t>Anglesite</t>
  </si>
  <si>
    <t>Pirajno et al. (2010, 2017a); Muhling et al. (2012); McEwing et al. (2019)</t>
  </si>
  <si>
    <t>Muhling et al. (2012)</t>
  </si>
  <si>
    <t>McEwing et al. (2019)</t>
  </si>
  <si>
    <t>The ores, which now consist mostly of cerussite and anglesite, are interpreted as a supergene-weathered Mississippi Valley-type deposit. The age is based on SHRIMP U-Pb monazite intergrown with oxidised ore minerals. Endowment includes production form 2005 to 2015 (5.6795 Mt at 7.1% Pb) and total mineral resources at 15 February 2019 (51.3 Mt at 3.7% Pb: McEwing et al., 2019).</t>
  </si>
  <si>
    <t>Paulsens</t>
  </si>
  <si>
    <t>Paulsons</t>
  </si>
  <si>
    <t>Wyloo Inlier</t>
  </si>
  <si>
    <t>Paulsens gabbro (local name)</t>
  </si>
  <si>
    <t>Coarse-grained gabbro</t>
  </si>
  <si>
    <t>Hardey Formation - Melrose argillite (local name)</t>
  </si>
  <si>
    <t>Dark grey to black, laminated to thinly bedded siltstone and thin- to medium-bedded quartz sandstone</t>
  </si>
  <si>
    <t>Aphanitic, magnetite-bearing dykes</t>
  </si>
  <si>
    <t>chl-act±cal±ep (regional metamorphism)</t>
  </si>
  <si>
    <t>ser-chl±ank (proximal) → chl-act±cal±ep (distal - regional metamorphism)</t>
  </si>
  <si>
    <t>Fielding et al. (2017a,b)</t>
  </si>
  <si>
    <t>Fielding et al. (2017a)</t>
  </si>
  <si>
    <t>Fielding et al. (2017b)</t>
  </si>
  <si>
    <t>Two stages of mineralisation/remobilisation are recognised - the first stage is initial gold introduction and the second stage is associated with brecciation and involved either remobilisation and/or introduction of new gold. The cited age is that of first-stage mineralisation and is supported by U-Pb SHRIMP dating of monazite associated with sericite-altered sedimentary rocks at 2398 ± 37 Ma and 2403 ± 38 Ma (Fielding et al., 2017a). Fielding et al. (2017a) report a second gold introduction or remobilisation event at 1680 ± 9 Ma based on SHRIMP U-Pb analysis of xenotime associated with brecciation of primary gold-bearing pyrite. Paulsens gabbro has a zircon U-Pb age of 2701 ± 11 Ma. Endowment includes production between 2005 and 2016 and mineral resources at 30 June 2016 (Fielding et al., 2017b).</t>
  </si>
  <si>
    <t>Peak Hill</t>
  </si>
  <si>
    <t>Volcanic sandstone, volcanic lithic breccia, coarse volcanic lithic breccia with sandstone matrix, and coherent plagioclase-phyric andesite</t>
  </si>
  <si>
    <t>vuggy qtz-py-pyr±alu±top±kao (proximal; ore zone) → pyr-qtz-py±kao±alu±dck±top±bar (ore zone) → par-mus-qtz-py±chl±kao±top±bar±gyp → kao-mon-hal-qtz → chl-ep-ab-ser-ep (distal)</t>
  </si>
  <si>
    <t>https://www.mindat.org/loc-143718.html (accessed March 2024)</t>
  </si>
  <si>
    <t>Allibone (1998); Masterman et al. (2002); Squire et al. (2007); Alkane Resources Limited (2018a)</t>
  </si>
  <si>
    <t>Alkane Resources Limited (2018a)</t>
  </si>
  <si>
    <t>Cited age is by analogy with other high sulfidation deposits in the Macquarie Arc (e.g. Gidgingung). Endowment includes production of 61,900 oz from 0.475 Mt in 1904-1917 and 154,000 from 4.7 Mt oz in 1996-2005 from oxidised ore and sulfide resource of 7.65 Mt at 1.31 g/t (0.5 g/t cutoff: Alkane Resources, 2018a). At a 2.0 g/t cutoff this resource is 1.02 Mt at 3.29 g/t.</t>
  </si>
  <si>
    <t>Peelwood (includes Peelwood North and Peelwood South)</t>
  </si>
  <si>
    <t>Crystal tuff and pyritic and silicified fine-grained tuff</t>
  </si>
  <si>
    <t>Cuddyong Formation (Peelwood Shale)</t>
  </si>
  <si>
    <t>Siltstone, phyllite, black siltstone, quartzose and minor volcaniclastic sandstone, quartzite, quartz-muscovite schist, felsic tuff. Commonly pyritic and often containing clear rounded volcanic quartz grains in the sandstone.</t>
  </si>
  <si>
    <t xml:space="preserve">, </t>
  </si>
  <si>
    <t>Carr et al. (1995); Huston et al. (1997); Downes and Seccombe (2004); Downes (2012); Balmara Resources Limited (2013)</t>
  </si>
  <si>
    <t>Balmara Resources Limited (2013)</t>
  </si>
  <si>
    <t>Cited age is based upon correlation with other regional Silurian volcanic successions. Endowment excludes production of 600 t Cu and 400 t Zn, and only includes JORC-compliant mineral resources.</t>
  </si>
  <si>
    <t>Pegmont</t>
  </si>
  <si>
    <t>Quartz-feldspar-biotite gneiss, with feldspathic quartzite and quartz-feldspar-biotite schist; mineralisation is hosted by quartz-magnetite-fayalite-garnet-grunerite-hedenbergite-sulfide unit, interpreted as a banded iron formation</t>
  </si>
  <si>
    <t>gt-bt (proximal) → gt-gah (distal) (only developed 10 m from mineralised zones)</t>
  </si>
  <si>
    <t>Vaughan and Stanton (1986); Sun et al. (1996a); Williams et al. (1998); Carr et al. (2001); Valenta (2019a)</t>
  </si>
  <si>
    <t>Shannon et al (2019)</t>
  </si>
  <si>
    <t>Lead isotope model age calculated using CSIRO-AGSO North Australia model (Sun et al., 1996a). Endowment includes mineral resources reported in 2019 by Vendetta Mining Corporation.</t>
  </si>
  <si>
    <t>Peko</t>
  </si>
  <si>
    <t>Bi-Ag</t>
  </si>
  <si>
    <t>chl (proximal - shallow) → tc-ant (distal - deep); car; tm-py (late)</t>
  </si>
  <si>
    <t>Penfolds</t>
  </si>
  <si>
    <t>Perseverance</t>
  </si>
  <si>
    <t>Stegman and Stegman (1996); Brown et al. (2017a); Fitzherbert et al. (2017); Stander and Berthelsen (2017); Fitzherbert and Downes (2020)</t>
  </si>
  <si>
    <t>Endowment includes production of 33 kt Cu and 0.578 Moz Au from 2003 and 2016. Perseverance resources appear to be included in The Peak resources.</t>
  </si>
  <si>
    <t>Perseverance-Progress-Venus</t>
  </si>
  <si>
    <t>Perseverance Ultramafic Complex</t>
  </si>
  <si>
    <t>Olivine adcumulate, olivine mesocumulate, olivine orthocumulate, komatiite and pyroxenite</t>
  </si>
  <si>
    <t>Libby et al. (1998); Beresford et al. (2004), in de Joux et al. (2013); Perring (2015); Perring et al. (2017)</t>
  </si>
  <si>
    <t>Lambert et al. (1998); Beresford et al. (2004), in de Joux et al. (2013)</t>
  </si>
  <si>
    <t>Cited age is that of the footwall rhyodacite. It is supported a Re-Os isochron of 2706 ± 36 Ma determined from ore minerals of the widely dispersed Kambalda, Perseverance and Mount Keith deposits (Lambert et al., 1998). Alteration is post mineralisation. Endowment includes production and mineral resources (Perring, 2015).</t>
  </si>
  <si>
    <t>Phantom Hills</t>
  </si>
  <si>
    <t>Phoenix</t>
  </si>
  <si>
    <t>Hovells Creek</t>
  </si>
  <si>
    <t>Laser step-heated</t>
  </si>
  <si>
    <t>Abercrombie Formation</t>
  </si>
  <si>
    <t>Fine- to medium-grained, quartz-rich sandstone, grey slate, phyllite and black slate</t>
  </si>
  <si>
    <t>Medium-coarse, massive, welded porphyritic dacitic-rhyolitic ignimbrite; subordinate medium-coarse, massive volcaniclastic sandstone (ore host), siltstone, mudstone and conglomerate; minor coherent dacite and rhyolite, very minor limestone and volcanic breccia.</t>
  </si>
  <si>
    <t>Grey, coarse-grained, foliated, equigranular biotite granite to granodiorite in a zoned pluton with medium-grained, foliated, often prophyritic biotite granodiorite stocks.</t>
  </si>
  <si>
    <t>Reids Flat Granite</t>
  </si>
  <si>
    <t>Massive to strongly foliated porphyritic biotite-after-cordierite granite, soda-granite, soda-syenite, granodiorite.</t>
  </si>
  <si>
    <t>Licking Gulley Granite</t>
  </si>
  <si>
    <t>Coarse grained, massive-foliated, equigranular to sporadically porphyritic biotite granite. Minor porphyritic biotite microgranite with aplitic granite at margins</t>
  </si>
  <si>
    <t>qtz-tm-mus±bt±chl±cal</t>
  </si>
  <si>
    <t>Downes et al. (2011)</t>
  </si>
  <si>
    <t>Cited age is younger than nearby granitic intrusions and could be reset. Endowment includes production only.</t>
  </si>
  <si>
    <t>Phosphate Hill-Duchess</t>
  </si>
  <si>
    <t>Duchess</t>
  </si>
  <si>
    <t>Freeman et al. (1990); Dunster and Munson (2017); Valetich et al. (2021)</t>
  </si>
  <si>
    <t>Freeman et al. (1990); Dunster and Munson (2017)</t>
  </si>
  <si>
    <t>Endowment includes demonstrated and inferred mineral resources prior to commencement of mining (Freeman et al, 1990). Endowment is not code-compliant.</t>
  </si>
  <si>
    <t>Pilgangoora</t>
  </si>
  <si>
    <t>Tholeiitic basalt with interflow sedimentary units</t>
  </si>
  <si>
    <t>Dalton Suite</t>
  </si>
  <si>
    <t>Layered ultramafic sills - peridotite, pyroxenite and dolerite</t>
  </si>
  <si>
    <t>Pilgangoora Pegmatite Field</t>
  </si>
  <si>
    <t>Albite-spodumene pegmatite</t>
  </si>
  <si>
    <t>mus±chl±pre</t>
  </si>
  <si>
    <t>Sweetapple et al. (2017)</t>
  </si>
  <si>
    <t>Kinny (2000); Baker et al. (2002); Sweetapple and Collins (2002); Sweetapple et al. (2017); Kendall-Langley et al. (2020)</t>
  </si>
  <si>
    <t>Kinny (2000); Kendall-Langley et al. (2020)</t>
  </si>
  <si>
    <t>Altura Mining (2018, 2019, 2020, 2021); Pilbara Minerals Limited (2018, 2019, 2020, 2021, 2022, 2023)</t>
  </si>
  <si>
    <t>Cited age (Kendall-Langley et al., 2020) is significantly younger than 2879 ± 5 Ma tantalite U-Pb age (Kinny, 2000). Endowment includes ore mined by Altura Mining Limited from July 2018 to June 2020, ore mined by Pilbara Minerals Limited from December 2017 to June 2023, and mineral resources at 30 June 2023 of 413.8Mt grading 1.15% Li2O and 112 ppm Ta2O5, but excludes minor (104 t cassiterite concentrate and 267 t Ta concentrate) historic production and ore mined by Altura Mining Limited from 1 July 2020 to 26 October 2020. Pilbara Minerals Limited did not report Li2O grades for FY2018-2019 and FY2020-2021; these were estimated by using the average grade of the prior and post fiscal years. although Pilbara Minerals Limited reported tantalite concentrate produced and sold, Ta2O5 grades of the mined ores were not reported. Altura Mining Limited did not provide information regarding tantalum production, if any. Hence Ta endowment for the mined but unreported ores has been estimated using the Ta2O5/Li2O of the mineral resource at 30 June 2023. As about 4% of the total mineral resource has been mined, uncertainties related to these assumptions will have minimal impact on the final endowment estimate. Note that Li2O and Ta2O5 have been converted to Li and Ta metal for reporting as endowment.</t>
  </si>
  <si>
    <t>Pillara (Blendevale)</t>
  </si>
  <si>
    <t>Sphalerite</t>
  </si>
  <si>
    <t>Ag-Co-F-Ga-Ge-In</t>
  </si>
  <si>
    <t>Vaasjoki and Gulson (1986); Christensen et al. (1995); Vearncombe et al. (1996); Symons and Arne (2005); Reynolds and Copp (2017a)</t>
  </si>
  <si>
    <t>Symons and Arne (2005)</t>
  </si>
  <si>
    <t>Cited age is supported by a paleomagnetic age of 358 ± 5 Ma (Symons and Arne, 2005). Endowment is pre-development mineral inventory (Reynolds and Copp, 2017a). The Rb-Sr age cited has been calculated using the decay constant of Villa et al. (2015).</t>
  </si>
  <si>
    <t>Pincher Well</t>
  </si>
  <si>
    <t>Hydrothermally-altered andesitic/dacitic flows, tuffs and minor banded iron-formation, chert and volcanogenic argillite</t>
  </si>
  <si>
    <t>Hydrothermally-altered andesitic/dacitic flows</t>
  </si>
  <si>
    <t>Ferguson (1999); Nelson (2001); Hollis et al. (2017a); www.venusmetals.com.au (accessed November 2019)</t>
  </si>
  <si>
    <t>Nelson (2001)</t>
  </si>
  <si>
    <t>Endowment includes pre-JORC mineral resources. Venus Metals cite an exploration target of 15-25 Mt grading 2-5% Zn (www.venusmetals.com.au)</t>
  </si>
  <si>
    <t>Pine Creek (including Coxs, Czarina, Enterprise, North Gandys Hill, International, Kohinoor, South Czarina and South Enterprise)</t>
  </si>
  <si>
    <t>Cited location is that of the Enterprise deposit. Cited age is by analogy with other Pine Creek orogenic gold deposits (e.g., Cleo, Goodall, Howley and Mount Todd). Endowment includes production of 774,000 oz Au and total mineral resources of 10.933 Mt at 1.63 g/t Au (Edwards and Keily, 2017).</t>
  </si>
  <si>
    <t>Pinnacles</t>
  </si>
  <si>
    <t>Quartz-garnet-gahnite rock with minor sulfide minerals</t>
  </si>
  <si>
    <t>gt, qtz-gt</t>
  </si>
  <si>
    <t>https://www.mindat.org/feature-8611014.html (accessed May 2024)</t>
  </si>
  <si>
    <t>Parr (1994); Parr et al. (2004)</t>
  </si>
  <si>
    <t>Parr et al. (2004)</t>
  </si>
  <si>
    <t>Cited age is lead isotope model age of Parr et al. (2004), with model pinned by age and lead isotope composition of the nearby Broken Hill deposit. Endowment includes mineral resources only; minor production.</t>
  </si>
  <si>
    <t>Chang et al. (2017); Consolidated Tin Mines Limited (2017); www.csdtin.com.au (accessed September 2020)</t>
  </si>
  <si>
    <t>Pioneer Dome</t>
  </si>
  <si>
    <t>Sedimentary rocks derived from felsic volcanic and volcaniclastic rocks; pelitic and psammitic metasedimentary rocks. Host to Cade Zone, which is the largest of the three mineralised zones.</t>
  </si>
  <si>
    <t>Unnamed ultramafic rocks</t>
  </si>
  <si>
    <t>Ultramafic (mainly pyroxenite) rocks</t>
  </si>
  <si>
    <t>Unnamed mafic rocks</t>
  </si>
  <si>
    <t>Mafic (basaltic rocks)</t>
  </si>
  <si>
    <t>Pioneer Dome pegmatite swarm</t>
  </si>
  <si>
    <t>Pioneer Dome granite intrusive</t>
  </si>
  <si>
    <t>Granitoid</t>
  </si>
  <si>
    <t>Essential Minerals (2022)</t>
  </si>
  <si>
    <t>Essential Minerals (2022); Phelps-Barber et al. (2022)</t>
  </si>
  <si>
    <t>Cited location is the approximate centre of the Cade zone, the largest of the mineralised zones. This zone is hosted by sedimentary rocks of the Black Flag Group whereas the smaller Davy and Heller zones are hosted by mafic and ultramafic rocks. Cited age is by analogy with other Eastern Goldfields pegmatites.</t>
  </si>
  <si>
    <t>Pioneer Dome (Sinclair Zone)</t>
  </si>
  <si>
    <t>Cs</t>
  </si>
  <si>
    <t>Li, Rb, Ta, Nb, H</t>
  </si>
  <si>
    <t>Pioneer Resources Ltd (2018)</t>
  </si>
  <si>
    <t>Pioneer Resources Ltd (2018); Phelps-Barber et al. (2022)</t>
  </si>
  <si>
    <t>This is a set of pollucite lenses within the Pioneer Dome LCT pegmatite. Petalite and lepidolite occur alongside the pollucite. Cited age is by analogy with other Eastern Goldfields pegmatites.</t>
  </si>
  <si>
    <t>Pipeline Ridge</t>
  </si>
  <si>
    <t>Felsic volcanic and fine to medium grained clastic units</t>
  </si>
  <si>
    <t>sil-ser-car-chl, qtz-sul-car (vein assemblage); sil (proximal) → chl-ser-sil → py-ser (distal)</t>
  </si>
  <si>
    <t>Gilligan and Byrnes (1995); McGregor (2013); Downes and Poulson (2017); Fitzherbert et al. (2018, 2019)</t>
  </si>
  <si>
    <t>Mine Mafic Package</t>
  </si>
  <si>
    <t>Tholeiitic metabasalt with silica- and sulfide-rich metasedimentary rocks</t>
  </si>
  <si>
    <t>Tholeiitic metabasalt</t>
  </si>
  <si>
    <t>Cross-cutting, sub-vertical mafic dykes (~2680 Ma)</t>
  </si>
  <si>
    <t>qtz-bt-amp-tit-ep-car-tm-asp-po±cp±sch (brown lodes); mus (muscovite lodes); qtz-car±po±cp±sl±gn (late veins)</t>
  </si>
  <si>
    <t>Cumming and Richards (1975); Gazley et al. (2016, 2017)</t>
  </si>
  <si>
    <t>Cumming and Richards (1975); Gazley et al. (2017); Superior Gold (2023)</t>
  </si>
  <si>
    <t>Cited age is a Cumming and Richards (1975) model age for the least radiogenic analysis (arsenopyrite) presented by Gazley et al. (2016). The Stacey and Kramer (1975) model age for the same analysis is older than the age of the host rocks. Gazley et al. (2016, 2017) interpret additional gold or base metal introduction of remobilisation at 2300-2100 Ma, 2005-1950 Ma (Glenburgh Orogeny), 1820-177 Ma (Capricorn Orogeny) and 1760-1660 Ma. Endowment includes production up to and total mineral resources at 31 August 2022 (Gazley et al., 2017, Superior Gold, 2023).</t>
  </si>
  <si>
    <t>Pooncarie district (includes Crayfish, Gallipoli, Ginkgo, Laburnum, Minervah, Shamrock, Snapper, Somme, Winchester and Yabbie)</t>
  </si>
  <si>
    <t>Pooncarie</t>
  </si>
  <si>
    <t>Bemax Resources Limited (2008);Standing et al. (2017)</t>
  </si>
  <si>
    <t>Bemax Resources Limited (2008); Keeling et al. (2016); Standing et al. (2017)</t>
  </si>
  <si>
    <t>Bemax Resources Limited (2008)</t>
  </si>
  <si>
    <t>Cited location and ENO are those of the Ginkgo-Snapper-Crayfish combined deposit. Cited age is based on Late Miocene-Early Pliocene (7.2-5.0 Ma) age of host Loxton Sand as reported by Keeling et al. (2016). Endowment includes mineral resources at 31 December 2007 and production at the Ginkgo deposit prior to that date (Bemax Resources Limited, 2008).</t>
  </si>
  <si>
    <t>Prairie Downs</t>
  </si>
  <si>
    <t>Bangemall Basin</t>
  </si>
  <si>
    <t>Fortescue Group</t>
  </si>
  <si>
    <t>Basalt. The Prairie Downs deposit occurs in quartz veins/stringers along Prairie Downs Fault, which juxtaposes Fortescue Group mafic and komatiitic volcanic rocks against arenite and conglomerate of the Bresnahan (Prairie Downs) Formation. The main host is Fortescue Group basalt.</t>
  </si>
  <si>
    <t>Bresnahan Formation</t>
  </si>
  <si>
    <t>Arenite and conglomerate.</t>
  </si>
  <si>
    <t>Fergusson (1999); Brumby Resources Limited (2015)</t>
  </si>
  <si>
    <t>Marindi Metals Limited (2015)</t>
  </si>
  <si>
    <t>Endowment includes mineral resources only (Marindi Metals Limited, 2015).</t>
  </si>
  <si>
    <t>Pridhams</t>
  </si>
  <si>
    <t>Calcareous metasedimentary rocks</t>
  </si>
  <si>
    <t>ab-act-ep-scp (early) → cal-qtz-bt-chl-ser-py-mo (late)</t>
  </si>
  <si>
    <t>Sample is of a quartz-chlorite-sericite-chalcopyrite-pyrite-molybdenite vein that cuts albite-actinolite-epidote/clinozoisite-scapolite altered wall rock. Deposit type is possibly IOCG.</t>
  </si>
  <si>
    <t>Neptune</t>
  </si>
  <si>
    <t>Main host sequence (local name) - Wallaroo Group (?)</t>
  </si>
  <si>
    <t>Dolostone, dolomitic siltstone, greywacke, shale, debris-flow breccia, andesite and minor dacite</t>
  </si>
  <si>
    <t>Unnamed basalt</t>
  </si>
  <si>
    <t>Strongly metasomatised basalt (uncertain place in stratigraphy)</t>
  </si>
  <si>
    <t>Neptune Volcanics (local name; Gawler Range Volcanics equivalent)</t>
  </si>
  <si>
    <t xml:space="preserve">Mafic, intermediate and felsic volcanic rocks </t>
  </si>
  <si>
    <t>strongly metasomatised basalt (uncertain place in stratigraphy)</t>
  </si>
  <si>
    <t>Gairdner Dolerite</t>
  </si>
  <si>
    <t>ser-qtz-hm-car (Cu-Au ore); hm-qtz±bar (Au ore); mt (unmineralised skarn)</t>
  </si>
  <si>
    <t>Williams et al. (2017)</t>
  </si>
  <si>
    <t>Belperio et al. (2007); Bowden et al. (2017); Williams et al. (2017); www.portergeoscience.com (accessed April 2020)</t>
  </si>
  <si>
    <t>Bowden et al. (2017)</t>
  </si>
  <si>
    <t>https://portergeo.com.au/database/mineinfo.asp?mineid=mn951</t>
  </si>
  <si>
    <t>The cited age range covers the range constrained by Bowden et al. (2017) to be between the ~1585 Ma age of a pre-ore granitoid and the ~1570 Ma age of alteration sericite. Copper-Au endowment includes mineral resources (in May 2008) prior to commencing mining. These include 283.4 Mt at 0.89% Cu, 0.81 g/t Au and 2.48 g/t Ag for the main deposit and 14.5 Mt at 1.69% Cu, 0.28 g/t Au, 3.7 g/t Ag for the Western Copper resource (https://portergeo.com.au/database/mineinfo.asp?mineid=mn951; accessed April 2020). Rare earth element endowment has not been determined. In the ore zone there is no magnetite; magnetite is present as magnetite skarn in the hanging wall to the deposit.</t>
  </si>
  <si>
    <t>Prospect D</t>
  </si>
  <si>
    <t>Au-Co-PGE</t>
  </si>
  <si>
    <t>Scrimgeour (2013b)</t>
  </si>
  <si>
    <t>Prospect Hill</t>
  </si>
  <si>
    <t>Mount Babbage Inlier</t>
  </si>
  <si>
    <t>Petermorra Volcanics</t>
  </si>
  <si>
    <t>Meta-quartz-feldspar porphyry (rhyolite to dacite) and associated volcaniclastics to epiclastics; the volcanics are strongly deformed, poorly bedded to massive, grey to dark grey and contain post-emplacement tourmaline clots (hydrothermal).</t>
  </si>
  <si>
    <t>Prospect Hill Granite</t>
  </si>
  <si>
    <t>Sparsely porphyritic adamellite, dark grey, with tourmaline clots and orbicules, wispy volcanic and granitic xenoliths. Composed of microcline phenocrysts in a groundmass of orthoclase, plagioclase, bluish quartz and biotite.</t>
  </si>
  <si>
    <t>Havilah Resources Ltd (2017)</t>
  </si>
  <si>
    <t>Teale et al. (2014)</t>
  </si>
  <si>
    <t>Sheard et al. (1992); Teale et al. (2014)</t>
  </si>
  <si>
    <t>The host volcanics are highly sheared and mylonitised; the deformation has not been dated but is believed to postdate mineralisation, which may be related to the shallow emplacement of the porphyritic Prospect Hill Granite within the volcanic sequence at 1552 ± 8 Ma (or a similar intrusion). These felsic igneous rocks are F-rich, with fluorite and F-bearing margarite.</t>
  </si>
  <si>
    <t>Pug Hill</t>
  </si>
  <si>
    <t>Purnamoota Subgroup</t>
  </si>
  <si>
    <t>Consists of two horizons of garnet-bearing quartzofeldspathic Potosi-type gneiss, separated by pelitic rocks. Minor calc-silicate, garnet-rich BIF, quartz-gahnite and quartz-garnet rock. Basic gneiss sills generally present and locally abundant.</t>
  </si>
  <si>
    <t>Page et al. (2005b)</t>
  </si>
  <si>
    <t>Cited age is that of the Hores Gneiss.</t>
  </si>
  <si>
    <t>Que River</t>
  </si>
  <si>
    <t>Zn-Au</t>
  </si>
  <si>
    <t>qtz-ser-py±car±chl</t>
  </si>
  <si>
    <t>https://www.mindat.org/loc-420423.html (accessed March 2024)</t>
  </si>
  <si>
    <t>McArthur and Dronseika (1990); McGoldrick and Large (1992); Seymour et al. (2006); Denwer et al. (2014); Mortensen et al. (2015)</t>
  </si>
  <si>
    <t>Cited age is that of the andesite underlying the Hellyer deposit (Mortensen et al., 2015). The deposit includes S-lens, which stratigraphically underlies main P-Q lens in stacked system. Endowment includes pre-mining resources (Denwer et al., 2014).</t>
  </si>
  <si>
    <t>Queen Bee</t>
  </si>
  <si>
    <t>Stegman and Stegman (1996); Brown et al. (2017a); Fitzherbert et al. (2017); Stander and Berthelsen (2017)</t>
  </si>
  <si>
    <t>Endowment includes production of 3 kt Cu from 40 kt ore from 1902 to 1912.</t>
  </si>
  <si>
    <t>Queen Hill (including Queen Hill, Severn, Montana and Oonah)</t>
  </si>
  <si>
    <t>Zn-Pb-Cu</t>
  </si>
  <si>
    <t>Montana beds (local name)</t>
  </si>
  <si>
    <t>Grey siltstone and dolostone of varying thickness and composition at contact between Oonah and Crimson Creek formations (main ore host, Severn deposit)</t>
  </si>
  <si>
    <t>Argillites, siltstones, volcaniclastics, basic volcanics, greywacke an minor dolostone (ore host).</t>
  </si>
  <si>
    <t>Quartz wacke: continent-derived turbidites sequences (mudstone and sandstone) interbedded with minor pillow basalt and impure limestone beds (ore host).</t>
  </si>
  <si>
    <t>Black et al. (2005); Callaghan et al. (2017b)</t>
  </si>
  <si>
    <t>Stellar Resources Limited (2023)</t>
  </si>
  <si>
    <t>Cited age is that of the red phase of the Heemskirk Granite (Black et al., 2005). Endowment includes mineral resources only (Callaghan et al., 2017b).</t>
  </si>
  <si>
    <t>Queen's Gift</t>
  </si>
  <si>
    <t>Wilde et al. (2013)</t>
  </si>
  <si>
    <t>Queensberry</t>
  </si>
  <si>
    <t>Bell Shale</t>
  </si>
  <si>
    <t>Upper mudstone with marine macrofossils and lower succession of thin bedded, very fine-grained quartz sandstone, siltstone and mudstone with marine macrofossils</t>
  </si>
  <si>
    <t>Green (1985); Green et al. (2014)</t>
  </si>
  <si>
    <t>Cited age is by regional correlation with the Zeehan district, located ~20 km to the northwest. Endowment includes historic production of 344.5 t at 40% Pb and 184 g/t Ag (W Grieve) and 423 t at 56% Pb and 214 g/t Ag (J Harrison), and a pre-JORC mineral resource estimate of 28.3 kt at 0.32% Cu, 8.76% Zn, 11.53% Pb and 52 g/t Ag (Green, 1985).</t>
  </si>
  <si>
    <t>Queenslander</t>
  </si>
  <si>
    <t>Cited age is from alteration sericite, but there may contamination from inherited detrital muscovite. Endowment is from Morrison et al. (2019).</t>
  </si>
  <si>
    <t>Quest 29</t>
  </si>
  <si>
    <t>Ahmad and Hollis (2013); Primary Gold Limited (2017, 2023)</t>
  </si>
  <si>
    <t>Primary Gold Limited (2023)</t>
  </si>
  <si>
    <t>Cited age is by analogy with other Pine Creek orogenic gold deposits (e.g., Cleo, Goodall, Howley and Mount Todd). Endowment includes production of 0.360 Mt at 1.04 g/t Au and mineral resources of 14.2 Mt at 1.0 g/t Au (Primary Gold Limited, 2023).</t>
  </si>
  <si>
    <t>Quita Creek</t>
  </si>
  <si>
    <t>Radio Hill Intrusion</t>
  </si>
  <si>
    <t>Layered mafic ultramafic complex with an ultramafic zone consisting of interlayered peridotite-pyroxenite sequence with dunite, lherzolite, olivine websterite, clinopyroxenite and plagioclase websterite, and a gabbroic zone containing quartz gabbro, gabbro and gabbronorite. The ore zones occur in gabbroic rocks near the basal contact of this zone.</t>
  </si>
  <si>
    <t>Layered gabbro, pyroxenite and minor peridotite</t>
  </si>
  <si>
    <t>trm-act-car-bt-stp, car-qtz-chl-ep (remobilised)</t>
  </si>
  <si>
    <t>Hoatson et al. (1992); Hoatson and Sun (2002); Frick et al. (2001); Fox Resources Limited (2011); Hickman (2016)</t>
  </si>
  <si>
    <t>Frick et al. (2001)</t>
  </si>
  <si>
    <t>Hickman (2016); Artemis Resources Limited (2019)</t>
  </si>
  <si>
    <t>Isochron based on four samples from the mineralised zone. Endowment includes total production from 1998 to 2002 of 21 kt Ni and 16 kt Cu, production from 2007 to 2008 of 2.605 kt Ni, 4.120 kt Cu, 0.589 kt Co and 0.159 t Pd (Hickman, 2016), and mineral resources of 1.15 Mt at 0.73% Ni, 0.52% Ni and 277ppm Co (Artemis Resources Limited, 2019).</t>
  </si>
  <si>
    <t>Railway Flat</t>
  </si>
  <si>
    <t>Biotite quartzo-feldspathic gneiss with amphibolite</t>
  </si>
  <si>
    <t>gt, ep-gt-qtz, sil</t>
  </si>
  <si>
    <t>Cited age is lead isotope model age calculated using CSIRO-AGSO North Australia model (Sun et al., 1996a). Endowment includes mineral resource only.</t>
  </si>
  <si>
    <t>Ranger 1 (includes numbers 1 and 3 orebodies)</t>
  </si>
  <si>
    <t>Nourlangie Schist (Upper Mine Sequence - local name)</t>
  </si>
  <si>
    <t>Banded biotite-quartz-feldspar schist with thin carbonaceous horizons and minor dolostone.</t>
  </si>
  <si>
    <t>Nourlangie Schist (Lower Mine Sequence - local name)</t>
  </si>
  <si>
    <t>Recrystallised magnesian or dolomitic marble and foliated chloritic carbonate.</t>
  </si>
  <si>
    <t>chl-ser-hm</t>
  </si>
  <si>
    <t>Ludwig et al. (1987); Kendall (1990); Ahmad and Hollis (2013); Ahmad and Khan (2013); Skirrow et al. (2016)</t>
  </si>
  <si>
    <t>Ludwig et al. (1987)</t>
  </si>
  <si>
    <t>Lally and Bajwah (2006); ERA annual report (2005-2021)</t>
  </si>
  <si>
    <t>Cited age is upper intercept of discordia that has high MSWD. Age just overlaps with whole-rock ore U-Pb age of 1737 ± 20 Ma (Ludwig et al., 1987). Age is constrained to &lt;1723 Ma as the ores overprint the Oenpelli Dolerite of that age. Endowment includes mined figures from Lally and Bajwah (2006) and ERA annual report between 2005 and 2021 when the Ranger 1 no 3 mine closed.</t>
  </si>
  <si>
    <t>Ranger 68</t>
  </si>
  <si>
    <t>Interbedded chloritic schist and carbonate.</t>
  </si>
  <si>
    <t>chl-hm</t>
  </si>
  <si>
    <t>Browne (1990); Lally and Bajwah (2006); Ahmad and Hollis (2013); Ahmad and Khan (2013)</t>
  </si>
  <si>
    <t>Browne (1990)</t>
  </si>
  <si>
    <t>Ranger pegmatite</t>
  </si>
  <si>
    <t>Annesley et al. (2002)</t>
  </si>
  <si>
    <t>Cited location is that of the Ranger mine.</t>
  </si>
  <si>
    <t>Ravensthorpe (includes Halleys, Hale-Bopp, Shoemaker-Levy, Nindilbilup and Shoemaker-Levy North)</t>
  </si>
  <si>
    <t>Ravensthorpe</t>
  </si>
  <si>
    <t>Bandalup Ultramafics</t>
  </si>
  <si>
    <t>Metamorphosed komatiitic basalt and pyroxenite; minor high-Mg basalt; tremolite and talc-rich schist.</t>
  </si>
  <si>
    <t>Gray et al. (2022)</t>
  </si>
  <si>
    <t>Witt et al. (1997); Witt (1998); Gray et al. (2022); https://asud.ga.gov.au/search-stratigraphic-units/results/36845</t>
  </si>
  <si>
    <t>Nelson (1995); Witt et al. (1997); Witt (1998)</t>
  </si>
  <si>
    <t>Cited location is the approximate centre of the Shoemaker-Levy deposit. Cited precursor age is that of minor, unassigned dacitic to rhyolitic volcanic rocks within the Carlingup Terrane. These ore-host Balangup Formation forms part of the Carlingup Terrane. Cited mineralisation age spans the Cretaceous Period, which is interpreted by Gray et al. (2022) as the timing of lateritisation. The endowment includes production from February from February 2020 to 31 December 2021 of 14.95 Mt at a head grade of 0.63% as well as mineral resources at 31 December 2021. The Co head grade of production was estimated using the Ni/Co (23/0.9) of the final mixed hydroxide product.</t>
  </si>
  <si>
    <t>Jessop Creek Tonalite</t>
  </si>
  <si>
    <t>Grey, medium-grained, hornblende-biotite tonalite, minor diorite.</t>
  </si>
  <si>
    <t>Microgranite, aplite and pegmatite</t>
  </si>
  <si>
    <t>ser-chl, ser-car (proximal) → weak ser-chl (distal)</t>
  </si>
  <si>
    <t>Cited age is from sericite associated with quartz-sulphide veins. Alternatively, poor Ar-Ar spectra from a sample of sericite from the Buck Reef yielded an age of 330 Ma. Endowment is after Lisowiec and Morrison (2017).</t>
  </si>
  <si>
    <t>Serpentine Hill Ultramafic Complex</t>
  </si>
  <si>
    <t>Carbonate-altered serpentinite</t>
  </si>
  <si>
    <t>tc-mag±dol (early pre-cursor assemblage) → po-cas-sul (ore stage)</t>
  </si>
  <si>
    <t>Green et al. (2014); Hong et al. (2017); Stellar Resources Limited (2019)</t>
  </si>
  <si>
    <t>Cited age is that of the Renison Complex (Pine Hill Granite: Hong et al., 2017). Endowment is the pre-mining resource cited by Green et al. (2014)</t>
  </si>
  <si>
    <t>Razorback (includes Razorback and Iron Peak)</t>
  </si>
  <si>
    <t>Fanning and Link (2008); England and Thomas (2017); Davies and Twining (2018)</t>
  </si>
  <si>
    <t>The cited age (Fanning and Link, 2008) is that of a felsic volcaniclastic rock in the Wilyerpa Formation, which directly overlies the Benda Siltstone that hosts the host Braemar Iron Formation.</t>
  </si>
  <si>
    <t>Red Dam</t>
  </si>
  <si>
    <t>Red Dome</t>
  </si>
  <si>
    <t>Nested Porphyry</t>
  </si>
  <si>
    <t>Quartz-feldspar-phyric porphyry with very fine-grained groundmass</t>
  </si>
  <si>
    <t>Crowded Porphyry</t>
  </si>
  <si>
    <t>Quartz-feldspar-phyric dacite</t>
  </si>
  <si>
    <t>[hed-qtz (endoskarn), adr-mt-cal-dp±bn±chc±cp±ves±asp (endoskarn)] (Stage 1; prograde) → wol-adr-fbu-cal±dp±cp±bn±chc (stage 2; prograde; associated with gold mineralisation) → cal-qtz-fl-chl-ep-ser-cp-py-sl-mt-asp±gn (Stage 3; retrograde) → adr±dp±mt±cp±py±gn (Stage 4; retrograde)</t>
  </si>
  <si>
    <t>Torrey (1986); Ewers and Sun (1989); Ewers et al. (1990); Lehrmann (2012)</t>
  </si>
  <si>
    <t>Lehrmann (2012)</t>
  </si>
  <si>
    <t>Molybdenite Re-Os ages of 327 ± 4 Ma (in gold-molybdenite-bearing quartz vein) and 315 ± 2 Ma (in Cu-bearing clinopyroxene skarn) overlap with LA-ICP-MS zircon U-Pb ages of the quartz-feldspar porphyry (322 ± 2 Ma, 322 ± 2 Ma and 324 ± 2 Ma) and dacitic porphyry (311 ± 2 Ma), respectively (Lehrmann, 2012), possibly indicating two mineralising pulses related to the two porphyry intrusion. Endowment includes production of 12.8 Mt at 0.5% Cu and 2 g/t Au (1986-1996) and 2003 mineral resources of 40.1 Mt at 0.3% Cu and 0.8 g/t Au (Lehrmann, 2012).</t>
  </si>
  <si>
    <t>Red October</t>
  </si>
  <si>
    <t>Pillow basalt (footwall)</t>
  </si>
  <si>
    <t>Carbonaceous and sulfidic black shale</t>
  </si>
  <si>
    <t>High-Mg basalt and ultramafic rocks (hanging wall)</t>
  </si>
  <si>
    <t>ser-qtz-py (proximal) bt-car bt-chl-car (distal) (in mafic and ultramafic rocks; ab-py-po-mus-bt (in graphitic shale/siltstone)</t>
  </si>
  <si>
    <t>Witt and Laneyrie (2017)</t>
  </si>
  <si>
    <t>Witt and Laneyrie (2017); www.matsa.com (accessed 22 May 2024)</t>
  </si>
  <si>
    <t>Age is based on correlation with other deposits in the Leonora district. Endowment includes production and mineral resources at 31 December 2023.</t>
  </si>
  <si>
    <t>Redbank district (includes Azurite, Bluff, Prince, Punchbowl, Redbank, Roman Nose and Sandy Flat)</t>
  </si>
  <si>
    <t>Redbank</t>
  </si>
  <si>
    <t>Gold Creek Volcanics</t>
  </si>
  <si>
    <t>Porphyritic basalt; dolomitic to quartzic sandstone, mudstone, peperite breccia, local autobreccia, local stratiform polymict breccia and massive sandstone bodies, local chlorite-bitumen alteration and sulfides.</t>
  </si>
  <si>
    <t>Wollogorang Formation</t>
  </si>
  <si>
    <t>Dolomitic sandstone, dolomite, stromatolitic dolomite, oolitic dolomite; dolomitic and quartz sandstone, ferruginous in parts, feldspathic, dolomitic siltstone.</t>
  </si>
  <si>
    <t>Porphyritic basalt; peperite breccia, local autobreccia</t>
  </si>
  <si>
    <t>dol-cal-qtz-ksp-ap-cel-hm-rut-cl (breccia matrix)</t>
  </si>
  <si>
    <t>Ahmad and Khan (2013); Ahmad et al. (2013c)</t>
  </si>
  <si>
    <t>Redbank Copper Limited (2021)</t>
  </si>
  <si>
    <t>Endowment includes production of 8350 t Cu and mineral resources of 8.40 Mt at 1.1% Cu (Redbank Copper Limited, 2021). Calculation does not include historical production of 1200 imperial tons at unknown grade by William Masterton between 1916 and 1957 at Azurite. Redbank Copper is now NT Minerals Limited.</t>
  </si>
  <si>
    <t>Redcap (includes Montevideo, Queenslander, Morrisons, Victoria, Penzance)</t>
  </si>
  <si>
    <t>Ag-Au-Pb</t>
  </si>
  <si>
    <t>Limestone: gt-wol-apo-hed-qtz-cal-dp-mt → po-sul → mar (garnet skarn - main type), wol-gt-ves → dp-ilv-cp-car-qtz (wollastonite skarn), hed-ksp-anr-mt → dp-qtz-mol-sch-amp-po-cp; basalt: act-ep → cpx-ksp-car-qtz-sul-ep (veins); siliciclastic rocks: ser-ep-chl±ves±cpx±wol. Assemblage progression is temporal.</t>
  </si>
  <si>
    <t>Endowment includes mineral resources from Morrison and Beaton (2015), but do not include production and, therefore, are an under-estimate.</t>
  </si>
  <si>
    <t>Reedy (including North Emu, South Emu, Rand and North Rand)</t>
  </si>
  <si>
    <t>Mafic and ultramafic schists and sedimentary rocks with mafic and felsic intrusives</t>
  </si>
  <si>
    <t>Mafic intrusive</t>
  </si>
  <si>
    <t>Felsic intrusive</t>
  </si>
  <si>
    <t>bt-qtz-cal-chl-ser-ab-py±po</t>
  </si>
  <si>
    <t>Henderson and Hill (1990); Wang et al. (1993); Metals X Limited (2014a)</t>
  </si>
  <si>
    <t>Henderson and Hill (1990)</t>
  </si>
  <si>
    <t>Henderson and Hill (1990); Metals X Limited (2014a); Westgold Resources Limited (2023)</t>
  </si>
  <si>
    <t>Location is that of the South Emu deposit, which was the deposit dated. Endowment includes production to June 1989 (Henderson and Hill, 1990), and total resources in June 2023 (Westgold Resources Limited, 2023).</t>
  </si>
  <si>
    <t>Reedy Creek</t>
  </si>
  <si>
    <t>Beechworth-Eldorado</t>
  </si>
  <si>
    <t>Gravels</t>
  </si>
  <si>
    <t>Late Tertiary</t>
  </si>
  <si>
    <t>Pilot Range Granite</t>
  </si>
  <si>
    <t>Dunn (1913); Cochrane and Bowen (1971); Campbell et al. (2003)</t>
  </si>
  <si>
    <t>Cited location is the approximate centre of the district, which extends over 20 km along Reedy Creek. Dunn (1913) and Campbell et al. (2003) interpret that the cassiterite in the alluvium and Tertiary gravels was derived originally from quartz veins, greisen dykes, fissure deposits and disseminated grains in the Late Devonian Pilot Hill Batholith. A total of over 9200 t of cassiterite concentrate was produced from the tin field; this is converted to tin metal in the endowment. Endowment includes production only.</t>
  </si>
  <si>
    <t>Renison Bell</t>
  </si>
  <si>
    <t>[po-qtz±cas (fault-proximal) → tc-trm-po±cas → po → sid-ank → dol (unreplaced)] (dolostone-replacive ores), [phl, chl-tc] (po-py-qtz±cas±sul vein ore)</t>
  </si>
  <si>
    <t>Patterson et al. (1981); Kitto (1994); McQuitty et al. (1998); Black et al. (2005); Hong et al. (2017)</t>
  </si>
  <si>
    <t>McQuitty et al. (1998); RGC Limited (1998), Murchison United NL (1999, 2000, 2001, 2002a, 2002b, 2003), Bluestone Tin Limited (2005, 2006), Metals X Limited (2009, 2010, 2011, 2012, 2013, 2014b, 2015, 2016, 2017, 2018, 2019, 2020, 2021, 2022a,b, 2023a,b)</t>
  </si>
  <si>
    <t>Cited age (Denholm et al., 2021) overlaps with that of the Pine Hill Granite (366 ± 3 Ma (LA-ICP-MS zircon U-Pb: Hong et al., 2017), which intrudes below the Renison deposit. Endowment includes production to 31 March 2023 (data from McQuitty et al. (1998: 131,500 t from 1890 to January 1994) and RGC Limited, Murchison United NL, Bluestone Tin Limited and Metals X Limited Annual Reports and reports to the Australian Stock Exchange (data from January 1994 to June 1997 are not available, but likely totalled ~20 kt based on production rates in 1998)), and total mineral resources for the mine (20.0 Mt at 1.54% Sn and 0.19% Cu) and the Rentail tailings (23.9 Mt at 0.44% Sn and 0.22% Cu) at 31 March 2023 (Metals X Limited, 2023b). This endowment (682 kt) is significantly larger that the pre-mining resource (29.6 Mt at 1.45% Sn for 430 kt Sn) of Green et al. (2014) due to significant recent exploration success.</t>
  </si>
  <si>
    <t>Rex Hill</t>
  </si>
  <si>
    <t>Henbury Granite</t>
  </si>
  <si>
    <t>I-type biotite alkali-feldspar granite.</t>
  </si>
  <si>
    <t>Gipps Creek Granite</t>
  </si>
  <si>
    <t>qtz-sul-fl</t>
  </si>
  <si>
    <t>Ridgeway</t>
  </si>
  <si>
    <t>Massive andesitic lithic conglomerate with intercalated volcanic sandstone and minor clinopyroxene-phyric basalt to basaltic andesite flows, and andesite and basalt dykes</t>
  </si>
  <si>
    <t>Cadia Igneous Complex - pre-mineral intrusions</t>
  </si>
  <si>
    <t>Equigranular monzodiorite</t>
  </si>
  <si>
    <t>Cadia Igneous Complex - syn-mineral intrusions</t>
  </si>
  <si>
    <t>Early-mineral monzonite porphyry, inter-mineral monzonite porphyry and late-mineral quartz monzonite</t>
  </si>
  <si>
    <t>Weemalla Formation</t>
  </si>
  <si>
    <t>Thinly laminated, carbonaceous to volcanic siltstone with minor arenaceous volcanic beds</t>
  </si>
  <si>
    <t>Early Late Ordovician</t>
  </si>
  <si>
    <t>Cadia Intrusive complex - syn-mineral intrusions</t>
  </si>
  <si>
    <t>[act-bt-ort-ab-mt±chl±ep±ap±py±cal (proximal)→ ort-bt-ab-qtz±chl±py±mt±ap±leu, and-ort-mt±py±cal±chl → chl-ab-hm-mt-ep±cal±py±pre±qtz±ser±leu, ab-qtz±py±chl±cal → ep-ab-cal±chl±pre±py±ser, ab-qtz±py±chl±cal (distal)] (early) → ser-py±cal±qtz (late)</t>
  </si>
  <si>
    <t>Cited location is the approximate centre of surface project of orebody. Endowment includes production to March 2016 and mineral resources at 31 December 2016 (Porter, 2017f).</t>
  </si>
  <si>
    <t>Ringarooma Bay</t>
  </si>
  <si>
    <t>Kenex Ltd (2008)</t>
  </si>
  <si>
    <t>McClenaghan et al. (1982); Kenex Ltd (2008)</t>
  </si>
  <si>
    <t>McClenaghan et al. (1982)</t>
  </si>
  <si>
    <t>Cassiterite in these alluvial sediments derives from granites to the south. Uplift during the Cenozoic led to erosion and deposition of these sediments, which were overflowed by later basaltic lavas. The cited endowment is the sum of historic production (40 kt) and an approximate, non-JORC compliant estimate of the remaining offshore resource (10 kt). The cassiterite is distributed across multiple channels rather than localised, making resource quantification and extraction difficult.</t>
  </si>
  <si>
    <t>Ripon Hills</t>
  </si>
  <si>
    <t>Wongawobbin Basin</t>
  </si>
  <si>
    <t>Eel Creek Formation correlate</t>
  </si>
  <si>
    <t>Mudstone, shale, siltstone, sandstone; minor rhyolite tuff</t>
  </si>
  <si>
    <t>Blake et al. (2011); Sheppard et al. (2016a); Jones (2017a)</t>
  </si>
  <si>
    <t>Blake et al. (2011); Sheppard et al. (2016a)</t>
  </si>
  <si>
    <t>Geological Survey of Western Australia (2013)</t>
  </si>
  <si>
    <t>Cited location is the approximate centre of the Ripon Hills district. Cited age is from felsic tuff within succession. Based on this age, Sheppard et al. (2016a) indicates that the succession does not correlate with the Manganese Group (Oakover/Collier Basin), but represents an outlier of the smaller Wongawobbin Basin, 80 km to the north.</t>
  </si>
  <si>
    <t>Riversleigh</t>
  </si>
  <si>
    <t>Robe River-Bungaroo</t>
  </si>
  <si>
    <t>Robe River</t>
  </si>
  <si>
    <t>Goethite</t>
  </si>
  <si>
    <t>U-Th-He</t>
  </si>
  <si>
    <t>Robe Pisolite</t>
  </si>
  <si>
    <t>Pisolitic, oolitic and massive limonite, minor terrigenous siliciclastic material, goethite and hematite deposits; developed along palaeodrainage lines; dissected by present day drainage.</t>
  </si>
  <si>
    <t>Ramanaidou et al. (2017); Rio Tinto Limited (2019)</t>
  </si>
  <si>
    <t>Cited age is (U-Th)-He age of goethite from the Mesa J deposit. Endowment includes ore reserves and mineral resources as of 31 December 2018, and does not include previous production.</t>
  </si>
  <si>
    <t>Robinhood West</t>
  </si>
  <si>
    <t>Rhyolite dykes/plugs</t>
  </si>
  <si>
    <t>Diorite plugs</t>
  </si>
  <si>
    <t>ser, kao, chl, sid</t>
  </si>
  <si>
    <t>Rocklands</t>
  </si>
  <si>
    <t>Co-Au</t>
  </si>
  <si>
    <t>Ag-Bi-Mo-REE-Te</t>
  </si>
  <si>
    <t>Metadolerite</t>
  </si>
  <si>
    <t>Overhang Jaspilite</t>
  </si>
  <si>
    <t>Sandstone-siltstone and associated sedimentary breccias</t>
  </si>
  <si>
    <t>Williams Supersuite (Malakoff Granite)</t>
  </si>
  <si>
    <t>bt-amp-ksp-ab-mt-bar-hm (paragenetic sequence: bt → act-mt → cal-py-cp-mt-qtz; excludes late leaching and oxidation)</t>
  </si>
  <si>
    <t>Valenta (2019i)</t>
  </si>
  <si>
    <t>Cited age is that the Ernest Henry deposit. Endowment includes mineral resources at 30 June 2017 and excludes production up to that point of approximately 2 Mt of ore (exact production could not be determined from Australian Stock Exchange releases).</t>
  </si>
  <si>
    <t>Rocklea Dome-Beasley River</t>
  </si>
  <si>
    <t>Rocklea Dome</t>
  </si>
  <si>
    <t>Ramanaidou et al. (2017); http://www.portergeo.com.au/database/mineinfo.asp?mineid=mn1451 (accessed February 2021)</t>
  </si>
  <si>
    <t>http://www.portergeo.com.au/database/mineinfo.asp?mineid=mn1451 (accessed February 2021)</t>
  </si>
  <si>
    <t>Rocky River (Uralla) district</t>
  </si>
  <si>
    <t>Rocky River (Uralla)</t>
  </si>
  <si>
    <t>Uralla Granodiorite</t>
  </si>
  <si>
    <t>Equigranular medium grained hornblende-biotite granodiorite with mafic and/or porphyritic variants.</t>
  </si>
  <si>
    <t>Early-Middle Triassic</t>
  </si>
  <si>
    <t>Undifferentiated felsic volcanics, minor sediments and granites. Dominantly ignimbritic rhyolites and rhyodacites (dark crystal-lithic tuffs); rhyodacitic lavas, minor dacite, andesite, trachyte; interbedded fine-grained sediments</t>
  </si>
  <si>
    <t>Khatoun Tonalite</t>
  </si>
  <si>
    <t>Massive, equigranular tonalite and pyroxene tonalite</t>
  </si>
  <si>
    <t>Sandon Beds</t>
  </si>
  <si>
    <t>Low-grade, regionally metamorphosed, multiply deformed lithic wacke, paraconglomerate, siltstone, mudstone, minor chert, jasper, spilite.</t>
  </si>
  <si>
    <t>Brown et al. (1992)</t>
  </si>
  <si>
    <t>Sovereign Gold Company Limited (2012); McQueen (2017); P. Downes (unpublished data)</t>
  </si>
  <si>
    <t>P. Downes (unpublished data)</t>
  </si>
  <si>
    <t>McQueen (2017)</t>
  </si>
  <si>
    <t xml:space="preserve">Cited location is that of "Rocky River" (MA0447) from Brown et al. (1992). Majority of alluvial mineralisation is in deep leads under Tertiary basalts. Timing of primary mineralisation is from P. Downes (unpublished data). </t>
  </si>
  <si>
    <t>Rocky's Reward-Harmony</t>
  </si>
  <si>
    <t>Rocky's Reward Ultramafic Unit</t>
  </si>
  <si>
    <t>Olivine mesocumulate, olivine orthocumulate, komatiite and komatiitic basalt</t>
  </si>
  <si>
    <t>https://www.mindat.org/loc-194569.html (accessed May 2024)</t>
  </si>
  <si>
    <t>De-Vitry et al. (1998); Perring (2015); Perring et al. (2017)</t>
  </si>
  <si>
    <t>Cited age assumes correlation with Perseverance deposit. Alteration is post mineralisation. Endowment is the global resource from Perring (2015).</t>
  </si>
  <si>
    <t>Roper Bar (Nathan River)</t>
  </si>
  <si>
    <t>Roper Bar</t>
  </si>
  <si>
    <t>Roper Basin</t>
  </si>
  <si>
    <t>Sherwin Formation, Roper Group</t>
  </si>
  <si>
    <t>Interbedded coarse to fine grained ferruginous sandstone, siltstone, mudstone, pisolitic ironstone</t>
  </si>
  <si>
    <t>Ahmad and Khan (2013); Ahmad et al. (2013c); Western Desert Resources Limited (2014)</t>
  </si>
  <si>
    <t>Western Desert Resources Limited (2014)</t>
  </si>
  <si>
    <t>Cited age is constrained by the age of a tuff in the Mainoru Formation (1492 ± 4 Ma - SHRIMP zircon U-Pb) which is towards the base of the Roper Group and the age of the Derim Derim Dolerite (1324 ± 4 Ma - SHRIMP baddeleyite U-Pb), which intrudes the Roper Group. Endowment includes mineral resources only.</t>
  </si>
  <si>
    <t>Roper River (Hodgson Downs)</t>
  </si>
  <si>
    <t>Roper River</t>
  </si>
  <si>
    <t>Roper Valley (Sherwin Creek/Mount Scott)</t>
  </si>
  <si>
    <t>Roper Valley</t>
  </si>
  <si>
    <t>Ahmad and Khan (2013); Ahmad et al. (2013c); Northern Territory Geological Survey (2024)</t>
  </si>
  <si>
    <t>Northern Territory Geological Survey (2024)</t>
  </si>
  <si>
    <t>Cited location is approximate centre of Z ore lens from Figure 15.49 of Ahmad et al. (2013c). Cited age is constrained by the age of a tuff in the Mainoru Formation (1492 ± 4 Ma - SHRIMP zircon U-Pb) which is towards the base of the Roper Group and the age of the Derim Derim Dolerite (1324 ± 4 Ma - SHRIMP baddeleyite U-Pb), which intrudes the Roper Group. Endowment includes mineral resources only (Northern Territory Geological Survey, 2024).</t>
  </si>
  <si>
    <t>Rosebery</t>
  </si>
  <si>
    <t>Syn-replacement</t>
  </si>
  <si>
    <t>chl-py±ser (proximal) → qtz-ser-py (distal), car (Cambrian VHMS); mt-bt±cp±ser±ksp±qtz±gt±hel±tm (deep) → py-po±tm±mt±bt → tm-qtz±mt±py±po±chl±fl±car (shallow) (Devonian replacement)</t>
  </si>
  <si>
    <t>https://www.mindat.org/loc-65284.html (accessed March 2024)</t>
  </si>
  <si>
    <t>Brathwaite (1974); Green et al. (1981); Khin Zaw et al. (1999); Black et al. (2005); McNeil (2014); Mortensen et al. (2015); Denwer et al. (2017a)</t>
  </si>
  <si>
    <t>Denwer et al. (2017a)</t>
  </si>
  <si>
    <t>Cited age of the Cambrian mineralisation is the middle of three statistically indistinguishable TIMS U-Pb ages (502.60 ± 0.93 Ma, 502.81 ± 0.98 Ma, 503.01 ± 0.97 Ma: Mortensen et al., 2015) from pumice breccia in the stratigraphic footwall of the deposit. Mn-rich carbonates closely associated with ore zones. Cambrian ore zones were overprinted by pyrrhotite- and magnetite-bearing assemblages during Devonian (the relative Fe-S-O mineral abundances are based on Cambrian mineralisation; for Devonian replacement, the relative abundances are po &gt; py &gt; mt &gt;&gt; hm). Trace pyrrhotite noted in Cu-rich zones outside of replaced zone and magnetite is minor to trace quantities in Zn-rich and pyritic zones. A granitic body has been inferred at 1 km depths at the southern end of the deposit based on gravity model. This granite, which forms part of the gravity ridge between the Heemskirk and Granite Tor batholiths, is inferred to be of similar age to the dated granites on this gravity Ridge (Heemskirk, Pine Hill and Granite Tor) at ~360 Ma (c.f. Black et al., 2005; Hong et al., 2017) and the source of the Devonian replacive mineralised zones.</t>
  </si>
  <si>
    <t>Roseby (including Belford, Blackard, Caroline, Charlie Brown, Great Southern, Ivy Ann, Lady Clayre, Legend, Little Eva, Longamundi, Scanlan and Turkey Creek)</t>
  </si>
  <si>
    <t>Roseby</t>
  </si>
  <si>
    <t>Leichhardt and Calvert superbasins</t>
  </si>
  <si>
    <t>Scapolite-bearing quartz-biotite-hornblende-magnetite schist with abundant muscovite and amphibole; local amphibolite and marble.</t>
  </si>
  <si>
    <t>Mount Roseby Schist</t>
  </si>
  <si>
    <t>Muscovite-biotite-quartz schist (psammopelite) and minor quartzite, calc-silicate granofels and limestone; commonly contains scapolite.</t>
  </si>
  <si>
    <t>Coocerina Formations</t>
  </si>
  <si>
    <t>Black shale, scapolitic siltstone and minor limestone</t>
  </si>
  <si>
    <t>Metadolerite/metagabbro</t>
  </si>
  <si>
    <t>Wonga Suite (Dipvale Granodiorite)</t>
  </si>
  <si>
    <t>Medium-grained, hornblende-biotite granodiorite to monzogranite; pervasively foliated.</t>
  </si>
  <si>
    <t>Williams Supersuite (Mavis Granodiorite)</t>
  </si>
  <si>
    <t>Medium-grained granodiorite; strongly deformed.</t>
  </si>
  <si>
    <t>scp-mt (early) → qtz-ab-chl → hm-ab-ksp-chl-ser → cal-qtz-cp-bt-hm-ksp-mt-chl-lau-pre (late, ore stage; Little Eva); ksp-mt, mt-bt-qtz, fsp-hm (Bedford); qtz-ab-scp-chl, cal-hm-chl-qtz, qtz-mus-bt-tm, qtz-ab (Lady Clayre)</t>
  </si>
  <si>
    <t>Valenta (2019m)</t>
  </si>
  <si>
    <t>Endowment includes Cu-Au resources of 173.5 Mt grading 0.37% Cu and 0.07 g/t Au and gold resources of 156.9 Mt grading 0.54% Cu.</t>
  </si>
  <si>
    <t>Rosemont</t>
  </si>
  <si>
    <t>Bandya Sill (local name)</t>
  </si>
  <si>
    <t>Quartz dolerite</t>
  </si>
  <si>
    <t>chl-car-qtz-sul-mt-ep</t>
  </si>
  <si>
    <t>Rothbury</t>
  </si>
  <si>
    <t>Round Hill</t>
  </si>
  <si>
    <t>Jennings et al. (1979)</t>
  </si>
  <si>
    <t>Jennings et al. (1979); Green et al. (2014); Huston et al. (2022)</t>
  </si>
  <si>
    <t>Cited location is that of the Round Hill main workings. Cited age is my analogy with the Dolcoath occurrence (Huston et al., 2022). Endowment includes production only (Jennings et al., 1979).</t>
  </si>
  <si>
    <t>Rover 1</t>
  </si>
  <si>
    <t>Lu-Hf</t>
  </si>
  <si>
    <t>Co-Bi-Ag</t>
  </si>
  <si>
    <t>(chl±mt±qtz (early) → chl-py (late)) (proximal) → ser (distal); sil-hm (jasper)</t>
  </si>
  <si>
    <t>Cuison et al. (2017); Leggo et al. (2019); Huston et al. (2020b)</t>
  </si>
  <si>
    <t>Farais and Gilbert (2022)</t>
  </si>
  <si>
    <t>Highly imprecise age is similar to that inferred form the main mineralising event in the Tennant Creek field. Endowment includes mineral resources only. Host unit is interpreted to be equivalent of Warramunga Formation owing to similarities in lithologies.</t>
  </si>
  <si>
    <t>Royal George</t>
  </si>
  <si>
    <t>Royal George Granite</t>
  </si>
  <si>
    <t>Biotite alkali-feldspar granite - equigranular, coarse-grained with minor bodies of microgranite and granite porphyry.</t>
  </si>
  <si>
    <t>qtz-mus, tm, qtz-top-sul</t>
  </si>
  <si>
    <t>Ruby Creek Goldfield (including Ruby Queen and West and Left)</t>
  </si>
  <si>
    <t>Ruby Creek Goldfield</t>
  </si>
  <si>
    <t>Cited location is that of the Ruby Queen deposit. Cited age is based on correlation with the Mount Bradley deposit. Endowment includes historic production.</t>
  </si>
  <si>
    <t>Ruby Creek molybdenite</t>
  </si>
  <si>
    <t>Ruby Creek</t>
  </si>
  <si>
    <t>Norman et al. (2004a,b)</t>
  </si>
  <si>
    <t>No production or resources are recorded from this prospect.</t>
  </si>
  <si>
    <t>Rum Jungle Creek South</t>
  </si>
  <si>
    <t>Ahmad et al. (2006); Ahmad and Hollis (2013); Johansen and Johnstone (2017)</t>
  </si>
  <si>
    <t>Rustlers Roost</t>
  </si>
  <si>
    <t>Ahmad and Hollis (2013); Primary Gold Limited (2023)</t>
  </si>
  <si>
    <t>Cited age is by analogy with other Pine Creek orogenic gold deposits (e.g., Cleo, Goodall, Howley and Mount Todd). Endowment includes production of 4.71 Mt at 1.05 g/t Au (Ahmad and Holland, 2013) and mineral resources of 91.9 Mt at 0.7 g/t Au (Primary Gold Limited, 2023).</t>
  </si>
  <si>
    <t>Ruth Well</t>
  </si>
  <si>
    <t>Ruth Well Formation</t>
  </si>
  <si>
    <t>Metabasalt, serpentinised peridotitic komatiite, calc-chlorite schist and chert</t>
  </si>
  <si>
    <t>Metabasalt and serpentinised peridotitic komatiite</t>
  </si>
  <si>
    <t>Nisbet and Chinner (1981); Meisel et al. (2001); Fox Resources Ltd (2011); Hickman (2016)</t>
  </si>
  <si>
    <t>Meisel et al. (2001); Hickman (2016)</t>
  </si>
  <si>
    <t>Artemis Resources Limited (2019)</t>
  </si>
  <si>
    <t>The age estimate (see Hickman, 2016) is based on Nd data that yield ages ranging from 3330-3280 Ma (S Tessalina, unpublished data in Hickman, 2016) and the fact the Ruth Well Formation is intruded by the 3270-3261 Ma Karratha Granodiorite. Alternatively Meisel et al. (2001) cite whole rock Re-Os isochron age of 2876 ± 38 Ma, but this is inconsistent with other geological data. Endowment includes mineral resources only.</t>
  </si>
  <si>
    <t>Sailor Tin</t>
  </si>
  <si>
    <t>Endowment includes mineral resources only (Chang et al., 2017). No other information, other than resources and location, is available.</t>
  </si>
  <si>
    <t>Saint Arnaud goldfield</t>
  </si>
  <si>
    <t>Saint Arnaud</t>
  </si>
  <si>
    <t>Kooreh Granite</t>
  </si>
  <si>
    <t>Granite: non-magnetic; deeply weathered.</t>
  </si>
  <si>
    <t>Carapooee Granodiorite</t>
  </si>
  <si>
    <t>Pale grey to pink, fine-medium grained, mafic biotite granodiorite to syenogranite; with porphyritic texture and large phenocrysts of plagioclase.</t>
  </si>
  <si>
    <t>Krokowski de Vickerod et al. (1997)</t>
  </si>
  <si>
    <t>Forde (1991); Krokowski de Vickerod et al. (1997); Phillips et al. (2003)</t>
  </si>
  <si>
    <t>Krokowski de Vickerod et al. (1997); Phillips et al. (2003)</t>
  </si>
  <si>
    <t>Cited location is the town of Saint Arnaud, which is located approximately in the centre of the goldfield, which has dimensions of 15 km E-W by 10 km N-S. Cited age is by correlation with the Stawell district. Endowment includes production only, 68% from hard rock sources and 32% from alluvial sources (Krokowski de Vickerod et al., 1997).</t>
  </si>
  <si>
    <t>Saint Ives (includes Foster, Jan and East Cooee)</t>
  </si>
  <si>
    <t>https://www.mindat.org/loc-203752.html (accessed May 2024)</t>
  </si>
  <si>
    <t>Gresham and Loftus-Hills (1981); Stone and Masterman (1998); Consolidated Minerals Limited (2005)</t>
  </si>
  <si>
    <t>Consolidated Minerals Limited (2005)</t>
  </si>
  <si>
    <t>Cited location is that of the Jan deposit. Cited age is inferred from other Eastern Goldfields nickel deposits. Endowment is based on a JORC-compliant resource for the Foster and East Cooee deposits by Consolidated Minerals Limited (2005). It does not include production prior to this time. A global, pre-mining endowment for the Kambalda district (including the Kambalda Dome, Saint Ives, Golden Hill-Carnilya, Tramways Dome and Widgiemooltha Dome) was 67 Mt grading 2.9% Ni (Stone and Masterman, 1998), but it was not possible to assign this endowment according to sub-district deposit clusters.</t>
  </si>
  <si>
    <t>Salt Creek</t>
  </si>
  <si>
    <t>https://www.mindat.org/loc-273141.html (accessed April 2024)</t>
  </si>
  <si>
    <t>Richards and Blockley (1986); Huston (1997); Huston et al. (2002a); Thorpe et al. (1992b); Venturex Resources Limited (2020)</t>
  </si>
  <si>
    <t>Huston et al. (2002a); Thorpe et al. (1992b)</t>
  </si>
  <si>
    <t>Lead isotope evolution model used to determine model age is the Western Superior (Wabigoon-Uchi) model of Thorpe et al. (1992b). Endowment includes mineral resources at 3 April 2023 (Anax Metals Limited, 2020).</t>
  </si>
  <si>
    <t>Samarkand</t>
  </si>
  <si>
    <t>Porphyroblastic schist, mica schist, mica-bearing metasandstone, garnet schist, quartz-magnetite-hematite rock and tourmalinite; deposit associated with calc-silicate bodies within schist</t>
  </si>
  <si>
    <t>gt-ep-act-trm-qtz</t>
  </si>
  <si>
    <t>Thor Mining PLC (2020)</t>
  </si>
  <si>
    <t>Scrimgeour (2013a); Thor Mining PLC (2020)</t>
  </si>
  <si>
    <t>Sandiego</t>
  </si>
  <si>
    <t>https://www.mindat.org/loc-289781.html (accessed April 2024)</t>
  </si>
  <si>
    <t>Sandpiper</t>
  </si>
  <si>
    <t>Bagas et al. (2007); Fraser et al. (2012)</t>
  </si>
  <si>
    <t>Fraser et al. (2012)</t>
  </si>
  <si>
    <t>The Stubbins Formation is now considered part of the Dead Bullock Formation (STRATNO = 35396). Endowment includes mineral resources only.</t>
  </si>
  <si>
    <t>Sandras</t>
  </si>
  <si>
    <r>
      <t>One of numerous Li-bearing intrusions in the Bynoe Pegmatite Field. Cited age is from the Saffums 1 pegmatite (Frater, 2005). Cited Sn and Ta endowment includes mineral resources of 0.206 Mt at 0.0249% SnO</t>
    </r>
    <r>
      <rPr>
        <vertAlign val="subscript"/>
        <sz val="9"/>
        <color rgb="FF000000"/>
        <rFont val="Times New Roman"/>
        <family val="1"/>
      </rPr>
      <t>2</t>
    </r>
    <r>
      <rPr>
        <sz val="9"/>
        <color rgb="FF000000"/>
        <rFont val="Times New Roman"/>
        <family val="1"/>
      </rPr>
      <t>, and 0.0067%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(pegmatite), and 0.059 Mt at 0.0297% SnO</t>
    </r>
    <r>
      <rPr>
        <vertAlign val="subscript"/>
        <sz val="9"/>
        <color rgb="FF000000"/>
        <rFont val="Times New Roman"/>
        <family val="1"/>
      </rPr>
      <t>2</t>
    </r>
    <r>
      <rPr>
        <sz val="9"/>
        <color rgb="FF000000"/>
        <rFont val="Times New Roman"/>
        <family val="1"/>
      </rPr>
      <t xml:space="preserve"> and 0.0028% Ta</t>
    </r>
    <r>
      <rPr>
        <vertAlign val="subscript"/>
        <sz val="9"/>
        <color rgb="FF000000"/>
        <rFont val="Times New Roman"/>
        <family val="1"/>
      </rPr>
      <t>2</t>
    </r>
    <r>
      <rPr>
        <sz val="9"/>
        <color rgb="FF000000"/>
        <rFont val="Times New Roman"/>
        <family val="1"/>
      </rPr>
      <t>O</t>
    </r>
    <r>
      <rPr>
        <vertAlign val="subscript"/>
        <sz val="9"/>
        <color rgb="FF000000"/>
        <rFont val="Times New Roman"/>
        <family val="1"/>
      </rPr>
      <t>5</t>
    </r>
    <r>
      <rPr>
        <sz val="9"/>
        <color rgb="FF000000"/>
        <rFont val="Times New Roman"/>
        <family val="1"/>
      </rPr>
      <t xml:space="preserve"> (alluvial) (Ahmad and Hollis, 2013). Cited Li endowment includes mineral resource for the Sandras pegmatite (Core Lithium Limited, 2023).</t>
    </r>
  </si>
  <si>
    <t>Sandstone district (including Bellchambers, Bulchina, Bull Oak, Hacks, Havilah, Lord Henry, Lord Nelson, Oroya, Tigermoth and Two Mile Hill)</t>
  </si>
  <si>
    <t>Sandstone</t>
  </si>
  <si>
    <t>ser-car; ser-fch; ; fch-car; ser-chl-car-mt;</t>
  </si>
  <si>
    <t>Davies et al. (2017)</t>
  </si>
  <si>
    <t>Davies et al. (2017); Alto Metals Limited (2024)</t>
  </si>
  <si>
    <t>Host rocks also include talc-chlorite-carbonate schist, ultramafic rock, tonalite, banded iron formation and black shale. Endowment includes historical production reported by Davies et al. (2017) and resources by Alto Metals Limited (2024)</t>
  </si>
  <si>
    <t>Sandy Creek</t>
  </si>
  <si>
    <t>Savage River</t>
  </si>
  <si>
    <t>Iron oxide apatite</t>
  </si>
  <si>
    <t>Magnetite-dominant iron oxide-apatite</t>
  </si>
  <si>
    <t>Bowry Formation - Main host assemblage</t>
  </si>
  <si>
    <t>Melange derived from mafic volcaniclastic rocks and carbonate-rich sedimentary rocks</t>
  </si>
  <si>
    <t>car-ab-ep-tm-chl</t>
  </si>
  <si>
    <t>Webster et al. (2017)</t>
  </si>
  <si>
    <t>Matzat (1984); Seymour et al. (2006); Bottrill and Taheri (2007); Bottrill et al. (2010); Braniff (2013); R. Bottrill (2015, pers. comm.); Webster et al. (2017); Grange Resources Limited (2020)</t>
  </si>
  <si>
    <t>Bottrill et al. (2010)</t>
  </si>
  <si>
    <t>Grange Resources Limited (2020)</t>
  </si>
  <si>
    <t>The origin of this deposit in contentious. The deposit has been interpreted variously as a magmatic segregation deposit, a volcanogenic or volcano-sedimentary (syngenetic) deposit, an iron skarn, a Kiruna-type iron deposit, and iron-oxide copper-gold deposit (see discussion in Braniff, 2013). Although there is minor copper-gold mineralisation, the deposit herein is interpreted as a Kiruna-type (Matzat, 1984) or iron-oxide apatite deposit. Cited age, which is based upon hydrothermal monazite from a U-REE-pyrite-rich part of the deposit, is controversial. This age is supported by a similar age based on Pb-Pb analyses of pyrite and apatite, and, perhaps, by a 510 ± 15 Ma age from (hydrothermal?) zircon in a wall-rock albitite. An alternate age of 398 ± 4 Ma is provided by U-Pb analyses of apatite. Endowment includes total mineral resources at 31 December 2019 only (Grange Resources Limited, 2020) and does not include prior production (the global resource cited by Seymour et al. (2006) is smaller that this resource figure). The resources are reported as Davis Tube Recovery (45.5%), which were converted to Fe concentrations using the composition of the Davis Tube concentrate (68.3% Fe).</t>
  </si>
  <si>
    <t>Savannah (formerly Sally Malay; includes Savannah and Savannah North)</t>
  </si>
  <si>
    <t>CA-ID-TIMS</t>
  </si>
  <si>
    <t>Savannah Intrusion</t>
  </si>
  <si>
    <t>Layered mafic-ultramafic intrusion: interlayered cumulate peridotite, troctolite and olivine gabbronorite transitioning upwards to norite. Host to Savannah lens is basal peridotite layer.</t>
  </si>
  <si>
    <t>Savannah North Intrusion</t>
  </si>
  <si>
    <t>Interlayered peridotite and olivine gabbro. Base of intrusion is host to upper lens of Savannah North deposit.</t>
  </si>
  <si>
    <t>Tickalarra Metamorphics</t>
  </si>
  <si>
    <t>Interbedded mafic metavolcanic and metasedimentary rocks. The Tickalarra Metamorphics are host to the lower lens of the Savannah North deposit.</t>
  </si>
  <si>
    <t>Layered mafic-ultramafic intrusion: interlayered cumulate peridotite, troctolite and olivine gabbronorite transitioning upwards to norite</t>
  </si>
  <si>
    <t>Interlayered peridotite and olivine gabbro</t>
  </si>
  <si>
    <t>Page and Hoatson (2000); Hicks et al. (2017); Mole et al. (2018); Le Vaillant et al. (2019)</t>
  </si>
  <si>
    <t>Page and Hoatson (2000); Mole et al. (2018); Le Vaillant et al. (2019)</t>
  </si>
  <si>
    <t>Panoramic Resources Limited (2020); https://panoramicresources.com/savannah-project/ (accessed May 2024)</t>
  </si>
  <si>
    <t>Le Vaillant et al. (2019) report a CA-ID-TIMS age (ca 1834 Ma - cited age) for the host Savannah North intrusion that is younger than and outside analytical uncertainties of previous SHRIMP ages of ca 1846 to ca 1839 Ma reported by Page and Hoatson (2000) and Mole et al. (2018). Endowment includes production prior to suspension of mining in April 2020 of 180 Kt Ni, 60 kt Cu and 5 kt Co (https://panoramicresources.com/savannah-project/; accessed May 2024), and mineral resources prior to recommencement of mining in 2021 of 13.454 Mt grading 0.70% Cu, 1.56% Ni and 0.10% Co (Panoramic Resources Limited, 2020).</t>
  </si>
  <si>
    <t>Scotia</t>
  </si>
  <si>
    <t>McCambridge (2008)</t>
  </si>
  <si>
    <t>McClenaghan et al. (1982); McCambridge (2008)</t>
  </si>
  <si>
    <t>McCambridge (2008); Shanghai Metals Market (2010)</t>
  </si>
  <si>
    <t>Cassiterite in these alluvial sediments derives from granites to the south. Uplift during the Cenozoic led to erosion and deposition of these sediments, which were overflowed by later basaltic lavas. An initial planned production of 1300 t/y Sn concentrate did not eventuate; tin grades were lower than expected, as were the grades of sapphire by-product.</t>
  </si>
  <si>
    <t>Screechowl</t>
  </si>
  <si>
    <t xml:space="preserve">Cited age is that of a rhyolitic rock hosted within the Skillogalee Dolomite (Reid et al., 2009). Endowment includes mineral resources only. </t>
  </si>
  <si>
    <t>Scuddles (includes Batavia, Central, Cervantes, Deeps, Main and Zeewijk)</t>
  </si>
  <si>
    <t>chl-qtz-sul-car±tc±mt±ser → qtz-chl-ser-sul±rut</t>
  </si>
  <si>
    <t>Browning et al. (1987); Ashley et al. (1988); Whitford and Ashley (1992); Wang et al. (1998); Sharpe and Gemmell (2002); Gawlinski (2004); McConachy et al. (2004); Thorpe (2008); Hollis et al. (2015, 2017a); Gellie et al. (2017)</t>
  </si>
  <si>
    <t>Hollis et al. (2015); 29 Metals Limited (2024)</t>
  </si>
  <si>
    <t>Endowment is incomplete and does not include production prior to 2021. It includes mineral resources at 31 December 2023. Endowment includes the pre-mining resources of Scuddles lens (10.5 Mt grading 1.2% Cu, 11.7% Zn, 0.8% Pb, 89 g/t Ag and 1.1 g/t Au: Hollis et al., 2015) has been partially depleted, and the current (as at 31 December 2023) resources for the Cervantes lens (5.1 Mt grading 1.7% Cu, 5.0% Zn, 0.3% Pb, 34 g/t Ag and 0.7 g/t Au). The remnant resource for the Scuddles lens is 7.7 Mt grading 1.7% Cu, 3.9% Zn, 0.3% Pb, 33 g/t Ag and 0.6 g/t Au (29 Metals Limited, 2024).</t>
  </si>
  <si>
    <t>Sea Lake</t>
  </si>
  <si>
    <t>Cited location is that of the Dunkirk deposit. Cited age is based on Late Miocene-Early Pliocene (7.2-5.0 Ma) age of host Loxton Sand as reported by Keeling et al. (2016). Endowment includes mineral resources only as reported by Iluka Resources Limited (2017).</t>
  </si>
  <si>
    <t>Shepherd &amp; Murphy</t>
  </si>
  <si>
    <t>Only minor alteration indicated</t>
  </si>
  <si>
    <t>Jennings et al. (1979); Green et al. (2014)</t>
  </si>
  <si>
    <t>Cited age is by analogy with the Dolcoath occurrence (Huston et al., 2022). Endowment includes estimated pre-mining mineral resources for Sn and WO3 (Green et al., 2014) and historic Bi production of ~69 t (Jennings et al., 1979).</t>
  </si>
  <si>
    <t>Sherrin Creek</t>
  </si>
  <si>
    <t>Sherwin Iron Formation</t>
  </si>
  <si>
    <t>Cited age is constrained by the age of a tuff in the Mainoru Formation (1492 ± 4 Ma - SHRIMP zircon U-Pb) which is towards the base of the Roper Group and the age of the Derim Derim Dolerite (1324 ± 4 Ma - SHRIMP baddeleyite U-Pb), which intrudes the Roper Group.</t>
  </si>
  <si>
    <t>Siberia North</t>
  </si>
  <si>
    <t>Wells and Chia (2011); Ardea Resources Limited (2023a,b); www.https://asud.ga.gov.au/search-stratigraphic-units/results/24071</t>
  </si>
  <si>
    <t>Siberia South</t>
  </si>
  <si>
    <t>Wells and Chia (2011); Ardea Resource Limited (2023a); www.https://asud.ga.gov.au/search-stratigraphic-units/results/24071</t>
  </si>
  <si>
    <t>Location is approximate and taken from Figure 1 of Wells and Chia (2011). Cited precursor age uncertainty encompasses the entire range. Cited age of mineralisation is based on the inferred Eocene age of ore-related lateritisation (Ardea Resources, 2023b). Anand and Paine (2002) indicate subtropical to tropical, climate in the region prevailed between 65 Ma and 15 Ma. The cited age is the midpoint of the Eocene Epoch, with the error including the entire epoch.</t>
  </si>
  <si>
    <t>Siegals</t>
  </si>
  <si>
    <t>Mount Halfway Volcanics, Mount Hope Group</t>
  </si>
  <si>
    <t>Rhyolite to dacitic lavas, ignimbrites, igniturbidites, tuffs, agglomerate interbedded with arenite, siltstone.</t>
  </si>
  <si>
    <t>Suppel and Gilligan (1993); J. Fitzherbert and P. Downes (unpublished data)</t>
  </si>
  <si>
    <t>J. Fitzherbert and P. Downes (unpublished data)</t>
  </si>
  <si>
    <t>Siffleete's Reward</t>
  </si>
  <si>
    <t>Immediate host to pegmatite is amphibolite</t>
  </si>
  <si>
    <t>Siffleete's Reward pegmatite</t>
  </si>
  <si>
    <t>Production includes 4 t of tin concentrate, which has been converted to tin metal assuming the concentrate mineral is cassiterite.</t>
  </si>
  <si>
    <t>Sill 80</t>
  </si>
  <si>
    <t>Anorthosite titanium</t>
  </si>
  <si>
    <t>Baddeleyite</t>
  </si>
  <si>
    <t>Derim Derim Dolerite</t>
  </si>
  <si>
    <t>Fine to coarse grained dolerite and gabbro sills.</t>
  </si>
  <si>
    <t>Ahmad et al. (2013c); Edgoose and Ahmad (2013); Bodorkos et al. (2021)</t>
  </si>
  <si>
    <t>Bodorkos et al. (2021)</t>
  </si>
  <si>
    <t>Endowment includes mineral resources of 4.5 Mt ilmenite (converted to Ti metal).</t>
  </si>
  <si>
    <t>Silver King</t>
  </si>
  <si>
    <t>Lawn Hill Formation</t>
  </si>
  <si>
    <t>Polito et al. (2006); New Century Resources (2019)</t>
  </si>
  <si>
    <t>Polito et al. (2006); Sun et al. (1996)</t>
  </si>
  <si>
    <t>New Century Resources (2019)</t>
  </si>
  <si>
    <t>Cite age is a model age using Sun et al. (1996) North Australia lead evolution model. Endowment includes mineral resources only.</t>
  </si>
  <si>
    <t>Silver Reward</t>
  </si>
  <si>
    <t>Rocky Cape</t>
  </si>
  <si>
    <t>Balfour Subgroup</t>
  </si>
  <si>
    <t>Trough cross-bedded and gutter-cast quartz sandstone interbedded with siliceous and carbonaceous siltstone, fining up to predominantly laminated chloritic siltstone, lesser micaceous sandstone, and rare quartzite.</t>
  </si>
  <si>
    <t>S-type biotite monzogranite - equigranular, medium to coarse-grained.</t>
  </si>
  <si>
    <t>Armistead et al. (2024)</t>
  </si>
  <si>
    <t>Huston et al. (2019); Armistead et al. (2024)</t>
  </si>
  <si>
    <t>Deposit type tentatively assigned as shale-hosted copper, but is very uncertain. Unusually old age (for Tasmania) initially indicated by Stacey and Kramer (1975) model age of ca 1298 Ma (Huston et al., 2019).</t>
  </si>
  <si>
    <t>Silver Spur</t>
  </si>
  <si>
    <t>Pb-Cu-Au</t>
  </si>
  <si>
    <t>Porphyritic diorite dyke</t>
  </si>
  <si>
    <t>Cited age is by analogy with the Twin Hills deposit. Endowment includes historic production (100 kt ore for 68 t Ag, 140 kg Au, 990 t Cu, 1050 t Pb and 690 t Zn; Halloran et al., 2017) and mineral resources of 0.66 Mt grading 2.03% Zn, 0.69% Pb, 0.09% Cu, 54 g/t Ag and 0.06 g/t Au (Thomson Resources Limited, 2022)..</t>
  </si>
  <si>
    <t>Siviour</t>
  </si>
  <si>
    <t>Graphitic biotite-quartz-feldspar schist</t>
  </si>
  <si>
    <t>Sixty Sixer</t>
  </si>
  <si>
    <t>Cited location is the approximate centre of the mineral resource. Cited age is by correlation with the Butcherbird deposit (Collier Basin). This is preferred over correlation with Woodie Woodie as mineralisation at Sixty Sixer is stratiform.</t>
  </si>
  <si>
    <t>Skal</t>
  </si>
  <si>
    <t>ab-rie-cal-chl-qtz (early) → brn-ksp-bt-ilm-rut (late, mineralised)</t>
  </si>
  <si>
    <t>Skull Springs</t>
  </si>
  <si>
    <t>Location approximate. Cited age is by correlation with the Butcherbird deposit (Collier Basin). This is preferred over correlation with Woodie Woodie as mineralisation at Skull Springs is stratiform.</t>
  </si>
  <si>
    <t>Skylark Metasediments</t>
  </si>
  <si>
    <t>Metasediments: psammitic, pelitic, quartzofeldspathic, magnetite-enriched. Amphibolite to granulite facies metamorphism.</t>
  </si>
  <si>
    <t>Jagodzinski et al. (2007)</t>
  </si>
  <si>
    <t>Cited age is strictly a maximum depositional age of the host Skylark Metasediments, but the zircon population is unimodal, suggesting the possibility of a (pene)contemporaneous magmatic/volcanic source (Jagodzinski et al., 2007), and that the age is a depositional age.</t>
  </si>
  <si>
    <t>Snaefell</t>
  </si>
  <si>
    <t>Cairns Hill</t>
  </si>
  <si>
    <t>Magnetite-K-feldspar-quartz-plagioclase gneiss with two interbedded marble units. The gneiss also contains annite, and minor apatite and scapolite.</t>
  </si>
  <si>
    <t>Jagodzinski et al. (2007); McIlwaine et al. (2013)</t>
  </si>
  <si>
    <t>McIlwaine et al. (2013)</t>
  </si>
  <si>
    <t>Cited age is strictly a maximum depositional age of the host Skylark Metasediments, but the zircon population is unimodal, suggesting the possibility of a (pene)contemporaneous magmatic/volcanic source (Jagodzinski et al., 2007), and that the age is a depositional age. Endowment includes mineral resources only.</t>
  </si>
  <si>
    <t>Sofala-Wattle Flat (including Spring Gully)</t>
  </si>
  <si>
    <t>Sofala</t>
  </si>
  <si>
    <t>Sofala Volcanics</t>
  </si>
  <si>
    <t>Mafic volcanic sandstone, basalt to andesite flows and sills, mudstone, radiolarian chert, basaltic conglomerate.</t>
  </si>
  <si>
    <t>Devonian intrusive rocks</t>
  </si>
  <si>
    <t>Mafic volcanic sandstone, basalt to andesite flows and sills, basaltic conglomerate.</t>
  </si>
  <si>
    <t>Downes (2003); MinRex Resources Limited (2022)</t>
  </si>
  <si>
    <t>Cited age is based on correlation with the main gold event at Hill End. Endowment includes undifferentiated production and resources (Downes, 2003). Current resources include 0.808 Mt at 1.09 g/t Au (Surface Hill) and 9.48 Mt at 1.06 g/t Au (Spring Gully: MinRex Resources Limited, 2022) for a total of 10.9 t Au.</t>
  </si>
  <si>
    <t>Ochreous, oolitic ironstone</t>
  </si>
  <si>
    <t>Cited age is based on correlation with the Robe River district (Ramanaidou et al, 2017). Hematite is present in upper part of the deposit. Endowment includes only total mineral resources.</t>
  </si>
  <si>
    <t>Sons of Gwalia</t>
  </si>
  <si>
    <t>High-Mg tholeiite</t>
  </si>
  <si>
    <t>Komatiitic basalt</t>
  </si>
  <si>
    <t>mus-car, bt-cal, qtz-mus-car (proximal) → mus-chl-car, bt-chl-cal (distal)</t>
  </si>
  <si>
    <t>Jones and Witt (2017); St Barbara Limited (2017, 2018, 2019, 2020, 2021, 2022, 2023); Genesis Minerals Limited (2024)</t>
  </si>
  <si>
    <t>The monazite age data (Baggott, 2006) is inconsistent with the age interpreted from structural relationships. The timing of mineralisation is interpreted to pre-date an extensional event with and age of 2670-2660 Ma (Jones and Witt, 2017). Baggott (2006) dated monazite in altered Mine Schist; Jones and Witt (2017) interpreted this age as a reset age. The absolute and relative age of the Sons of Gwalia deposit is controversial. Endowment includes production to and mineral resources at 30 June 2023 (Jones and Witt, 2017; St Barbara, 2023).</t>
  </si>
  <si>
    <t>Sopresa</t>
  </si>
  <si>
    <t>As-F</t>
  </si>
  <si>
    <t>Thin (10-20-m-thick), silicified, carbonaceous shale overlying a barren grey chert</t>
  </si>
  <si>
    <t>Rimfire Pacific Mining NL (2019)</t>
  </si>
  <si>
    <t>Rimfire Pacific Mining NL (2014, 2019)</t>
  </si>
  <si>
    <t>Cited location is that of the Join-Up prospect, in the approximate centre of the Sopresa mineralised zone. Endowment includes mineral resources only. The mineral resources include a higher grade zone of 0.92 Mt at 28.4 g/t Ag and 2.27 g/t Au.</t>
  </si>
  <si>
    <t>Vaasjoki and Gulson (1986); Jorgensen et al. (1990); Pacifico Mineral Limited (2019); Boab Metals Limited (2021)</t>
  </si>
  <si>
    <t>Boab Metals Limited (2021)</t>
  </si>
  <si>
    <t>Endowment includes mineral resources only (Boab Metals Limited, 2021).</t>
  </si>
  <si>
    <t>South Alligator Valley district (Including El Sherana, Koolpin Creek, Palette, Rockhole, Saddle Ridge, Scinto, Skull, and Sleisbeck, but excluding Coronation Hill)</t>
  </si>
  <si>
    <t>South Alligator River</t>
  </si>
  <si>
    <t>U-Au</t>
  </si>
  <si>
    <t xml:space="preserve">Interbedded ferruginous siltstone, dolostone and carbonaceous shale, including characteristic nodular chert bands and massive stromatolitic dolostone near the base. </t>
  </si>
  <si>
    <t>mus-chl±hm±kao±bt</t>
  </si>
  <si>
    <t>Valenta (1991); Lally and Bajwah (2006); Ahmad and Hollis (2013); Ahmad and Khan (2013)</t>
  </si>
  <si>
    <t>South Hercules</t>
  </si>
  <si>
    <t>https://www.mindat.org/loc-11806.html (accessed March 2024)</t>
  </si>
  <si>
    <t>Khin Zaw and Large (1992); Seymour et al. (2006); Mortensen et al. (2015)</t>
  </si>
  <si>
    <t>Southern Nights-Wagga Tank</t>
  </si>
  <si>
    <t>Wagga Tank</t>
  </si>
  <si>
    <t>Vivigani Formation (local name) - Mount Hope Group</t>
  </si>
  <si>
    <t>Volcaniclastic breccias and sandstone</t>
  </si>
  <si>
    <t>Wagga Tank Mudstone (local name) - Amphitheatre Group</t>
  </si>
  <si>
    <t>Shale with subordinate siltstone and calc-siltstone</t>
  </si>
  <si>
    <t>chl, qtz-ser±py, sid, cal rut, fl rhd</t>
  </si>
  <si>
    <t>Edgecombe and Soininen (2017); Peel Mining Limited (2019, 2020a, 2023); Fitzherbert and Downes (2020)</t>
  </si>
  <si>
    <t>The style and age of mineralisation are not well resolved. Edgecombe and Soininen (2017) interpret a volcanic-hosted massive sulfide origin of the mineralisation, but lead isotope model ages, based on the Carr et al. (1995) Lachlan model, range from 398 Ma to 379 Ma, with an average of 384 Ma (Fitzherbert and Downes, 2020). Endowment includes mineral resources only.</t>
  </si>
  <si>
    <t>Spargoville</t>
  </si>
  <si>
    <t>Mafic rocks</t>
  </si>
  <si>
    <t>Fetherston (2004); Kendall-Langley et al. (2020)</t>
  </si>
  <si>
    <t>Minor (5.3 t) of tantalite-columbite produced. No current mineral resources reported.</t>
  </si>
  <si>
    <t>Specimen Hill</t>
  </si>
  <si>
    <t>Rocky Cape Group</t>
  </si>
  <si>
    <t>Sandstone-siltstone shelf sequence. Quartz arenite-pelite association - predominantly shallow marine quartz siltstone, shale, cross-bedded quartz arenite and minor carbonate.</t>
  </si>
  <si>
    <t>Tonian-Cryogenian</t>
  </si>
  <si>
    <t>qtz-mus-sul</t>
  </si>
  <si>
    <t>https://www.mindat.org/loc-236390.html (accessed March 2024)</t>
  </si>
  <si>
    <t>Speewah (aka Windsor Fluorite Deposit)</t>
  </si>
  <si>
    <t>CaF2</t>
  </si>
  <si>
    <t>Speewah Group</t>
  </si>
  <si>
    <t>Lithic and feldspathic sandstone, quartz sandstone, chloritic and micaceous siltstone, shale; minor rhyolitic ashstone and tuff; metamorphosed.</t>
  </si>
  <si>
    <t>Orosirian-Statherian</t>
  </si>
  <si>
    <t>Yungul Carbonatite</t>
  </si>
  <si>
    <t>Massive, calcite carbonatite that host very coarse, pegmatitic veins and pods of calcite.. Calcite-apatite-anatase rock.</t>
  </si>
  <si>
    <t>uncertain</t>
  </si>
  <si>
    <t>Tivan (2024)</t>
  </si>
  <si>
    <t>Alvin et al. (2004); Ramsay et al. (2019); Tivan (2024)</t>
  </si>
  <si>
    <t>Alvin et al. (2004)</t>
  </si>
  <si>
    <t>These fluorite veins are thought not to be genetically related to the neighbouring vanadiferous magnetite gabbros; instead they have been linked to the Yungul carbonatite (or a related body at depth) and dated to 122 ± 24 Ma.</t>
  </si>
  <si>
    <t>Speewah (incl. Buckman, Central and Red Hill)</t>
  </si>
  <si>
    <t>Ti-V</t>
  </si>
  <si>
    <t>Hart Dolerite</t>
  </si>
  <si>
    <t>Gabbro, dolerite, diorite, granophyre; pyroxene granophyre differentiate overlies the dolerite and gabbro in some of the thicker sills.</t>
  </si>
  <si>
    <t>Tivan (2023)</t>
  </si>
  <si>
    <t>Ramsay et al. (2019); Tivan (2023)</t>
  </si>
  <si>
    <t>Ramsay et al. (2019)</t>
  </si>
  <si>
    <t>A ~500 m thick gabbroic to doleritic sill hosting vanadiferous magnetite. The vanadium grade increases with depth in the intrusion. The gabbros locally contain sulfide-poor, Stella-type platinum-group element enrichment.</t>
  </si>
  <si>
    <t>Spinifex Ridge</t>
  </si>
  <si>
    <t>Coppin Gap</t>
  </si>
  <si>
    <t>Apex basalt</t>
  </si>
  <si>
    <t>Basalt and high-Mg basalt</t>
  </si>
  <si>
    <t>Panorama Formation</t>
  </si>
  <si>
    <t>Altered, quartz- or feldspar-dominated porphyry, rhyolite, dacite and rhyodacite</t>
  </si>
  <si>
    <t>Sandstone, spinifex-textured komatiite and high-Mg basalt</t>
  </si>
  <si>
    <t>Mineralised porphyritic dacite</t>
  </si>
  <si>
    <t>Coppins Gap Granodiorite</t>
  </si>
  <si>
    <t>ksp-bt (early, proximal) → ser-po±py (late, distal)</t>
  </si>
  <si>
    <t>Cummins and Cairns (2017)</t>
  </si>
  <si>
    <t>Thorpe in Williams (1999); Williams and Collins (1990); Barley et al. (2008); Cummins and Cairns (2017)</t>
  </si>
  <si>
    <t>Thorpe in Williams (1999); Barley et al. (2008)</t>
  </si>
  <si>
    <t>Cited age (Barley et al., 2008) is slightly younger than a TIMS U-Pb titanite age of 3319.0 ± 1.0 Ma for the associated granodiorite (Thorpe in Williams, 1999). The cited age is also supported by a second, similar molybdenite Re-Os age of 3284 ± 11 Ma (Barley et al., 2008). Endowment includes mineral resources only (Cummins and Cairns, 2017).</t>
  </si>
  <si>
    <t>Split Rocks (Rio Pegmatite)</t>
  </si>
  <si>
    <t>Ta-Sn-Nb</t>
  </si>
  <si>
    <t>Be-Hf</t>
  </si>
  <si>
    <t>Zenith Resources Ltd (2023)</t>
  </si>
  <si>
    <t>Spring Hill</t>
  </si>
  <si>
    <t>https://www.mindat.org/feature-8236294.html (accessed May 2024)</t>
  </si>
  <si>
    <t>Cited age is by analogy with other Pine Creek orogenic gold deposits (e.g., Cleo, Goodall, Howley and Mount Todd). Endowment includes production of 0.013 Mt at 47.7 g/t Au and current mineral resources of 6.9 Mt at 1.74 g/t (https://resourcingtheterritory.nt.gov.au/minerals/mineral-commodities/gold#:~:text=The%20Northern%20Territory%20has%20a,Tennant%20Creek%20and%20the%20Tanami.).</t>
  </si>
  <si>
    <t>Spring Hill district (includes Jacks Tank South and Jacks Tank North)</t>
  </si>
  <si>
    <t>Bemax Resources Limited (2008); Standing et al. (2017)</t>
  </si>
  <si>
    <t>Bemax Resources Limited (2008); Mason et al. (1998); Keeling et al. (2016); Standing et al. (2017)</t>
  </si>
  <si>
    <t>Cited location is that of the combined Jack Tank (Spring Hill) deposit. Cited age is based on Late Miocene-Early Pliocene (7.2-5.0 Ma) age of host Loxton Sand as reported by Keeling et al. (2016). Endowment includes mineral resources only as reported by Bemax Resources Limited (2008).</t>
  </si>
  <si>
    <t>Stanton</t>
  </si>
  <si>
    <t>Running Creek</t>
  </si>
  <si>
    <t xml:space="preserve"> chl-ksp-pyb-cel-py-hm-sid</t>
  </si>
  <si>
    <t>Northern Cobalt (2018)</t>
  </si>
  <si>
    <t>Endowment includes resources only.</t>
  </si>
  <si>
    <t>Starra (including Starra 222, Starra 244, Starra 251, Starra 257 and Starra 276)</t>
  </si>
  <si>
    <t>Quartz-magnetite iron formation and associated magnetite-chlorite/biotite-bearing schist</t>
  </si>
  <si>
    <t>Gin Creek Granite</t>
  </si>
  <si>
    <t>Foliated and non-foliated biotite granite, tourmaline-muscovite granite; minor pegmatite, aplite; schistose and gneissic inclusions common.</t>
  </si>
  <si>
    <t>Metadoleritic-amphibolitic sills</t>
  </si>
  <si>
    <t>ab-qtz-act-scp-tit</t>
  </si>
  <si>
    <t>ab-qtz-act-scp-tit (early) → mt-hm-bt-qtz-py → qtz-anh-cal-hm-py-chl-mus (late, ore-stage)</t>
  </si>
  <si>
    <t>Davidson et al. (1989); Rotherham (1997); Rotherham et al. (1998); Duncan et al. (2011, 2014); McGeough and Faulkner (2017); Valenta and Hinman (2018); Hohl et al. (2024).</t>
  </si>
  <si>
    <t>Endowment includes production of 11.4 Mt grading 2.1% Cu and 3.2 g/t Au, and resources of 6.11 Mt grading 1.14% Cu and 0.48 g/t Au (Starra 276) and 6.96 Mt grading 0.86% Cu and 1.19 g/t Au (Starra 222). The Starra line exhibit a change in dominant Fe-oxide from hematite-dominated in the south (Starra 222) to magnetite-dominated in the north (Starra 276) (Hohl et al. 2024).</t>
  </si>
  <si>
    <t>Station Creek</t>
  </si>
  <si>
    <r>
      <t>Endowment includes mineral resources of 46 Mm</t>
    </r>
    <r>
      <rPr>
        <vertAlign val="superscript"/>
        <sz val="9"/>
        <rFont val="Times New Roman"/>
        <family val="1"/>
      </rPr>
      <t>3</t>
    </r>
    <r>
      <rPr>
        <sz val="9"/>
        <rFont val="Times New Roman"/>
        <family val="1"/>
      </rPr>
      <t xml:space="preserve"> grading 180g/m</t>
    </r>
    <r>
      <rPr>
        <vertAlign val="superscript"/>
        <sz val="9"/>
        <rFont val="Times New Roman"/>
        <family val="1"/>
      </rPr>
      <t>3</t>
    </r>
    <r>
      <rPr>
        <sz val="9"/>
        <rFont val="Times New Roman"/>
        <family val="1"/>
      </rPr>
      <t xml:space="preserve"> Sn only (Chang et al., 2017).</t>
    </r>
  </si>
  <si>
    <t>Stawell goldfield (includes Magdala, Golden Gift, East Magdala and Wonga)</t>
  </si>
  <si>
    <t>Moornambool Metamorphic Complex - Albion Formation</t>
  </si>
  <si>
    <t>Locally sulfidic, black mudstone with interbedded sandstone and siliceous siltstone</t>
  </si>
  <si>
    <t>Moornambool Metamorphic Complex - Leviathon Formation</t>
  </si>
  <si>
    <t>Fine- to medium-grained quartz-rich sandstone and minor mudstone</t>
  </si>
  <si>
    <t>Moornambool Metamorphic Complex - Magdala Basalt</t>
  </si>
  <si>
    <t>Sheet-like massive and pillowed basalt flows</t>
  </si>
  <si>
    <t>Feldspar quartz-phyric felsic dykes</t>
  </si>
  <si>
    <r>
      <t>Fe enrichment (early: syn-D</t>
    </r>
    <r>
      <rPr>
        <vertAlign val="subscript"/>
        <sz val="9"/>
        <rFont val="Times New Roman"/>
        <family val="1"/>
      </rPr>
      <t>1</t>
    </r>
    <r>
      <rPr>
        <sz val="9"/>
        <rFont val="Times New Roman"/>
        <family val="1"/>
      </rPr>
      <t>) → chl-car-py (D</t>
    </r>
    <r>
      <rPr>
        <vertAlign val="subscript"/>
        <sz val="9"/>
        <rFont val="Times New Roman"/>
        <family val="1"/>
      </rPr>
      <t>2</t>
    </r>
    <r>
      <rPr>
        <sz val="9"/>
        <rFont val="Times New Roman"/>
        <family val="1"/>
      </rPr>
      <t>; metamorphic) → mus-sid-ank-po (D</t>
    </r>
    <r>
      <rPr>
        <vertAlign val="subscript"/>
        <sz val="9"/>
        <rFont val="Times New Roman"/>
        <family val="1"/>
      </rPr>
      <t>2</t>
    </r>
    <r>
      <rPr>
        <sz val="9"/>
        <rFont val="Times New Roman"/>
        <family val="1"/>
      </rPr>
      <t xml:space="preserve"> to early D</t>
    </r>
    <r>
      <rPr>
        <vertAlign val="subscript"/>
        <sz val="9"/>
        <rFont val="Times New Roman"/>
        <family val="1"/>
      </rPr>
      <t>4</t>
    </r>
    <r>
      <rPr>
        <sz val="9"/>
        <rFont val="Times New Roman"/>
        <family val="1"/>
      </rPr>
      <t>) → stp-sid-po-asp-py (syn-late D</t>
    </r>
    <r>
      <rPr>
        <vertAlign val="subscript"/>
        <sz val="9"/>
        <rFont val="Times New Roman"/>
        <family val="1"/>
      </rPr>
      <t>4</t>
    </r>
    <r>
      <rPr>
        <sz val="9"/>
        <rFont val="Times New Roman"/>
        <family val="1"/>
      </rPr>
      <t>; main ore-stage) → sil-min-mt (post-late D</t>
    </r>
    <r>
      <rPr>
        <vertAlign val="subscript"/>
        <sz val="9"/>
        <rFont val="Times New Roman"/>
        <family val="1"/>
      </rPr>
      <t>4</t>
    </r>
    <r>
      <rPr>
        <sz val="9"/>
        <rFont val="Times New Roman"/>
        <family val="1"/>
      </rPr>
      <t xml:space="preserve"> but pre-D</t>
    </r>
    <r>
      <rPr>
        <vertAlign val="subscript"/>
        <sz val="9"/>
        <rFont val="Times New Roman"/>
        <family val="1"/>
      </rPr>
      <t>5</t>
    </r>
    <r>
      <rPr>
        <sz val="9"/>
        <rFont val="Times New Roman"/>
        <family val="1"/>
      </rPr>
      <t>) → chl-mus-cal-asp-py (late: syn-D</t>
    </r>
    <r>
      <rPr>
        <vertAlign val="subscript"/>
        <sz val="9"/>
        <rFont val="Times New Roman"/>
        <family val="1"/>
      </rPr>
      <t>5</t>
    </r>
    <r>
      <rPr>
        <sz val="9"/>
        <rFont val="Times New Roman"/>
        <family val="1"/>
      </rPr>
      <t>; secondary ore-stage)</t>
    </r>
  </si>
  <si>
    <t>Winterbottom and Holland (2017)</t>
  </si>
  <si>
    <t>Arne et al. (1998); Foster et al. (1998); Fredericksen and Gane (1998); Miller et al. (2005); Phillips et al. (2003, 2012a); Porter (2017g); Winterbottom and Holland (2017)</t>
  </si>
  <si>
    <t>Arne et al. (1998); Foster et al. (1998); Phillips et al. (2012a)</t>
  </si>
  <si>
    <t>Cited age is of the Magdala deposit. However, due to discordance associated with the Ar-Ar spectra of this sample and a similar sample (yielded age of 443 ± 7 Ma), Phillips et al. (2012a) indicate more data are required. They also note that the younger age ascribed to the nearby Wonga deposit (c.f., Arne et al., 1998) is not reliable. Part of the Wonga mineralisation is texturally late and has been interpreted to be associated with the ~400 Ma Stawell Granite (i.e. intrusion-related gold), but the evidence is not clear-cut. Porter (2017g) inferred three periods of gold introduction: a major event at ~445 Ma (syn-late D4), a second, subsidiary, event at 426-420 Ma associated with D5, and a third, subsidiary event possibly associated with or just prior to the emplacement of the Stawell Granite at ~400 Ma. There are no geochronological data supporting the 426-420 Ma event (cf. Phillips et al., 2012a). Endowment includes alluvial and hard rock production of 2.7 Moz from 1853 to 1927, hard rock production of 2.2 Mt from 1981 to December 2015, measured and indicated resources of 3.705 Mt grading 2.07g/t Au (at December 2015), and inferred resources of 1.127Mt at 2.89 g/t Au (at December 2015) (Winterbottom and Holland, 2017).</t>
  </si>
  <si>
    <t>Stormont</t>
  </si>
  <si>
    <t>gt-px-ves (prograde) → act-mt-cal-qtz-ep-fl-chl (retrograde) → sul (late)</t>
  </si>
  <si>
    <t>Cockerton and Tomkins (2012); Green et al. (2014); Huston et al. (2022)</t>
  </si>
  <si>
    <t>Cockerton and Tomkins (2012)</t>
  </si>
  <si>
    <t>Cited age is by analogy with the Dolcoath molybdenite occurrence (Huston et al., 2021). Endowment includes pre-mining mineral resources (Cockerton and Tomkins, 2012).</t>
  </si>
  <si>
    <t>Strelley (Tantalite Lode)</t>
  </si>
  <si>
    <t>Tabba Tabba</t>
  </si>
  <si>
    <t>Ixiolite</t>
  </si>
  <si>
    <t>Amphibolite, quartzite, banded iron formation, metasedimentary rocks</t>
  </si>
  <si>
    <t>Strelley Pegmatite</t>
  </si>
  <si>
    <t>Irregular zoned pegmatite with quartz and albite pods that are overprinted by sugary albite stockwork and micaceous lenses. The pegmatite is hosted by a shear zone. Lepidolite is mani Li mineral.</t>
  </si>
  <si>
    <t>Kennedy (1998); Kinny (2000); Ferguson and Ruddock (2001); Sweetapple and Collins (2002); Kendall-Langley et al. (2020)</t>
  </si>
  <si>
    <t>Cited age (Kendall-Langley et al., 2020) is younger, but within error of 2836 ± 36 Ma tantalite U-Pb age (Kinny, 2000). Kennedy (1998) and Kinny (2000) also report a U-Pb isochron age of 2824 ± 120 Ma and an apatite U-Pb age of 2833 ± 36 Ma. Endowment also includes production of 4.35 t BeO. The age and unit of the host rock is contentious. Sweetapple and Collins (2002) interpret the host as part of the Mallina Basin, Kendall-Langley et al. (2020) interpret it as Warrawoona Group.</t>
  </si>
  <si>
    <t>Strelley greisen</t>
  </si>
  <si>
    <t>Strelley Granite</t>
  </si>
  <si>
    <t>Huston et al. (2022</t>
  </si>
  <si>
    <t>Cited age is of molybdenite intergrown with the greisen. It overlaps with the age of the host Strelley Monzogranite.</t>
  </si>
  <si>
    <t>Strickland</t>
  </si>
  <si>
    <t>Pedder River Siltstone</t>
  </si>
  <si>
    <t>Interbedded to finely interlaminated mid-dark grey siltstone and pale quartz siltstone-fine quartz sandstone, with common erosional structures, grading and cross lamination.</t>
  </si>
  <si>
    <t>Deposit type tentatively assigned as shale-hosted copper, but is very uncertain. Unusually old age (for Tasmania) initially indicated by Stacey and Kramer (1975) model age of ca 1279 Ma (Huston et al., 2019).</t>
  </si>
  <si>
    <t>Stuart Town</t>
  </si>
  <si>
    <t>Crudine Group</t>
  </si>
  <si>
    <t>Thin to thick bedded and massive, quartzose, feldspathic and crystal-lithic felsic volcaniclastic sandstones; dacitic to rhyolitic and andesitic lavas and volcaniclastics; slate, tuff, siltstone, conglomerate, phyllite, rare limestone.</t>
  </si>
  <si>
    <t>Feldspathic and crystal-lithic felsic volcaniclastic sandstones; dacitic to rhyolitic and andesitic lavas and volcaniclastics</t>
  </si>
  <si>
    <t>Succoth</t>
  </si>
  <si>
    <t>PGE-Au</t>
  </si>
  <si>
    <t>Succoth mineralised intrusion (local name)</t>
  </si>
  <si>
    <t>Gabbronorite, commonly with basal pyroxenite or pyroxenite-rich gabbronorite</t>
  </si>
  <si>
    <t>ep-chl</t>
  </si>
  <si>
    <t>Grguric et al. (2018)</t>
  </si>
  <si>
    <t>Sun et al. (1996b); Seat et al. (2011, 2017); Grguric et al. (2018)</t>
  </si>
  <si>
    <t>Sun et al. (1996b); Seat et al. (2017)</t>
  </si>
  <si>
    <t>Seat et al. (2017)</t>
  </si>
  <si>
    <t>Cited age is an unpublished age by C Gregory in Seat et al. (2017). Alteration is post mineralisation. Endowment includes total mineral resources only.</t>
  </si>
  <si>
    <t>Sulphur Springs</t>
  </si>
  <si>
    <t>Olistostrome megabreccia; banded iron-formation; layered chert; shale (ore host); andesite; andesitic volcanic sandstone; dacite and rhyodacite; felsic volcanic rocks; felsic volcanic breccia and volcaniclastic sandstone; rhyolite lava and pumice breccia.</t>
  </si>
  <si>
    <t>chl-qtz → ser-ank</t>
  </si>
  <si>
    <t>Vearncombe (1995); Brauhart et al. (1998); Morant (1998); Buick et al. (2002); Huston et al. (2002a; 2007c); Venturex Resources Limited (2020); Develop Global Limited (2023)</t>
  </si>
  <si>
    <t>Develop Global Limited (2023)</t>
  </si>
  <si>
    <t>Endowment includes total mineral resources at 01 May 2023 (Develop Global Limited, 2023).</t>
  </si>
  <si>
    <t>Sundance</t>
  </si>
  <si>
    <t>Coomalie Dolomite</t>
  </si>
  <si>
    <t>Stromatolitic, magnesite and marble, in places chloritic and tremolitic; commonly silicified or lateritised at the surface; metalutite, commonly graphitic.</t>
  </si>
  <si>
    <t>A. Wygralak (pers. comm., 2021)</t>
  </si>
  <si>
    <t>Endowment includes production only (A Wygralak, pers. comm., 2021). The deposit is effectively a brecciated hematite-silica gossan developed apparently after massive pyrite within a talc-magnesite alteration envelope. The deposit also contained significant Sn (to 930 ppm in primary ore and 4850 ppm in secondary ore). Mineralisation probably related to concentrations in palaeokarst cavities (A Wygralak, pers. comm., 2021).</t>
  </si>
  <si>
    <t>Sunny Corner</t>
  </si>
  <si>
    <t>Quartz-feldspar porphyry intrusive rock</t>
  </si>
  <si>
    <t>Seccombe et al. (1984); Downes (1998); Fergusson (2010); Argent Minerals Limited (2013)</t>
  </si>
  <si>
    <t>Fergusson (2010)</t>
  </si>
  <si>
    <t>Downes (1998); Argent Minerals Limited (2013)</t>
  </si>
  <si>
    <t>Cited age is the more precise of two overlapping ages for the Chesleigh Group (Fergusson, 2010). Endowment includes production of 0.25 Mt of ore to produce 1045 t Cu, 88.9 t Ag and 0.31 t Au (Downes, 1998) and mineral resources of 15 Mt at 0.39% Cu, 3.7% Zn, 2.1% Pb, 24 g/t Ag and 0.17 g/t Au (Argent Minerals, 2013).</t>
  </si>
  <si>
    <t>Sunrise Dam-Cleo</t>
  </si>
  <si>
    <t>Andesite and andesitic volcaniclastic rocks</t>
  </si>
  <si>
    <t>ser; ser-car-py±chl±qtz</t>
  </si>
  <si>
    <t>Brown et al. (2002); Salier et al. (2004); Nugus et al. (2017)</t>
  </si>
  <si>
    <t>Brown et al. (2002)</t>
  </si>
  <si>
    <t>Nugus et al. (2017); AngloGold Ashanti (2004-2023); AngloGold (1999-2003); Acacia Resources (1997-1999)</t>
  </si>
  <si>
    <t>Cited age (Brown et al., 2002) confirmed by monazite age from same deposit of 2654 ± 27 Ma. Endowment includes production and total mineral resources.</t>
  </si>
  <si>
    <t>SWAN</t>
  </si>
  <si>
    <t>Calc-silicate rocks after interbedded calcareous sandstone, lesser siltstone and marble</t>
  </si>
  <si>
    <t>SWAN diorite</t>
  </si>
  <si>
    <t>Trachyandesite</t>
  </si>
  <si>
    <t>mbd</t>
  </si>
  <si>
    <t>Present only in deeper parts of deposit.</t>
  </si>
  <si>
    <t>Duncan et al. (2011, 2014); McGeough and Faulkner (2017); Valenta and Hinman (2018); Burnham et al. (in press)</t>
  </si>
  <si>
    <t>Duncan et al. (2011, 2014), Burnham et al. (in press)</t>
  </si>
  <si>
    <t>The allanite age agrees with a Re-Os molybdenite age of 1515 ± 6 Ma (Duncan et al., 2011). Other molybdenite ages from that study, at 1358 ± 6 Ma and 1353 ± 5 Ma, are significantly younger. Endowment includes mineral resources only.</t>
  </si>
  <si>
    <t>Sweeney</t>
  </si>
  <si>
    <t>qtz-ser-py (early) → (po-asp-gud-qtz, sp-sta-qtz, bou-fl-sid-cas) (ore-stage) → chl-sid (late)</t>
  </si>
  <si>
    <t>Blissett (1962); Hajitaheri (1985); Black et al. (2005); Green et al. (2014); Veska (2015)</t>
  </si>
  <si>
    <t>Cited age is that of the red phase of the Heemskirk Granite (Black et al., 2005). Endowment includes mineral resources only (Green et al., 2014).</t>
  </si>
  <si>
    <t>Sweet Nell</t>
  </si>
  <si>
    <t>Mallindinna mafic</t>
  </si>
  <si>
    <t>Metagabbro. The pegmatites are restricted to the metagabbro and apparently do not extend into adjacent metasedimentary rocks</t>
  </si>
  <si>
    <t>Tabba Tabba pegmatite swarm</t>
  </si>
  <si>
    <t>Zoned LCT pegmatite, with a central quartz zone associated with replacive albitic unit. The inner zone extends outward to a megacrystic K-feldspar zone, a mica zone and an outer cleavelandite zone.</t>
  </si>
  <si>
    <t>Late mafic dyke</t>
  </si>
  <si>
    <t>Wildcat Resources Limited (2024)</t>
  </si>
  <si>
    <t>Kennedy (1998); Kinny (2000); Ferguson and Ruddock (2001); Sweetapple and Collins (2002); Wildcat Resources Limited (2024)</t>
  </si>
  <si>
    <t>Kennedy (1998); Kinny (2000)</t>
  </si>
  <si>
    <t>Ferguson and Ruddock (2001); Wildcat Resources (2023)</t>
  </si>
  <si>
    <t>Isochron age is 2974 ± 59 Ma; apatite age is 2848 ± 840 Ma. Historic production includes 15-20 t of Ta2O5, 131.92 t of tin concentrates (converted to tin metal assuming it is cassiterite) and 52.35 t (5.86 t BeO) of beryl concentrate (Ferguson and Ruddock, 2001). Mineral resources include 0.318 Mt at 950 ppm Ta2O5.</t>
  </si>
  <si>
    <t>Tallawang</t>
  </si>
  <si>
    <t>Tallawag Granite</t>
  </si>
  <si>
    <t>Fine- to medium-grained biotite granite, alkali granite, quartz monzonite, granophyre.</t>
  </si>
  <si>
    <t>mt-gt-hed (early anhydrous) → mt-has-hbd-all-ep-qtz-ap-py-sul-po (later hydrous)</t>
  </si>
  <si>
    <t>Weekes and Robertson (1993); Downes (1999); Seccombe et al. (2000)</t>
  </si>
  <si>
    <t>Endowment includes mineral resources in 1993, but not prior production.</t>
  </si>
  <si>
    <t>Tallebung</t>
  </si>
  <si>
    <t>Wagga Group (formerly Tallebung Group)</t>
  </si>
  <si>
    <t>Quartzose siltstone, sandstone, quartz-mica schist, pelite, chert, locally metamorphosed; minor quartzite, graphitic schist, hornfels, and black shales; turbidites.</t>
  </si>
  <si>
    <t>Ungarie Granite (formerly Derrida Granite)</t>
  </si>
  <si>
    <t>Medium-grained equigranular to sporadically porphyritic biotite granodiorite and granite with biotite-rich microgranular enclaves and metasedimentary xenoliths. Contains the Derrida Phase.</t>
  </si>
  <si>
    <t>Suppel and Giligan (1993); Downes et al. (2016)</t>
  </si>
  <si>
    <t>Downes et al. (2016)</t>
  </si>
  <si>
    <t>Suppel and Giligan (1993); Downes et al. (2016); Sky Metals Ltd (2024)</t>
  </si>
  <si>
    <r>
      <t>Endowment includes production from alluvial deposits (2134.18 kg Sn) and reef deposits (96.32 kg Sn and 11.79 kg WO</t>
    </r>
    <r>
      <rPr>
        <vertAlign val="subscript"/>
        <sz val="9"/>
        <color rgb="FF000000"/>
        <rFont val="Times New Roman"/>
        <family val="1"/>
      </rPr>
      <t>3</t>
    </r>
    <r>
      <rPr>
        <sz val="9"/>
        <color rgb="FF000000"/>
        <rFont val="Times New Roman"/>
        <family val="1"/>
      </rPr>
      <t>) only.</t>
    </r>
  </si>
  <si>
    <t>Tanami district (includes Carbine, Dogbolter, Gap, Hurricane, Jims Find, Legs, Redback (SE and SW), Repulse, Southern and 32 others)</t>
  </si>
  <si>
    <t>Mount Charles Formation - Redbank basalt complex (local name)</t>
  </si>
  <si>
    <t>Interbedded basalt, sandstone and siltstone</t>
  </si>
  <si>
    <t>Mount Charles Formation - Bouncer basalt (local name)</t>
  </si>
  <si>
    <t>Mount Charles Formation - Harleys sediment (local name)</t>
  </si>
  <si>
    <t>Sandstone and siltstone</t>
  </si>
  <si>
    <t>Mount Charles Formation - Footwall basalt complex (local name)</t>
  </si>
  <si>
    <t>chl-ank-sid±hm</t>
  </si>
  <si>
    <t>Ahmad et al. (2013b)</t>
  </si>
  <si>
    <t>Huston et al. (2007a); Tunks and Cooke (2007); Ahmad et al. (2009); Ahmad and Khan (2013); Ahmad et al. (2013b); Bagas et al. (2014); Wygralak et al. (2017)</t>
  </si>
  <si>
    <t>Ahmad and Khan (2013); Tanami Gold NL (2023)</t>
  </si>
  <si>
    <t>Location is taken that of then Carbine deposit, which is at the approximate centre of the district. Cited age is by analogy with the Callie deposit. Endowment includes production of 7.16 Mt at 2.02 g/t Au (Zapopan operations) and 4.298 Mt at 3.02 g/t Au (Otter/Acacia operations), and mineral resources at 30 June 2023 of 14.3 Mt at 2.8 g/t.</t>
  </si>
  <si>
    <t>Tantalite Hill (Londonderry)</t>
  </si>
  <si>
    <t>Londonderry</t>
  </si>
  <si>
    <t>Dittrich (2017); Kendall-Langley et al. (2020)</t>
  </si>
  <si>
    <t>Upper intercept concordia age of this sample was 2624 ± 4 Ma (Kendall-Langley et al., 2020). Dittrich (2017) determined LA-ICP-MS upper intercept ages for columbite-tantalite of 2676 ± 24 Ma, 2640 ± 9 Ma, 2627 ± 7 Ma, 2624 ± 7 Ma and 2633 ± 8 Ma, the latter three of which overlap the cited age. Minor production of 4.0 t tantalite-columbite (Fetherston, 2004).</t>
  </si>
  <si>
    <t>Tara</t>
  </si>
  <si>
    <t>Medium- to thin-bedded quartz sandstone</t>
  </si>
  <si>
    <t>mus±chl±car (gangue)</t>
  </si>
  <si>
    <t>Downes and Phillips (2006)</t>
  </si>
  <si>
    <r>
      <t xml:space="preserve">Cited age is the pooled age of all high temperature heating steps; using all heating steps yielded an age of 419.5 ± 1.1 Ma. All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data were concordant.</t>
    </r>
  </si>
  <si>
    <t>Taradale mining division (includes Taradale, Malmsbury, Lauriston and Drummond North goldfields)</t>
  </si>
  <si>
    <t>Taradale</t>
  </si>
  <si>
    <t>Metcalfe Granite</t>
  </si>
  <si>
    <t>Biotite granite: pale grey, medium to coarse grained; commonly strongly porphyritic in K-feldspar; numerous metasedimentary enclaves and leucocratic dykes; nonmagnetic</t>
  </si>
  <si>
    <t>Harcourt Granite</t>
  </si>
  <si>
    <t>Baynton Granodiorite</t>
  </si>
  <si>
    <t>Nonmagnetic, medium-grained, equigranular granodiorite with quartz, K-feldspar, biotite + hornblende; also porphyritic phase.</t>
  </si>
  <si>
    <t>Pyalong Granite</t>
  </si>
  <si>
    <t>Nonmagnetic, pale grey, coarse-grained, biotite granite; reduced S- type; commonly porphyritic in K-feldspar; occasional biotite microgranite enclaves and biotite clots.</t>
  </si>
  <si>
    <t>car-py</t>
  </si>
  <si>
    <t>Willman et al. (2002)</t>
  </si>
  <si>
    <t>Bierlein et al. (2001); Willman et al. (2002)</t>
  </si>
  <si>
    <t>Bierlein et al. (2001)</t>
  </si>
  <si>
    <r>
      <t xml:space="preserve">Cited location is the approximated centre of the Taradale, Malmsbury, Lauriston and Drummond North goldfields. Based on the overlap in ages of mineralisation and nearby granites, this district is interpreted as intrusion-related gold. It is possible that there exists some Benambran (~445 Ma) orogenic as in the nearby Castlemaine district, but there is no evidence for this. The Taradale mining division is located near two granitic batholiths comprising the Harcourt Granodiorite and Metcalfe Granite (Harcourt Suite) to the north and the Baynton Granodiorite and Pyalong Granite (Cobaw Suite) to the west. Of these, zircon U-Pb SHRIMP ages exist for the Harcourt Granodiorite (369 ± 2 Ma: Bierlein et al., 2001), which overlaps the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of mineralisation and for the Pyalong Granite (376 ± 2 Ma: Bierlein et al., 2001), which is slightly older than the age of mineralisation. Endowment includes production of 7175 kg hard rock gold, 1990 kg of placer gold and 16 kg of unspecified gold.</t>
    </r>
  </si>
  <si>
    <t>Tarcoola</t>
  </si>
  <si>
    <t>Paxton Granite</t>
  </si>
  <si>
    <t>Homogeneous coarse-grained hornblende-biotite-titanite monzogranite</t>
  </si>
  <si>
    <t>Tarcoola Formation</t>
  </si>
  <si>
    <t>Basal conglomerate (Peela Conglomerate Member), overlain by arkosic grit that grades upwards into a well-sorted quartzite with thin carbonate horizons (Fabian Quartzite Member); and a thick sequence of thinly bedded carbonaceous, pyritic, micaceous quartzites and siltstones (Sullivan Shale Member).</t>
  </si>
  <si>
    <t>Lady Jane Diorite</t>
  </si>
  <si>
    <t>Fine grained dykes comprising of pyroxene or hornblende with a groundmass of K-feldspar laths, fine pyroxene or hornblende, magnetite, apatite and quartz, minor plagioclase.</t>
  </si>
  <si>
    <t>ser±chl (proximal) → ser-chl-py±tm±cal (distal)</t>
  </si>
  <si>
    <t>Hein et al. (1994); Budd and Fraser (2004); Budd and Skirrow (2007); Mauger et al. (2007); WPG Resources (2016)</t>
  </si>
  <si>
    <t>Budd and Fraser (2004)</t>
  </si>
  <si>
    <t>WPG Resources (2016); https://www.energymining.sa.gov.au/industry/minerals-and-mining/mineral-commodities/gold#sa (accessed May 2024)</t>
  </si>
  <si>
    <t>Cited age is oldest of four sericite Ar-Ar ages between 1576 ± 5 and 1587 ± 5 Ma. Endowment includes historic (1901-1950) production of 63.7 kt grading 37.5 g/t and a mineral resource of 0.976 Mt grading 3.12 g/t reported prior to re-commencement of mining in 2016.</t>
  </si>
  <si>
    <t>Tarmoola/King of the Hills</t>
  </si>
  <si>
    <t>Tarmoola Trondhjemite</t>
  </si>
  <si>
    <t>Trondhjemite</t>
  </si>
  <si>
    <t>Quartz-diorite dyke</t>
  </si>
  <si>
    <t>qtz-car, qtz-mus-car (proximal) → mus-car (distal)</t>
  </si>
  <si>
    <t>Duuring et al. (2001, 2004); Jones and Witt (2017)</t>
  </si>
  <si>
    <t>Duuring et al. (2004)</t>
  </si>
  <si>
    <t>Red 5 Limited (2018; 2023)</t>
  </si>
  <si>
    <t>Age is based on correlation with the Sons of Gwalia deposit and is consistent with observations that the ores overprint the Tarmoola trondhjemite (2700 ± 11 Ma) and quartz diorite dykes (2667 ± 8 Ma) (Duuring et al., 2004). Endowment includes production between 1985-2004, 2011-2018 (red 5 Limited (2018) and 2023 to present, and include mineral resources and reserve as of 30 June 2023 (Red 5 Limited 2023).</t>
  </si>
  <si>
    <t>Tarnagulla goldfield (including Poverty Reef)</t>
  </si>
  <si>
    <t>Tarnagulla</t>
  </si>
  <si>
    <t>Tarnagully Granite</t>
  </si>
  <si>
    <t>ser-bt-car</t>
  </si>
  <si>
    <t>https://www.mindat.org/loc-204430.html (accessed March 2024)</t>
  </si>
  <si>
    <t>Phillips et al. (2003, 2012a)</t>
  </si>
  <si>
    <t>Phillips et al. (2012a)</t>
  </si>
  <si>
    <r>
      <t xml:space="preserve">The age of the Tarnagulla district is unclear.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from the district range from 423 ± 6 Ma to 395 ± 6 Ma, with the range ascribed to several different processes: (1) different generations of gold mineralisation, (2) contamination by older metamorphic or detrital mica, or (3) partial resetting associated with emplacement of the ~400 Ma Tarnagulla Granite (Phillips et al., 2012a). Endowment includes &gt;13 t of hard rock and "major" alluvial placer production (Phillips et al., 2003).</t>
    </r>
  </si>
  <si>
    <t>Taronga</t>
  </si>
  <si>
    <t>Bondonga beds</t>
  </si>
  <si>
    <t>Lithic, locally pebbly arenite, clast to matrix supported sandy to muddy conglomerate, locally pebbly mudstone; minor siltstone; rare limestone and basalt.</t>
  </si>
  <si>
    <t>[chl (proximal) → qtz-ser-chl±ep → ser-sil chl-sil → mus-kao-chl → tm (distal)] (early, associated with Sn stockworks) qtz-ser (phyllic; late, associated with W-Mo-Bi mineralisation)</t>
  </si>
  <si>
    <t>Henley et al. (2001); Prichard (2013); Aus Tin Mining Limited (2014)</t>
  </si>
  <si>
    <t>Prichard (2013)</t>
  </si>
  <si>
    <t>Aus Tin Mining Limited (2014)</t>
  </si>
  <si>
    <t>Endowment includes mineral resources only. Fe-S-O minerals are not reported in either the ore or alteration assemblages.</t>
  </si>
  <si>
    <t>Beaconsfield</t>
  </si>
  <si>
    <t>Eaglehawk Gully Formation (Denison Group)</t>
  </si>
  <si>
    <t>Calcareous quartz sandstone, siltstone and stylolitic limestone</t>
  </si>
  <si>
    <t>Salisbury Hill Formation (Denison Group)</t>
  </si>
  <si>
    <t>Conglomerate, conglomeratic sandstone and sandstone</t>
  </si>
  <si>
    <t>ank, py</t>
  </si>
  <si>
    <t>Hills (2017)</t>
  </si>
  <si>
    <t>Bierlein et al. (2005); Green et al. (2014); Hills (2017)</t>
  </si>
  <si>
    <r>
      <t xml:space="preserve">Cited age is a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plateau age from laser ablation analysis of alteration fuchsite with uncertainty reported at 2σ (Bierlein et al., 2005). Endowment includes the estimated pre-mining resource (Green et al., 2014).</t>
    </r>
  </si>
  <si>
    <t>Tate River</t>
  </si>
  <si>
    <r>
      <t>Endowment includes production of 1256 t Sn and mineral resources of 9.76 Mm</t>
    </r>
    <r>
      <rPr>
        <vertAlign val="superscript"/>
        <sz val="9"/>
        <rFont val="Times New Roman"/>
        <family val="1"/>
      </rPr>
      <t>3</t>
    </r>
    <r>
      <rPr>
        <sz val="9"/>
        <rFont val="Times New Roman"/>
        <family val="1"/>
      </rPr>
      <t xml:space="preserve"> at 587 g/m</t>
    </r>
    <r>
      <rPr>
        <vertAlign val="superscript"/>
        <sz val="9"/>
        <rFont val="Times New Roman"/>
        <family val="1"/>
      </rPr>
      <t>3</t>
    </r>
    <r>
      <rPr>
        <sz val="9"/>
        <rFont val="Times New Roman"/>
        <family val="1"/>
      </rPr>
      <t xml:space="preserve"> Sn (Chang et al., 2017).</t>
    </r>
  </si>
  <si>
    <t>Taurus</t>
  </si>
  <si>
    <t>Cited location is the approximate centre of the Taurus nickel laterite resource indicated on Figure 2 of Ardea Resources Limited (2021). Cited age of precursor is midpoint between the maximum and minimum ages of host as indicated by www.https://asud.ga.gov.au/search-stratigraphic-units/results/2934. Cited precursor age uncertainty encompasses the entire range, including errors associated with individual analyses. The age of lateritisation has not been assigned.</t>
  </si>
  <si>
    <t>TC8</t>
  </si>
  <si>
    <t>Hill (1990); Donnellan (2013a)</t>
  </si>
  <si>
    <t>Teena</t>
  </si>
  <si>
    <t>Taylor et al. (2017a)</t>
  </si>
  <si>
    <t>Cited age is by analogy with the nearby HYC (McArthur River) deposit. Endowment includes mineral resources only.</t>
  </si>
  <si>
    <t>Teetulpa goldfield (includes Brady's Gully, Goslin's Gully and Strawbridge Gully)</t>
  </si>
  <si>
    <t>Teetulpa goldfield</t>
  </si>
  <si>
    <t>Grey to black, dolomitic and pyritic siltstone, grading upwards to calcareous, thinly laminated, locally cross-bedded sandstone; dolomite, grey, flaggy to massive; limestone conglomerate, intraformational; greywacke.</t>
  </si>
  <si>
    <t>Cited age is by analogy with that of the Deloraine district. Endowment includes historic (1886-1889, 1909-1913 and 1934) production almost exclusively from alluvial deposits with only minor auriferous quartz-carbonate sulfide veins.</t>
  </si>
  <si>
    <t>Ag-As-Bi</t>
  </si>
  <si>
    <t>O'Callaghans Supersuite</t>
  </si>
  <si>
    <t>Magnetite-bearing granite</t>
  </si>
  <si>
    <t>ser-car-tm, sil</t>
  </si>
  <si>
    <t>Goellnicht et al. (1989); Maidment et al. (2010, 2017); Schindler et al. (2016); Porter (2017d)</t>
  </si>
  <si>
    <t>Maidment et al. (2010)</t>
  </si>
  <si>
    <t>Porter (2017d); Newcrest Mining Limited (2017, 2018, 2019, 2020b, 2021, 2022, 2023b)</t>
  </si>
  <si>
    <t>Cited age is supported by 652 ± 7 Ma (NW vein) and 628 ± 2 Ma (MVR reef) TIMS U-Pb ages of monazite and xenotime, respectively (Maidment et al., 2010). Endowment includes production of ~185 t Au in 1975-2000, 244 t Au and 0.435 Mt Cu in 2005-2016 (Porter, 2017d), and 81 t Au and 0.101 Mt Cu from January 2017 to June 2023 (Newcrest Mining Limited, 2017, 2018, 2019, 2020b, 2021, 2022, 2023b), and total mineral resources (excluding Havieron and satellite deposits) of 94 Mt at 1.2 g/t and 0.23% Cu (Newcrest Mining Limited, 2023).</t>
  </si>
  <si>
    <t>Tenth Legion</t>
  </si>
  <si>
    <t>Black et al. (2005); Green et al. (2014); Australian Hualong Pty Ltd (2019)</t>
  </si>
  <si>
    <t>Australian Hualong Pty Ltd (2019)</t>
  </si>
  <si>
    <t>Cited age is that of the red phase of the Heemskirk Granite (Black et al., 2005). Endowment includes mineral resources only (Australian Hualong Pty Ltd, 2019).</t>
  </si>
  <si>
    <t>Termination Hill</t>
  </si>
  <si>
    <t>chl-qtz-car-ser-ctd</t>
  </si>
  <si>
    <t>Grieg (1984); Nelson (1995); Browning et al. (1987); Barley (1992); Ferguson (1999); Huston et al. (2014); Parker et al. (2017b)</t>
  </si>
  <si>
    <t>Cited age is that of the footwall rhyolite to the Bentley deposit (Parker et al., 2017b), an age that is consistent with the 2692 ± 4 Ma SHRIMP U-Pb age reported by Nelson (1995). Endowment includes production from 1979 to 1984, and total mineral resources at 30 June 2016.</t>
  </si>
  <si>
    <t>Thalanga (including Orient, Thalanga, Thalanga East, Vomacka and West 45)</t>
  </si>
  <si>
    <t>Thalanga</t>
  </si>
  <si>
    <t>Andesitic/basaltic lava and volcaniclastic sediments; dacite lava; rhyolitic and dacitic lava and fragmental rocks; dacitic porphyry high level intrusives; fine to medium-grained sandstone; siltstone; shale; fossiliferous. Deposit is at the base of the unit, just above the Mount Windsor Volcanics (13235), and in association with dacite.</t>
  </si>
  <si>
    <t>Gulson and Vaasjoki (1987); Berry et al. (1992); Stolz (1995); Hill (1996); Paulick et al. (2001); Hutton et al. (1997); Beams et al. (2017)</t>
  </si>
  <si>
    <t>Hutton et al. (1997); Beams et al. (2017)</t>
  </si>
  <si>
    <t>Beams et al. (2017); Sunshine Metals (2023)</t>
  </si>
  <si>
    <t>Endowment includes pre-mining mineral resources. Volcanic units within the Trooper Creek are broadly syn-ore as they both overlie and underlie the ore position.</t>
  </si>
  <si>
    <t>The Dam</t>
  </si>
  <si>
    <t>Variably altered microtonalite, andesite, dacitic volcanic rocks and volcaniclastic rocks</t>
  </si>
  <si>
    <t>[hm-mtchl-ab-ser-ksp±bt (proximal) → mt-chl-ab-ser±act → ab-ser-chl → ser-chl-ep (distal)] (early) → [qtz-sil±ser-py±kao±alu±pyr±sul±bar] (late)</t>
  </si>
  <si>
    <t>The Granites district (includes Bullakitchie, Bunkers Hill, Shoe and Quorn)</t>
  </si>
  <si>
    <t>The Granites</t>
  </si>
  <si>
    <t>Dead Bullock Soak Formation</t>
  </si>
  <si>
    <t>Banded hornblende-cummingtonite schist interbedded with hornblende-almandine schist containing calc-silicate and chert bands; carbonate-diopside-grossular rock interbedded with cummingtonite-hornblende schist and hornblende-almandine schist; and hornblende and cummingtonite schist with magnetite and ilmenite in thin laminae. Interpreted as metamorphosed iron formation and equated to Schist Hill Iron Member in Dead Bullock Soak district.</t>
  </si>
  <si>
    <t>Inningarra Granite</t>
  </si>
  <si>
    <t>Biotite hornblende granodiorite: I-type, foliated, variably magnetic.</t>
  </si>
  <si>
    <t>The Granites Granite</t>
  </si>
  <si>
    <t>Pink and grey porphyritic and non porphyritic biotite adamellite; minor pegmatite and aplite; locally foliated.</t>
  </si>
  <si>
    <t>hbd-ep-qtz (proximal) → cum-qtz-pl-alm-hbd → cum-qtz-pl (distal) (Bullakitchie)</t>
  </si>
  <si>
    <t>Scrimgeour (1989); Mayer (1990); Adams et al. (2007); Huston et al. (2007a); Ahmad and Khan (2013); Ahmad et al. (2013b); Bagas et al. (2014); Wygralak et al. (2017)</t>
  </si>
  <si>
    <t>Wygralak et al. (2017)</t>
  </si>
  <si>
    <t>Cited age is by analogy with the Callie deposit. Endowment includes production only.</t>
  </si>
  <si>
    <t>The Peak (including Conquerer, Brown, Blue, Big and Cobar Peak)</t>
  </si>
  <si>
    <t>Pb-Zn-Ag</t>
  </si>
  <si>
    <t>Perkins et al. (1994)</t>
  </si>
  <si>
    <t>Cited initial age is that from sample 91-266, which is muscovite associated with main-stage Cu-Au mineralisation. Cited second age from sample 91-265 is supported by an age of 385.4 ± 2.0 Ma reported from sample 91-267, which sampled muscovite associated with late-stage Zn-Pb mineralisation. Note that in calculating errors, it has been assumed that the uncertainties reported by Perkins et al. (1994) are 1σ. Endowment does not include early production (before 1953), but includes production of 48 kt Cu, 51 kt Zn, 64 kt Pb, 1.2 Moz Ag and 1.1 Moz Au from 1992 to 2002 and 4 kt Cu and 79 koz Au from 2005 to 2016 and mineral resources of 11.20 Mt at 1.63% Cu, 7.21 g/t Ag and 2.23 g/t Au at 31 December 2016.</t>
  </si>
  <si>
    <t>Thuddungra (includes Main and Noakes deposits)</t>
  </si>
  <si>
    <t>Lateritic magnesite</t>
  </si>
  <si>
    <t>Fluvio-lacustrine sediments</t>
  </si>
  <si>
    <t>Diemar (1998); Downes et al. (2004b); New South Wales Department of Planning and Environment (2014)</t>
  </si>
  <si>
    <t>New South Wales Department of Planning and Environment (2014)</t>
  </si>
  <si>
    <t>Endowment includes mineral resources only (New South Wales Department and Environment, 2014), and excludes &gt; 1 Mt of ore of unknown grade mined before 2004 (Downes et al., 2004) and 25 Mt of mineral resources of unknown grade at the Baileys deposit, 6 km north of Thuddungra (Diemar, 1998). Deposits are developed in fluvio-lacustrine sediments draped over Cambro-Ordovician Jindalee Group.</t>
  </si>
  <si>
    <t>Thunderball</t>
  </si>
  <si>
    <t>Thundelarra Exploration (2011); Ahmad and Hollis (2013)</t>
  </si>
  <si>
    <t>Thundelarra Exploration (2011)</t>
  </si>
  <si>
    <t>Endowment includes mineral resources only. Although the deposit is vein style, it has been included in the unconformity-related class as it is within the South Alligator mineral field.</t>
  </si>
  <si>
    <t>Thunderbird</t>
  </si>
  <si>
    <t>Broome Sandstone</t>
  </si>
  <si>
    <t>Fine- to very coarse-grained sandstone; minor mudstone and conglomerate; deltaic</t>
  </si>
  <si>
    <t>Valanginian-Barremian (Lower Cretaceous)</t>
  </si>
  <si>
    <t>https://asud.ga.gov.au/search-stratigraphic-units/results/2645</t>
  </si>
  <si>
    <t>Cited age is based on Valanginina to Barremian age of host Broome Sandstone. Endowment includes mineral resources of 3230 Mt at 6.9% heavy minerals comprising 8.3% zircon, 2.6% high-Ti (&gt;94% TiO2) leucoxene, 2.9% leucoxene (70-94% TiO2) and 28% ilmenite. To calculate total Ti grades, the high-Ti leucoxene was assumed to contain 94% TiO2 and the normal leucoxene 82% (middle of cited range) TiO2. The Ti endowment is an estimate and NOT code-compliant.</t>
  </si>
  <si>
    <t>Thursdays Gossan-Junction Reef (Victor 1 and Victor 2)</t>
  </si>
  <si>
    <t>Turbiditic sandstone, greywacke, and mudstone; fine to coarse grained; comprising quartz, detrital muscovite, biotite, lithic fragments, K-feldspar and plagioclase grains in fine grained matrix; texturally immature; generally poorly sorted sublitharenite.</t>
  </si>
  <si>
    <t>Prophyritic tonalitic to dacitic dykes</t>
  </si>
  <si>
    <t>kao-dck-qtz (proximal) → qtz-ser-il-py → chl-ep-cal±zeo±ser±ab±mt±hm±bt (distal) (Thursday's Gossan); bt-kfs-mt (Junction)</t>
  </si>
  <si>
    <t>https://www.mindat.org/loc-205846.html (accessed March 2024)</t>
  </si>
  <si>
    <t>Norman (2015); Lewis et al. (2016, 2018); Duncan et al. (2018); Stavely Minerals Limited (2020a)</t>
  </si>
  <si>
    <t>Norman (2015); Lewis et al. (2018); Duncan et al. (2018)</t>
  </si>
  <si>
    <t>Cited age is supported by second age of mineralised porphyry of 501.1 ± 3.1 Ma. Endowment includes mineral resources of supergene enriched blanket only.</t>
  </si>
  <si>
    <t>Tick Hill</t>
  </si>
  <si>
    <t>Frequency of near-concordant and concordant ages</t>
  </si>
  <si>
    <t>Ballara Quartzite (ore host)</t>
  </si>
  <si>
    <t>Quartzite that occurs in the immediate hanging wall and footwall to the lode rock</t>
  </si>
  <si>
    <t>Scapolite-dominant calc-silicate rock, minor amphibolite and quartz-magnetite schist. Occurs in the hanging wall to the Ballara Quartzite.</t>
  </si>
  <si>
    <t>Argylla Formation</t>
  </si>
  <si>
    <t>Biotite schist, calc-silicate rocks and amphibolites. Occurs in the footwall to the Ballara Quartzite</t>
  </si>
  <si>
    <t>Tick Hill Complex</t>
  </si>
  <si>
    <t>Cream to pink, massive to strongly foliated, fine- to medium-grained leucogranite</t>
  </si>
  <si>
    <t>Older (pre- to syn-D1) pegmatites</t>
  </si>
  <si>
    <t>Younger (ca. 1528-1517 Ma), undeformed feldspar-quartz-tourmaline pegmatite</t>
  </si>
  <si>
    <t>sil-ab±scp (gold-bearing laminite bands), chl-bt-hbd-ab-mt-hm-py-tit-scp-ap±cal±ep (lodestone)</t>
  </si>
  <si>
    <t>Forrestal et al. (1998); Valenta (2019j)</t>
  </si>
  <si>
    <t>Le et al. (2021)</t>
  </si>
  <si>
    <t>Valenta (2019j)</t>
  </si>
  <si>
    <t>Cited age is mean age from frequency with error associated to the interval. Samples were from pegmatite interpreted to be syn-mineralisation (Le et al., 2019). Endowment includes production; existing retreatment resources not included as the gold in these resources would have been included in the production data.</t>
  </si>
  <si>
    <t>Timbarra district (includes Poverty Point, RMT, Leeds-Poulsons, Big Hill and Hortons)</t>
  </si>
  <si>
    <t>Timbarra</t>
  </si>
  <si>
    <t>Stanthorpe Granite</t>
  </si>
  <si>
    <t>Medium- to coarse-grained, equigranular to weakly porphyritic biotite monzogranite with accessory apatite, magnetite, ilmenite, zircon and allanite</t>
  </si>
  <si>
    <t>Bungulla Monzogranite</t>
  </si>
  <si>
    <t>Pale pinkish grey to grey, fine to medium-grained, coarsely porphyritic hornblende-titanite granodiorite to monzogranite; pale pink to white K-feldspar phenocrysts to 10 cm; locally abundant enclaves</t>
  </si>
  <si>
    <t>Aplite dykes</t>
  </si>
  <si>
    <t>mus-chl-car (syn-ore) → hm (post-ore)</t>
  </si>
  <si>
    <t>Mustard (2001)</t>
  </si>
  <si>
    <t>Mustard et al. (1998); Mustard (2001); Norman et al. (2004b); Chisholm et al. (2014b)</t>
  </si>
  <si>
    <t>Norman et al. (2004b); Chisholm et al. (2014b)</t>
  </si>
  <si>
    <t>Mustard et al. (1998); Mustard (2001)</t>
  </si>
  <si>
    <t>Cited location is that of the Big Hill deposit (largest orebody) and taken from Figure 4 of Mustard (2001); the longitude presented by Mustard et al. (1998) appears to be incorrect. Uncertainty of cited molybdenite Re-Os age not provided, but this age is consistent with the SHRIMP zircon U-Pb age of the host Stanthorpe Granite of 248.7 ± 1.2 Ma (Chisholm et al. 2014b). Endowment includes alluvial/eluvial production of 71,058 oz in 1859-1868, which is included in total field production of well over 100,000 oz by 1938, and mineral resources of 16.8 Mt at 0.73 g/t Au. Endowment is a minimum figure.</t>
  </si>
  <si>
    <t>Titania</t>
  </si>
  <si>
    <t>Other tha+B236+JT236:KD957+JR236:KD957+JO236:KD957+JL236:KD957+B236+JT236:KD957+B236+JT236:KD957+B236+JT236:KD957+JI236:KD957+B236+JT236:KD957+JG236:KD957+B23+JT236:KD957</t>
  </si>
  <si>
    <t>Tomingley district (including Caloma One, Caloma Two, Wyoming One, Wyoming Three, Roswell and San Antonio)</t>
  </si>
  <si>
    <t>Tomingley</t>
  </si>
  <si>
    <t>plateau</t>
  </si>
  <si>
    <t>Mingelo Volcanics</t>
  </si>
  <si>
    <t>Volcaniclastic metasedimentary rocks, lavas and porphyritic subvolcanic intrusions with basaltic to andesitic composition</t>
  </si>
  <si>
    <t>Caloma dyke</t>
  </si>
  <si>
    <t>Quartz-K-feldspar-phyric rhyolitic dykes</t>
  </si>
  <si>
    <t>ser-car-ab-qtz±chl</t>
  </si>
  <si>
    <t>Alkane Resources Limited (2023)</t>
  </si>
  <si>
    <t>Chalmers et al. (2007); Meates et al. (2017); Alkane Resources Limited (2020b,c), Downes et al. (2021)</t>
  </si>
  <si>
    <t>Alkane Resources Limited (2014, 2015, 2016, 2017, 2018b, 2019, 2020c, 2021, 2022, 2023a)</t>
  </si>
  <si>
    <t>Cited location is that of the McLeans lens, which is located in the approximate centre of the district. The mineralising event is constrained between the early to middle Devonian (395 ± 21 Ma: Downes et al., 2021) and the age of the Caloma dyke (381.8 ± 2.1 Ma: Bodorkos et al., 2010), which crosscuts the host succession and mineralisation. Endowment includes production of 581984 oz to 30 June 2023 and mineral resources of 5.519 Mt at 2.3 g/t for Tomingley Gold Operations and 20.737 Mt at 1.90 g/t Au for the Tomingley Gold Extension Project (Alkane Resources Limited, 2023a).</t>
  </si>
  <si>
    <t>Tommy Burns</t>
  </si>
  <si>
    <t>Sunnymount</t>
  </si>
  <si>
    <t>Hornfelsed siltstone, chert and mafic volcanic rock</t>
  </si>
  <si>
    <t>crd-cum-alm-qtz-bt-cas±ant (early - phase 1, stage 1) → chl-sil-py (phase 1, stage 2) → kao-qtz-py (late - phase 2); crd-cum-alm-qtz-cas (proximal) → pl-qtz-bt-alm-py±crd±ant → hbd-pl±bt±ap (distal; hornfels)</t>
  </si>
  <si>
    <t>Pollard (1981); Chang et al. (2017)</t>
  </si>
  <si>
    <t>Endowment includes mineral resources only (Chang et al., 2017).</t>
  </si>
  <si>
    <t>Toms Gully</t>
  </si>
  <si>
    <t>Mount Bundey Granite</t>
  </si>
  <si>
    <t>Pink porphyritic biotite granite, coarse biotite granite.</t>
  </si>
  <si>
    <t>Rasmussen et al. (2006); Ahmad and Hollis (2013); Primary Gold Limited (2017, 2023)</t>
  </si>
  <si>
    <t>Rasmussen et al. (2006)</t>
  </si>
  <si>
    <t>Endowment includes production of 0.512 Mt at 8.13g/t Au and mineral resources of 2.5 Mt grading 6.3 g/t Au.</t>
  </si>
  <si>
    <t>Tonka-Navajoh</t>
  </si>
  <si>
    <t>Teen (1996); Sheppard et al. (2016b): Occapinti et al. (2017); Rumble Resources Limited (2023)</t>
  </si>
  <si>
    <t>Cited location is the approximate centre of the geographically larger Tonka lens. The centre of the Navajoh lens is approximately 3.5 km to the east-southeast of the Tonka lens. The two lenses in total have a strike length of ~6 km, and the resources of the two lenses have not been separated. The mineralisation overprints mainly the Navajoh Unconformity Unit, which is the basal unit of the Frere Formation. Tuffaceous beds in the basal micaceous sandstone of this unit have an age of 1891 ± 8 Ma, just above the hardground (Navajoh Unconformity Unit) along the basal unit. The unconformably underlying Sweetwaters Well Formation has tuffaceous beds with a youngest and most precise age of 1954 ± 5 Ma (Sheppard et al., 2016b), indicating a hiatus of 60-65 Myr. Cited age is a Stacey and Kramer model age based on two very similar (identical within error) lead isotope analyses from the Navajoh deposit reported by Teen (1996). This model age is similar to a pooled SHRIMP U-Pb of ca. 1815 Ma reported by Muhling et al. (2012) for the Magellan deposit, which is also hosted in the Earaheedy Basin by the Sweetwaters Well Formation.</t>
  </si>
  <si>
    <t>Toongi</t>
  </si>
  <si>
    <t>Peralkaline intrusion HFSE-REE</t>
  </si>
  <si>
    <t>Dubbo</t>
  </si>
  <si>
    <t>Fission track</t>
  </si>
  <si>
    <t>Hf</t>
  </si>
  <si>
    <t>Zr-Ta-Nb-Y</t>
  </si>
  <si>
    <t>Be-F-REE</t>
  </si>
  <si>
    <t>Toongi Trachyte</t>
  </si>
  <si>
    <t>Roughly elliptical body (850m E-W and 550m N-S) comprised dominantly of K-feldspar, albite and aegirine microphenocrysts in a very fine-grained groundmass of similar composition.</t>
  </si>
  <si>
    <t>ser-chl-goe</t>
  </si>
  <si>
    <t>Chalmers et al. (2017)</t>
  </si>
  <si>
    <t>F.L. Sutherland in Warren et al. (1999); Spandler and Morris (2016); Chalmers et al. (2017)</t>
  </si>
  <si>
    <t>F.L. Sutherland in Warren et al. (1999)</t>
  </si>
  <si>
    <t>Endowment includes mineral resources only. Alteration assemblages are post-magmatic.</t>
  </si>
  <si>
    <t>Toora</t>
  </si>
  <si>
    <t>Agnes Formation</t>
  </si>
  <si>
    <t>Gravel, sand, clay and coal, with local ferruginous hard layers</t>
  </si>
  <si>
    <t>Paleogene-Neogene</t>
  </si>
  <si>
    <t>Wilsons Promontory Granite</t>
  </si>
  <si>
    <t>Biotite granite: coarse grained, porphyritic; with some garnet; S-type.</t>
  </si>
  <si>
    <t>https://www.mindat.org/loc-15608.html (accessed March 2024)</t>
  </si>
  <si>
    <t>Cochrane and Bowen (1971); Campbell et al. (2003)</t>
  </si>
  <si>
    <t>Cited location is the approximate centre of the district. Cited age is the midpoint of the stratigraphic age of the Agnes Formation. Cited age uncertainty covers to age span. Campbell et al. (2003) interpret that the cassiterite in the Agnes Formation was derived originally from the Late Devonian Wilsons Promontory Batholith. A total of 407 t of cassiterite concentrate was produced from the tin field; this is converted to tin metal in the endowment. Endowment is production only.</t>
  </si>
  <si>
    <t>Torrens</t>
  </si>
  <si>
    <t>mt-qtz-py-fsp-ap-car (early) → hm-chl-ser-car-py (late)</t>
  </si>
  <si>
    <t>Tower Hill</t>
  </si>
  <si>
    <t>mus-bt-car-tc (proximal) → chl-car-tc (distal)</t>
  </si>
  <si>
    <t>Witt (2001); Baggott (2006); Jones and Witt (2017)</t>
  </si>
  <si>
    <t>Witt (2001)</t>
  </si>
  <si>
    <t>An early quartz-molybdenite event (molybdenite Re-Os ages of 2752 ± 9 Ma and 2755 ± 9 Ma: Witt, 2001) is overprinted by the main gold event. Endowment includes historical production (Jones and Witt, 2017) to and mineral resources at 21 March 2024 (Genesis Minerals Limited, 2024) .</t>
  </si>
  <si>
    <t>Queensland-Northern Territory</t>
  </si>
  <si>
    <t>Oolitic hematite iron formation with siderite and chamosite beds ("Wabana type"). Consists of 3-4 lenticular ironstone beds within thinly bedded, alternating dark grey shales, siltstones and sandstones.</t>
  </si>
  <si>
    <t>Tramways Dome (includes Cruickshank, Edwin, Gigantus, Helmut/Deacon, Lanfranchi, McComish, and Schmitz/Winner)</t>
  </si>
  <si>
    <t>Gresham and Loftus-Hills (1981); Lambert et al. (1998); Stone and Masterman (1998); Hicks and Parkinson (2017)</t>
  </si>
  <si>
    <t>Hicks and Parkinson (2017)</t>
  </si>
  <si>
    <t>Cited location is that of the Lanfranchi deposit. Cited age is based on the ages of other Eastern Goldfields nickel sulfide deposits. Endowment includes total production and JOCR-2012-compliant resource data as of 30 June 2016. Magnetite and some pyrite interpreted as metamorphic in origin. A global, pre-mining endowment for the Kambalda district (including the Kambalda Dome, Saint Ives, Golden Hill-Carnilya, Tramways Dome and Widgiemooltha Dome) was 67 Mt grading 2.9% Ni (Stone and Masterman, 1998), but it was not possible to assign this endowment according to sub-district deposit clusters.</t>
  </si>
  <si>
    <t>Transvaal</t>
  </si>
  <si>
    <t>Ultramafic metavolcanic rock</t>
  </si>
  <si>
    <t>Pelitic metasedimentary rock</t>
  </si>
  <si>
    <t>dp-act-qtz (proximal) → amp-bt-mus-qtz-gra (distal) (in ultramafic rocks); bt-mus-qtz-gra (proximal) → crd-qtz-bt-gra (distal) (in pelitic metasedimentary rocks)</t>
  </si>
  <si>
    <t>Hagemann et al. (1998); Williams et al. (2008); Doublier et al (2014); portergeo.com.au</t>
  </si>
  <si>
    <t>Hagemann et al. (1998)</t>
  </si>
  <si>
    <t>Williams et al. (2008); portergeo.com.au</t>
  </si>
  <si>
    <t>Cited age interpreted to represent high temperature calc-silicate alteration. Endowment includes production to 1997, and mineral resources at 30 June 2008.</t>
  </si>
  <si>
    <t>Tregoora</t>
  </si>
  <si>
    <t>qtz-sid/ank-ser-py</t>
  </si>
  <si>
    <t>Trident</t>
  </si>
  <si>
    <t>Poseidon Gabbro</t>
  </si>
  <si>
    <t>Actinolite-bearing, high-MgO basalt (intruded by Poseidon Gabbro). Includes units overlying and underlying (Eastern Mafic) Poseidon Gabbro.</t>
  </si>
  <si>
    <t>Actinolite-bearing, high-MgO basalt</t>
  </si>
  <si>
    <t>sil-ab (Western Zone, Eastern Zone and Apollo); chl±bt (Athena and Artemis zones)</t>
  </si>
  <si>
    <t>Stokes et al. (2011); http://www.portergeo.com.au/database/mineinfo.asp?mineid=mn955 (accessed February 2021); Karora Resources (2024)</t>
  </si>
  <si>
    <t>Stokes et al. (2011)</t>
  </si>
  <si>
    <t>Cited age assumes correlation with Chalice deposit. Endowment includes production between 2007-2016 and mineral resources as of 30 September 2023 (Karora Resources, 2024).</t>
  </si>
  <si>
    <t>Tritton</t>
  </si>
  <si>
    <t>chl-car, sil-py-sul (footwall) → sil-car-chl (ore) → sil-py, ank (hw)</t>
  </si>
  <si>
    <t>https://www.mindat.org/loc-308609.html (accessed April 2024)</t>
  </si>
  <si>
    <t>Iwata et al. (1995); Fogarty (1998); Downes (2009); Jones (2012; pers. comm., 2014);P Gilmore (pers. comm., 2013); Gilmore et al. (2015); Downes et al. (2017a); Fitzherbert and Huang (2019)</t>
  </si>
  <si>
    <t>Jones (2012)</t>
  </si>
  <si>
    <t>Cited primary age is based on the age of the faunal assemblage reported by Iwata et al. (1995) for the host succession. Cited hydrothermal age is by analogy with the Avoca Tank deposit (Fitzherbert and Huang, 2019). Endowment is the pre-mining mineral resource (Jones, 2012).</t>
  </si>
  <si>
    <t>Tropicana (includes Boston Shaker, Havana, Havana South and Tropicana)</t>
  </si>
  <si>
    <t>Tropicana</t>
  </si>
  <si>
    <t>Plumridge</t>
  </si>
  <si>
    <t>Rutile</t>
  </si>
  <si>
    <t>Equigranular syenitic, quartz-syenitic and syeno-granitic gneiss</t>
  </si>
  <si>
    <t>bt-py±ser</t>
  </si>
  <si>
    <t>Greenschist (see comments)</t>
  </si>
  <si>
    <t>Doyle et al. (2015, 2017)</t>
  </si>
  <si>
    <t>Stacey and Kramers (1975); Doyle et al. (2015)</t>
  </si>
  <si>
    <t>Independence Group NL (2014, 2015a, 2016, 2017, 2018, 2019, 2020, 2021); Regis Resources Limited (2021, 2022, 2023, 2024a,b)</t>
  </si>
  <si>
    <t>Cited age is that of W-rich rutile associated with gold-bearing mineral assemblages. This age is supported by a Ar-Ar age from ore-related biotite of 2515 ± 7 Ma, a pyrite Re-Os isochron age of 2505 ± 50 Ma, and Stacey and Kramer (1975) model Pb model ages of 2500-2400 Ma from pyrite. Gold introduction is interpreted to have accompanied retrogressive fluid ingress into granulite grade gneisses. Endowment includes production from fiscal years (July-June) 2014 (348,374 oz Au), 2015 (492,780 oz Au), 2016 (448,116 oz Au), 2017 (431,625 oz Au), 2018 (467,139 oz Au), 2019 (518,172 oz Au), 2020 (463,118 oz Au), 2021 (July to 31 May: 364,751 oz Au), 2021 (June: 57,723 oz Au), 2022 (403,000 oz Au), 2023 (437,000 oz Au), and 2024(Q1 and Q2 (July-December): 245,957 oz Au), and mineral resources at 31 December 2023 of 100.6 Mt at 1.8 g/t (Independence Group NL, 2014, 2015a, 2016, 2017, 2018, 2019, 2020, 2021; Regis Resources Limited, 2021, 2022, 2023, 2024a,b). The production reported by Regis Resources Limited for its 30% equity has been prorated to full production.</t>
  </si>
  <si>
    <t>Trundle district (including Mordialloc and Trundle Park)</t>
  </si>
  <si>
    <t>Trundle</t>
  </si>
  <si>
    <t>Raggatt Volcanics</t>
  </si>
  <si>
    <t>Andesitic to trachyandesitic lavas, tuffs, volcaniclastic breccias and sparse fossiliferous limestones.</t>
  </si>
  <si>
    <t>Aphanitic, medium equigranular and porphyritic dykes with composition ranging from diorite, quartz diorite to granodiorite and monzogranite; shoshonitic intrusives present</t>
  </si>
  <si>
    <t>gt-py-ep, gt-ep, chl, chl-ep-sil-ser-hm-mt, ep-chl-py-cal-pre, mt, sil-ser, qt-ser-py</t>
  </si>
  <si>
    <t>Kincora Copper Limited (2021)</t>
  </si>
  <si>
    <t>Endowment includes minor production of small historic mines (11.85 kg Au at Copper Hill, 4.5 t Cu, 0.689 kg Au and 1.4 kg Ag at Mordialloc, and 0.470 kg Au at Wilcox's); no mineral resources have been reported. As ore-related intrusive rocks described as shoshonitic, the deposit type has been assessed as alkalic porphyry copper-related and an age of 438 Ma has been assigned by analogy with other regional alkalic porphyry copper deposits.</t>
  </si>
  <si>
    <t>Tuckabianna (includes 28 separate deposits)</t>
  </si>
  <si>
    <t>Tuckabianna</t>
  </si>
  <si>
    <t>Luke Creek Group</t>
  </si>
  <si>
    <t>Banded iron formation and iron-rich sedimentary rocks</t>
  </si>
  <si>
    <t>Sheared mafic dolerite or amphibolite</t>
  </si>
  <si>
    <t>Quartz porphyry and quartz-feldspar porphyry</t>
  </si>
  <si>
    <t>Syn-tectonic tonalite to granodiorite</t>
  </si>
  <si>
    <t>qtz-car-py-po (stringer assemblage)</t>
  </si>
  <si>
    <t>Smith (1998b)</t>
  </si>
  <si>
    <t>Smith (1998b); Westgold Resources Limited (2023)</t>
  </si>
  <si>
    <t>Age inferred by correlation with the Reedy deposit. Endowment includes production to June 1996 and mineral resources as of 30 June 2023 and include resources in the stockpile (Westgold Resources Limited, 2023).</t>
  </si>
  <si>
    <t>Tuena-Junction Point district including City of Sydney, Garnet, Golden Dyke, Lucky Hit, Nobbs Reef (Carlton), Nuggety Gully, Peeks Reef, Phantom Reef, Royal George-Victoria, Royal Standard, Stockyard Reef and Washington Reef)</t>
  </si>
  <si>
    <t>Tuena-Junction Point</t>
  </si>
  <si>
    <t>Metamorphosed shale, siltstone and lithic sandstone</t>
  </si>
  <si>
    <t>Bushranger Volcanics</t>
  </si>
  <si>
    <t>Coarse-grained volcanic rocks including porphyritic andesite, less common basalt; minor rhyodacitic rocks at the S end of the belt; thin interbeds of siltstone and shale.</t>
  </si>
  <si>
    <t>qtz-chl-car-mus</t>
  </si>
  <si>
    <t>Endowment includes production from hard rock mines only.</t>
  </si>
  <si>
    <t>Tuff Hill</t>
  </si>
  <si>
    <t>Quartz-sericite schist</t>
  </si>
  <si>
    <t>ser-sil-car-chl</t>
  </si>
  <si>
    <t>Browning et al. (1987); Ferguson (1999); Kositcin et al. (2008); Hollis et al. (2017a)</t>
  </si>
  <si>
    <t>Disseminated sulfides; location closest to location of Duketon 1 and 2 lead isotope analyses of Browning et al. (1987).</t>
  </si>
  <si>
    <t>Tunkillia</t>
  </si>
  <si>
    <t>Unnamed granitoid</t>
  </si>
  <si>
    <t>Even-grained quartz-K-feldspar-plagioclase granite to porphyritic granite with K-feldspar phenocrysts</t>
  </si>
  <si>
    <t>Porphyritic mafic dykes</t>
  </si>
  <si>
    <t>Porphyritic felsic dykes</t>
  </si>
  <si>
    <t>ser-py, qtz-sl-gn-py (proximal) → chl-car-py, ser-hm (distal)</t>
  </si>
  <si>
    <t>https://bartongold.com.au/projects/mineral-resources/ (accessed May 2024)</t>
  </si>
  <si>
    <t>Cited age is supported by four other sericite Ar-Ar ages of 1583 ± 9 Ma, 1582 ± 8 Ma, 1578 ± 8 Ma and 1567 ± 8 GMa. Endowment includes mineral resources only.</t>
  </si>
  <si>
    <t>Twin Hills</t>
  </si>
  <si>
    <t>Quartz monzodiorite</t>
  </si>
  <si>
    <t>Porphyritic rhyodacite dyke</t>
  </si>
  <si>
    <t>Halloran et al. (2017)</t>
  </si>
  <si>
    <t>MRV Metals Proprietary Limited (2016); Halloran et al. (2017); Thomson Resources Limited (2022b)</t>
  </si>
  <si>
    <t xml:space="preserve">Endowment includes production (2007-2008, 2011-2013) of 1.9 Mt at 71.1 g/t Ag and a mineral resource of 6.10 Mt at 48 g/t Ag and 0.06 g/t Au (Thomson Resources Limited, 2022). </t>
  </si>
  <si>
    <t>Twin Hills (309 and Lone Sister)</t>
  </si>
  <si>
    <t>Illite</t>
  </si>
  <si>
    <t>sil, il±kao</t>
  </si>
  <si>
    <t>Perkins et al. (1995); Jones (2010); GBM Resources Limited (2017b); GBM Resources (2024)</t>
  </si>
  <si>
    <t>GBM Resources (2024)</t>
  </si>
  <si>
    <t>Cited age is by analogy with the other epithermal deposits in the Drummond Basin. Endowment includes historic production from the 309 deposit (0.073 Mt at 10.01 g/t) and mineral resources for the combined 309 and Lone Sister deposits (23.11 Mt at 1.3 g/t Au and 6.5 g/t Ag) (GBM Resources, 2024)).</t>
  </si>
  <si>
    <t>Uley</t>
  </si>
  <si>
    <t>Mikkira Graphite Province</t>
  </si>
  <si>
    <t>Biotite-quartz schist and quartz-feldspar-biotite±garnet gneiss</t>
  </si>
  <si>
    <t>Umbrawarra</t>
  </si>
  <si>
    <t>Unicorn</t>
  </si>
  <si>
    <t>In-Re</t>
  </si>
  <si>
    <t>Mount Unicorn Porphyry</t>
  </si>
  <si>
    <t>Pale cream to buff coloured, quartz-feldspar porphyry; bipyramidal quartz phenocrysts and altered feldspar; patchily to pervasively altered; consists of nonmagnetic and magnetic phases</t>
  </si>
  <si>
    <t>sil, ser-chl, bt</t>
  </si>
  <si>
    <t>Dart Mining NL (2012)</t>
  </si>
  <si>
    <t>Hochwimmer and Turnbull (2010); Dart Mining NL (2012); Huston et al. (2021)</t>
  </si>
  <si>
    <t>Cited location is approximated centre of resource at surface. Endowment includes mineral resources only.</t>
  </si>
  <si>
    <t>qtz-chl-cal-dol-ab</t>
  </si>
  <si>
    <t>Ahmad and Hollis (2013); Edwards and Kelley (2017)</t>
  </si>
  <si>
    <t>Cited age is by analogy with other Pine Creek orogenic gold deposits (e.g., Cleo, Goodall, Howley and Mount Todd). Endowment includes production of 48,000 oz (1884-1910: Ahmad and Hollis, 2013) and 1,588,000 oz (1994-2016), and total mineral resources of 3.922 Mt at 2.34 g/t Au at 31 December 2016 (Edwards and Keily, 2017).</t>
  </si>
  <si>
    <t>Cooglegong</t>
  </si>
  <si>
    <t>Isochron age cassiterite is 2901 ± 49 Ma.</t>
  </si>
  <si>
    <t>Urquhart</t>
  </si>
  <si>
    <t>Metallica Minerals Limited (2016); https://portergeo.com.au/database/mineinfo-mb.asp?mineid=mn807 (accessed march 2024)</t>
  </si>
  <si>
    <t>Metallica Minerals Limited (2016)</t>
  </si>
  <si>
    <t>Brannerite</t>
  </si>
  <si>
    <t>LA-HR-ICP-MS</t>
  </si>
  <si>
    <t>Eastern Creek Volcanics - metabasalt</t>
  </si>
  <si>
    <t>Eastern Creek Volcanics - weakly-altered clastic sedimentary rocks</t>
  </si>
  <si>
    <t>Weakly chlorite-illite-altered fine-grained sandstones and gritty siltstones</t>
  </si>
  <si>
    <t>Eastern Creek Volcanics - moderately altered fine-grained sedimentary rocks</t>
  </si>
  <si>
    <t>Albite-calcite±amphibole±hematite-altered fine-grained sedimentary rocks</t>
  </si>
  <si>
    <t>Dominantly metabasalt</t>
  </si>
  <si>
    <t>ab-rie-mt-car-ap-zcn-chl-aeg-cof (early) → cof±chl±rut±ksp → cal-ep, dol-qtz (late); ab-rie-mt-car-ap-zcn-chl-aeg-cof (proximal) → chl (distal); hm-dol-chl-ur (minor)</t>
  </si>
  <si>
    <t>Wyborn (1987); Bain et al. (1992); Heinrich et al. (1995); Gregory et al. (2005); Kositcin et al. (2009); Polito et al. (2009); Wilde et al. (2013); Wilde and Andrews (2017); Valenta (2020d)</t>
  </si>
  <si>
    <t>Polito et al. (2009)</t>
  </si>
  <si>
    <r>
      <t xml:space="preserve">Cited age is the oldest LA-HR-ICP-MS analysis of brannerite (Polito et al., 2009) and is consistent with a riebeckite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 of 1551 ± 7 Ma. Endowment includes JORC-compliant mineral resources (Valenta, 2020d).</t>
    </r>
  </si>
  <si>
    <t>Vanadis - rare earth elements</t>
  </si>
  <si>
    <t>Vanadis - vanadium</t>
  </si>
  <si>
    <t>Victoria-Stuart</t>
  </si>
  <si>
    <t>Cited age inferred from age of Mount Dore deposit (Duncan et al., 2011). Endowment includes production of 0.2 Mt grading 2.5% Cu and 0.3 g/t Au and mineral resources of 5.08 Mt grading 1.12% Cu and 0.18 g/t Au.</t>
  </si>
  <si>
    <t>Vulcan</t>
  </si>
  <si>
    <t>Dolomite</t>
  </si>
  <si>
    <t>LA-ICP-MS/MS</t>
  </si>
  <si>
    <t>Unnamed granite (equivalent to Moonta Porphyry Member)</t>
  </si>
  <si>
    <t>Mylonitic granite</t>
  </si>
  <si>
    <t>hm-ser-chl-qtz-car-py-ap</t>
  </si>
  <si>
    <t>Reid et al. (2013)</t>
  </si>
  <si>
    <t>Reid et al. (2013); Simpson et al. (2024)</t>
  </si>
  <si>
    <t>Cited age is the weighted mean of four separate molybdenite Re-Os ages. The associated isochron yielded an age of 1590 ± 12 Ma. Some copper was later remobilised in carbonate veins.</t>
  </si>
  <si>
    <t>Wadnaminga goldfield (includes Countess of Jersey, Great Eastern, New Milo, Olunina, Thunder Queen, Victoria and Virginia)</t>
  </si>
  <si>
    <t>Wadnaminga goldfield</t>
  </si>
  <si>
    <t>Belair Subgroup</t>
  </si>
  <si>
    <t>Siltstone, dark grey, laminated with minor sandstone, dolomite interbeds; quartzite, fine to coarse, feldspathic, cross bedded, minor siltstone interbeds; slate.</t>
  </si>
  <si>
    <t>https://www.mindat.org/loc-16940.html (accessed May 2024)</t>
  </si>
  <si>
    <t>Cited age is by analogy with that of the Deloraine district. Endowment includes historic (mostly 1888-1940) production mainly from veins, with minor alluvial production.</t>
  </si>
  <si>
    <t>Wagerup - Harvey General</t>
  </si>
  <si>
    <t>Wagon Pass</t>
  </si>
  <si>
    <t>Ringrose (1989); Vearncombe et al. (1996); Reynolds and Copp (2017a); Metallicity Limited (2017)</t>
  </si>
  <si>
    <t>Metallicity Limited (2017)</t>
  </si>
  <si>
    <t>Walford Creek</t>
  </si>
  <si>
    <t>Mount Les Siltstone</t>
  </si>
  <si>
    <t>Dolomitic, variably carbonaceous siltstone; massive pyrite hosted by carbonaceous intervals</t>
  </si>
  <si>
    <t>Peters Creek Volcanics</t>
  </si>
  <si>
    <t>Alternating sequence of basalt, rhyolite and rhyodacite; some intermediate volcanics, possibly trachyte and andesite; minor tuff, shale, siltstone, sandstone, dolomite and conglomerate.</t>
  </si>
  <si>
    <t>dol, sil-chl-py-sid (tuff marker bed), [leaching (proximal) chl (Peters Creek) hm-fld (distal)] (relative to Fish River Fault)</t>
  </si>
  <si>
    <t>Sun et al. (1996a); Rohrlach et al. (1998); Carr et al. (2001); Aeon Metals Limited (2019); Valenta (2020b)</t>
  </si>
  <si>
    <t>Aeon Metals Limited (2019)</t>
  </si>
  <si>
    <t>Lead isotope model age calculated using CSIRO-AGSO North Australia model (Sun et al., 1996a) using least radiogenic analysis of Carr et al. (2001). Endowment includes mineral resources from December 2019 (Aeon Metals, 2019); the deposit has not been previously mined. Texturally the base metal sulfides and associated pyrite overprint early syn-/diagenetic pyrite and marcasite, with even stratiform sphalerite filling intergranular porosity in the host siltstone. Marcasite also occurs late in the paragenetic sequence.</t>
  </si>
  <si>
    <t>Walhalla goldfield (includes Cohen's Reef)</t>
  </si>
  <si>
    <t>Walhalla</t>
  </si>
  <si>
    <t>Undifferentiated marine turbiditic sandstone, siltstone, mudstone, conglomerate.</t>
  </si>
  <si>
    <t xml:space="preserve">Woods Point Dyke Swarm </t>
  </si>
  <si>
    <t>Hornblende-biotite quartz diorite and quartz monzonite, hornblende-biotite gabbro, hornblende-augite-biotite quartz gabbro, kaersutite-phlogopite peridotite, quartz and feldspar bearing porphyry; medium grained; common hydrothermal alteration.</t>
  </si>
  <si>
    <t>Syn to post-ore</t>
  </si>
  <si>
    <t>https://www.travelvictoria.com.au/walhalla/maps/ (accessed March 2024)</t>
  </si>
  <si>
    <t>Tomlinson et al., (1988); Foster et al. (1999); Phillips et al. (2003, 2012a); Vandenberg et al. (2006); Orion Gold NL (2013)</t>
  </si>
  <si>
    <t>Foster et al. (1999); Phillips et al. (2012a)</t>
  </si>
  <si>
    <t>Phillips et al. (2012a); Orion Gold NL (2013)</t>
  </si>
  <si>
    <t>Cited location is that of Walhalla town. Cited age has been recalculated by Phillips et al. (2012) after original data presented in Foster et al. (1999). It overlaps with the age of the Strathbogie Granite (374 ± 2 Ma: Bierlein et al., 2001), but is described by Tomlinson et al. (1988) as being post-ore. Endowment includes 68 t of hard rock production (Phillips et al., 2003), and total mineral resources 1.91 Mt at 4.37 g/t Au (Orion Gold NL, 2013).</t>
  </si>
  <si>
    <t>Walkers Creek (including Mount Finniss)</t>
  </si>
  <si>
    <t>Walkers Creek</t>
  </si>
  <si>
    <t>Walkers Creek pegmatite swarm</t>
  </si>
  <si>
    <t>tm</t>
  </si>
  <si>
    <t>Frater (2005); Ahmad and Khan (2013)</t>
  </si>
  <si>
    <t>Cited location is that of the Mount Finniss deposit. The Radio Hill deposit is located about 2 km to the south and the Goodwill Extended, Tin Pot and Goodwill deposits are located about 10 km to the southwest. Cited age is by analogy with other pegmatites in the Pine Creek Orogen (e.g., Frater, 2005). Mount Finniss was the largest Sn and Ta producer in the Northern Territory (Frater (2005). Endowment includes production of 165 t SnO2 and 65 t Ta2O5 from Mount Finniss and 56 t SnO2 from Goodwill Extended (Ahmad and Khan, 2013) and pre-JORC mineral resources of 0.160 Mt grading 160 ppm Sn and 35 ppm Ta (Frater, 2005).</t>
  </si>
  <si>
    <t>Wallabadah Anomaly A1</t>
  </si>
  <si>
    <t>Croydon</t>
  </si>
  <si>
    <t>Huston et al. (2010, 2021)</t>
  </si>
  <si>
    <r>
      <t xml:space="preserve">Cited age is the most precise of two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plateau ages based on the weighted average of two duplicate analyses of muscovite. The second analysis yielded an age of 285.2 ± 1.0 Ma. No resources have been determined for this prospect.</t>
    </r>
  </si>
  <si>
    <t>Wallaby</t>
  </si>
  <si>
    <t>Wallaby Conglomerate</t>
  </si>
  <si>
    <t>Matrix-supported mafic conglomerate</t>
  </si>
  <si>
    <t>Alkaline dykes (syenite, mafic monzonite, monzonite and carbonatite)</t>
  </si>
  <si>
    <t>Pre-ore and post-ore</t>
  </si>
  <si>
    <t>act-ab-ep-mt-bt-cal±qtz±tit±chl±py±gt</t>
  </si>
  <si>
    <t>hm-ab-dol-ser-py (early); dol-ab-ser-sil-mus-fch-py (proximal) → dol-ab-ser-qtz-py (distal) (late)</t>
  </si>
  <si>
    <t>Salier et al. (2004, 2005); Tully et al. (2017)</t>
  </si>
  <si>
    <t>Monazite age Salier et al. (2005) is supported by a gold-related xenotime age of 2646 ± 18 Ma. The distal assemblage reported by Salier et al. (2004, 2005) is similar to the early assemblage reported by Tully et al. (2017) - they may be the same and just reflect progressive alteration assemblages. Endowment includes production from Granny Smith mill attributed to Wallaby (3.6 Moz) and total mineral resources at 31 December 2016 (28.73 Mt at 6.45 g/t for 5.96 moz) (Tulley et al., 2017). Resources are reported as part of the Granny Smith region by Gold Fields since 2010 and have not been updated since figures of Tulley et al. (2017).</t>
  </si>
  <si>
    <t>Wallah Wallah</t>
  </si>
  <si>
    <t>Rye Park</t>
  </si>
  <si>
    <t>Rye Park Granite</t>
  </si>
  <si>
    <t>Foliated, cream-coloured, medium- to coarse-grained equigranular muscovite-biotite granite; very low magnetic susceptibility; leucocratic monzogranite.</t>
  </si>
  <si>
    <t>McQueen and Box (1988); Bodorkos et al. (2010); Downes (2012)</t>
  </si>
  <si>
    <t>McQueen and Box (1988)</t>
  </si>
  <si>
    <t>Cited age is that of the Rye Park Granite, with which the deposit may to be associated. Evidence for this is the presence of cassiterite and other Sn-bearing sulfide minerals and of topaz. Alternatively the deposit formed through orogenic processes during the Kanimblan Orogeny. Endowment includes production (McQueen and Box, 1988) only.</t>
  </si>
  <si>
    <t>Walwa</t>
  </si>
  <si>
    <t>Aplite, pegmatite, greisen and granite dykes</t>
  </si>
  <si>
    <t>Corryong Granite</t>
  </si>
  <si>
    <t>Nonmagnetic, grey, medium to very coarse grained, equigranular to strongly porphyritic in K-feldspar, two-mica-cordierite S-type granite; locally contains sillimanite or andalusite.</t>
  </si>
  <si>
    <t>mus, ab</t>
  </si>
  <si>
    <t>https://www.mindat.org/loc-46177.html (accessed March 2024)</t>
  </si>
  <si>
    <t>Cochrane and Bowen (1971); Campbell et al. (2003); Eagle et al. (2015)</t>
  </si>
  <si>
    <t>Cited location is that of the Mount Alwa prospect. Cited age is by correlation with the Blue Jacket-Knocker pegmatite in the Mount Wills district (Eagle et al., 2015). Endowment includes production of 115.55 long tons of cassiterite concentrate (converted to tin metal) and pre-JORC mineral resources of 360,000 long tons at 0.17% Sn and 150,000 long tons at 0.24% Sn (Cochrane and Bowen, 1971). For the purpose of calculations, long tons were approximated to be equal to metric tonnes.</t>
  </si>
  <si>
    <t>Wangala biotite-apatite schist</t>
  </si>
  <si>
    <t>Biotite-apatite±muscovite±quartz schist</t>
  </si>
  <si>
    <t>Wangala Granite</t>
  </si>
  <si>
    <t>Contains multiple phases of variably fractionated, crustally contaminated granodiorite-granite. Includes biotite-muscovite porphyritic granite, equigranular granite, rapakivi granite, microgranite and leucogranite.</t>
  </si>
  <si>
    <t>bt-ap±mus±qtz±top±fl±mzn</t>
  </si>
  <si>
    <t>Cited location is that of from which the geochronology sample was collected. This locality is that of a biotite-apatite schist cutting the Wangala Granite. The schist is enriched in P, U, F, Li, Co, Ni, Zn, Ag, Sn and REEs. The age corresponds to the later history of the Chewings Orogeny, and the schist is interpreted to have formed during metasomatism associated with metamorphism.</t>
  </si>
  <si>
    <t>Warrabarty</t>
  </si>
  <si>
    <t>Isdell Formation</t>
  </si>
  <si>
    <t>Limestone and dolostone</t>
  </si>
  <si>
    <t>Smith (1996)</t>
  </si>
  <si>
    <t>Warramboo</t>
  </si>
  <si>
    <t>Warramboo magnetite gneiss</t>
  </si>
  <si>
    <t>Magnetite±hematite-biotite-K-feldspar-quartz migmatitic gneiss, magnetite-garnet-sillimanite-cordierite-biotite-K-feldspar quartz gneiss and magnetite-hematite-biotite-quartz-K-feldspar gneiss.</t>
  </si>
  <si>
    <t>Lane et al. (2015); Cronin (2017); Davies and Twining (2018)</t>
  </si>
  <si>
    <t>Lane et al. (2015)</t>
  </si>
  <si>
    <t>Cronin (2017)</t>
  </si>
  <si>
    <t>The best age constraint is provided by sample 2058319, which has a maximum depositional age of 1742 ± 7 Ma and a minimum age provided by overprinting metamorphism of 1732 ± 10 Ma (both ages are zircon SHRIMP U-Pb ages). Lane et al. (2015) indicate that a significant detrital component is present in the magnetite gneisses, excluding a purely chemical sediment origin. Endowment includes mineral resources only.</t>
  </si>
  <si>
    <t>Warratta Inlier (includes New Bendigo, The Pioneer, Warratta, Phoenix, Rosemount and Elizabeth reefs)</t>
  </si>
  <si>
    <t>Warratta Inlier</t>
  </si>
  <si>
    <t>Jeffreys Flat Formation</t>
  </si>
  <si>
    <t>Variably cleaved phyllite and slate; originally siltstone with minor sandstone beds, local minor limestone and conglomerate; local quartzo-feldspathic sandstone, impure limestone, slate with diagenetic pyrite, diamictite conglomerate.</t>
  </si>
  <si>
    <t>Depot Glen Formation</t>
  </si>
  <si>
    <t>Strongly-cleaved metamudstone (phyllite); interbedded metasiltstone and subarkose sandstone (containing detrital muscovite); regionally metamorphosed to greenschist facies; some laminated tuffaceous metamudstone.</t>
  </si>
  <si>
    <t>car (bleaching, possibly pre-ore), ser-py-car±chl (ore-related)</t>
  </si>
  <si>
    <t>Thalhammer (1992); Black (2006); Greenfield and Reid (2006); McQueen (2007); Gilmore (2010); Downes and Fitzherbert (2018a)</t>
  </si>
  <si>
    <t>Thalhammer (1992); Black (2006)</t>
  </si>
  <si>
    <t>Downes and Fitzherbert (2018a)</t>
  </si>
  <si>
    <t>Cited location and MINLOCNO are those of The Pioneer deposit (close to centre of district). Cited age is that of a whole rock K-Ar analysis of sericite-rich altered rock; it is supported by a second analysis that yielded an age of 438 ± 3 Ma. This age is older than a sample of phyllite outside of the alteration zone that gave an age of 424 ± 4 Ma (Thalhammer, 1992), which raises some questions as to the interpretation of the age (Downes and Fitzherbert, 2018a). The mineralised veins are cut by ~422 Ma (423.3 ± 2.1 Ma and 421.3 ± 2.0 Ma: Black, 2006) felsic dykes that provide a minimum age of mineralisation (Downes and Fitzherbert, 2018a). Although Greenfield and Reid (2006) identified chlorite as a alteration mineral, Downes and Fitzherbert (2018) indicated that it was not observed in petrographic or HyLogger studies of The Pioneer and New Bendigo deposits. Endowment includes production only.</t>
  </si>
  <si>
    <t>Warrawoona (including Klondyke (main deposit), Copenhagen, Coronation and Fieldings Gully)</t>
  </si>
  <si>
    <t>Warrawooma</t>
  </si>
  <si>
    <t>fch-py (Klondyke Queen)</t>
  </si>
  <si>
    <t>Hickman (1983); Huston et al. (2001); Calidus Resources Limited (2019)</t>
  </si>
  <si>
    <t>Calidus Resources Limited website (accessed 08-05-2024)</t>
  </si>
  <si>
    <t>Lead isotope evolution model used is Western Superior (Wabigoon-Uchi) of Thorpe et al. (1992b). Endowment includes hard rock production of 0.745 t, alluvial and dollied production of 0.022 t (Hickman, 1983) and a JORC-compliant total mineral resource of 43.02 Mt grading 1.18 g/t (Calidus Resources Limited, 2023).Total tonnage and average grade does not include historical figure as grade was not provided. Au tonnes includes historical and resources.</t>
  </si>
  <si>
    <t>Warrego</t>
  </si>
  <si>
    <t>chl±mt, tc±mt±dol, ser, chl-tm</t>
  </si>
  <si>
    <t>Lower amphibolite (contact)</t>
  </si>
  <si>
    <t>Wedekind et al. (1989); Wedekind and Love (1990); Donnellan (2013a)</t>
  </si>
  <si>
    <t>Ti-P</t>
  </si>
  <si>
    <t>Wateranga Gabbro</t>
  </si>
  <si>
    <t>Layered olivine gabbro, norite, anorthosite, minor granite.</t>
  </si>
  <si>
    <t>Endowment includes eluvial mineral resources of 225 Mt at 4.8% ilmenite, 20% feldspar, 12% mica (muscovite and phlogopite), 0.8% apatite and 30 ppm Sc. Titanium and P2O5 grades have been calculated using ideal mineral compositions. The feldspar and mica contents are not included in the endowment calculations. A "hard rock" resource of 345 Mt grading 34.3% feldspar has also been reported.</t>
  </si>
  <si>
    <t>Waterloo</t>
  </si>
  <si>
    <t>Strongly altered andesitic and rhyolitic volcanic and volcaniclastic rocks (footwall); greywacke, argillite and chert (hanging wall)</t>
  </si>
  <si>
    <t>Strongly altered andesitic and rhyolitic volcanic and volcaniclastic rocks (footwall)</t>
  </si>
  <si>
    <t>ser-qtz-py±pyr</t>
  </si>
  <si>
    <t>Berry et al. (1992); Huston et al. (1995); Stolz (1995); Hutton et al. (1997); Monecke et al. (2001); Beams et al. (2017)</t>
  </si>
  <si>
    <t>Sunshine Metals (2023)</t>
  </si>
  <si>
    <t>Endowment includes mineral resources only. Volcanic units within the Trooper Creek are broadly syn-ore as they both overlie and underlie the ore position.</t>
  </si>
  <si>
    <t>Watershed</t>
  </si>
  <si>
    <t>Slate, psammite/psammite breccia (locally calcareous) and minor quartzite</t>
  </si>
  <si>
    <t>gt (regional metamorphism) → gt-py-ti (early prograde) → clz-olg-qtz (early retrograde) → olg/ab-amp (late retrograde) → mus-ill-bt-fl-chl-pre-zeo-sul (last)</t>
  </si>
  <si>
    <t>Watta</t>
  </si>
  <si>
    <t>Wattle Dam</t>
  </si>
  <si>
    <t>Komatiite; basal pyroxenite; peridotite and picrite; minor sedimentary rock; metamorphosed</t>
  </si>
  <si>
    <t>dmp.wa.gov.au</t>
  </si>
  <si>
    <t>Bath et al. (2020)</t>
  </si>
  <si>
    <t>Maximum Resources (2023); Maximum Resources website (accessed 14/05/2024)</t>
  </si>
  <si>
    <t>The Wattle Dam deposit is a rare occurrence of a gold-only veins with an absence of quartz. Production includes historical production between 2008-2012 by Ramelius Resources of 266,350oz gold @ 10.6g/t gold and mineral resources of 5.4 Mt at 1.45 g/t Au.</t>
  </si>
  <si>
    <t>Wauchope</t>
  </si>
  <si>
    <t>Devils Marble Granite</t>
  </si>
  <si>
    <t>Pink, medium- to coarse-grained two-mica granite with phenocrystic microcline and subhedral andesine; accessory minerals are fluorite, titanite, apatite, zircon and opaque oxides.</t>
  </si>
  <si>
    <t>Ahmad and Khan (2013); Donnellan (2013b)</t>
  </si>
  <si>
    <t>Donnellan (2013b)</t>
  </si>
  <si>
    <t>Cited age is that of the Devils Marble Granite. Endowment includes historic production only. All ore was mined from oxidised zone.</t>
  </si>
  <si>
    <t>Waukarinaga district (includes Ajax, Alma and Victoria, Alma Extended, Balaklava and West Waukarinaga)</t>
  </si>
  <si>
    <t>Waukarinaga</t>
  </si>
  <si>
    <t>Cox Sandstone Member</t>
  </si>
  <si>
    <t>Sandstone, coarse-grained; sandstone medium- to fine-grained, with siltstone.</t>
  </si>
  <si>
    <t>Cited age is by analogy with that of the Deloraine district. Endowment includes historic production (1873-1969) from quartz-ironstone-pyrite veins.</t>
  </si>
  <si>
    <t>Wedderburn</t>
  </si>
  <si>
    <t>Cited age is based on Late Miocene-Early Pliocene (7.2-5.0 Ma) age of host Loxton Sand as reported by Keeling et al. (2016). Endowment includes mineral resources only as reported by www.wimresource.com.au (accessed December 2020).</t>
  </si>
  <si>
    <t>Weednanna district (includes Weednanna and Mawson)</t>
  </si>
  <si>
    <t>Skarn iron</t>
  </si>
  <si>
    <t>Au-Fe</t>
  </si>
  <si>
    <t>Biotite-plagioclase-quartz gneiss and metasomatised carbonate-rich rocks</t>
  </si>
  <si>
    <t>Felsic orthogneiss</t>
  </si>
  <si>
    <t>Weednana Skarn</t>
  </si>
  <si>
    <t>Magnetite skarn</t>
  </si>
  <si>
    <t>Weednanna Granite</t>
  </si>
  <si>
    <t>Undeformed, porphyritic granite</t>
  </si>
  <si>
    <t>[cpx-hbd-ol-po-gt-ti → mt-act-py-bt-mus-gt-srp-tc-car-qtz] (early iron event) → ser-chl-car-qtz (late gold event)</t>
  </si>
  <si>
    <t>https://drillhole.pir.sa.gov.au/MineralDepositDetails.aspx?DEPOSIT_NO=3136 (accessed May 2024)</t>
  </si>
  <si>
    <t>Fraser et al. (2007); Alliance Resources Limited (2018, 2022)</t>
  </si>
  <si>
    <t>Alliance Resources Limited (2022)</t>
  </si>
  <si>
    <r>
      <t xml:space="preserve">Cited age for iron event is that of the Weednanna Granite. Cited age for gold event is supported by a second sericite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age of 1587 ± 8 Ma. The age of the Weednanna Granite overlaps with that of the gold event, so the gold event is now interpreted as an intrusion-related gold event, and the iron event as and iron skarn. The cross section in Alliance Resources Limited (2022) indicates that the weathering profile has affected both the gold and iron zones, so an active third event of supergene/oxide gold has been inferred. Paragenetically, Fraser et al. (2007) identify an early magnetite event with associated skarn alteration assemblages and a later quartz-gold-bismuth event with sericite-chlorite-carbonate alteration assemblages. Endowment includes mineral resources only. Gold and iron occur in different zones and are the resources are reported separately: 1.106 Mt at 4.3 g/t Au and 1.15 Mt at 59.4% Fe (Alliance resources Limited, 2022).</t>
    </r>
  </si>
  <si>
    <t>Weipa</t>
  </si>
  <si>
    <t>Rolling Downs Group</t>
  </si>
  <si>
    <t>Grey mudstone, siltstone and fine sandstone, minor glauconitic sandstone; locally hardened and partially calcreted grey clayey regolith interpreted as slaked unstable mudstone. Includes quartzite dropstones, sparse marine fossils.</t>
  </si>
  <si>
    <t>Barremian-Cenomanian</t>
  </si>
  <si>
    <t>Taylor and Eglington (2008); Taylor et al. (2008); Clements et al. (2017); Rio Tinto Limited (2019); https://portergeo.com.au/database/mineinfo-mb.asp?mineid=mn807 (accessed March 2024); https://asud.ga.gov.au/search-stratigraphic-units/results/25817</t>
  </si>
  <si>
    <t>Clements et al. (2017); Rio Tinto Limited (2015); Rio Tinto annual report (2012-2023)</t>
  </si>
  <si>
    <r>
      <t xml:space="preserve">Cited age of host unit is the midpoint of the age range assigned to the Bulimba Formation; the uncertainties cover the total possible age range. Interpretation that bauxitisation is current is based on interpretations of Taylor and Eggleton (2008) and young </t>
    </r>
    <r>
      <rPr>
        <vertAlign val="superscript"/>
        <sz val="9"/>
        <color rgb="FF000000"/>
        <rFont val="Times New Roman"/>
        <family val="1"/>
      </rPr>
      <t>13</t>
    </r>
    <r>
      <rPr>
        <sz val="9"/>
        <color rgb="FF000000"/>
        <rFont val="Times New Roman"/>
        <family val="1"/>
      </rPr>
      <t>C ages (11.7-5.2 ka) of charcoal incorporated in red soil. Endowment includes total endowment for bauxite on the Weipa plateau. Assumed grade is based on grades reported resources estimates by Rio Tinto Limited (2023) and include a approximated pre-2014 mined resources of 500 Mt Al (Rio Tinto, 2015).</t>
    </r>
  </si>
  <si>
    <t>West Mount Hut</t>
  </si>
  <si>
    <t>West Peko</t>
  </si>
  <si>
    <t>Skirrow and Walshe (2002)</t>
  </si>
  <si>
    <t>West Wyalong district (inc True Blue, Neeld, Mallee Bull, Golden Fleece, Homeward Bound)</t>
  </si>
  <si>
    <t>West Wyalong</t>
  </si>
  <si>
    <t>Ungarie Granite</t>
  </si>
  <si>
    <t>Medium-grained equigranular to sporadically porphyritic biotite granodiorite and granite with biotite-rich microgranular enclaves and metasedimentary xenoliths.</t>
  </si>
  <si>
    <t>Bland Diorite</t>
  </si>
  <si>
    <t>Medium- to coarse-grained diorite and hornblende porphyrite.</t>
  </si>
  <si>
    <t>Narragudgil Volcanics</t>
  </si>
  <si>
    <t>Gabbro, andesite, diorite, basaltic andesite; metamorphosed to greenschist and amphibolite grade</t>
  </si>
  <si>
    <t>ser-chl-py (Ungarie Granite), ser-chl-py-ep-act (Bland Diorite)</t>
  </si>
  <si>
    <t>Carr et al. (1995); Suppel et al. (1986); Downes and Burton (2000); Saturn Metals Limited (2020)</t>
  </si>
  <si>
    <t>Downes and Burton (2000); Saturn Metals Limited (2020)</t>
  </si>
  <si>
    <t>Cited age is a Carr et al. (1995) Lachlan lead isotope model age. Endowment includes historic production between 1894 and 1915.</t>
  </si>
  <si>
    <t>Western Arm</t>
  </si>
  <si>
    <t>ksp-py-hm-asp</t>
  </si>
  <si>
    <t>Partington and McNaughton (1997); Ahmad et al. (2009); Ahmad and Hollis (2013); Edwards and Keily (2017)</t>
  </si>
  <si>
    <t>Western district (includes Coombah 1, Magic, Massidon and Springwood)</t>
  </si>
  <si>
    <t>Western</t>
  </si>
  <si>
    <t>Bemax Resources Limited (2008); Standing et al. (2017); Broken Hill Prospecting Limited (2018)</t>
  </si>
  <si>
    <t>Bemax Resources Limited (2008); Keeling et al. (2016); Standing et al. (2017); Broken Hill Prospecting Limited (2018)</t>
  </si>
  <si>
    <t>Bemax Resources Limited (2008);Broken Hill Prospecting Limited (2018)</t>
  </si>
  <si>
    <t>Cited location is that of the Massidon deposit. Cited age is based on Late Miocene-Early Pliocene (7.2-5.0 Ma) age of host Loxton Sand as reported by Keeling et al. (2016). Endowment includes mineral resources only as reported by Bemax Resources Limited (2008) and Broken Hill Prospecting Limited (2018). To estimate Ti content, total leucoxene (magnetic plus non-magnetic) is conservatively assumed to contain 70% TiO2. Ti endowment is an estimate and is NOT code-compliant.</t>
  </si>
  <si>
    <t>Westmoreland</t>
  </si>
  <si>
    <t>Westmoreland Conglomerate</t>
  </si>
  <si>
    <t>Porous, coarse grained sandstone, conglomeratic in part</t>
  </si>
  <si>
    <t>Redtree Dolerite (local name)</t>
  </si>
  <si>
    <t>Aphyric, medium-grained dolerite dikes</t>
  </si>
  <si>
    <t>hm-qtz (early diagenesis) → il-dck-chl-qtz-py (late diagenesis) → hm-il-rut-py-gn (ore formation)</t>
  </si>
  <si>
    <t>Polito et al. (2005a); T Mernagh in Kositcin et al. (2009); Duckworth et al. (2016); www.laramide.com (accessed 26 August 2020)</t>
  </si>
  <si>
    <t>Polito et al. (2005a)</t>
  </si>
  <si>
    <t>Duckworth et al. (2016); www.laramide.com (accessed 16 April 2024)</t>
  </si>
  <si>
    <t>Cited age is the oldest LA-ICP-MS uraninite U-Pb age reported by Polito et al. (2005a). Polito et al. (2005a) also report younger ages (to 497 Ma). Endowment includes NI43-101-compliant mineral resources in 2016.</t>
  </si>
  <si>
    <t>Westonia-Holleton</t>
  </si>
  <si>
    <t>Holleton</t>
  </si>
  <si>
    <t>Albite and garnet</t>
  </si>
  <si>
    <t>Kent et al. (1996)</t>
  </si>
  <si>
    <t>Wet Lagoon</t>
  </si>
  <si>
    <t>Wet Lagoon Volcanics</t>
  </si>
  <si>
    <t>Brecciated, foliated and altered rhyolitic volcaniclastic sandstone</t>
  </si>
  <si>
    <t>qtz-phg-chl±mus±car</t>
  </si>
  <si>
    <t xml:space="preserve">Downes (2006, 2012); Huston et al. (2006a) </t>
  </si>
  <si>
    <t>Cited age is based upon correlation with other regional Silurian volcanic successions. Endowment includes mineral resources.</t>
  </si>
  <si>
    <t>Wheal Ellen</t>
  </si>
  <si>
    <t>qtz-mus-py-sp-tm</t>
  </si>
  <si>
    <t>Belpario et al. (1998); Seccombe et al. (1985); Both (1990); Jenkins et al. (2002); Foden et al. (2006); Haines et al. (2009); Porter (2017e)</t>
  </si>
  <si>
    <t>Seccombe et al. (1985)</t>
  </si>
  <si>
    <t>Zn-Pb-Ag-Au</t>
  </si>
  <si>
    <t>Bookingarra Group - Rushall Slate</t>
  </si>
  <si>
    <t>Chloritic phyllite and slate intruded by ∼25% sills of high-Mg basalt. A 50-250-m-thick sill of high-Mg basalt (Comstock Member) is present near the base and can be traced for more than 4 km.</t>
  </si>
  <si>
    <t>Reynolds et al. (1975); Gulson (1986); Thorpe et al. (1992b); Collins and Marshall (1999a); Huston (2006); D Huston (unpub. data); Venturex Resources Limited (2020)</t>
  </si>
  <si>
    <t>Lead isotope evolution model used to determine model age is the Western Superior (Wabigoon-Uchi) model of Thorpe et al. (1992b); age of host sequence constrained to between ~2964 Ma and ~2943 Ma (Huston, 2006). Endowment includes recent and historic production (46.5 kt Cu; includes production from the nearby Mons Cupri deposit) and total mineral resources at 3 April 2023 (2.575 Mt at 0.90% Cu, 0.66% Zn, 0.16% Pb, 5 g/t Ag and 0.04 g/t Au: Anax Metals Limited, 2023).</t>
  </si>
  <si>
    <t>White Dam</t>
  </si>
  <si>
    <t>George Mine Formation</t>
  </si>
  <si>
    <t>Migmatitic quartz-feldspar-biotite gneiss after a psammopelitic protolith</t>
  </si>
  <si>
    <t>Unnamed pegmatitic segregations</t>
  </si>
  <si>
    <t>Bimbowrie Suite</t>
  </si>
  <si>
    <t>Medium- to coarse-grained, massive to foliated, equigranular to strongly porphyritic muscovite-biotite monzogranites; variably magnetic.</t>
  </si>
  <si>
    <t>Williams and Skirrow (2000); http://www.portergeo.com.au/database/mineinfo.asp?mineid=mn1571 (accessed March 2021)</t>
  </si>
  <si>
    <t>https://www.gbmr.com.au/projects/white-dam/ (accessed May 2024)</t>
  </si>
  <si>
    <t>Cited age is youngest of two molybdenite ages; the other age was 1631 Ma. No uncertainties were provided in reference. The age is older than the spatially associated Bimbowrie Suite, which has ages of 1594 ± 8 Ma to 1581 ± 3 Ma (www.asud.ga.gov.au; accessed May 2020). Endowment includes production from 2016 to 2021 (26.5 koz: from production graph in https://www.gbmr.com.au/projects/white-dam/) and JORC-compliant mineral resources of 4.6 Mt at 0.7 g/t Au.</t>
  </si>
  <si>
    <t>White Devil</t>
  </si>
  <si>
    <t>Edwards et al. (1990); Nguyen et al. (1989); Huston et al. (1993); Maidment et al. (2013); Donnellan (2013a)</t>
  </si>
  <si>
    <t>Maidment et al. (2013)</t>
  </si>
  <si>
    <t>Cited age is that of a felsic dyke that cuts early stage (ironstone) mineralisation but is altered by assemblage characteristic of late stage (Cu-Au) mineralisation. Endowment includes production only, with the grades cited the recovered grades.</t>
  </si>
  <si>
    <t>White Range (Excelsior)</t>
  </si>
  <si>
    <t>Heavitree Formation</t>
  </si>
  <si>
    <t>Fine-, medium- or coarse-grained, planar and cross-bedded, variably feldspathic quartzose sandstone, pink, grey, pinkish-brown, purple or white weathering, and rare laminated mudstone or conglomerate intervals.</t>
  </si>
  <si>
    <t>Endowment includes production of 81% of 1899-1934 production for entire Arltunga field (Mackie, 1984), all production (primary and retreatment) from the White Range project between 1989 and 1998, and mineral resources of 0.34 Mt at 3.1 g/t Au.</t>
  </si>
  <si>
    <t>White Rock</t>
  </si>
  <si>
    <t>[mt-hed±gro±fhs (prograde) → act-hbd-clz-bt-chl-fl±sch±py±po±sul (retrograde)] (proximal) → [hed-anr-cpx (prograde) → act-fhs-clz±sch±sul±py (retrograde)] (distal)</t>
  </si>
  <si>
    <t>Bodorkos et al. (2010); Downes (2012)</t>
  </si>
  <si>
    <r>
      <t>Cited age is that of the Rye Park Granite, with which the deposit is interpreted to be associated. Endowment includes mineral resources only; tin grades have been determined from reported SnO</t>
    </r>
    <r>
      <rPr>
        <vertAlign val="subscript"/>
        <sz val="9"/>
        <rFont val="Times New Roman"/>
        <family val="1"/>
      </rPr>
      <t>2</t>
    </r>
    <r>
      <rPr>
        <sz val="9"/>
        <rFont val="Times New Roman"/>
        <family val="1"/>
      </rPr>
      <t xml:space="preserve"> grades (0.15%).</t>
    </r>
  </si>
  <si>
    <t>White Violet</t>
  </si>
  <si>
    <t>https://www.mindat.org/loc-190635.html (accessed May 2024)</t>
  </si>
  <si>
    <t>Scrimgeour (2013a); Thor Mining PLC (2020); https://www.mindat.org/loc-190635.html (accessed May 2024)</t>
  </si>
  <si>
    <t>Cited location is approximate,</t>
  </si>
  <si>
    <t>Whites</t>
  </si>
  <si>
    <t>Cu-U</t>
  </si>
  <si>
    <t>ser-chl-hm</t>
  </si>
  <si>
    <t>Whitewash</t>
  </si>
  <si>
    <t>Nogo</t>
  </si>
  <si>
    <t>Ag-W</t>
  </si>
  <si>
    <t>Wingfield Granite</t>
  </si>
  <si>
    <t>Porphyritic hornblende-biotite granite to granodiorite</t>
  </si>
  <si>
    <t>Leucogranite and porphyry</t>
  </si>
  <si>
    <t>pot (bt-ksp; proximal ) → phy → pro (distal)</t>
  </si>
  <si>
    <t>Bookstrom et al. (2010); I'ons and Goody (2010); Aussie Q Resources (2011); Purdy (2013); Huston et al. (2022)</t>
  </si>
  <si>
    <t>Aussie Q Resources (2011)</t>
  </si>
  <si>
    <t>The deposit is interpreted as a calc-alkalic porphyry copper deposit based on geochemical diagrams provided by D Purdy (Geological Survey of Queensland, pers. comm., 2020) showing the composition of the Wingfield Suite, which hosts the deposit. Endowment includes mineral resources only.</t>
  </si>
  <si>
    <t>Whundo-West Whundo</t>
  </si>
  <si>
    <t>Basalt, with minor ultramafic, felsic, and sedimentary units; metamorphosed</t>
  </si>
  <si>
    <t>Alternating metamorphosed basalt, andesite, dacite, rhyolite and thin sedimentary units including chert and BIF</t>
  </si>
  <si>
    <t>qtz-chl-mus±py±and</t>
  </si>
  <si>
    <t>Smith (1998a); Collins and Marshall (1999b); Fox Resources Limited (2007); Hickman (2016); Greentech Metals Limited (2022)</t>
  </si>
  <si>
    <t>Endowment only includes JORC-compliant sulfide resources and does not include 9585 tonnes of copper produced from supergene ores. Deposit is interpreted to be located along the contact between the Nallana Formation and overlying Tozer Formation.</t>
  </si>
  <si>
    <t>Wickliffe</t>
  </si>
  <si>
    <t>dol-sl-py → qtz-py → ser-chl±qtz±py</t>
  </si>
  <si>
    <t>Haydon (1999b)</t>
  </si>
  <si>
    <t>Donaghy (1994); Haydon (1999b); Lewis et al. (2016, 2018); Duncan et al. (2018)</t>
  </si>
  <si>
    <t>Lewis et al. (2016)</t>
  </si>
  <si>
    <t>Cited location is the approximate centre of drill holes from prospect as shown in Figure 10 of Haydon (1999b). Age is maximum depositional age of host Towanway Tuff (Lewis et al., 2016).</t>
  </si>
  <si>
    <t>Widgiemooltha Dome (includes Mariners, Miitel-Burnett, Mount Edwards, Redross, Voyce and Wannaway)</t>
  </si>
  <si>
    <t>Kambalda Komatiite (locally Widgiemooltha Komatiite)</t>
  </si>
  <si>
    <t>Hatfield et al. (2017)</t>
  </si>
  <si>
    <t>Stone and Masterman (1998); Hoatson et al. (2006); Mincor Resources NL (2016, 2019); Hatfield et al. (2017)</t>
  </si>
  <si>
    <t>Hoatson et al. (2006); Mincor Resources NL (2016, 2019); Hatfield et al. (2017)</t>
  </si>
  <si>
    <t>Cited location is that provided by Hatfield et al., 2017). Cited age is by analogy with other Eastern Goldfields nickel sulfide deposits. Endowment includes total production to 30 June 2016 (Mariners, Miitel, Redross and Wannaway: Hatfield et al., 2017) and JORC-2012-compliant resource data as of 30 June 2016 for these deposits and the Voyce deposit (Mincor Resources NL, 2016). The data for Cassini are from Mincor Resources NL (2019). The data for Mount Edwards are from Hoatson et al. (2006). A global, pre-mining endowment for the Kambalda district (including the Kambalda Dome, Saint Ives, Golden Hill-Carnilya, Tramways Dome and Widgiemooltha Dome) was 67 Mt grading 2.9% Ni (Stone and Masterman, 1998), but it was not possible to assign this endowment according to sub-district deposit clusters.</t>
  </si>
  <si>
    <t>Wilcherry Hill</t>
  </si>
  <si>
    <t>Wilclo South</t>
  </si>
  <si>
    <t>Graphitic quartz-mica schist interlayered with quartz-feldspar gneiss and minor amphibolite above footwall of mainly amphibolite</t>
  </si>
  <si>
    <t>Mafic amphibolite in Hutchison Group</t>
  </si>
  <si>
    <t>Mafic amphibolite</t>
  </si>
  <si>
    <t>Wild Cattle Creek</t>
  </si>
  <si>
    <t>Coffs Harbour</t>
  </si>
  <si>
    <t>Brooklana beds</t>
  </si>
  <si>
    <t>Metamorphosed argillite and claystone</t>
  </si>
  <si>
    <t>Dundurrabin Granodiorite</t>
  </si>
  <si>
    <t>Biotite granodiorite, leucogranite, commonly foliated with blue quartz, and minor amphibole, garnet and graphite</t>
  </si>
  <si>
    <t>[pl-bt-ilm → ser-chl-leu-cal] (pre-ore) → [ser-qtz-sul → ser-sul-qtz±ana±car] (syn-ore)</t>
  </si>
  <si>
    <t>Gilligan et al. (1992); Rabone (2010)</t>
  </si>
  <si>
    <t>Gilligan et al. (1992); Anchor Resources Limited (2011)</t>
  </si>
  <si>
    <t>Age is by analogy with the Hillgrove deposit. Endowment includes production of 6 t at 46% Sb (1890-1892), 6100 t at 4.4% Sb (1966) and 16,500 t to produce 300 t Sb (1.82% Sb: 1970-1974), and mineral resource of 610,000 t 2.56% Sb (at 1.0% cutoff grade)</t>
  </si>
  <si>
    <t>Wilga</t>
  </si>
  <si>
    <t>https://www.mindat.org/loc-239474.html (accessed March 2024)</t>
  </si>
  <si>
    <t>Boden and Valenta (1995); Champion et al. (2009); Independence Group NL (2015b); GSA Victoria (2020)</t>
  </si>
  <si>
    <t>Campbell et al. (2003); GSA Victoria (2020); Aeris Resources Limited (2024)</t>
  </si>
  <si>
    <t>Age is based upon correlation with other regional Silurian volcanic successions. The host Gibsons Folly Formation is assigned a Pridoli age (423.0 ± 2.3 to 419.2 ± 3.2 Ma) by asud.ga.gov.au. Cited resources are JORC-compliant. Endowment includes resources as of 17 January 2024 (Aeris Resources Limited: 3.5 Mt at 2.16% Cu, 4.29% Zn, 28 g/t Ag and 0.43 g/t Au) plus production (1992-1996) of 937,740 t (Campbell et al., 2003) to produce 34,037 t Cu, 16.894 t Zn and 10,136 kg Ag (GSA Victoria, 2020). Gold grade for production was assumed as the grade of the current resources.</t>
  </si>
  <si>
    <t>The Wilgena Hill Jaspilite unconformably overlies Archean paragneiss and orthogneiss with a metamorphic age of 2488 ± 130 Ma (Daly, 1979) and is included as clasts within clastic rocks of the overlying Labyrith Formation, which contains a 1723 ± 10 Ma rhyolite. The age is constrained between ~2488 Ma and ~1723 Ma.</t>
  </si>
  <si>
    <t>Willandra East district (includes Atlas, Campaspe, Coliban, Cylinder, Goliath, Karra and Wakool)</t>
  </si>
  <si>
    <t>Willandra East</t>
  </si>
  <si>
    <t>Cited location is that of the Karra deposit. Cited age is based on Late Miocene-Early Pliocene (7.2-5.0 Ma) age of host Loxton Sand as reported by Keeling et al. (2016). Endowment includes mineral resources only as reported by Bemax Resources Limited (2008).</t>
  </si>
  <si>
    <t>Willandra West district (Barda, Birthday Gift, Blind Pew, Brigantine, Byrnes Tank, Cavalier North, Cavalier South, Finigans Tank, Triangle, Trelawney and Western Strands)</t>
  </si>
  <si>
    <t>Willandra West</t>
  </si>
  <si>
    <t>Cited location is that of the Barda deposit. Cited age is based on Late Miocene-Early Pliocene (7.2-5.0 Ma) age of host Loxton Sand as reported by Keeling et al. (2016). Endowment includes mineral resources only as reported by Bemax Resources Limited (2008).</t>
  </si>
  <si>
    <t>Williamson</t>
  </si>
  <si>
    <t>Blackham Resources (2017, 2018); www.blackhamresources.com.au</t>
  </si>
  <si>
    <t>Cited age is by analogy with the Matilda deposit. Cited endowment include production to September 2006 of 0.668 Mt grading 1.98 g/t (www.blackhamresources.com.au/williamson-mine/) and resources of 5.9 Mt grading 1.7 g/t Au at 30 June 2018.</t>
  </si>
  <si>
    <t>Willowdale</t>
  </si>
  <si>
    <t>Granite and granitic gneiss</t>
  </si>
  <si>
    <t>Wiluna (including Bulletin, Bulletin South, Henry 5, Woodley and Bulletin Deeps)</t>
  </si>
  <si>
    <t>Flow II</t>
  </si>
  <si>
    <t>Fine-grained, carbonate-rich, low-Mg basalt</t>
  </si>
  <si>
    <t>Flow III</t>
  </si>
  <si>
    <t>Coarse-grained, amphibole-rich, low-Mg basalt with interflow siltstone, mudstone, black shale and chert</t>
  </si>
  <si>
    <t>Flows I, II and II</t>
  </si>
  <si>
    <t>Low-Mg basalt</t>
  </si>
  <si>
    <t>Felsite dykes</t>
  </si>
  <si>
    <t>intensely brecciated qtz-dol±fch (proximal) → less brecciated qtz-dol±fch±ser±chl±ep → strain free chl-cal (distal)</t>
  </si>
  <si>
    <t>Hagemann et al. (1992); Blackham Resources (2018); Wiluna Mining (2022)</t>
  </si>
  <si>
    <t>Wiluna Mining (2022)</t>
  </si>
  <si>
    <t>Cited age is by analogy with the Matilda deposit. Cited endowment includes production of over 4 Moz and 30 September 2023 mineral resources (Wiluna Mining, 2022).</t>
  </si>
  <si>
    <t>Windermere</t>
  </si>
  <si>
    <t>Wingellina</t>
  </si>
  <si>
    <t>Hinckley Range Gabbro</t>
  </si>
  <si>
    <t>Gabbro, gabbronorite</t>
  </si>
  <si>
    <t>https://www.mindat.org/loc-192498.html (accessed March 2024)</t>
  </si>
  <si>
    <t>Evins et al. (2020); Putzolu et al. (2018, 2020), NiCo Resources Limited (2022)</t>
  </si>
  <si>
    <t>Evins et al. (2010)</t>
  </si>
  <si>
    <t>NiCo Resources Limited (2022)</t>
  </si>
  <si>
    <t>Cited age is weighted composite of eight ages from gabbro, gabbronorite and associated granitic rocks from the Hickley Range Gabbro.</t>
  </si>
  <si>
    <t>Wingina (including Wingina, Mount Berghaus and Amanda)</t>
  </si>
  <si>
    <t>Wingina</t>
  </si>
  <si>
    <t>Mallina Formation</t>
  </si>
  <si>
    <t>Interbedded metamorphosed shale, siltstone, sandstone, and medium to fine grained wacke; minor layers of chert</t>
  </si>
  <si>
    <t>Hickman (2016); DeGrey Mining Limited (2020, 2021)</t>
  </si>
  <si>
    <t>DeGrey Mining Limited (2020, 2021)</t>
  </si>
  <si>
    <t>Endowment includes mineral resources at 2 April 2020.</t>
  </si>
  <si>
    <t>Winu</t>
  </si>
  <si>
    <t>Winu mine sequence - Yeneena Supergroup, Malu Formation?</t>
  </si>
  <si>
    <t xml:space="preserve"> 700-m-thick sequence of interbedded, mostly structureless, thick metasandstone beds (subarkoses), thinner dark porphyroblastic siltstones, and less common calcareous metasiltstones and calc-silicate rocks, mostly in the lower parts</t>
  </si>
  <si>
    <t>Unnamed mafic (basaltic) sill</t>
  </si>
  <si>
    <t>Early, highly altered and mineralized bedding-parallel mafic sill (amphibolite) with a metamorphic texture dominated by amphibole, biotite, and K-feldspar</t>
  </si>
  <si>
    <t>Massive, undeformed granite rich in K-feldspar and plagioclase with lesser quartz and muscovite; non-magnetic</t>
  </si>
  <si>
    <t>Gray to pinkish-grey and contain plagioclase, K-feldspar, quartz, biotite, and fine-grained magnetite; magnetic</t>
  </si>
  <si>
    <t>Unnamed mafic dikes</t>
  </si>
  <si>
    <t xml:space="preserve"> Fine grained mafic dykes that preserve porphyritic or rare ophitic texture and are locally strongly hydrothermally brecciated with magmatic minerals altered to chlorite and saponite but cut chalcopyrite-mineralised veins</t>
  </si>
  <si>
    <t>ksp-mus-tit-carep (early stockwork) → ksp-mus-chl-rut-sul (early stage mineralisation) → ksp-bt-mus-chl-sul → bt-mus-ksp → bt-chl-ank-ep-mus-ksp-rut-sul (main stage mineralisation) → mus-bt (late stage mineralisation)</t>
  </si>
  <si>
    <t>Dalstra et al. (2023)</t>
  </si>
  <si>
    <t>Rio Tinto Limited (2020); Dalstra et al. (2023)</t>
  </si>
  <si>
    <t>Rio Tinto Limited (2020)</t>
  </si>
  <si>
    <t>Cited age is the oldest of three molybdenite Re-Os ages, all within error. Endowment includes mineral resources only (Rio Tinto Limited, 2020).</t>
  </si>
  <si>
    <t>Wiperaminga Subgroup</t>
  </si>
  <si>
    <t>Wiperaminga Subgroup, George Mine Formation</t>
  </si>
  <si>
    <t>Pelite, psammite\pelite and psammite, but characterised by albite granofels. Contains numerous magnetite-rich units; volcanic interbeds.</t>
  </si>
  <si>
    <t>Page et al. (1998, 2005a)</t>
  </si>
  <si>
    <t>Cited age is the most precise age of the associated Basso Suite volcanics. It is supported by additional ages ranging from 1713 ± 3 Ma to 1710 ± 3 Ma.</t>
  </si>
  <si>
    <t>Wirlong</t>
  </si>
  <si>
    <t>Ag-Zn-Au-Pb</t>
  </si>
  <si>
    <t>Massive to locally laminated quartz-rich sandstones and interbedded shale, siltstone and sandstone turbidites</t>
  </si>
  <si>
    <t>Shuttleton Rhyolite Member</t>
  </si>
  <si>
    <t>Massive, porphyritic, flow-banded and auto-brecciated rhyolite</t>
  </si>
  <si>
    <t>https://www.peelmining.com.au/projects/wirlong/ (accessed March 2024)</t>
  </si>
  <si>
    <t>Cited age is by analogy with other Cobar-type Cu deposits in the Cobar Basin.</t>
  </si>
  <si>
    <t>Wirralie</t>
  </si>
  <si>
    <t>Bimurra Volcanics</t>
  </si>
  <si>
    <t>Three distinct lith and crystal-lithic tuffs separated by volcaniclastic sedimentary units</t>
  </si>
  <si>
    <t>Mount Wyatt Formation</t>
  </si>
  <si>
    <t>Locally carbonaceous, well-sorted fluviatile siltstone and sandstone</t>
  </si>
  <si>
    <t>qtz-kao (silica cap) → il-py, adu (gold zone) → il-qtz-py (upper footwall) → il-car-qtz (lower footwall) → smc-car (distal); silica cap overprints underlying alteration assemblage</t>
  </si>
  <si>
    <t>Fellows and Hammond (1990); Perkins et al. (1995); Seed and Ruxton (1998)</t>
  </si>
  <si>
    <t>Seed and Ruxton (1998)</t>
  </si>
  <si>
    <t>Endowment includes production from March 1988 to July 1993 (4.84 Mt at 2.45 g/t Au) and unmined oxide resources (7.61 Mt at 0.80 g/t Au) and unmined, refractory sulfide ore (6.63 Mt at 1.78 g/t Au) (Seed and Ruxton, 1998).</t>
  </si>
  <si>
    <t>Witchelina</t>
  </si>
  <si>
    <t>Withnell (including Withnell, Mallina, Toweranna, Camel, Calvert, Roe, Dromedary and Hester)</t>
  </si>
  <si>
    <t>Withnell</t>
  </si>
  <si>
    <t>Gossan (see comments)</t>
  </si>
  <si>
    <t>qtz-car-ser-fld (Withnell); sil-car, pyr (Camel)</t>
  </si>
  <si>
    <t>Thorpe et al. (1992b); Huston et al. (2002a,b); Hickman (2016); DeGrey Mining Limited (2020, 2021)</t>
  </si>
  <si>
    <t>Thorpe et al. (1992b); Huston et al. (2002a)</t>
  </si>
  <si>
    <t>Hickman (2016); DeGrey Mining Limited (2020, 2021, 2023)</t>
  </si>
  <si>
    <t>Cited age is the average of two lead isotope model ages (2954 Ma and 2948 Ma) of two Pb-rich (&gt;1000 ppm Pb) gossan samples using the Western Superior model of Thorpe (1992b). Endowment includes production of 0.9 t during 2006-2007 and 2021 total JORC-compliant mineral resources of 29.1 Mt grading 1.8 g/t Au.</t>
  </si>
  <si>
    <t>Wodgina (including Anson, Avro, Constellation, Dragon, Hercules North and Hercules South)</t>
  </si>
  <si>
    <t>Wodgina</t>
  </si>
  <si>
    <t>Nelson (1998); Duuring et al. (2017); Teitler et al. (2017)</t>
  </si>
  <si>
    <t>Wodgina (including Wodgina main lode, Mount Cassiterite, Mount Tinstone and Wodgina alluvials)</t>
  </si>
  <si>
    <t>Wodgina greenstone belt</t>
  </si>
  <si>
    <t>Fine-grained psammite with lesser biotite-bearing pelitic interbeds; host to Mount Cassiterite pegmatite group</t>
  </si>
  <si>
    <t>Metamorphosed chlorite-tremolite komatiite with minor metabasalt and dolerite; host to Wodgina main-lode pegmatite</t>
  </si>
  <si>
    <t>Mount Cassiterite pegmatite group</t>
  </si>
  <si>
    <t>Deeply weathered, massive to weakly layered pegmatite with a central zone of megacrystic spodumene with subordinate microcline and fine-grained albite-quartz-muscovite border zones.</t>
  </si>
  <si>
    <t>Wodgina pegmatite group</t>
  </si>
  <si>
    <t>Layered pegmatite with a central albite-quartz-muscovite pegmatite unit with marginal massive cleavelandite units; a massive quartz core is present in the north</t>
  </si>
  <si>
    <t>Mineral Resources Limited (2018)</t>
  </si>
  <si>
    <t>Kennedy (1998); Kinny (2000); Sweetapple et al. (2001); Sweetapple and Collins (2002); Fetheston (2004); Mineral Resources Limited (2018); https://portergeo.com.au/database/mineinfo.asp?mineid=mn1536#:~:text=The%20Wodgina%20pegmatite%20deposits%20were,from%20alluvial%20and%20eluvial%20deposits (accessed April 2024)</t>
  </si>
  <si>
    <t>Sweetapple et al. (2001); Fetherston (2004); Mineral Resources Limited (2017, 2018a,b)</t>
  </si>
  <si>
    <t>Cited location is the approximate centre of the Mount Cassiterite resource as defined in 2018 (Mineral Resources Limited, 2018a). Apatite age is 2802 ± 115 Ma. Mining occurred in several phases, including historic Ta-Nb-Sn mining prior to 1988, Ta mining from 1988 to 2012, and Li mining from 2017 to present. The first phase of mining produced 269 t Ta, 44 t Nb and 85 t beryl at the Wodgina main-lode pegmatite, and 308 t Ta, 193 t Sn and 39 t Nb at Mount Wodgina/Mount Tinstone (Fetherston, 2004). The second phase of Ta mining exhausted pre-mining resources (0.402 Mt at 0.128% Ta2O5 and 0.021% Nb2O3) at the Wodgina main-lode pegmatite and produced 4.37 Mt at 525 ppm Ta2O5 and 292 ppm SnO2 to 1998 from a global resource of 28 Mt at 415 ppm Ta2O5 at Mount Cassiterite (Sweetapple et al., 2001; www.portergeo.com.au). Fetherston (2004) reported a small alluvial resource at the Wodgina alluvials of 0.059 Mt at 0.080% Ta2O5. The third phase of Li-Ta mining commenced in 2017 but had a period of care and maintenance from 2018 to 2021. A total of 4201 t of direct shipping ore was exported between the second half of FY2017 and the second half of FY2018, but the grade was not indicated (Mineral Resources Limited, 2017, 2018b). Tin endowment includes production prior to 1988 and reported production from Mount Cassiterite during second phase of mining. Niobium endowment includes all reported production. Tantalum endowment includes pre-1988 production, pre-mining resources for 1988-1994 production at Wodgina main-lode, the 1998 global mineral resource at Mount Cassiterite, and the 2018 mineral resource at Mount Cassiterite (pegmatite resources: 236.92 Mt at 1.19% Li2O and 160 ppm Ta2O5; tailing resources: 22.27 Mt at 0.96% Li2O and 190 ppm Ta2O5). Lithium endowment includes 2018 mineral resources but does not include 2017-2018 shipments of direct shipping ore.</t>
  </si>
  <si>
    <t>Wolfram Camp</t>
  </si>
  <si>
    <t>James Creek Granite</t>
  </si>
  <si>
    <t>Pale to medium grey or pinkish-grey, medium to coarse-grained biotite granite; variably altered.</t>
  </si>
  <si>
    <t>Chang et al. (2017); Wheeler (2017)</t>
  </si>
  <si>
    <r>
      <t>Endowment includes production of 12,526 t WO</t>
    </r>
    <r>
      <rPr>
        <vertAlign val="subscript"/>
        <sz val="9"/>
        <rFont val="Times New Roman"/>
        <family val="1"/>
      </rPr>
      <t>3</t>
    </r>
    <r>
      <rPr>
        <sz val="9"/>
        <rFont val="Times New Roman"/>
        <family val="1"/>
      </rPr>
      <t xml:space="preserve"> and mineral resources of 2.393 Mt grading 0.29% WO</t>
    </r>
    <r>
      <rPr>
        <vertAlign val="subscript"/>
        <sz val="9"/>
        <rFont val="Times New Roman"/>
        <family val="1"/>
      </rPr>
      <t>3</t>
    </r>
    <r>
      <rPr>
        <sz val="9"/>
        <rFont val="Times New Roman"/>
        <family val="1"/>
      </rPr>
      <t xml:space="preserve"> and 0.08% MoS</t>
    </r>
    <r>
      <rPr>
        <vertAlign val="subscript"/>
        <sz val="9"/>
        <rFont val="Times New Roman"/>
        <family val="1"/>
      </rPr>
      <t>2</t>
    </r>
    <r>
      <rPr>
        <sz val="9"/>
        <rFont val="Times New Roman"/>
        <family val="1"/>
      </rPr>
      <t xml:space="preserve"> (Chang et al., 2017; Wheeler, 2017).</t>
    </r>
  </si>
  <si>
    <t>Wolfram Hill</t>
  </si>
  <si>
    <t>mus-bt-qtz (vein edge)</t>
  </si>
  <si>
    <t>Endowment includes production only. 258 t of copper concentrate were produced; the copper metal content was estimated assuming the concentrate was chalcopyrite (main copper ore mineral).</t>
  </si>
  <si>
    <t>Wolverine</t>
  </si>
  <si>
    <t>Morin-Ka et al. (2016); Nazari-Dehkordi et al. (2018, 2020)</t>
  </si>
  <si>
    <t>Morin-Ka et al. (2016); Nazari-Dehkordi et al. (2020)</t>
  </si>
  <si>
    <t>The cited age (Morin-Ka et al., 2016) is the oldest age for the Wolverine deposit and is from breccia-type ores. A younger age is indicted for vein-hosted ores; the youngest age is from overgrowths (Nazari-Dehkordi et al. (2020). Hematite is spatially associated with mineralization, and occurs pre-, syn- and post-ore; pyrite and sulfates post-date the ore assemblage. The basement rocks (Browns Range Metamorphics) have been metamorphosed to greenschist facies whereas the overlying basin (Gardiner Sandstone) is sub-greenschist. Both host ore.</t>
  </si>
  <si>
    <t>Wonarah (including Main Zone and Arruwurra)</t>
  </si>
  <si>
    <t>Wonarah</t>
  </si>
  <si>
    <t>Wonawinta (Manuka)</t>
  </si>
  <si>
    <t>Wonawinta</t>
  </si>
  <si>
    <t>Booth Limestone Member</t>
  </si>
  <si>
    <t>Dolomitic, fossiliferous limestone</t>
  </si>
  <si>
    <t>Cited location is the approximate centre of the Manuka pit. Endowment includes production of 88.1 t Ag and mineral resources of 2.58 Mt at 88 g/t Ag. Primary sulfate minerals not reported although secondary sulfate minerals are present.</t>
  </si>
  <si>
    <t>Wongan Hills greenstone belt</t>
  </si>
  <si>
    <t>Wongan Hills</t>
  </si>
  <si>
    <t>Pidgeon et al. (1990)</t>
  </si>
  <si>
    <t>The cited age is that of a conformable felsic porphyry, and, as such, represents strictly a minimum age. However, it is likely that the dated rock is part of the volcanics and, therefore, dates the age of the succession hosting the iron ore.</t>
  </si>
  <si>
    <t>Woodcutters</t>
  </si>
  <si>
    <t>Amphibolite sills intruding the upper Whites Formation; dolomitized and calcitised dikes (both replaced by sulfide minerals). Muscovite from dolomitized dike has a K-Ar age of 1728 ± 17 Ma.</t>
  </si>
  <si>
    <t>dol-qtz-tm-cal-ap (gangue minerals)</t>
  </si>
  <si>
    <t>Fleming et al. (1994); Ahmad et al. (2006); Huston et al. (2019)</t>
  </si>
  <si>
    <t>Least radiogenic lead isotope model age of ca 1734 Ma is similar to K-Ar age of muscovite in dolomitized dike. Endowment includes final production data.</t>
  </si>
  <si>
    <t>Woodie Woodie</t>
  </si>
  <si>
    <t>Paleoisochron</t>
  </si>
  <si>
    <t>Supergene manganese</t>
  </si>
  <si>
    <t>In situ chert breccia; angular fragments of chert and layered chert in a siliceous matrix</t>
  </si>
  <si>
    <t>Carawine Dolomite</t>
  </si>
  <si>
    <t>Massive to well-bedded dolostone</t>
  </si>
  <si>
    <t>Coondoon Formation</t>
  </si>
  <si>
    <t>Sedimentary breccia, conglomerate, sandstone and siltstone</t>
  </si>
  <si>
    <t>Balfour Formation</t>
  </si>
  <si>
    <t>Pale grey to green-grey manganiferous shale, fine-grained micaceous, calcareous, and glauconitic sandstone, interbedded red-brown shale, micaceous siltstone.</t>
  </si>
  <si>
    <t>Davis Dolerite</t>
  </si>
  <si>
    <t>Dolerite dykes and sills</t>
  </si>
  <si>
    <t>hm-goe</t>
  </si>
  <si>
    <t>Jones et al. (2013); Jones (2017a,b)</t>
  </si>
  <si>
    <t>Jones et al. (2013)</t>
  </si>
  <si>
    <t>Jones (2017b)</t>
  </si>
  <si>
    <t xml:space="preserve">Cited age is from a paleoisochron from coronadite. As this makes a number of assumptions, it has been given a low confidence level even though coronadite is an ore mineral. Endowment is total production (&gt;35 Mt Mn ore) and JORC resources as of 31 December 2015 (48.4 Mt grading 30.6% Mn and 10.8% Fe). Because grade was not given for the production, grades similar to the resource grades were assumed to calculate total endowment. </t>
  </si>
  <si>
    <t>Woodie Woodie North - area 42</t>
  </si>
  <si>
    <t>Accelerate Resources Limited (2023)</t>
  </si>
  <si>
    <t>Smaller resources at Areas 1, 3 and 4 (total resources 0.54 Mt at 17.0% Mn and 20.3% Fe), located ~18 km to the north are not included as individually the resources are much less than 1 Mt. Cited age is by analogy with the Woodie Woodie deposit.</t>
  </si>
  <si>
    <t>Woodlawn</t>
  </si>
  <si>
    <t>Lower succession of coarse-grained silica-sericite-altered quartz-phyric rhyolitic volcaniclastics rocks with siltstone, mudstone and minor basalt overlain by an upper succession of strongly silica and sericite altered rhyodacitic to intermediate volcaniclastic mudstone and sandstone that hosts the ore lenses.</t>
  </si>
  <si>
    <t>chl-tc-car (proximal) → chl-ser → qtz-ser-py (distal)</t>
  </si>
  <si>
    <t>chl-ser-tc</t>
  </si>
  <si>
    <t>Downes et al. (2017b)</t>
  </si>
  <si>
    <t>Ayers et al. (1979); McKay and Hazeldene (1987); Bodorkos et al. (2010); Downes et al. (2017b); Heron Resources Limited (2017); Develop Global Limited (2024)</t>
  </si>
  <si>
    <t>Downes et al. (2017b); Develop Global Limited (2024)</t>
  </si>
  <si>
    <t>Endowment includes production of 13.3 Mt grading 1.6% Cu, 9.1%Zn, 3.6% Pb, 74 g/t Ag and 0.52 g/t Au in 1977-1998 and total resources of 11.4 Mt grading 1.8% Cu, 6.1% Zn, 2.2% Pb, 47 g/t Ag and 0.5 g/t Au (as of 22 March 2024: Develop Global Limited, 2024). The endowment does not include current tailing resources as they would have been included in the original production data.</t>
  </si>
  <si>
    <t>Woods Point goldfield (including Gaffney's, Morning Star and Shamrock)</t>
  </si>
  <si>
    <t>Woods Point</t>
  </si>
  <si>
    <t>qtz-ank±ser</t>
  </si>
  <si>
    <t>https://www.mindat.org/loc-259376.html (accessed March 2024)</t>
  </si>
  <si>
    <t>Green et al. (1982); Bierlein et al. (2001); Phillips et al. (2003, 2012a); Vandenberg et al. (2006); Morning Star Gold NL (2012)</t>
  </si>
  <si>
    <t>Bierlein et al. (2001); Phillips et al. (2012a)</t>
  </si>
  <si>
    <t>Vandenberg et al. (2006); Morning Star Gold NL (2012)</t>
  </si>
  <si>
    <t>Cited location is that of the Morning Star deposit. Cited age is a recalculated age by Phillips et al. (2012) after original data of Bierlein et al. (2001). Endowment includes 45.7 t of hard rock production from 1.79 Mt (equates to 25.5 g/t), and 12.4 t shallow paleoplacer and placer production (Vandenberg et al., 2006), and total mineral resources 4.62 Mt at 6.12 t Au (Morning Star deposit: Morning Star Gold NL, 2012).</t>
  </si>
  <si>
    <t>Woodside district (including Bird-in-Hand, Eureka, New Era, and Ridge)</t>
  </si>
  <si>
    <t>Woodside</t>
  </si>
  <si>
    <t>Brighton Limestone</t>
  </si>
  <si>
    <t>Grey to white, pyrite-bearing marble with silt- and sandstone-rich beds.</t>
  </si>
  <si>
    <t>Dark grey to blue, carbonaceous and pyritic, sandy to dolomitic siltstone</t>
  </si>
  <si>
    <t>Appila Tillite</t>
  </si>
  <si>
    <t>Tillite, quartzite and siltstone</t>
  </si>
  <si>
    <t>Tarcowie Siltstone</t>
  </si>
  <si>
    <t>Grey-green siltstone with laminations of brown sandy siltstone, fine sandstone and thin grey shale. </t>
  </si>
  <si>
    <t>Woodside dolerite (local name)</t>
  </si>
  <si>
    <t>Crosscutting dolerite dykes</t>
  </si>
  <si>
    <t>Griessmann (2011); Terramin Australia Limited (2018, 2020); https://www.energymining.sa.gov.au/industry/minerals-and-mining/mineral-commodities/gold#sa (accessed May 2024)</t>
  </si>
  <si>
    <t>Terramin Australia Limited (2018, 2020); https://www.energymining.sa.gov.au/industry/minerals-and-mining/mineral-commodities/gold#sa (accessed May 2024)</t>
  </si>
  <si>
    <t>Cited location is that of the Bird-in-Hand deposit. Cited age is by analogy with that of the Deloraine district. Endowment includes historic production of 30,000 oz Au for the entire district and mineral resources of 0.65 Mt at 12.6 g/t Au and 5.8 g/t Ag for the Bird-in Hand deposit.</t>
  </si>
  <si>
    <t>Woolgar</t>
  </si>
  <si>
    <t>Cited age is a K-Ar age of sericite associated with Big South Vein. Endowment is after Morrison et al. (2019), which includes a current resource of 18.4 Mt grading 2.0 g/t Au.</t>
  </si>
  <si>
    <t>Woolgar - Lost World</t>
  </si>
  <si>
    <t>Biotite gneiss (grading locally into migmatite), hornblende to hornblende diopside gneiss, mica schist and quartzite; minor leucocratic quartzo-feldspathic gneiss and rare amphibolite with relict pillows.</t>
  </si>
  <si>
    <t>Rhyodacite, rhyolite and minor andesite dykes</t>
  </si>
  <si>
    <t>Cited age is by analogy with Agate Creek. Endowment includes mineral resources only.</t>
  </si>
  <si>
    <t>Woolgni 2</t>
  </si>
  <si>
    <t>Cited age is by analogy with other Pine Creek orogenic gold deposits (e.g., Cleo, Goodall, Howley and Mount Todd). Endowment includes pre-JORC mineral resources only.</t>
  </si>
  <si>
    <t>Woolwonga</t>
  </si>
  <si>
    <t>Interbedded carbonaceous sericitic and commonly pyritic or chloritic slate, phyllite, mudstone and siltstone (ore host); fine to coarse feldspathic metagreywacke; ferruginous phyllite (metasiltstone) with chert bands, lenses and nodules</t>
  </si>
  <si>
    <t>qtz-sid-ksp-tm (gangue)</t>
  </si>
  <si>
    <t>Ahmad et al. (2009); Ahmad and Hollis (2013); Edwards and Keily (2017)</t>
  </si>
  <si>
    <t>Cited age is by analogy with other Pine Creek orogenic gold deposits (e.g., Cleo, Goodall, Howley and Mount Todd). Endowment includes production only (Edwards and Keily, 2017).</t>
  </si>
  <si>
    <t>Worsley (Mount Saddleback)</t>
  </si>
  <si>
    <t>Marradong Formation</t>
  </si>
  <si>
    <t>Metabasalt with apparently only minor intercalations of dark metasediment and rare metadacite.</t>
  </si>
  <si>
    <t>Wyalong district (inc True Blue, Neeld, Mallee Bull, Golden Fleece, Homeward Bound)</t>
  </si>
  <si>
    <t>Yakabindie (including Six Mile Well and Goliath North)</t>
  </si>
  <si>
    <t>Yakabindie Metadunites</t>
  </si>
  <si>
    <t>Serpentinised dunite</t>
  </si>
  <si>
    <t>serp-mag-tc</t>
  </si>
  <si>
    <t>Naldrett and Turner (1977); Donaldson and Bromley (1981); Nelson (1997); Grguric et al. (2006); BHP (2019)</t>
  </si>
  <si>
    <t>BHP (2019)</t>
  </si>
  <si>
    <t>Cited age is that of the host succession (Nelson, 1997). Alteration is post mineralisation. Endowment includes JORC 2012-compliant resources at 30 June 2018 (BHP, 2019).</t>
  </si>
  <si>
    <t>Yalwal</t>
  </si>
  <si>
    <t>Sulfide</t>
  </si>
  <si>
    <t>Yalwal Volcanics</t>
  </si>
  <si>
    <t>Bimodal, flow-banded, autobrecciated and spherulitic lavas, fine-grained ash to lapilli-size volcaniclastic rocks, siltstones, fine- to coarse-grained sandstones and conglomerates</t>
  </si>
  <si>
    <t>Bundundah Granite</t>
  </si>
  <si>
    <t>Porphyritic microgranite</t>
  </si>
  <si>
    <t>Middle Carboniferous</t>
  </si>
  <si>
    <t>qtz-ser-py, pyr, sil-kao-par, ill-hal±kao</t>
  </si>
  <si>
    <t>ser, adv arg</t>
  </si>
  <si>
    <t>Stacey and Kramer (1975); Downes (2009)</t>
  </si>
  <si>
    <t>The cited age is the oldest lead isotope model age of Downes (2009) using the Stacey and Kramer (1975). Data from Glaser (1988) give older, geologically unreasonable ages. The cited model age is compatible with the age of the volcanic host succession. Downes (2009) reported K-Ar analyses of very-fine-graine illite from five samples taken from three deposits, with yielded ages of 318 ± 6 Ma to 290 ± 6 Ma. These ages were interpreted as either cooling ages related to granite intrusion or associated with extension to form the Sydney Basin. Endowment includes production (1871-1938) only</t>
  </si>
  <si>
    <t>YAM14</t>
  </si>
  <si>
    <t>Fuller et al. (2014); Osborne et al. (2017); Gold Road Resources (2024)</t>
  </si>
  <si>
    <t>The age of mineralisation is inferred to be the same as the Gruyere deposit where an age of 2840-2810 Ma for the altered porphyry has been obtained. Endowment includes total mineral resources (Gold Road Resources, 2024).</t>
  </si>
  <si>
    <t>Yambulla district (including Duchess of York, Walz and McCoy, Welcome Stranger-Prospectors and Yambulla deposits)</t>
  </si>
  <si>
    <t>Mount Poole Monzogranite</t>
  </si>
  <si>
    <t>Biotite monzogranite</t>
  </si>
  <si>
    <t>ser-chl-ksp</t>
  </si>
  <si>
    <t>Herzberger et al. (1976); Lucknow Gold Limited (2008); Downes et al. (2021)</t>
  </si>
  <si>
    <t>Endowment includes production of 0.76 t Au and pre-JORC mineral resources of 0.197 Mt at 3.1 g/t Au. Kaolinite reported as an alteration mineral but may be due to overprinting of weathering.</t>
  </si>
  <si>
    <t>Yandan</t>
  </si>
  <si>
    <t>Celadonite</t>
  </si>
  <si>
    <t>Yandan host unit (local name)</t>
  </si>
  <si>
    <t>Tuffaceous sandstone and siltstone that becomes progressively finer-grained and more carbonate-rich up section, with algal limestone at the top</t>
  </si>
  <si>
    <t>Andesite volcanic flows and associated coarse-grained epiclastic rocks that underlie the host unit</t>
  </si>
  <si>
    <t>qtz-adu±py±gra±cp (proximal) → cel-il±car±chl±cl (distal)</t>
  </si>
  <si>
    <t>Perkins et al. (1995); Ruxton and Seed (1998); GBM Resources, (2023)</t>
  </si>
  <si>
    <t>Ruxton and Seed (1998); GBM Resources, (2023)</t>
  </si>
  <si>
    <t>Endowment includes production to June 1996 (221,028 oz) (Ruxton and Seed, 1998) and mineral resources of 15.892 Mt at 1.0 g/t Au (GBM Resources, 2023)</t>
  </si>
  <si>
    <t>Yandicoogina</t>
  </si>
  <si>
    <t>Yandi</t>
  </si>
  <si>
    <t>Marillana Formation</t>
  </si>
  <si>
    <t>Conglomerate, silt, clay, channel iron deposits, intraformational breccia.</t>
  </si>
  <si>
    <t>Cited age is (U-Th)-He age of matrix goethite cement. Endowment includes ore reserves at 31 December 2018, but does not include previous production.</t>
  </si>
  <si>
    <t>Yellow Mountain</t>
  </si>
  <si>
    <t>Zn-Cu-Pb</t>
  </si>
  <si>
    <t>Fountain Dale Tuff Member, Majuba Volcanics</t>
  </si>
  <si>
    <t>Vitric tuff, rhyolitic lapilli tuff, volcanic breccia, dacite, quartzose siltstone, siliceous argillite and phyllite</t>
  </si>
  <si>
    <t>Suppel and Gilligan (1993); Fitzherbert et al. (2019)</t>
  </si>
  <si>
    <r>
      <t xml:space="preserve">Cited age is the midpoint of unqualified muscovite </t>
    </r>
    <r>
      <rPr>
        <vertAlign val="superscript"/>
        <sz val="9"/>
        <rFont val="Times New Roman"/>
        <family val="1"/>
      </rPr>
      <t>40</t>
    </r>
    <r>
      <rPr>
        <sz val="9"/>
        <rFont val="Times New Roman"/>
        <family val="1"/>
      </rPr>
      <t>Ar-</t>
    </r>
    <r>
      <rPr>
        <vertAlign val="superscript"/>
        <sz val="9"/>
        <rFont val="Times New Roman"/>
        <family val="1"/>
      </rPr>
      <t>39</t>
    </r>
    <r>
      <rPr>
        <sz val="9"/>
        <rFont val="Times New Roman"/>
        <family val="1"/>
      </rPr>
      <t>Ar ages from Fitzherbert et al. (2019). Endowment includes minor production (6 t at 9% Cu, 45% Pb and 1010 g/t Ag) and pre-JORC mineral resources of 4.7 Mt at 0.3% Cu, 1.5% Zn, 1.0% Pb and 28 g/t Ag.</t>
    </r>
  </si>
  <si>
    <t>Yenberri</t>
  </si>
  <si>
    <t>Yenberrie Leucogranite</t>
  </si>
  <si>
    <t>Fine to coarse grained leucogranite.</t>
  </si>
  <si>
    <t>Endowment includes production, including 127 kg of molybdenite, from which the Mo total was estimated.</t>
  </si>
  <si>
    <t>Yeoval</t>
  </si>
  <si>
    <t>Au-Mo</t>
  </si>
  <si>
    <t>Naringla Granodiorite</t>
  </si>
  <si>
    <t>Hornblende granodiorite</t>
  </si>
  <si>
    <t>ab-qtz-mt (baren core) → ser-chl-ep-tit-sul → ser-chl-mtep-cal-sul (distal)</t>
  </si>
  <si>
    <t>Ardea Resources Limited (2019a)</t>
  </si>
  <si>
    <t>Gulson and Bofinger (1972); Ambler and Facer (1975); Cooke (1985); Downes (1999); Wyborn et al. (1999); Ardea Resources Limited (2019a)</t>
  </si>
  <si>
    <t>Gulson and Bofinger (1972); Wyborn et al. (1999)</t>
  </si>
  <si>
    <t>Cited location is approximate centre of deposit. This location is between the two main mineralised zones. Cited age (Gulson and Bofinger, 1972) has been corrected using current decay constants (Wyborn et al., 1999). Endowment includes mineral resources only (Ardea Resources Limited, 2019a). The Rb-Sr age cited has been calculated using the decay constant of Villa et al. (2015).</t>
  </si>
  <si>
    <t>Yerranderie district (including Colon Peaks-Silver Peak and Wollondilly-New Burragorang)</t>
  </si>
  <si>
    <t>Yerranderie</t>
  </si>
  <si>
    <t>Bindook Group (formerly Bindook Volcanic Complex)</t>
  </si>
  <si>
    <t>Rhyolitic to dacitic welded ignimbrite and lava, turbiditic quartzose and volcanic sandstone and siltstone; minor conglomerate, limestone blocks, felsic volcanic breccia and intrusives.</t>
  </si>
  <si>
    <t>qtz-il-py (proximal) → qtz-mus-il±py±car → qtz-mus-il±car (distal)</t>
  </si>
  <si>
    <t>Downes (2007, 2009)</t>
  </si>
  <si>
    <r>
      <t xml:space="preserve">Cited age is the pooled age of all high temperature heating steps; using all heating steps yielded an age of 369.9 ± 2.5 Ma. Nine of ten </t>
    </r>
    <r>
      <rPr>
        <vertAlign val="superscript"/>
        <sz val="9"/>
        <color rgb="FF000000"/>
        <rFont val="Times New Roman"/>
        <family val="1"/>
      </rPr>
      <t>40</t>
    </r>
    <r>
      <rPr>
        <sz val="9"/>
        <color rgb="FF000000"/>
        <rFont val="Times New Roman"/>
        <family val="1"/>
      </rPr>
      <t>Ar-</t>
    </r>
    <r>
      <rPr>
        <vertAlign val="superscript"/>
        <sz val="9"/>
        <color rgb="FF000000"/>
        <rFont val="Times New Roman"/>
        <family val="1"/>
      </rPr>
      <t>39</t>
    </r>
    <r>
      <rPr>
        <sz val="9"/>
        <color rgb="FF000000"/>
        <rFont val="Times New Roman"/>
        <family val="1"/>
      </rPr>
      <t>Ar data were concordant. Endowment includes historic (1898-1930) production of 123,735 t for 28,077 t Pb, 341.18 t Ag and 0.623 t Au and pre-JORC mineral resources of 38,100 t at 3.8% Pb, 1210 g/t Ag and 6.9 g/t Au.</t>
    </r>
  </si>
  <si>
    <t>Yiddah</t>
  </si>
  <si>
    <t>Andesitic volcaniclastics and volcaniclastic siltstone</t>
  </si>
  <si>
    <t>Dioritic to mozodioritic porphyry</t>
  </si>
  <si>
    <t>Downes et al. (2004b); Munro (2010); Cronin et al. (2017); Sandfire Resources NL (2017)</t>
  </si>
  <si>
    <t>Munro (2010)</t>
  </si>
  <si>
    <t>Yinnetharra (Malinda Prospect)</t>
  </si>
  <si>
    <t>Zircon and monazite</t>
  </si>
  <si>
    <t>Pb-Pb, Th-Pb</t>
  </si>
  <si>
    <t>LA-ICP-MS, SHRIMP</t>
  </si>
  <si>
    <t>Leake Spring Metamorphics</t>
  </si>
  <si>
    <t>Interlayered psammitic and pelitic schist, pelitic schist, subordinate amounts of psammitic schist and amphibolite, and minor calc-silicate rock, chert, ultramafic schist and metamorphosed BIF; pelitic+ psammitic gneiss is minor component.</t>
  </si>
  <si>
    <t>unnamed pegmatite</t>
  </si>
  <si>
    <t>Thirty Three Supersuite</t>
  </si>
  <si>
    <t>Porphyritic and leucocratic muscovite-biotite-tourmaline-bearing granite and metagranite, and pegmatites</t>
  </si>
  <si>
    <t>Delta Lithium Ltd. (2023)</t>
  </si>
  <si>
    <t>Piechocka et al. (2017); Jahn et al. (2021)</t>
  </si>
  <si>
    <t>The pegmatites are located in the Ti-Tree syncline of the Capricorn Orogen. Li thiumis predominantly hosted in spodumene, with some lepidolite and trilithionite. Timing is inferred by regional correlation to other pegmatites and granites of the Thirty Three Supersuite, which show a significant spread in age.</t>
  </si>
  <si>
    <t>Yoganup</t>
  </si>
  <si>
    <t>Masters (1990)</t>
  </si>
  <si>
    <t>Baxter (1990); Masters (1990)</t>
  </si>
  <si>
    <t>Cited age is based on the assignation of a Pliocene age to the host Yoganup Formation by Baxter (1990). Endowment includes production of 10 Mt of combined ilmenite, rutile, leucoxene, zircon and monazite to 1987, with mineral reserves at that time a further 13 Mt of heavy minerals. The mineral proportions of production and reserves were not stated.</t>
  </si>
  <si>
    <t>Youanmi Greenstone Belt</t>
  </si>
  <si>
    <t>Youanmi Granite (local informal name)</t>
  </si>
  <si>
    <t>Biotite quartz monzonite</t>
  </si>
  <si>
    <t>ser-qtz-sul-chl-car</t>
  </si>
  <si>
    <t>Munro (1990); Venus Metals Corporation Limited (2018); Rox Resources Limited (2024)</t>
  </si>
  <si>
    <t>Venus Metals Corporation Limited (2018); Rox Resources Limited (2024)</t>
  </si>
  <si>
    <t>Cited age is by analogy with other Southern Cross orogenic gold deposits. Endowment includes production to 1997 (667,000 oz (20.7 t) at a grade of 5.42 g/t: Venus Metals Corporation Limited, 2018) plus underground and near-surface resources (16.2 Mt at 4.4 g/t: Rox Resources Limited, 2024).</t>
  </si>
  <si>
    <t>Zeehan district (includes Comstock, Zeehan Montana, Silver Spray, Oonah)</t>
  </si>
  <si>
    <t>mt-srp-tc-bru</t>
  </si>
  <si>
    <t>Twelvetrees and Ward (1912); Both and Williams (1968a, 1968b); Both et al. (1969); Black et al. (2005); Anderson &amp; Schwab Australia Limited (2006); Green et al. (2014); Callaghan et al. (2017b)</t>
  </si>
  <si>
    <t>Anderson &amp; Schwab Australia Limited (2006); Green et al. (2014); Callaghan et al. (2017b)</t>
  </si>
  <si>
    <t>Cited age is that of the red phase of the Heemskirk Granite (Black et al., 2005). Endowment includes historic production for the entire Zeehan district (2640 t Zn, 184,816 t Pb and 26,585,000 oz Ag) less production from the Oceana deposit (15,140 t Pb and 561,907 oz Ag), in addition to recent production from the South Comstock (7,334 t at 14.8% Zn, 3.6% Pb and 62 g/t Ag in 1989) and Allison's (1,347.9 t at 14.5% Zn, 2.4% Pb and 45 g/t Ag in 1997) deposits, and JORC-compliant ore reserves/mineral resources (in 2006) for the Allison's (probable ore reserves of 98,881 t at 5.46% Zn, 1.93%Pb and 42.67 g/t Ag), West Comstock (indicated and inferred mineral resources of 17,780 t at 4.2% Zn, 2.1% Pb and 29 g/t Ag) and Balstrup Fault (inferred resources of 4,600,000 t at 5.7% Zn, 3.3% Pb and 35 g/t Ag) deposits (Anderson &amp; Schwab Australia Limited, 2006).</t>
  </si>
  <si>
    <t>29 Metals, 2022. 2021 Annual report, 187 p.</t>
  </si>
  <si>
    <t>29 Metals, 2023. 2022 Annual report, 204 p.</t>
  </si>
  <si>
    <t>29 Metals, 2024. 2023 Annual report, 207 p.</t>
  </si>
  <si>
    <t>3D Resources Limited, 2020. Option to acquire Adelong gold project. Unpublished 3D Resources Limited announcement to the Australian Securities Exchange, 31 January 2020, 106 p.</t>
  </si>
  <si>
    <t>Aberysinghe, P.B., Fetherston, J.M., 1997. Barite and fluorite in Western Australia. Geological Survey of Western Australia Mineal Resources Bulletin 17, 97 p.</t>
  </si>
  <si>
    <t>ABx Group Limited (2023a) Widespread high extractions of ionic adsorption clay rare earths. Unpublished ABx Group Limited announcement to Australian Securities Exchange, 2 February 2023, 10 p.</t>
  </si>
  <si>
    <t>ABx Group Limited (2023b) REE resource increases to 27m tonnes and new discovery. Unpublished ABx Group Limited announcement to Australian Securities Exchange, 18 July 2023, 16 p.</t>
  </si>
  <si>
    <t>Abzalov, M.Z., Williams, P.K., Inwood, N.A., 2017. Honeymoon, Beverley and Four Mile uranium deposits. Australasian Institute of Mining and Metallurgy Monograph 32, 655–658.</t>
  </si>
  <si>
    <t>Accelerate Resources Limited, 2023. Maiden mineral resources and exploration targets demonstrate the upside potential of the Woodie Woodie North manganese project. Unpublished Accelerate Resources Limited announcement to the Australian Securities Exchange, 30 November 2023, 36  p.</t>
  </si>
  <si>
    <t>ACDC Metals Limited, 2023.  ACDC Metals delivers 122 million tonnes @ 3.4% THM for maiden heavy mineral sand and rare earth resource at Goschen Central Project. Unpublished ACDC Meals Limited announcement to Australian Securities Exchange, 8 November 2023, 25 p.</t>
  </si>
  <si>
    <t>Ackerman, B.R., 1999. Geochemistry, petrography and genesis of the Frogmore copper deposit, Frogmore, New South Wales. Unpublished B.Sc. Honours thesis, University of Wollongong, 101 p.</t>
  </si>
  <si>
    <t>ActivEx Limited, 2016. Coalstoun copper deposit – supergene copper zone – inferred mineral resource upgrade. Unpublished ActivEx Limited announcement to the Australian Securities Exchange, 18 August 2016, 12 p.</t>
  </si>
  <si>
    <t>Adams, G.J., Both, R.A., James, P., 2007. The Granites gold deposit, Northern Territory, Australia: evidence for an early syn-tectonic ore genesis. Mineralium Deposita 42, 89–105.</t>
  </si>
  <si>
    <t>Adelaide Resources Limited, 2016. Maiden 107,000 ounce gold resource estimated for Barns deposit. Unpublished Adelaide Resources Limited announcement to the Australian Securities Exchange, 19 July 2016, 20 p.</t>
  </si>
  <si>
    <t>Adelong Gold Limited, 2023. Maiden Resource Estimate for Perkins West, Gibraltar. Unpublished Adeling Gold Limited announcement to the Australian Securities Exchange, 16 October, 2021, 53 p.</t>
  </si>
  <si>
    <t>Adshead, N.D., 1995. Geology, alteration and geochemistry of the Osborne Cu-Au deposit, Cloncurry district, NW Queensland. Unpublished Ph.D. thesis, James Cook University, Townsville, Queensland.</t>
  </si>
  <si>
    <t>Aeon Metals Limited, 2019. Substantial Walford Creek resource upgrade. Unpublished Aeon Metals Limited announcement to the Australian Securities Exchange, 17 December 2019, 38 p.</t>
  </si>
  <si>
    <t>Aeris Resources Limited, 2020a. Murrawombie deposit – mineral resource and ore reserve estimate statement, 30th June 2020. Unpublished Aeris Resources Limited announcement to the Australian Securities Exchange, 28 October 2020, 36 p.</t>
  </si>
  <si>
    <t>Aeris Resources Limited, 2020b. Aeris Resources Annual Report 2020, 73 p.</t>
  </si>
  <si>
    <t>Aeris Resources Limited, 2023a. Avoca Tank mineral resource update. Unpublished Aeris Resources Limited announcement to the Australian Securities Exchange, 25 October 2025, 55 p.</t>
  </si>
  <si>
    <t>Aeris Resources Limited, 2023b. We are Aeris Resources. Aeris Resources 2023 annual report, 168 p.</t>
  </si>
  <si>
    <t>Aeris Resources Limited, 2024. Stockman Project – Currawong and Wilga mineral resource updates. Unpublished Aeris Resources Limited announcement to the Australian Securities Exchange, 17 January 2024, 55 p.</t>
  </si>
  <si>
    <t>Agnew, M.W., 2003. Geology and genesis of the Lewis Ponds carbonate and volcanic-hosted massive sulfide deposits, New South Wales, Australia. Unpublished Ph.D. thesis, University of Tasmania.</t>
  </si>
  <si>
    <t>Agnico Eagle, 2021. The new gold standard. Agnico EAgle Annual Report 2021, 178 p.</t>
  </si>
  <si>
    <t>Agnico Eagle, 2022. Building the future. Agnico EAgle Annual Report 2022, 189 p.</t>
  </si>
  <si>
    <t>Agrimin Limited, 2018. Potash resource upgraded by 470%. Unpublished Agrimin Limited release to the Australian Securities Exchange, 20 January 2020, 54 p.</t>
  </si>
  <si>
    <t>Ahmad, M., Dunster, J.N., Munson, T.J., 2013c. Chapter 15: McArthur Basin. Northern Territory Geological Survey Special Publication 5.</t>
  </si>
  <si>
    <t>Ahmad, M., Hollis, J.A., 2013. Chapter 5: Pine Creek Orogen. Northern Territory Geological Survey Special Publication 5.</t>
  </si>
  <si>
    <t>Ahmad, M., Khan, M., 2013. Chapter 3: Commodity reviews. Geological Survey Special Publication 5.</t>
  </si>
  <si>
    <t>Ahmad, M., Lally, J.H., McReady, A.J., 2006. Economic Geology of the Rum Jungle mineral field. Northern Territory Geological Survey Report 19.</t>
  </si>
  <si>
    <t>Ahmad, M., Munson, T.J., 2013a. Chapter 36: Bonaparte Basin. Northern Territory Geological Survey Special Publication 5.</t>
  </si>
  <si>
    <t>Ahmad, M., Munson, T.J., 2013b. Chapter 40: Money Shoal Basin. Northern Territory Geological Survey Special Publication 5.</t>
  </si>
  <si>
    <t>Ahmad, M., Munson, T.J., Wygralak, A.S., 2013a. Chapter 8: Murphy Province. Northern Territory Geological Survey Special Publication 5.</t>
  </si>
  <si>
    <t>Ahmad, M., Vandenberg, L.C., Wygralak, A.S., 2013b. Chapter 11: Tanami Region. Northern Territory Geological Survey Special Publication 5.</t>
  </si>
  <si>
    <t>Ahmad, M., Wygralak, A.S., Ferenczi, P.A., 2009. Gold deposits of the Northern Territory (Second Edition). Northern Territory Geological Survey Report 11 (Second Edition update by Wygralak, A.S., Scrimgeour, I.R.).</t>
  </si>
  <si>
    <t>Alice Queen Limited, 2017. Horn Island maiden mineral resource. Unpublished Alice Queen Limited announcement to the Australian Securities Exchange, 5 September 2017, 177 p.</t>
  </si>
  <si>
    <t>Alice Queen Limited, 2018. Horn Island gold project inferred resource update. Unpublished Alice Queen Limited announcement to the Australian Securities Exchange, 2 August 2018, 274 p.</t>
  </si>
  <si>
    <t>Alkane Resources Limited, 2012. Presentation. Unpublished Alkane Resources Limited announcement to the Australalian Securities Exchange, 24 January 2012, 34 p.</t>
  </si>
  <si>
    <t>Alkane Resources Limited, 2014. Alkane Resources Limited financial report for the year ended 30 June 2014, 74 p.</t>
  </si>
  <si>
    <t>Alkane Resources Limited, 2015. Financial results - summary, year ended 30 June 2015. Unpublished Alkane Resources Limited announcement to the Australian Securities Exchange, 29 August 2015, 3 p.</t>
  </si>
  <si>
    <t>Alkane Resources Limited, 2016. Full year financial results for the year ended 30 June 2015. Unpublished Alkane Resources Limited announcement to the Australian Securities Exchange, 26 August 2016, 2 p.</t>
  </si>
  <si>
    <t>Alkane Resources Limited, 2017. Alkane Resources Limited financial report for the year ended 30 June 2017, 78 p.</t>
  </si>
  <si>
    <t>Alkane Resources Limited, 2018a. 108,000 ounce gold resource at Peak Hill. Unpublished Alkane Resources Limited announcement to the Australalian Securities Exchange, 18 October January 2018, 30 p.</t>
  </si>
  <si>
    <t>Alkane Resources Limited, 2018b. Alkane delivers profit after tax of A$24.5 million for FY2018. Unpublished Alkane Resources Limited announcement to the Australalian Securities Exchange, 30 August 2018, 68 p.</t>
  </si>
  <si>
    <t>Alkane Resources Limited, 2019. Alkane delivers profit after tax of A$23.3 million for FY2019. Unpublished Alkane Resources Limited announcement to the Australalian Securities Exchange, 2 September 2019, 68 p.</t>
  </si>
  <si>
    <t>Alkane Resources Limited, 2020a. Boda drilling update, project summary and proposed program. Unpublished Alkane Resources Limited announcement to the Australalian Securities Exchange, 19 May 2020, 17 p.</t>
  </si>
  <si>
    <t>Alkane Resources Limited, 2020b. Quarterly activities report to 30 June 2020. Unpublished Alkane Resources Limited announcement to the Australalian Securities Exchange, 15 July 2020, 14 p.</t>
  </si>
  <si>
    <t>Alkane Resources Limited, 2020c. Alkane delivers profit after tax of A$12.8 million for FY2020. Unpublished Alkane Resources Limited announcement to the Australalian Securities Exchange, 25 August 2020, 75 p.</t>
  </si>
  <si>
    <t>Alkane Resources Limited, 2021. Alkane delivers profit after tax of A$55.7 million for FY2021. Unpublished Alkane Resources Limited announcement to the Australalian Securities Exchange, 27 August 2021, 72 p.</t>
  </si>
  <si>
    <t>Alkane Resources Limited, 2022. Alkane delivers record profit after tax of A$70.3 million. Unpublished Alkane Resources Limited announcement to the Australalian Securities Exchange, 29 August 2022, 72 p.</t>
  </si>
  <si>
    <t>Alkane Resources Limited, 2023a. Alkane Resources Limited Annual Report 2023, 136 p.</t>
  </si>
  <si>
    <t>Alkane Resources Limited, 2023b. Boda resource update increases gold and copper grades - resource base now 10.9 Moz AuEq (6.4 Moz Au and 1 Mt Cu). Unpublished Alkane Resources Limited announcement to the Australalian Securities Exchange, 14 December 2023, 32 p.</t>
  </si>
  <si>
    <t>Alkane Resources Limited, 2024. Revised Kaiser resource estimate improves confidence and grade of resource base at Boda district. Unpublished Alkane Resources Limited announcement to the Australalian Securities Exchange, 29 April 2024, 32 p.</t>
  </si>
  <si>
    <t>Alliance Resources Limited, 2018. High-grade maiden mineral resource – 181,000 oz @ 5.1 g/t gold – Weednanna deposit. Unpublished Alliance Resources Limited announcement to the Australian Securities Exchange, 6 September 2018, 19 p.</t>
  </si>
  <si>
    <t>Alliance Resources Limited, 2022. Drilling assay update – Weednanna Au-Fe deposit. Unpublished Alliance Resources Limited announcement to the Australian Securities Exchange, 8 April 2022, 16 p.</t>
  </si>
  <si>
    <t>Allibone, A., 1998. Synchronous deformation and hydrothermal activity in the shear zone hosted high-sulphidation Au-Cu deposit at Peak Hill, NSW, Australia. Mineralium Deposita 33, 495–512.</t>
  </si>
  <si>
    <t>Alto Metals Limited, 2024. Sandstone Gold Project, Western Australia: Exploration Update, ASX announcement 13 February 2024, 9 p.</t>
  </si>
  <si>
    <t>Altura Mining Limited, 2019. Annual Report 2019, 98 p.</t>
  </si>
  <si>
    <t>Altura Mining Limited, 2020. Annual Report 2020, 106 p.</t>
  </si>
  <si>
    <t>Altura Mining Limited, 2021. Annual Report 2021, 100 p.</t>
  </si>
  <si>
    <t>Alvin, M.P., Dunphy, J.M., Groves, D.I., 2004. Nature and genesis of a carbonatite-associated fluorite deposit at Speewah, East Kimberley region, Western Australia. Mineralogy and Petrology 80, 127-153.</t>
  </si>
  <si>
    <t>Ambler, E.P., Facer, R.A., 1975. A Silurian porphyry copper prospect near Yeoval, New South Wales. Journal of the Geological Society of Australia 22, 229–241.</t>
  </si>
  <si>
    <t>Anax Metals Limited, 2022. Evelyn extenced with excellent Cu, Zn &amp; Au intersection. Unpublished Anax Metals Limited announcement to the Australian Securities Exchange, 4 October 2022, 32 p.</t>
  </si>
  <si>
    <t>Anax Metals Limited, 2023. Whim Creek definitive feasibility study. Unpublished Anax Metals Limited announcement to the Australian Securities Exchange, 3 April 2023, 140 p.</t>
  </si>
  <si>
    <t>Anchor Resources Limited, 2011. Bielsdown exploration update. Unpublished Anchor Resources Limited announcement to the Australian Securities Exchange, 28 January 2011, 7 p.</t>
  </si>
  <si>
    <t>Anderson &amp; Schwab Australia Limited, 2006. Valuation of the Mineral Assets of Zeehan Zinc Limited. Unpublished Anderson &amp; Schwab Australia Limited report to Zeehan Zinc Limited, 38 p. http://www.mrt.tas.gov.au/mrtdoc/tasxplor/download/07_5471/EL18_2003_2006_01_03_APP_%20D.pdf.</t>
  </si>
  <si>
    <t>Anderson, B.R., Gemmell, J.B., Berry, R.F., 2001. The geology of the Nifty copper deposit, Throssell Group, Western Australia: Implications for ore genesis. Economic Geology 96, 1535–1565.</t>
  </si>
  <si>
    <t>Andrew, R., 1990. Cummins Range carbonatite. Australasian Institute of Mining and Metallurgy Monograph 14, 693–696.</t>
  </si>
  <si>
    <t>Andrews, W.L., Parker, S., 2017. Ben Lomond uranium deposit. Australasian Institute of Mining and Metallurgy Monograph 32, 711–713.</t>
  </si>
  <si>
    <t>Anenburg, M., Mavrogenes, J.A., Bennett, V.C., 2020. The fluorapatite P–REE–Th vein deposit at Nolans Bore: genesis by carbonatite metasomatism. Journal of Petrology.</t>
  </si>
  <si>
    <t>Angerer, T., Duuring, P., Hagemann, S.G., Thorne, W., McCuaig, C.T., 2014. A mineral system approach to iron ore in Archean and Palaeoproterozoic BIF of Western Australia. Geological Society of London Special Publication 393, 81–115.</t>
  </si>
  <si>
    <t>Angerer, T., Hagemann, S.G., Lascelles, D., Reichardt, H., 2017. BIF-hosted high-grade iron ore deposits in the eastern Hamersley Province. Australasian Institute of Mining and Metallurgy Monograph 32, 369–374.</t>
  </si>
  <si>
    <t>Anglo Australian Resources NL, 2019. Annual report for the year ended 30 June 2019, 69 p.</t>
  </si>
  <si>
    <t>Annesley, I.R., Madore, C., Kwok, Y.Y., Kamo, S.L., Troy, A., Hughes, L., 2002. Petrochemistry and U-Pb monazite geochronology of granitic pegmatite from the Ranger U deposit, Australia: in Saskatoon 2002. 47th Joint Annual Meeting of the Geological Association of Canada and Mineralogical Association of Canada, Saskatoon, SK, May 26–29, 2002. Poster and Abstract.</t>
  </si>
  <si>
    <t>Anonymous, 1998. Assessment of mineral and hydrocarbon resources in the south-west forest regional of Western Australia. Joint Commonwealth and Western Australian Regonal Forest Agreement (RFA) Steering Committee, 145 p. https://www.agriculture.gov.au/sites/default/files/sitecollectiondocuments/rfa/regions/wa/resources/wa_res_rfa.pdf</t>
  </si>
  <si>
    <t>Anonymous, 2021. Kathleen Valley lithium-tantalum project. Unpublished Martinick Bosch Sell Propritary Limited report to Liontown Resources Limited. https://www.der.wa.gov.au/images/Att_3B_1.pdf</t>
  </si>
  <si>
    <t>Antipa Minerals Limited, 2017a. Rio Tinto/Antipa – Citadel Project – Calibre deposit mineral resource update. Unpublished Antipa Minerals Limited announcement to the Australian Securities Exchange, 17 November 2017, 31 p.</t>
  </si>
  <si>
    <t>Antipa Minerals Limited, 2017b. Minyari – Waca maiden mineral resouce – 723,000 ounces gold – 26,000 tonnes copper – 4,000 tonnes cobalt. Unpublished Antipa Minerals Limited announcement to the Australian Securities Exchange, 16 November 2017, 47 p.</t>
  </si>
  <si>
    <t>Antipa Minerals Limited, 2021. Calibre gold resource increases 62% to 2.1 million ouces of gold + 103,700 tonnes of copper and 1.3 million oz of silver. Unpublished Antipa Minerals Limited announcement to the Australian Securities Exchange, 17 May 2021, 36 p.</t>
  </si>
  <si>
    <t>Antipa Minerals Limited, 2022. Strong Minyari Dome scoping study outcomes. Unpublished Antipa Minerals Limited announcement to the Australian Securities Exchange, 31 August 2022, 96 p.</t>
  </si>
  <si>
    <t>Apukhtina, O.B., Kamenetsky, V.S., Ehrig, K., Kamenetsky, M.B., Maas, R., Thompson, J., McPhie, J., Ciobanu, C.L., and Cook, N.J., 2017. Early, deep magnetite-fluorapatite mineralization at the Olympic Dam Cu-U-Au-Ag deposit, South Australia. Economic Geology 112, 1531–1542.</t>
  </si>
  <si>
    <t>Archer, N.R., Turner, B.J., 1998. Norseman gold deposits. Australasian Institute of Mining and Metallurgy Monograph 22, 265-271.</t>
  </si>
  <si>
    <t>Ardea Resources Limited, 2017. Black Range cobalt, nickel, scandium and platinum/palladium resources. Unpublished Ardea Resources Limited announcement to the Australian Securities Exchange, 31 October 2017, 23 p.</t>
  </si>
  <si>
    <t>Ardea Resources Limited, 2019a. Yeoval copper-gold resource update. Unpublished Ardea Resources Limited announcement to the Australian Securities Exchange, 15 August 2019, 36 p.</t>
  </si>
  <si>
    <t>Ardea Resources Limited, 2019b. Lewis Ponds resource update. Unpublished Ardea Resources Limited announcement to the Australian Securities Exchange, 3 September 2019, 34 p.</t>
  </si>
  <si>
    <t>Ardea Resources Limited, 2019c. Shallow gold resource at Mount Aubrey, NSW. Unpublished Ardea Resources Limited announcement to the Australian Securities Exchange, 28 August 2019, 50 p.</t>
  </si>
  <si>
    <t>Ardea Resources Limited, 2021. Kalgoorlie Nickel Project - additional tenure purchase. Unpublished Ardea Resources Limited announcement to the Australian Securities Exchange, 7 June 2021, 50 p.</t>
  </si>
  <si>
    <t>Ardea Resources Limited, 2022. High-grade nickel-cobalt confirmed at Kalpini with scandium and rare earth elements. Unpublished Ardea Resources Limited announcement to the Australian Securities Exchange, 14 March 2022, 45 p.</t>
  </si>
  <si>
    <t>Ardea Resources Limited, 2023a. Kalgoorlie Nickel Project mineral resouce estimate exceeds 6 million tonne contained nickel. Unpublished Ardea Resources Limited announcement to the Australian Securities Exchange, 30 June 2023, 79 p.</t>
  </si>
  <si>
    <t>Ardea Resources Limited, 2023b. KNP Goongarrie Hub ore reserve &amp; feasibility study defines +40 year operation with strong financial metrics. Unpublished Ardea Resources Limited announcement to the Australian Securities Exchange, 5 July 2023, 81 p.</t>
  </si>
  <si>
    <t>Argent Minerals Limited, 2013. Argent Minerals Limited 2013 Annual Report, 86 p.</t>
  </si>
  <si>
    <t>Argent Minerals Limited, 2014. Kempfield resource statement upgraded to JORC 2012 standard. Unpublished Argent Minerals Limited announcement to the Australian Securities Exchange, 6 May 2014, 31 p.</t>
  </si>
  <si>
    <t>Argent Minerals Limited, 2023. Significant upgrade to mineral resource estimate for Kempfield silver deposit. Unpublished Argent Minerals Limited announcement to the Australian Securities Exchange, 6 September 2023, 36 p.</t>
  </si>
  <si>
    <t>Armandola, S., Barham, M., Reddy, S.M., Clark, C., Spinks, S., 2018. Footprint of a large intracontinental rifting event: coupled detrital zircon geochronology and geochemistry from the Mesoproterozoic Collier Basin, Western Australia. Precambrian Research 318, 156- 169.</t>
  </si>
  <si>
    <t>Armistead, S., Meffre, S., Bottrill, R.S., Cross, A., Huston, D.L., 2024. U-Pb monazite geochronology from the Rocky Cape Group: new evidence for Mesoproterozoic Cu-Co-Pb-An mineralisation in north-west Tasmania. Exploring for the Future abstract, 5 p.</t>
  </si>
  <si>
    <t>Armistead, S.E., Fraser, G.L., 2015. New SHRIMP U-Pb zircon ages from the Cuttaburra and F1 prospects, southern Thomson Orogen, New South Wales. Geoscience Australia Record 2015/020.</t>
  </si>
  <si>
    <t>Armistead, S.E., Skirrow, R.S., Fraser, G.L., Huston, D.L., Champion, D.C., Norman, M.D., 2017. Gold and intrusion-related Mo-W mineral systems in the southern Thomson Orogen, New South Wales. Geoscience Australia Record 2017/05, 130 p.</t>
  </si>
  <si>
    <t>Armstrong, R.A., 1998. Ion microprobe (SHRIMP) U-Pb dating of zircons from the Northern Territory. Precise Radiogenic Isotope Services (PRISE), Job A98-030.</t>
  </si>
  <si>
    <t>Arndt, N.T., Nelson, D.R., Compston, W., Trendall, A.F., Thorne, A.M., 1991. The age of the Fortescue Group, Hamersley Basin, Western Australia, from ion microprobe zircon U-Pb results. Australian Journal of Earth Sciences 38, 261–281.</t>
  </si>
  <si>
    <t>Arne, D.C., Bierlein, F.P., McNaughton, N., Wilson, C.J.L., Morand, V.J., 1998. Timing of gold mineralisation in western and central Victoria, Australia: new constraints from SHRIMP II analysis of zircon grains from felsic intrusive rocks. Ore Geology Reviews 13, 251–273.</t>
  </si>
  <si>
    <t>Arne, D.C., Bierlein, F.P., Morgan, J.W., Stein, H.J., 2001. Re–Os dating of sulfides associated with gold mineralisation in central Victoria, Australia. Economic Geology 96, 1455–1459.</t>
  </si>
  <si>
    <t>Arnold, G.O., Sillitoe, R.H., 1989. Mount Morgan gold-copper deposit, Queensland, Australia: evidence for and intrusion-related replacement origin. Economic Geology 84, 1805–1816.</t>
  </si>
  <si>
    <t>Arriens, P.A., 1971. The Archaean geochronology of Australia. Geological Society of Australia Special Publication 3, 11-23.</t>
  </si>
  <si>
    <t>Artemis Resources Limited, 2019. Artemis Resources Limted (ACN 107 051 749) annual report for the year ended 30 June 2019, 117 p.</t>
  </si>
  <si>
    <t>Arundel, M., 2015. Independent expert report on Horn Island &amp; Looking Glass projects (EMP 25520 &amp; EL 8225) Queensland &amp; New South Wales. Unpublished H &amp; S Consultants Proprietary Limited report to Callabonna Resources Limited incorporated in Alice Queen Limited Prospectus (https://www.asx.com.au/asxpdf/20150828/pdf/430xl309w2t2gy.pdf)</t>
  </si>
  <si>
    <t>Ashley, P.M., 1980. Geology of the Ban Ban zinc deposit, a sulfide-bearing skarn, southeast Queensland, Australia. Economic Geology 75, 15–29.</t>
  </si>
  <si>
    <t>Ashley, P.M., Billington, W.G., Graham, R.L., Neale, R.C., 1978. Geology of the Coalstoun porphyry copper prospect, southeast Queensland, Australia. Economic Geology 73, 945–965.</t>
  </si>
  <si>
    <t>Ashley, P.M., Brownlow, J.W., 1993. Silica-carbonate alteration zones in the Great Serpentinite Belt, southern New England Orogen: their nature and significance. New England Orogen. University of New England, Armidale, Australia, 197–214.</t>
  </si>
  <si>
    <t>Ashley, P.M., Cook, N.D.J., Hill, R.L., Kent, A.J.R., 1994. Shoshonitic lamprophyre dykes and their relation to mesothermal Au±Sb veins at Hillgrove, New South Wales, Australia. Lithos 32, 249–272.</t>
  </si>
  <si>
    <t>Ashley, P.M., Craw, D., 2004. Structural controls on hydrothermal alteration and gold–antimony mineralisation in the Hillgrove area, NSW, Australia.Mineralium Deposita 39, 223–239.</t>
  </si>
  <si>
    <t>Ashley, P.M., Dudley, R.J., Lesh, R.H., Marr, J.M., Ryall, A.W., 1988. The Scuddles Cu-Zn prospect, an Archean volcanogenic massive sulfide deposit, Golden Grove district, Western Australia. Economic Geology 83, 918–951.</t>
  </si>
  <si>
    <t>Ashley, P.M., Hartshorn, G.K., 1988. Geological and geochemical characteristics of lode gold deposits in the Nundle Goldfield, northeastern New South Wales. New England Orogen—Tectonics and Metallogenesis. Armidale, University of New England, p. 249–263.</t>
  </si>
  <si>
    <t>Ashley, P.M., Lottermoser, B.G., Westaway, J.M., 1998. Iron-formations and epigenetic ironstones in the Palaeoproterozoic Willyama Supergroup, Olary Domain, South Australia. Mineralogy and Petrology 64, 187–218.</t>
  </si>
  <si>
    <t>Ashley, P.M., Plimer, I.R., 1989. “Stratiform skarns”––a reevaluation of three eastern Australian deposits. Mineralium Deposita 24, 289–298.</t>
  </si>
  <si>
    <t>Ashley, P.M., Willott, B.R., 1997. Zinc-lead skarn deposits at Leadville, New South Wales, Australia, and their distinction from volcanic-hosted massive sulphides. Mineralium Deposita 32, 16–33.</t>
  </si>
  <si>
    <t>Astron Corporation Limited, 2016. Donald mineral sands project – mineral resurce update. Unpublished Astron Corporation Limited report, 32 p. http://www.astronlimited.com.au/getattachment/0a0baa31-84f5-47b7-bfce-fd69788f2f99/Donald-Mineral-Sands-Project-Resource-Update-April.aspx</t>
  </si>
  <si>
    <t>Atkinson, W.J., Smith, C.B., Danchin, R.V., Janse, A.J.A., 1990. Diamond deposits of Australia. Australasian Institute of Mining and Metallurgy Monograph 14, 69–76.</t>
  </si>
  <si>
    <t>Aurelia Metals Limited, 2019. 2019 Aurelia Metals Ltd Annual Report, 94 p.</t>
  </si>
  <si>
    <t>Aurelia Metals Limited, 2020. Diversified Minerals - Dargues gold mine mineral resouce and ore reserve statement. Unpublished Aurelia Metals Limited announcement to the Australian Securities Exchange, 13 November 2013, 31 p.</t>
  </si>
  <si>
    <t>Aurelia Metals Limited, 2021a. Federation project proceeds to feasibility study. Unpublished Aurelia Metals Limited announcement to the Australian Securities Exchange, 8 April, 2021, 8 p.</t>
  </si>
  <si>
    <t>Aurelia Metals Limited, 2021b. Appendix 4E. Unpublished Aurelia Metals Limited announcement to the Australian Securities Exchange, 24 August 2021, 124 p.</t>
  </si>
  <si>
    <t>Aurelia Metals Limited, 2022a. Group mineral resource and ore reserve statement. Unpublished Aurelia Metals Limited announcement to the Australian Securities Exchange, 10 October 2022, 203 p.</t>
  </si>
  <si>
    <t>Aurelia Metals Limited, 2022b. Appendix 4E. Unpublished Aurelia Metals Limited announcement to the Australian Securities Exchange, 30 August 2022, 119 p.</t>
  </si>
  <si>
    <t>Aurelia Metals Limited, 2023a. Appendix 4E. Unpublished Aurelia Metals Limited announcement to the Australian Securities Exchange, 30 August 2023, 126 p.</t>
  </si>
  <si>
    <t>Aurelia Metals Limited, 2023b. Group mineral resource and ore reserve statement. Unpublished Aurelia Metals Limited announcement to the Australian Securities Exchange, 30 August 2023, 157 p.</t>
  </si>
  <si>
    <t>Aus Tin Mining Limited, 2014. Pre-feasibility study advances the Taronga tin project. Unpublished Aus Tin Mining Limited to the Australian Securities Exchange, 7 April 2014, 35 p.</t>
  </si>
  <si>
    <t>Ausgold Limited, 2019. Scoping study shows potential for a new gold mine at Katanning. Unpublished Ausgold Limited announcement to the Australian Securities Exchange, 1 November 2019, 48 p.</t>
  </si>
  <si>
    <t>Ausgold Limited, 2020. Mines and Money online connect. Unpublished Ausgold Limited announcement to the Australian Securities Exchange, 1 September 2020, 27 p.</t>
  </si>
  <si>
    <t>Ausgold Limited, 2023. Katanning gold resource increases to 3.04 million ounces, supporting expanded long-life gold operation. Unpublished Ausgold Limited announcement to the Australian Securities Exchange, 4 September 2023, 48 p.</t>
  </si>
  <si>
    <t>Aussie Q Resources Limited, 2011. Resource upgrade at Greater Whitewash Project to 242mt @ 604 ppm moly equivalent* – 240% increase in tonnage. Unpublished Aussie Q Resources Limited announcement to the Australian Securities Exchange, 30 May 2011, 11 p.</t>
  </si>
  <si>
    <t>Austen, S., 2007. Isotopic and thermal constraints on the origin and formation of the Abra polymetallic deposit, Jillawara Sub-basin, Western Australia. Unpublished MSc thesis, University of Southampton.</t>
  </si>
  <si>
    <t>Austin, J.R., Gazley, M.F., Godel, B., Hawkins, S., leGras, M., 2016. Uncover Cloncurry – The Maronan Pb‐Ag deposit: integrated petrophysical and geochemical analyses. Commonwealth Scientific and Industrial Research Organisation, Australia, 50 p.</t>
  </si>
  <si>
    <t>Australian Hualong Pty Ltd, 2019. Tenth Legion iron ore mine; Draft 3 Notice of Intent – Level 2 extraction industries. Unpublished Australian Hualong Pty Ltd submission to the Department of Primary Industries, Parks Water and Environment, Tasmania, 13 November 2019, 20 p. https://epa.tas.gov.au/Documents/Australian%20Hualong%20Pty%20Ltd,%20Tenth%20Legion%20Iron%20Ore%20Mine,%20west%20of%20Zeehan%20-%20NOI.pdf.</t>
  </si>
  <si>
    <t>Australian Mines Limited, 2020. Annual Report 2020, 104 p.</t>
  </si>
  <si>
    <t>Australian Potash, 2019. Major resource estimate upgrade. Unpublished Australian Potash announcement to the Australian Securities Exchange, 5 August 2019, 28 p.</t>
  </si>
  <si>
    <t>Australian Rare Earths Limited, 2021. Australian Rare Earths Limited (ACN 632 645 302) prospectus for the offer of 40,000,000 ordinary shares, 268 p.</t>
  </si>
  <si>
    <t>Australian Rare Earths Limited, 2023. Koppamurra mineral resources up 25%, indicated resources up 40%, drilling points to a rare earth mineral provinces. Unpublished Australian Rare Earths Limited announcement to the Australian Securities Exchange, 3 April 2023, 168 p.</t>
  </si>
  <si>
    <t>Ayres, D.E., Burns, M.S., J. W. Smith, J.W., 1979. Sulphur‐isotope study of the massive sulphide orebody at Woodlawn, New South Wales. Journal of the Geological Society of Australia 26, 197–201.</t>
  </si>
  <si>
    <t>Azure Minerals Limited, 2022. Lithium-bearing pegmatites discovered at Andover. Unpublished Azure Minerals Limited announcement to the Australian Securities Exchange, 12 October 2022,14 p.</t>
  </si>
  <si>
    <t>Azure Minerals Limited, 2023. Exploration target - andover lithium project. Unpublished Azure Minerals Limited announcement to the Australian Securities Exchange, 7 August 2023,19 p.</t>
  </si>
  <si>
    <t>Babo, J.A.F., 2014. The high grade Mo-Re Merlin deposit, Cloncurry district, unpublished Ph.D. thesis, James Cook University, 169 p.</t>
  </si>
  <si>
    <t>Bagas, L., Boucher, R., Li, B., Miller, J., Hill, P., Depauw, G., Pascoe, J., Eggers, B., 2014. Paleoproterozoic stratigraphy and gold mineralisation in the Granites-Tanami Orogen, North Australian Craton. Australian Journal of Earth Sciences 60, 497–508.</t>
  </si>
  <si>
    <t>Bagas, L., Huston, D.L., Anderson, J., Mernagh, T.P., 2007. Paleoproterozoic gold deposits in the Bald Hill and Coyote areas, Western Tanami, Western Australia. Mineralium Deposita 42, 127–144.</t>
  </si>
  <si>
    <t>Baggott, M., 2006. A refined model for the magmatic, tectonometamorphic and hydrothermal evolution of Leonora District, Eastern Goldfields Province, Yilgarn Craton, Western Australia. Unpublished Ph.D. thesis, University of Western Australia, 406 p.</t>
  </si>
  <si>
    <t>Baggott, M., Vielreicher, N.M., Groves, D.I., McNaughton, N.J., Gebre-Mariam,.M., 2005. Zircons, dikes, and gold mineralization at Jundee-Nimary: post ca. 2.66 Ga Archean lode gold in the Yandal Belt, Western Australia. Economic Geology 100, 1389–1405.</t>
  </si>
  <si>
    <t>Bain, J.H.C., Draper, J.J. (eds), 1997. North Queensland Geology. Bulletin of the Australian Geological Survey Organisation 240, and Queensland Department of Mines and Energy Geology 9, 600 p.</t>
  </si>
  <si>
    <t>Bain, J.H.C., Heinrich, C.A., Henderson, G.A.M., 1992. Stratigraphy, structure and metasomatism of the Haslington Group, East Moondarra area, Mount Isa: a deformed and mineralised Proterozoic multi-stage rift-sag sequence. In: Stewart, A.J. and Blake, D.H. (eds) Detailed Studies of the Mount Isa Inlier. AGSO Bulletin 243, 125–136.</t>
  </si>
  <si>
    <t>Bain, J.H.C., Withnall, I.W., Black, L.P., Etminan, H., Golding, S.D., Sun, S.S., 1998. Towards an understanding of the age and origin of mesothermal gold mineralisation in the Etheridge Goldfield, Georgetown region, north Queensland. Australian Journal of Earth Sciences 45, 247–263.</t>
  </si>
  <si>
    <t>Baker, D.E.L., Seccombe, P.E., Collins, W.J., 2002. Structural history and timing of gold mineralization in the northeastern East Strelley Belt, Pilbara Craton, Western Australia. Economic Geology 97, 775–786.</t>
  </si>
  <si>
    <t>Baker, E.M., Tullemans, F.J., 1990. Kidston gold deposit. Australasian Institute of Mining and Metallurgy Monograph 14, 1461–1465.</t>
  </si>
  <si>
    <t>Baker, T., Perkins, C., Blake, K.L., Williams, P.J., 2001. Radiogenic and stable isotope constraints on the genesis of the Eloise Cu-Au deposit, Cloncurry district, northwest Queensland. Economic Geology 96, 723–742.</t>
  </si>
  <si>
    <t>Balde, R., Woolfe, T.I., 1990. Saint George gold deposit, Mount Magnet. Australasian Institute of Mining and Metallurgy Monograph 14, 255–258.</t>
  </si>
  <si>
    <t>Balind, P.R., Booth, J., McInnes, P., 2017. Cowal gold deposits, Lake Cowal. Australasian Institute of Mining and Metallurgy Monograph 32, 775–778.</t>
  </si>
  <si>
    <t>Balkau, J., French, T., Ridges, T., 2017. Moolart Well, Garden Well and Rosemont gold deposits. Australasian Institute of Mining and Metallurgy Monograph 32, 261–266.</t>
  </si>
  <si>
    <t>Balmara Resources Limited, 2013. Balmara secures strategic farm-in deal with UK-listed CEB Resources for Peelwood project. Unpublished Balmara Resources Limited announcement to the Australian Securities Exchange, 18 December 2013, 7 p.</t>
  </si>
  <si>
    <t>Barley, M., Stein, H., Cummins, B., Bekker, A., 2008. The Spinifex Ridge 3.3 Ga porphyry-style Mo-Cu deposit, East Pilbara, Western Australia. Proceedings of the 33rd International Geological Congress.</t>
  </si>
  <si>
    <t>Barley, M.E., 1992. A review of Archean volcanic-hosted massive sulfide and sulfate mineralization in Western Australia. Economic Geology 87, 855–872.</t>
  </si>
  <si>
    <t>Barley, M.E., Pickard, A.L., Sylvester, P.J., 1997. Emplacement of a large igneous province as a possible cause of banded iron formation 2.45 billion years ago. Nature 385, 55–58.</t>
  </si>
  <si>
    <t>Barnes, S.J., Anderson, J.A.C., Smith, T.R., and Bagas, L., 2008. The Mordor Alkaline Igneous Complex, Central Australia: PGE-enriched disseminated sulfide layers in cumulates from a lamprophyric magma. Mineralium Deposita 43, 641–662.</t>
  </si>
  <si>
    <t>Barnes, S.J., Hutchinson, N., Warriner, S., 2017. Black Swan nickel sulfide deposits. Australasian Institute of Mining and Metallurgy Monograph 32, 123–126.</t>
  </si>
  <si>
    <t>Barraclough, D., 1979. Geological investigation at the Molyhil scheelite mine, central Australia. Northern Territory Geological Survey Technical Report GS79/016.</t>
  </si>
  <si>
    <t>Barron, L.M., Cameron, R.G., Watkins, J.J., Colquhoun, G.P., Meakin, N.S., Scott, M.M., 1999. Carboniferous, in Meakin, N.S., Morgan, E.J., compilers, Dubbo 1:250 000 geological Sheet SI/55-4, 2nd Edition. Explanatory Notes. Australian Geological Survey Organisation and Geological Survey of New South Wales, 256–280.</t>
  </si>
  <si>
    <t>Barry, C. M., 2014. Genesis of tin mineralisation in the southern New England Orogen: cassiterite geochronology and geochemistry from the Gilgai and Elsmore granites. Unpublished B.Sc. Honours thesis, University of Newcastle.</t>
  </si>
  <si>
    <t>Bartsch, R.D., 1990. Lady Bountiful gold deposit. Australasian Institute of Mining and Metallurgy Monograph 14, 401–404.</t>
  </si>
  <si>
    <t>Bastrakov, E., 2000. Gold metallogenesis at the Lake Cowal prospect, NSW. Unpublished Ph.D. thesis, Australian National University, 114 p.</t>
  </si>
  <si>
    <t>Bath., A.B., Walshe, J.L., Cloutier, J., Rotherham, J., Hutchison, R., Hollebeck, E., Verrall, M. and Schmitt, L., 2020, Alteration patterns linked to high-grade gold mineralization at the Wattle Dam deposit, Western Australia. Ore Geology Reviews, 125, 16 p.</t>
  </si>
  <si>
    <t>Bauk, G., 2011. Exploring high value heavy rare earths. Unpublished presentation, 2011BBY Rare Earth Conference, https://wcsecure.weblink.com.au/pdf/NTU/01170290.pdf</t>
  </si>
  <si>
    <t>Baxter, J.L., 1990. Heavy mineral sand deposits of Western Australia. Australasian Institute of Mining and Metallurgy Monograph 14, 1587–1590.</t>
  </si>
  <si>
    <t>Beams, S.D., Bates, T., Huston, D.L., Morrison, I.J., 2017. Polymetallic massive sulfide deposits of the Mount Windsor Subprovince. Australasian Institute of Mining and Metallurgy Monograph 32, 689–692.</t>
  </si>
  <si>
    <t>Beeson, B., Borton, D., 2006. The Mount Carrington epithermal gold-silver-zinc system and the host Drake Volcanics. , p. 33–38.</t>
  </si>
  <si>
    <t>Belbin, W., Mulholland, I., Burley, L., Mole, D.R., Barnes, S.J., 2017. Fisher East nickel-sulfide deposits. Australasian Institute of Mining and Metallurgy Monograph 32, 143–144.</t>
  </si>
  <si>
    <t>Belperio, A.P., Flint, R., Freeman, H., 2007. Prominent Hill—a hematite-dominated, iron oxide copper-gold system. Economic Geology 102, 1499–1510.</t>
  </si>
  <si>
    <t>Belperio, A.P., Preiss, W.V., Fairclough, M.C., Gatehouse, C.G., Gum, J., Hough, J., Burtt, A., 1998. Tectonic and metallogenic framework of the Cambrian Stansbury Basin-Kanmantoo Trough, South Australia. AGSO Journal of Australian Geology and Geophysics 17, 183–200.</t>
  </si>
  <si>
    <t>Bemax Resources Limited, 2008. Bemax Resources Limited Annual report 2007, 104 p.</t>
  </si>
  <si>
    <t>Bennett, M.R., McGloin, M.V., Schmid, S., Schaubs, P., 2017. Jervois Cu-Ag-Pb-Zn-Au mineral field. Australasian Institute of Mining and Metallurgy Monograph 32, 557–560.</t>
  </si>
  <si>
    <t>Beresford, S., Duuring, P., Fiorentini, M., Rosengren, N., Bleeker, W., Barley, M., Cas, R., Tait, M., Wallace, H., 2004. The structural and stratigraphic architecture of the Agnew/Wiluna Belt, WA. Unpublished AMIRA P710 Final Report, 75–124.</t>
  </si>
  <si>
    <t>Berry, R.F., Huston, D.L., Stolz, A.J., Hill, A.P., Beams, S.D., Kuronen, U., Taube, A., 1992. Stratigraphy, structure, and volcanic-hosted mineralization of the Mount Windsor Subprovince, North Queensland, Australia. Economic Geology 87, 739–763.</t>
  </si>
  <si>
    <t>BHP, 2019. BHP Annual Report 2019, 317 p.</t>
  </si>
  <si>
    <t>Bierlein, F.P., Arne, D.C., Foster, D.A., Reynolds, P., 2001. A geochronological framework for orogenic gold mineralisation in central Victoria, Australia. Mineralium Deposita 36, 741–767.</t>
  </si>
  <si>
    <t>Bierlein, F.P., Arne, D.C., Reynolds, P., McNaughton, N.J., 1999b, AMIRA P478: Victorian Gold—Timing Relationships and Emplacement, Final Report on Geochronology, 1–126.</t>
  </si>
  <si>
    <t>Bierlein, F.P., Foster, D.A., Gray, D.R., Davidson, G.J., 2005. Timing of orogenic gold mineralisation in northeastern Tasmania: implications for the tectonic and metallogenetic evolution of Palaeozoic SE Australia. Mineralium Deposita 39, 890–903.</t>
  </si>
  <si>
    <t>Bierlein, F.P., Foster, DA., McKnight, S., Arne, D.C., 1999a, Timing of gold mineralisation in the Ballarat goldfields, central Victoria: constraints from 40Ar/39Ar results. Australian Journal of Earth Sciences 46, 301–309.</t>
  </si>
  <si>
    <t>Black L.P., 2006. SHRIMP U–Pb zircon ages obtained during 2005/06 for NSW Geological Survey projects. Geological Survey of New South Wales, Report GS2006/821.</t>
  </si>
  <si>
    <t>Black Range Minerals Limited, 2006. Substantial increase in resource base, Koonenberry base metal project, NSW. Unpublished Black Range Minerals Limited announcement to the Australian Securities Exchange, 28 July 2006, 4 p.</t>
  </si>
  <si>
    <t>Black, L.P., 1998. SHRIMP zircon U/Pb isotopic age dating of samples from the Dubbo 1:250 000 Sheet area. Geological Survey of New South Wales Report GS1998/127.</t>
  </si>
  <si>
    <t>Black, L.P., 2005. SHRIMP U-Pb ages obtained during 2004/05 for the NSW Geological Survey. Geological Survey of New South Wales Report GS2005/745.</t>
  </si>
  <si>
    <t>Black, L.P., 2007. SHRIMP U-Pb ages obtained during 2006/07 for the NSW Geological Survey. Geological Survey of New South Wales Report GS2007/298.</t>
  </si>
  <si>
    <t>Black, L.P., McClenaghan, M.P., Korsch, R.J., Everard, J.L., Foudoulis, C., 2005. Significance of Devonian–Carboniferous igneous activity in Tasmania as derived from U–Pb SHRIMP dating of zircon. Australian Journal of Earth Sciences 52, 807–829.</t>
  </si>
  <si>
    <t>Black, L.P., Seymour, D.B., Corbett, K.D., Cox, S.E., Streit, J.E., Bottrill, R.S., Calver, C.R., Everard, J.L., Green, G.R., McClenaghan, M.P., Pemberton, J., Taheri, J., Turner, N.J., 1995. Dating Tasmania’s oldest geological events. Australian Geological Survey Organisation Record 1997/15, 57 p.</t>
  </si>
  <si>
    <t>Blackham Resources, 2017. Annual report, 30 June 2017, 80 p.</t>
  </si>
  <si>
    <t>Blackham Resources, 2018. Annual report, 30 June 2018, 83 p.</t>
  </si>
  <si>
    <t>Blake, D.H., Tyler, I.M., Griffin, T.J., Sheppard, S., Thorne, A.M., Warren, R.G., 1999. Geology of the Halls Creek 1:100 000 sheet area (4461), Western Australia. Australian Geological Survey Organisation, 36 p.</t>
  </si>
  <si>
    <t>Blake, T.S., Buick, R., Brown, S.J.A., Barley, M.E., 2004. Geochronology of a Late Archaean flood basalt province in the Pilbara Craton, Australia: constraints on basin evolution, volcanic and sedimentary accumulation, and continental drift rates. Precambrian Research 133, 143–173.</t>
  </si>
  <si>
    <t>Blevin, P.L., 2002. The petrographic and compositional character of variably K-enriched magmatic suites associated with Ordovician porphyry Cu–Au mineralisation in the Lachlan Fold Belt, Australia. Mineralium Deposita 37, 87–99.</t>
  </si>
  <si>
    <t>Blewett, R.S., Huston, D.L., Mernagh, T.P., Kamprad, J., 2002. The diverse structure of Archean lode gold deposits of the southwest Mosquito Creek Belt, East Pilbara Craton, Western Australia. Economic Geology 97, 787–800.</t>
  </si>
  <si>
    <t>Blewett, R.S., Kennett, B.L.N., Huston, D.L., 2012. Australia in time and space. In: Blewett, R.N., ed. Shaping a Nation – A Geology of Australia. Canberra, ANU Press, 47–119.</t>
  </si>
  <si>
    <t>Blissett, A.H., 1962. Explanatory Report, one mile geological map series K’55-5-50, Zeehan. Tasmania Department of Mines, Geological Survey, 268 p.</t>
  </si>
  <si>
    <t>Blockley, J.G., Myers, J.S., 1990. Proterozoic rocks of the Western Australian Shield, geology and mineralization. Australasian Institute of Mining and Metallurgy Monograph 14, 607–616.</t>
  </si>
  <si>
    <t>Bloem, E.J.M., McNaughton, N.J., Groves, D.I. Ridley, J.R., 1995. An indirect lead isotope age determination of gold mineralization at the Corinthia mine, Yilgarn Block, Western Australia. Australian Journal of Earth Sciences 42, 447–451.</t>
  </si>
  <si>
    <t>Bluestone Tin Limited, 2005. Annual report 2005, 57 p.</t>
  </si>
  <si>
    <t>Bluestone Tin Limited, 2006. Annual report 2006, 80 p.</t>
  </si>
  <si>
    <t>Boab Metals Limited, 2021. Expanded Resource to Underpin Sorby Hills DFS, ASX announcement, 17 December 2021, 39 p.</t>
  </si>
  <si>
    <t>Bodon, S.B., 1998. Paragenetic relationships and their implications for ore genesis at the Cannington Ag-Pb-Zn deposit, Mount Isa Inlier, Queensland, Australia. Economic Geology 93, 1463–1488.</t>
  </si>
  <si>
    <t>Bodon, S.B., Valenta, R.K., 1995. Primary and tectonic features of the Currawong Zn-Cu-Pb(-Au) massive sulfide deposit, Benambra, Victoria: implications for ore genesis. Economic Geology 90, 1694–1721.</t>
  </si>
  <si>
    <t>Bodorkos, S., Blevin, P.L., Eastlake, M.A., Downes, P.M., Campbell, L.M., Gilmore, P.J., Hughes, K.S., Parker, P.J., Trigg, S.J., 2015. New SHRIMP U-Pb zircon ages from the central and eastern Lachlan Orogen, New South Wales: July 2013-June 2014. Geoscience Australia. Record 2015/02, 158 p.</t>
  </si>
  <si>
    <t>Bodorkos, S., Blevin, P.L., Simpson, C.J., Gilmore, P.J., Glen, R.A., Greenfield, J.E., Hegarty, R., Quinn, C.D., 2013. New SHRIMP U-Pb zircon ages from the Lachlan, Thomson and Delamerian orogens, New South Wales: July 2009–June 2010. Geoscience Australia Record 2013/29, Geological Survey of New South Wales Report GS2013/0427..</t>
  </si>
  <si>
    <t>Bodorkos, S., Crowley, J.L., Claoué-Long, J.C., Anderson, J.R., Magee Jr., C.W., 2021. Precise U–Pb baddeleyite dating of the Derim Derim Dolerite, McArthur Basin, Northern Territory: old and new SHRIMP and ID-TIMS constraints, Australian Journal of Earth Sciences 68, 36–50, DOI: 10.1080/08120099.2020.1749929</t>
  </si>
  <si>
    <t>Bodorkos, S., Simpson, C., 2008. Summary of results for the joint GSNSW - GA geochronology project: eastern Lachlan Orogen, July 2007-2008. Geological Survey of New South Wales Report GS 2008/0505, 79 p.</t>
  </si>
  <si>
    <t>Bodorkos, S., Simpson, C.J., Thomas, O.D., Trigg, S.J., Blevin, P.L., Campbell, L.M., Deyssing, L.J., Fitzherbert, J.A., 2010. New SHRIMP U-Pb zircon ages from the eastern Lachlan Orogen, New South Wales, July 2008–June 2009. Geoscience Australia Record 2010/31, 100 p.</t>
  </si>
  <si>
    <t>Bookstrom, A.A., Glen, R.A., Hammarstrom, J.A., Robinson, Jr., G.R., Zientek, M.L., Drenth, B.J., Jaireth, S., Cossette, P.M., and Wallis, J.C., 2010. Porphyry copper assessment of eastern Australia. United States Geological Survey Scientific Investigations Report 2010–5090–L, 160 p.</t>
  </si>
  <si>
    <t>Border, A., Whittock, K., Coxhell, S., 2017. Yangibana rare earth elements carbonatites. Australasian Institute of Mining and Metallurgy Monograph 32, 403–404.</t>
  </si>
  <si>
    <t>Boss Energy Limited, 2021. Honeymoon uranium project, South Australian - updated feasibility study identifies lower costs and increasing financial returns. Unpublished Boss Energy Limited announcement to the Australian Stock Exchange, 21 June 2021, 48 p.</t>
  </si>
  <si>
    <t>Both, R.A. (1990) Kanmantoo Trough-geology and mineral deposits. In Hughes, F.E. (ed), Geology of the Mineral Deposits of Australia and Papua New Guinea. The Australasian Institute of Mining and Metallurgy, Melbourne. 1195-1203.</t>
  </si>
  <si>
    <t>Both, R.A., Rafter, T.A, Solomon, M., Jensen, M.L., 1969. Sulfur isotopes and zoning of the Zeehan field, Tasmania. Economic Geology 64, 618–628.</t>
  </si>
  <si>
    <t>Both, R.A., Williams, K.L., 1968a. Mineralogical zoning in the lead-zinc ores of the Zeehan field, Tasmania; part I, Introduction and review. Journal of the Geological Society of Australia 2, 121–137.</t>
  </si>
  <si>
    <t>Both, R.A., Williams, K.L., 1968b. Mineralogical zoning in the lead-zinc ores of the Zeehan field, Tasmania; part II, Paragenetic and zonal relationships. Journal of the Geological Society of Australia 2, 217–243.</t>
  </si>
  <si>
    <t>Bottomer, L.R., 1986. Epithermal silver‐gold mineralization in the Drake area, northeastern New South Wales. Australian Journal of Earth Sciences 33, 457–473.</t>
  </si>
  <si>
    <t>Bottrill, R., 2014. Mineral deposits associated with the mafic-ultramafic complexes. Geological Society of Australia Special Publication 24, 141–145.</t>
  </si>
  <si>
    <t>Bottrill, R., Everard, J.L., Taheri, J., 2014. Cretaceous igneous rocks. Geological Society of Australia Special Publication 24, 453–462.</t>
  </si>
  <si>
    <t>Bottrill, R., Huston, D.L., Taheri, J., Khin Zaw, 1992. Gold in Tasmania. Geological Survey of Tasmania Bulletin 70, 24–46.</t>
  </si>
  <si>
    <t>Bottrill, R., Taheri, J., 2007. Petrology of the host rocks, including mineralisation and adjacent rock sequences, from the Savage River mine. Tasmanian Geological Survey Record 2007/05, 54 p.</t>
  </si>
  <si>
    <t>Bottrill, R., Taheri, J., Meffre, S., Webster, T., Gilbert, S., 2010. Aspects of the petrology, geochemistry and mineralogy of the Savage River Mine sequence, Tasmania. Procedings of the 13th Quadrennial IAGOD Conference, Adelaide, April, 2010.</t>
  </si>
  <si>
    <t>Boucher, R., Turnbull, D., 2017. Geology &amp; prospect summary – lithium – tin – tantalum pegmatite, Dart Mining NL. Report released as part of unpublished Dart Mining NL announcement to the Australian Securities Exchange, 6 October 2017, 34 p.</t>
  </si>
  <si>
    <t>Bowden, B., Fraser, G., Davidson, G.J., Meffre, S., Skirrow, R., Bull, S., Thompson, J., 2017. Age constraints on the hydrothermal history of the Prominent Hill iron oxide copper-gold deposit, South Australia. Mineralium Deposita 52, 863–881.</t>
  </si>
  <si>
    <t>Boxer, G.L., Jaques, A.L., Rayner, M.J., 2017. Argyle (AK1) diamond deposit. Australasian Institute of Mining and Metallurgy Monograph 32, 527–532.</t>
  </si>
  <si>
    <t>Boyle, G.O., 1990. Hillgrove antimony-gold deposits. Australasian Institute of Mining and Metallurgy Monograph 14, 1425–1427.</t>
  </si>
  <si>
    <t>Bradford, W., 1903. The Egerton-Gordon gold-field. Geological Survey of Victoria Bulletin 10, 22 p.</t>
  </si>
  <si>
    <t>Brampton, K.F., 2003. Copper mining and treatment in South Australia. MESA Journal 28, 38–44.</t>
  </si>
  <si>
    <t>Branniff, V., 2013. Integration of geotechnical and structural data from Savage River mine, Tasmania. Unpublished Ph.D. thesis, University of Tasmania.</t>
  </si>
  <si>
    <t>Brannon, J.C., Cole, S.C., Podosek, F.A., Ragan, V.M., Coveney, R.M., Wallace, M.W., Bradley, A.J., 1996b. Th-Pb and U-Pb dating of ore-stage calcite and Paleozoic fluid flow. Science, 271, 491–493.</t>
  </si>
  <si>
    <t>Brannon, J.C., Podosek, F.A., Cole, S.C., 1996a. Radiometric dating of Mississippi Valley-type ore deposits. Society of Economic Geologists Special Publication 4, 536–545.</t>
  </si>
  <si>
    <t>Brathwaite, R.L., 1974. The geology and origin of the Rosebery ore deposit, Tasmania. Economic Geology 69, 1086–1101.</t>
  </si>
  <si>
    <t>Brauhart, C.W., Groves, D.I., Morant, P., 1998. Regional alteration systems associated with volcanogenic massive sulfide mineralization at Panorama, Pilbara, Western Australia. Economic Geology 93, 292–302.</t>
  </si>
  <si>
    <t>Brauns, C.M., Hergt, J.M., Woodhead, J.D., Maas, R., 2000. Os isotopies and the origin of the Tasmania dolerites. Journal of Petrology 41, 905-918.</t>
  </si>
  <si>
    <t>Broadbent, G.C., Myers, R.E., Wright, J.V., 1998. Geology and origin of shale-hosted Zn-Pb-Ag mineralization at the Century deposit, northwest Queensland, Australia. Economic Geology 93, 1264–1294.</t>
  </si>
  <si>
    <t>Broken Hill Prospecting Limited, 2018. Broken Hill Prospecting Limited Annual report for the year ended 30 June 2018, 47 p.</t>
  </si>
  <si>
    <t>Brooker, M., Jaireth, S., 1995. Mount Rawdon, southeast Queensland, Australia: a diatreme-hosted gold-silver deposit. Economic Geology 90, 1799–1817.</t>
  </si>
  <si>
    <t>Broome, J., Corley, D., 2017. Dugald River Zn-Pb-Ag deposit. Australasian Institute of Mining and Metallurgy Monograph 32, 493–496.</t>
  </si>
  <si>
    <t>Broome, J., Journeaux, T., Simpson, C., Dodunski, N., Hosken, J., De Vitry, C., Pilapil, L., 1998. Agnew gold deposits. Australasian Institute of Mining and Metallurgy Monograph 22, 161–170.</t>
  </si>
  <si>
    <t>Brown, R.E., Brownlow, J.W., Krynen, J.P., 1992. Manilla-Narabri 1:250 000 metallogenic map SH/56-9, SH/55-12 – metallogenic study and mineral deposit data sheets. Geological Survey of New South Wales, Sydney, 319 p.</t>
  </si>
  <si>
    <t>Brown, R.E., Coffey, J., Hosken, J., Johnston, C., Lenard, M., 2017. Cobar district mineral field. Australasian Institute of Mining and Metallurgy Monograph 32, 739–746.</t>
  </si>
  <si>
    <t>Brown, R.E., Stroud, W.J., 1997. Inverell 1:250 000 metallogenic map SH/56-5 – metallogenic study and mineral deposit data sheets. Geological Survey of New South Wales, Sydney, 576 p.</t>
  </si>
  <si>
    <t>Brown, S.M., Fletcher, I.R., Stein, H.J., Snee, L.W., Groves, D.J., 2002. Geochronological constraints on pre-, syn- and post-mineralisation events at the world-class Cleo gold deposit, Eastern Goldfields Province, Western Australia. Economic Geology 97, 542–559.</t>
  </si>
  <si>
    <t>Browne, A.L.L., 1990. Ranger 68 uranium deposit. Australasian Institute of Mining and Metallurgy Monograph 14, 795–797.</t>
  </si>
  <si>
    <t>Browne, A.L.L., 2017. Alligator Rivers uranium province. Australasian Institute of Mining and Metallurgy Monograph 32, 457–460.</t>
  </si>
  <si>
    <t>Browning, P., Groves, D. I., Blockley, J. G., Rosman, K. J. R., 1987. Lead isotope constraints on the age and source of gold mineralization in the Archean Yilgarn block. Economic Geology 82, 971–986.</t>
  </si>
  <si>
    <t>Brumby Resources Limited, 2015. Creating a significant new Australian zinc company. Unpublished Brumby Resources Limited announcement to the Australian Securities Exchange, 25 May 2015, 42 p.</t>
  </si>
  <si>
    <t>Bryan, R.C., Clark, A., Dyer, T.L., Hussey, A., Johns, C., Malhotra, D., Monasterio, J.I., Ponos, Z., Richers, D.M., Scharnhorst, V.J., Thompson, K., 2020. Mt Todd Gold Project – 50,000 tpd Preliminary Feasibility Study, Northern Territory, Australia (amended). Unpublished Tetra Tech NI 43-101 report to Vista Gold, 417 p.</t>
  </si>
  <si>
    <t>Bryan, S.E., Purdy, D.J., 2013. Whitsunday silicic large igneous province. In Jell, P.A., ed., Geology of Queensland, 552–565.</t>
  </si>
  <si>
    <t>Bucci, L.A., Hagemann, S.G., Groves, D.I., Standing, J.G., 2002. The Archean Chalice gold deposit: a record of complex, multistage, high-temperature hydrothermal activity and gold mineralisation associated with granitic rocks in the Yilgarn Craton, Western Australia. Ore Geology Reviews 19, 23–67.</t>
  </si>
  <si>
    <t>Bucci, L.A., McNaughton, N.J., Fletcher, I.R., Groves, D.J., Kositcin, N., Stein, H.J., Hagemann, S.G., 2004. Timing and duration of high-temperature gold mineralization and spatially associated granitoid magmatism at Chalice, Yilgarn Craton, Western Australia. Economic Geology 99, 1123–1144.</t>
  </si>
  <si>
    <t>Buck, P.S., Vallance, S.A., Perring, C.S., Hill, R.E., Barnes, S.J., 1998. Maggie Hays nickel deposit. Australasian Institute of Mining and Metallurgy Monograph 22, 357–363.</t>
  </si>
  <si>
    <t>Budd, A.R., Fraser, G.L., 2004. Geological relationships and 40Ar/39Ar age constraints on gold mineralisation at Tarcoola, central Gawler gold province, South Australia. Australian Journal of Earth Sciences 51, 685–699.</t>
  </si>
  <si>
    <t>Budd, A.R., Skirrow, R.G., 2007. The nature and origin of gold deposits of the Tarcoola goldfield and implications for the central Gawler gold province, South Australia. Economic Geology 102, 1541–1563.</t>
  </si>
  <si>
    <t>Buick, R., Brauhart, C.W., Morant, P., Thornett, J.R., Maniw, J., Archibald, N.J., Doepel, M., 2002. Geochronology and stratigraphic relationships of the Sulphur Springs Group and Strelley Granite: A temporally distinct igneous province in the Archaean Pilbara Craton, Australia. Precambrian Research 114, 87–120.</t>
  </si>
  <si>
    <t>Buick, R., Thornett, J.R., McNaughton, N.J., Smith, J.B., Barley, M.E., Savage, M., 1995. Record of emergent continental crust ~3.5 billion years ago in the Pilbara Craton of Australia. Nature 375, 574–577.</t>
  </si>
  <si>
    <t>Bull, A., Rogers, J., Ross, A., Tripp, G., 2017. Kanowna Belle gold deposit. Australasian Institute of Mining and Metallurgy Monograph 32, 229–234.</t>
  </si>
  <si>
    <t>Bull, K.F., Crawford, A.J., McPhie, J., Newberry, R.J., Meffre, S., 2008. Geochemistry, geochronology and tectonic implications of Late Silurian - Early Devonian volcanic successions, Central Lachlan Orogen, New South Wales. Australian Journal of Earth Sciences 55, 235-264.</t>
  </si>
  <si>
    <t>Bultitude, R.J., Garrard, P.D., Donchak, P.J.T., Domagala, J., Champion, D.C., Rees, I.D., Mackenzie, D.E., Wellman, P., Knutson, J., Fanning, C.M., Fordham, B.G., Grimes, K.G., Oversby, B.S., Rienks, I.P., Stephenson, P.J., Chappell, B.W., Pain, C.F., Wilford, J.F., Rigby, J.F., Woodbury, M.J., 1997. Cairns Region. North Queensland Geology. Australian Geological Survey Organisation Bulletin 240/Queensland Department of Mines and Energy Geology 9, 225–325.</t>
  </si>
  <si>
    <t>Burban, B., 1990. Kunwarara magnesite deposit. Australasian Institute of Mining and Metallurgy Monograph 14, 1675–1677.</t>
  </si>
  <si>
    <t>Burley, L.L., Barnes, S.J., Laukamp, C., Mole, D.R., Le Vaillant, M., Fiorentini, M.L., 2017. Rapid mineralogical and geochemical characterisation of the Fisher East nickel sulphide prospects, Western Australia, using hyperspectral and pXRF data. Ore Geology Reviews 90, 371–387.</t>
  </si>
  <si>
    <t>Burnham, A.D., Chandler, R., Amelin, Y. and Mavrogenes, J., in press (2024). Allanite geochronology in the Mount Isa Inlier. Australian Journal of Earth Sciences, 14 pp.</t>
  </si>
  <si>
    <t>Burton, G.R., 2012. A geological study of the May Day open cut mine, Gilgunnia area. Geological Survey of New South Wales Report GS2012/1797.</t>
  </si>
  <si>
    <t>Burton, G.R., Downes, P., 2005. Mineralisation. In Colquhoun, G.P., Meakin, N.S., Cameron, R.G. (compilers), Cargelligo 1:250 000 Geological Sheets SH155-5, 3rd edition. Geological Survey of New South Wales Explanatory Notes, 231–252.</t>
  </si>
  <si>
    <t>Burton, G.R., Trigg, S.J., Black, L.P., 2007. A Middle Triassic age for felsic intrusions and associated mineralisation at the Doradilla prospect, New South Wales. Geological Survey of New South Wales Quarterly Notes 125, 1–11.</t>
  </si>
  <si>
    <t>Butera, K.M., Williams, I.S., Blevin, P.L., Simpson, C.J., 2001. Zircon U–Pb dating of Early Palaeozoic monzonitic intrusives from the Goonumbla area, New South Wales. Australian Journal of Earth Sciences 48, 457–464.</t>
  </si>
  <si>
    <t>Calidus Resources Limited, 2019. Calidus grows resource by 75% to 1.25 Moz – positions Calidus for completion of PFS in Q3 2019. Unpublished Calidus Resources Limited announcement to the Australian Securities Exchange, 6 February 2019, 44 p.</t>
  </si>
  <si>
    <t>Calidus Resources Limited, 2022. Maiden Blue Spec reserve underpins explansion plan for Warrawoona. Unpublished Calidus Resources Limited announcement to the Australian Securities Exchange, 29 September 2022, 46 p.</t>
  </si>
  <si>
    <t>Calidus Resources Limited, 2023. Calidus enhances cash posiiton and production upside with purchase of Nullagine Gold Project. Unpublished Calidus Resources Limited announcement to the Australian Securities Exchange, 21 December 2023, 11 p.</t>
  </si>
  <si>
    <t>Callaghan, T., 2001. Geology and host-rock alteration of the Henty and Mount Julia gold deposits, western Tasmania. Economic Geology 96, 1073–1088.</t>
  </si>
  <si>
    <t>Callaghan, T., 2017. King Island scheelite deposits. Australasian Institute of Mining and Metallurgy Monograph 32, 843–846.</t>
  </si>
  <si>
    <t>Callaghan, T., Hazeldene, R.K., Teale, G.S., 2017b. Zeehan tin deposits. Australasian Institute of Mining and Metallurgy Monograph 32, 839–842.</t>
  </si>
  <si>
    <t>Callaghan, T., Sloan, M., Mackay-Scollay, B., 2017a. Avebury nickel sulfide deposit. Australasian Institute of Mining and Metallurgy Monograph 32, 813–816.</t>
  </si>
  <si>
    <t>Calver, C.R., Baillie, P.W., Banks, M.R., Seymour, D.B., 2014. Ordovician-Lower Devonian successions. Geological Society of Australia Special Publication 24, 241–271.</t>
  </si>
  <si>
    <t>Cameron, E.M., Hattori, K., 1987. Archean gold mineralization and oxidized hydrothermal fluids. Economic Geology 82, 1177–1191.</t>
  </si>
  <si>
    <t>Campbell, I.B., Cochrane, G.W., Hughes, M.J., Judkins, D., Lynn, S., Kotsonis, A., Olshina, A., Ferguson, J.A., Summons, T.J., McHaffie, I.W., King, R.L., 2003. Other non-energy resources – materials in abundance. Geological Society of Australia Special Publication 23, 435–467.</t>
  </si>
  <si>
    <t>Campbell, I.H., Hill, R.I., 1988. A two-stage model for the formation of the granite-greenstone terrains of the Kalgoorlie-Norseman area, Western Australia. Earth and Planetary Science Letters 90, 11–25.</t>
  </si>
  <si>
    <t>Canavan, F., 1988.  Deep lead gold deposits of Victoria.  Geological Survey of Victoria Bulletin 62, 101p.</t>
  </si>
  <si>
    <t>Cannel, J., Davidson, G.A., 1998. A carbonate-dominated copper-cobalt breccia-vein system at the Great Australia deposit, Mount Isa Eastern Succession. Economic Geology 93, 1406–1421.</t>
  </si>
  <si>
    <t>Capital Mining Limited, 2016. Capital Mining commences drilling at Mayfield gold project. Unpublished Capital Mining Limited announcement to the Australian Securities Exchange, 17 November 2016, 5 p</t>
  </si>
  <si>
    <t>Caravel Minerals Limited, 2016. Calingiri maiden JORC resource – 251 Mt @ 0.34% for 844,300 tonnes copper. Unpublished Caravel Minerals Limited announcement to the Australian Securities Exchange, 4 April 2016, 24 p.</t>
  </si>
  <si>
    <t>Caravel Minerals Limited, 2023. 2023 mineral resource update – Contained copper increse to 3.03 Mt and new precious metals estimaes expected to produce higher revenue streams. Unpublished Caravel Minerals Limited announcement to the Australian Securities Exchange, 13 November 2023, 42 p.</t>
  </si>
  <si>
    <t>Carawine Resources Limited, 2020. Victoria Gold Mining &amp; Exploration Forum presentation. Unpublished Carawine Resources Limited announcement to the Australian Securities Exchange, 21 August 2020, 19 p.</t>
  </si>
  <si>
    <t>Carbine Resources Limited, 2017. Carbine Resources Limited 2017 Annual Report, 80 p.</t>
  </si>
  <si>
    <t>Carman, G., 2008. Exploring for copper: Frogmore district, New South Wales. Unpublished Paradigm Metals Limited announcement to the Australian Securities Exchange, 1 September 2008, 39 p.</t>
  </si>
  <si>
    <t>Carr, G.R., 1984. Primary geochemical and mineralogical dispersion in the vicinity of the Lady Loretta Zn-Pb-Ag deposit, northwest Queensland. Journal of Geochemical Exploration 22, 217–238.</t>
  </si>
  <si>
    <t>Carr, G.R., Dean, J.A., Suppel, D.W., Heithersay, P.S., 1995. Precise lead isotope fingerprinting of hydrothermal activity associated with Ordovician to Carboniferous metallogenic events in the Lachlan Fold Belt of New South Wales. Economic Geology 90, 1467–1505.</t>
  </si>
  <si>
    <t>Carr, G.R., Denton, G.J., Korsch, M.J., Parr, J.M., Andrew, A.S., Whitford, D., Wyborn, L.A.I., Sun, S.-S., 2001. User friendly isotope technologies in mineral exploration: Northern Australian Proterozoic basins. Australian Mineral Industry Research Association Final Report P480, 313 p.</t>
  </si>
  <si>
    <t>Carr, G.R., Smith, J.W., 1977. A comparative isotopic study of the Lady Loretta zinc-lead-silver deposit. Mineralium Deposita 12, 105–110.</t>
  </si>
  <si>
    <t>Carson, C.J., Kositcin, K., Anderson, J.R., Henson, P.A., 2023. A revised Proterozoic tectono-stratigraphy of the South Nicholson region, Northern Territory, Australia—insights from SHRIMP U–Pb detrital zircon geochronology, Australian Journal of Earth Sciences, DOI: 10.1080/08120099.2023.2264355</t>
  </si>
  <si>
    <t>Carter, D.N., Grayson, M.I., 1990. Copperhead gold deposit, Bullfinch. Australasian Institute of Mining and Metallurgy Monograph 14, 283–285.</t>
  </si>
  <si>
    <t>Carville, D.P., Leckie, J.F., Moorehead, C.F., Rayner, J.G., Durbin, A.A., 1990. Coronation Hill gold-platinum-palladium deposit. Australasian Institute of Mining and Metallurgy Monograph 14, 759–762.</t>
  </si>
  <si>
    <t>Case, G.N.D., 2016. Genesis of the E1 group of iron oxide-copper-gold deposits, Cloncurry district, North West Queensland. Unpublished Ph.D. thesis, James Cook University.</t>
  </si>
  <si>
    <t>Cassidy, K.F., Bennett, J.M., 1993. Gold mineralisation at the Lady Bountiful Mine, Western Australia: an example of a granitoid-hosted Archaean lode gold deposit. Mineralium Deposita 28, 388–408.</t>
  </si>
  <si>
    <t>Catalpa Resources, 2010. Market update. Unpublished Catalpa Resources announcement to the Australian Stcok Exchange, 23 November 2010, 10 p.</t>
  </si>
  <si>
    <t>Catalyst Metals Limited, 2021. Annual report and financial statements, year ended 30 June 2021, 63 p.</t>
  </si>
  <si>
    <t>Catalyst Metals Limited, 2022. Annual report and financial statements, year ended 30 June 2022, 76 p.</t>
  </si>
  <si>
    <t>Catalyst Metals Limited, 2023. Annual report and financial statements, year ended 30 June 2023, 90 p.</t>
  </si>
  <si>
    <t>Cave, B., Healy, M., Overall, D. and Lilly, R., 2024. Genesis of the Mount Colin Cu-Au deposit, NW Queensland: Evidence from geology, multi-mineral U–Pb geochronology, S-, O-and C-isotope constraints. Journal of Geochemical Exploration, 256, p.107350.</t>
  </si>
  <si>
    <t>Cave, B., Lilly, R., Hand, M., Varga, J., Light, S., Leslie, D., North, B., Park, J. and Klingberg, L., 2024. A temporal framework for the Carrapateena Iron Oxide Copper-Gold (IOCG) deposit, Northern Gawler Craton, South Australia. Ore Geology Reviews, p.106092.</t>
  </si>
  <si>
    <t>Cayley, R.A., McDonald, P.A., 1995. Beaufort 1:100 000 map area geological report. Geological Survey of Victoria Report 104, 145 p.</t>
  </si>
  <si>
    <t>Centrex Metals Limited, 2013. Fusion resource update. Unpublished Centrex Metals Limited announcement to the Australian Securities Exchange, 18 February 2013, 11 p.</t>
  </si>
  <si>
    <t>Chalice Mining Limited, 2024. Gonneville resource remodelled to support selective mining. Unpublished Chalice Mining Limited announcement to the Australian Securities Exchange, 23 April 2024, 57 p.</t>
  </si>
  <si>
    <t>Chalmers, D.I., Ransted, T.W., Kairitis, R., Meates, D.G., 2007. The Wyoming gold deposits: volcanic-hosted lode-type gold mineralisation in the Eastern Lachlan Orogen, Australia. Minealium Deposita 42, 505–513.</t>
  </si>
  <si>
    <t>Chalmers, D.I., Ransted, T.W., Meates, D.G., 2017. Toongi rare metal deposit. Australasian Institute of Mining and Metallurgy Monograph 32, 779–780.</t>
  </si>
  <si>
    <t>Champion, D.C., Kositcin, N., Huston, D.L., Mathews, E., Brown, C., 2009. Geodynamic synthesis of the Phanerozoic of Eastern Australia and implications for metallogeny. Geoscience Australia Record 2009/18, 254 p.</t>
  </si>
  <si>
    <t>Chandler, R., Bhat, G., Mavrogenes, J., Knell, B., David, R. and Leggo, T., 2024. The primary geology of the Paleoproterozoic Mt Weld Carbonatite Complex, Western Australia. Journal of Petrology 65, p.egae007.</t>
  </si>
  <si>
    <t>Chang, Z., 2005. World skarn deposits: skarns of China: Economic Geology 100th Anniversary Volume, electronic appendices, 10 p.</t>
  </si>
  <si>
    <t>Chang, Z., Clarke, G., Cheng, Y., Poblete, J., Kiu, K., 2017. Sn-W-Mo mineralisation in north-east Queensland. Australasian Institute of Mining and Metallurgy Monograph 32, 681–688.</t>
  </si>
  <si>
    <t>Chapman, L.H., 2004. Geology and mineralization styles of the George Fisher Zn-Pb-Ag deposit, Mount Isa, Australia. Economic Geology 99, 233–255.</t>
  </si>
  <si>
    <t>Cheng, Y, Chang, Z., Clarke, G., Illig, P., Poblete, J., Liu, K., Johnson, J., Hall, C.M., Creaser, R.A., 2017. Geology and magmatic-hydrothermal temporal sequence of Sn-W-Mo-Au metallogeny in Northern Queensland, Australia. Unpublished James Cook University report to the Geological Survey of Queensland, 32 p. https://geoscience.data.qld.gov.au/it/report/cr116866.</t>
  </si>
  <si>
    <t>Cherry, D.P., 2003. Hill 800 Au-Cu mineralization, eastern Victoria. CRC LEME, http://crcleme.org.au/RegExpOre/Hill800.pdf.</t>
  </si>
  <si>
    <t>China Yunnan Copper Australia Limited, 2010. Inferred resource estimate – Elaine-Dorothy uranium - rare earth element (REE). Unpublished China Yunnan Copper Australia Limited Announcement to the Australian Securities Exchange, 24 March 2020, 7 p.</t>
  </si>
  <si>
    <t>Chinova Resources Limited, 2016. Mount Dore Mineral Resource Update Summary. 15 pp.</t>
  </si>
  <si>
    <t>Chisholm, E., Blevin, P., Simpson, C., 2014a. New SHRIMP U-Pb zircon ages from the New England Orogen, New South Wales July 2010-June 2012. Geoscience Australia. Record 2014/52, 84 p.</t>
  </si>
  <si>
    <t>Chisholm, E., Blevin, P., Simpson, C., 2014b. New SHRIMP U-Pb zircon ages from the New England Orogen, New South Wales July 2012-June 2014. Geoscience Australia. Record 2014/13, 242 p.</t>
  </si>
  <si>
    <t>Chisholm, E.I., Blevin, P.L., Downes, P.M., Simpson, C.J., 2014c. New SHRIMP U–Pb zircon ages from the central Lachlan Orogen and Thomson Orogen, New South Wales: July 2011–June 2012. Geoscience Australia Record 2014/32, 49 p.</t>
  </si>
  <si>
    <t>Christensen, J.N., Halliday, A.N., Vearncombe, J.R., Kesler, S.E., 1995. Testing models of large-scale crustal fluid flow using direct dating of sulfides; Rb-Sr evidence for early dewatering and formation of Mississippi valley-type deposits, Canning Basin, Australia. Economic Geology 90, 877–884.</t>
  </si>
  <si>
    <t>Ciobanu, C.L., Wade, B.P., Cook, N.J., Schmidt Mumm, A., Giles, D., 2013. Uranium-bearing hematite from the Olympic Dam Cu-U-Au deposit, South Australia: A geochemical tracer and reconnaissance Pb-Pb geochronometer. Precambrian Research 238, 129–147.</t>
  </si>
  <si>
    <t>Claoué-Long J, Maidment D, Donnellan N, 2008. Stratigraphic timing constraints in the Davenport Province, central Australia: a basis for Palaeoproterozoic correlations. Precambrian Research 166, 204–218.</t>
  </si>
  <si>
    <t>Claoué-Long, J.C., Edgoose, C.J., Worden, K., 2008. A correlation of Aileron Province stratigraphy in central Australia. Precambrian Research 166, 230–240.</t>
  </si>
  <si>
    <t>Claoué-Long, J.C., Hoatson, D.M., 2005. Proterozoic mafic–ultramafic intrusions in the Arunta Region, central Australia: Part 2: Event chronology and regional correlations. Precambrian Research 142, 134–158.</t>
  </si>
  <si>
    <t>Clark, C., Kirkland, C.L., Spaggiari, C.V., Oorschot, C., Wingate, M.T.D., Taylor, R., 2014. Proterozoic granulite formation driven by magmatism: an example from the Fraser Range Metamorphics, Western Australia. Precambrian Research 240, 1–21.</t>
  </si>
  <si>
    <t>Clark, D., 2003. Geology and genesis of the Mammoth Cu deposit, Mount Isa Inlier, Australia. Unpublished Ph.D. thesis, University of Tasmania, 338 p.</t>
  </si>
  <si>
    <t>Clarke, G.W., 1995. Geological and geochemical characteristics of granite-related mineralising systems, in the Herberton district. EGRU Contibution 52, 246–277.</t>
  </si>
  <si>
    <t>Clarke, G.W., 2019. Element partitioning in the formation of a microgranite sill with associated Mo (+/-W) deposits in the Herberton district, north-east Queensland, Australia. EGRU Contibution 60, 14–18.</t>
  </si>
  <si>
    <t>Clarke, G.W., Morwood, D.A., Dash, P.H., 1994. A review of the Ollera Creek mineral field, north Queensland.Queensland Geological Record 1994/8.</t>
  </si>
  <si>
    <t>Clements, A., Bower, J., Mills, M., Rees, I., 2017. Weipa bauxite plateau, Cape York. Australasian Institute of Mining and Metallurgy Monograph 32, 855–856</t>
  </si>
  <si>
    <t>Clout, J.M.F., Counsell, C., Simpson, C., 2017. Chichester and Solomon bedded and channel iron deposits. Australasian Institute of Mining and Metallurgy Monograph 32, 351-358.</t>
  </si>
  <si>
    <t>Coats, R.P., 1973. COPLEY, South Australia, sheet SH54-9. South Australia Geological Survey 1:250 000 Series Explanatory Notes.</t>
  </si>
  <si>
    <t>Cochrane, G.W., Bowen, K.G., 1971. Tin deposits of Victoria. Geological Survey of Victoria Bulletin 60, 73 p.</t>
  </si>
  <si>
    <t>Cockerton, A.B.D., Tomkins, A.G., 2012. Insights into the liquid bismuth collector model through analysis of the Bi-Au Stormont skarn prospect, northwest Tasmania. Economic Geology 107, 667–682.</t>
  </si>
  <si>
    <t>CODA minerals 2020. Confirmation of exploration target and mineral resource and ore reserve statement.  Unpublished CODA minerals announcement to the Australian Securities Exchange, 23 October 2020, 49 p.</t>
  </si>
  <si>
    <t>Collins, J.E., Hagemann, S.H., McCuaig, T.C., Frost, K.M., 2012. Structural controls on sulfide remobilization at the Flying Fox Ni–Cu–PGE deposit, Forrestania greenstone belt, Western Australia. Economic Geology 107, 1433–1455.</t>
  </si>
  <si>
    <t>Collins, P.L.F., 1981. The geology and genesis of the Cleveland tin deposit, western Tasmania. Economic Geology 76, 365–392.</t>
  </si>
  <si>
    <t>Collins, P.L.F., Marshall, A.E., 1999a. Volcanogenic base-metal deposits in the Whim Creek belt. Geological Survey of Western Australia Mineral Resources Bulletin 15, 44–72.</t>
  </si>
  <si>
    <t>Collins, P.L.F., Marshall, A.E., 1999b. Volcanic-hosted massive sulfide deposits at Whundo-Yannery in the Sholl belt. Geological Survey of Western Australia Mineral Resources Bulletin 15, 73–79.</t>
  </si>
  <si>
    <t>Colquhoun, G.P., Meakin, N.S., Cameron, R.G. (compilers), 2005. Cargelligo 1:250 000 Geological Sheets SH155-5, 3rd edition. Geological Survey of New South Wales Explanatory Notes, 291 p.</t>
  </si>
  <si>
    <t>Compass Resources NL, 2008. Compass Resources Annual Report 2007.</t>
  </si>
  <si>
    <t>Compston, D.M., Matthai, S.K., 1994. Age constraints on Early Proterozoic gold deposits, Pine Creek Inlier and Tennant Creek Inlier, northern Australia. Geological Society of Australia Abstracts 37, 70.</t>
  </si>
  <si>
    <t>Compston, D.M., McDougall, I., 1994. 40Ar‐39Ar and K‐Ar age constraints on the Early Proterozoic Tennant Creek Block, northern Australia, and the age of its gold deposits. Australian Journal of Earth Sciences 41, 609–616.</t>
  </si>
  <si>
    <t>Connor, A.G., Johnson, I.R., Muir, M.D., 1990). Dugald River zinc-lead seposit. Australasian Institute of Mining and Metallurgy Monograph 14, 949–953.</t>
  </si>
  <si>
    <t>Consolidated Minerals Limited, 2005. Consmin delivers major nickel resource upgrade at Kambalda. Unpublished Consolidated Minerals Limited announcement to the Australian Securities Exchange, 19 July 2005, 2 p.</t>
  </si>
  <si>
    <t>Consolidated Tin Mines Limited, 2017. Annual report 2017, 74 p.</t>
  </si>
  <si>
    <t>Consolidated Tin Mines Limited, 2021. King Vol Mineral Resource Estimate, ASX Announcement, 3 March 2021, 152 p.</t>
  </si>
  <si>
    <t>Cook, N.J., Ciobanu, C.L., Wade, B.P., Gilbert, S.E., Alford, R., 2023. Mineralogy and distribution of REE in oxidised ores of the Mount Weld laterite deposit, Western Australia. Minerals 13, 656.</t>
  </si>
  <si>
    <t>Cooke, D.P., Ramsey, T., Miller, J.M., Bath, A.B., 2017. Kundana goldfield. Australasian Institute of Mining and Metallurgy Monograph 32, 199–205.</t>
  </si>
  <si>
    <t>Cooke, D.R., 1985. The geology and geochemistry of the Naringla Monzodiorite, and the mineralisation and alteration of the associated porphyry copper deposits: Yeoval, central-western NSW. Unpublish B.Sc. Honours thesis, Latrobe University.</t>
  </si>
  <si>
    <t>Cooke, D.R., Bull, S.W., Donovan, S., Rogers, J.R., 1998. K-metasomatism and base metal depletion in volcanic rocks from the McArthur Basin, Northern Territory; implications for base metal mineralization. Economic Geology 93, 1237–1263.</t>
  </si>
  <si>
    <t>Cooke, D.R., Wilson, A.J., House, M.J., Wolfe, R.C., Walshe, J.L., Lickfold and Crawford, A.J., 2007. Alkalic porphyry Au-Cu and associated mineral deposits of the Ordovician to Early Silurian Macquarie Arc, New South Wales. Australian Journal of Earth Sciences 54, 445–463.</t>
  </si>
  <si>
    <t>Copeland, I. K., 1998. Jubilee gold deposit, Kambalda. Australasian Institute of Mining and Metallurgy Monograph 22, 219–224.</t>
  </si>
  <si>
    <t>Corbett, K.D., 2014. The Mount Lyell field. Geological Society of Australia Special Publication 24, 201–208.</t>
  </si>
  <si>
    <t>Core Lithium Limited, 2020. Core Lithium Annual Report – 2020, 86 p.</t>
  </si>
  <si>
    <t>Core Lithium Limited, 2022a. Significant increase to Finniss Lithium Project mineral resource and ore reserves. Unpublished Core Lithium announcement to the Australian Securities Exchange, 12 July 2022, 74 p.</t>
  </si>
  <si>
    <t>Core Lithium Limited, 2022b. Core acquires ne NT lithium project near Finniss. Unpublished Core Lithium announcement to the Australian Securities Exchange, 11 April 2022, 6 p.</t>
  </si>
  <si>
    <t>Core Lithium Limited, 2023a. Finniss Lithium mineral resources incresed by 62%. Unpublished Core Lithium announcement to the Australian Securities Exchange, 18 April 2023, 47 p.</t>
  </si>
  <si>
    <t>Core Lithium Limited, 2023b. Australia's newest lithiunm producer - Core Litium Limited annual report 2023, 120 p.</t>
  </si>
  <si>
    <t>Cowley, W.M., 2017. Adelaide Geosyncline, Stuart Shelf, Kanmantoo Trough and Delamerian Orogen. Australasian Institute of Mining and Metallurgy Monograph 32, 659–664.</t>
  </si>
  <si>
    <t>Cox, R., 1975. Magnet silver-lead-zinc orebody. Australasian Institute of Mining and Metallurgy Monograph 5, 628–631.</t>
  </si>
  <si>
    <t>Coxhell, S., Fehlberg, B., 2000. Julia Creek vanadium and oil shale deposit. AIG Journal, paper 2000 – 11 May 2000, 14 p.</t>
  </si>
  <si>
    <t>Crawford, A.J., Cayley, R.A., Taylor, D.H., Morand, V.J., Gray, C.M., Kemp, A.I.S., Wohlt, K.E., VandenBerg, A.H.M., Moore, D.H., Maher, S., Direen, N.G., Edwards, J., Donaghy, Anderson, J.A., Black, L.P., 2003. Neoproterozoic and Cambrian - continental rifting, continent–arc collision and post-collisional magmatism. Geological Society of Australia Special Publication 23, 73–92.</t>
  </si>
  <si>
    <t>Crawford, A.J., Cooke, D.R. Fanning, C.M., 2007. Geochemistry and age of magmatic rocks in the unexposed Narromine, Cowal and Fairholme Igneous Complexes in the Ordovician Macquarie Arc, New South Wales. Australian Journal of Earth Sciences 54, 243–271.</t>
  </si>
  <si>
    <t>Critical Resources Limited, 2023. Maiden mineral resource estimate for the Halls Peak Zn-Pb-Cu-Ag-Au project. Unpublised Critical Resources Limited announcement to the Australian Securities Exchange, 25 p.</t>
  </si>
  <si>
    <t>Crohn, P.W., 1968. The mines and mineral deposits of the Katherine-Darwin region. Bureau of Mineral Resources, Geology and Geophysics Bulletin 82, 171–247.</t>
  </si>
  <si>
    <t>Cronin, D.E. 2017. Iron ore deposits of the Hutchison Group, Eyre Peninsula. Australasian Institute of Mining and Metallurgy Monograph 32, 625–628.</t>
  </si>
  <si>
    <t>Cronin, D.E., Kitto, J., Mowat, B., Munro, S., Scott, M.M. 2017. Temora copper-gold deposits. Australasian Institute of Mining and Metallurgy Monograph 32, 771–774.</t>
  </si>
  <si>
    <t>Cross, A., Blevin, P., 2010. Summary of results for the joint GSNSW–GA geochronology project: New England Orogen and Sydney–Gunnedah Basin, April–July 2008. Geological Survey of New South Wales Report GS2010/0778.</t>
  </si>
  <si>
    <t>Cross, A., Huston, D. Farias, P., 2021. Summary of results. Joint NTGS–GA geochronology project: Rover mineral field, Warramunga Province, January–June 2020. Northern Territory Geological Survey Record 2021-003.</t>
  </si>
  <si>
    <t>Cross, A., Jaireth, S., Rapp, R., Armstrong, R., 2011. Reconnaissance-style EPMA chemical U–Th–Pb dating of uraninite. Australian Journal of Earth Sciences 58, 675–683.</t>
  </si>
  <si>
    <t>Cross, A.J., 2009. SHRIMP U-Pb xenotime geochronology and its application to dating mineralisation, sediment deposition and metamorphism. Unpublished Ph.D. thesis, Australian National University, 298 p.</t>
  </si>
  <si>
    <t>Cross, A.J., Blevin, P.L., 2013. Summary of results for the joint GSNSW-GA geochronology project: New England Orogen 2009-2010. Geoscience Australia Record 2013/27, 79 p.</t>
  </si>
  <si>
    <t>Cross, A.J., Farias, P.G., Huston, D.L., 2022. Summary of results. Joint NTGS–GA geochronology project: Rover mineral field, Warramunga Province, July–December mineral field, Warramunga Province, July–December 2020. Northern Territory Geological Survey Record 2022-003.</t>
  </si>
  <si>
    <t>Cross, A.J., Purdy, D.J., Bultitude, R.J., 2012. Summary of results - joint GSQ-GA geochronology project: Monto and Maryborough 1:250 000 Sheet areas. Queensland Geological Record 2012/02, 58 p.</t>
  </si>
  <si>
    <t>Crouch, S., 1999. Geology, tectonic setting and metallogenesis of the Berserker Subprovince, northern New England Orogen, in Flood, P.G., ed., Regional geology, tectonics and metallogenesis – New England Orogen, Armidale. Department of Earth Sciences, University of New England, Australia, 233–249.</t>
  </si>
  <si>
    <t>CuFe Limited, 2023.2023 annual report, 80 p.</t>
  </si>
  <si>
    <t>Cuison. A.L.G., Osbourne, G.A., Bills, R.T., Russell, S.C., Donnellan, N., Burke, R., Drown, C.G., 2017. Tennant Creek copper-gold deposits including Gecko, Goanna and Rover. Australasian Institute of Mining and Metallurgy Monograph 32, 539–542.</t>
  </si>
  <si>
    <t>Cullen, I., Jones, M., Baxter, J.L., 1990. Nevoria gold deposits. Australasian Institute of Mining and Metallurgy Monograph 14, 301–305.</t>
  </si>
  <si>
    <t>Cumming, G.L., Richards, J.R., 1975. Ore lead isotope ratios in a continuously changing Earth. Earth and Planetary Science Letters 28, 155–171.</t>
  </si>
  <si>
    <t>Cummins, B., Cairns, B., 2017. Spinifex Ridge molybdenum-copper deposit. Australasian Institute of Mining and Metallurgy Monograph 32, 343–344.</t>
  </si>
  <si>
    <t>Cuneen, R., Levy, I., 2000. The Gympie gold story: exploring and reopening a hitroric goldfield in today's business reality. https://smedg.org.au/the-gympie-gold-story-gympie-gold-limited-ron-cunneen-ian-levy/ (accessed May 2024)</t>
  </si>
  <si>
    <t>Cunneen, R., 1996. Recent developments in the geology of the Gympie Goldfields. Geological Society of Australia Abstracts 43, 162–166.</t>
  </si>
  <si>
    <t>Curnow, G., Randell, J., Border, S., 2022. Competent person's report - Constance Range Project, Constance Iron Limited. Unpublished Geols Mining Minerals Consultants NI43-101 technical report to Constance Iron Limited, 14 December, 2022, 87 p.</t>
  </si>
  <si>
    <t>Cyprium Resources Limited, 2020. Hollandaire copper-gold mineral resource estimate. Unpublished Cyprium Metals Limited announcement to the Australian Securities Exchange, 29 September 2020, 42 p.</t>
  </si>
  <si>
    <t>Dacian Gold Limited, 2023. 2023 Annual report, 80 p.</t>
  </si>
  <si>
    <t>Dalstra, H., Black, A., Mudrovska, I., 2023. Geology of Winu-Ngapakarra, Great Sandy Desert of Western Australia, a recently discovered intrusion-related Cu-Au deposit. Economic Geology 118, 967-998.</t>
  </si>
  <si>
    <t>Daly, S.J., 1979. The Wilgena Hill Jaspilite. Geological Survey of South Australia Report Book 79/28, 19 p.</t>
  </si>
  <si>
    <t>Daly, S.J., Fanning, C.M., Fairclough, M.C., 1998. Tectonic evolution and exploration potential of the Gawler Craon, South Australia. AGSO Journal of Australian Geology &amp; Geophysics 17, 145–168.</t>
  </si>
  <si>
    <t>Dart Mining NL, 2012. Dart Mining doubles molybdenum resource at Unicorn project to 203 million tonnes. Unpublished Dart Mining NL announcenment to the Australian Securities Exchange, 5 September 2012, 17 p.</t>
  </si>
  <si>
    <t>Davenport Resources Limited, 2018. Inferred resource update – Johnnies Reward, NT. Unpublished Davenport Resources Limited announcement to the Australian Securities Exchange, 9 April 2018, 16 p.</t>
  </si>
  <si>
    <t>David, V., 2005. Metallogenesis of the Cobar region, central New South Wales. Australian Journal of Mineralogy 11, 55–61.</t>
  </si>
  <si>
    <t>David, V., 2013. Geology of Kempfield silver-barite and base metal (Pb-Zn) volcanic hosted massive deposit, Lachlan Orogen, Eastern Australia. AIG Bulletin 55, 41–52.</t>
  </si>
  <si>
    <t>David, V., Timms, D., 2018. Cargo porphyry Cu-Au deposit – where is the high grade ore? Proceedings of AEGC 2018: First Australian Exploration Geoscience Conference. http://sydney2018.aseg.org.au/Documents/Monday%20Abstracts/M3.1D.pdf.</t>
  </si>
  <si>
    <t>Davidson, G., Large, R., Kary, G., Osborne, R., 1989. The BIF-hosted Starra and Trough Tank Au-Cu mineralization: a new stratiform association from the Proterozoic eastern succession of Mount Isa, Australia. Economic Geology Monograph 6, 135–150.</t>
  </si>
  <si>
    <t>Davidson, G.J., Davis, B.K., Garner, A., 2002. Structural and geochemical constraints on the emplacement of the Monakoff oxide Cu-Au (-Co-U-REE-Ag-Zn-Pb) deposit, Mt Isa Inlier, Australia. In Porter, T.M. (ed.), 2002. Hydrothermal Iron Oxide Copper-Gold &amp; Related Deposits: A Global Perspective. PGC Publishing, Adelaide, v. 2, 49–75.</t>
  </si>
  <si>
    <t>Davidson, G.J., Dixon, G.H., 1992. Two sulphur isotope provinces deduced from ores in the Mount Isa Eastern Succession, Australia. Mineralium Deposita 27, 30–41.</t>
  </si>
  <si>
    <t>Davies, M., Twining, M., 2018. Magnetite: South Australia’s resource potential. MESA Journal 86, 30–44.</t>
  </si>
  <si>
    <t>Davies, R.S., Ryan, D., Groves, D.I., Trench, A., Sykes, J.P., Standing, J.G., Jia, C., Robertson, W., 2017. Sandstone goldfield. Australasian Institute of Mining and Metallurgy Monograph 32, 279–282.</t>
  </si>
  <si>
    <t>Davis, C.T.M., Westcott, A.L., Fromhold, T.A., Eagle, R.M., Gniel, C.J., Cuffley, B.W., Gregory, C.J., 2017. Costerfield antimony goldfield. Australasian Institute of Mining and Metallurgy Monograph 32, 797–800.</t>
  </si>
  <si>
    <t>Davis, L.W., 1975. Captains Flat lead-zinc orebody. Australasian Institute of Mining and Metallurgy Monograph 5, 694–700.</t>
  </si>
  <si>
    <t>Davis, L.W., 1990. Silver-lead-zinc-copper mineralisation in the Captains Flat-Goulburn synclinorial zone and the Hill End synclinorial zone. Australasian Institute of Mining and Metallurgy Monograph 14, 1375–1384.</t>
  </si>
  <si>
    <t>De Grey Mining Limited, 2008, DeGrey Mining Limited annual report 2008, 76 p.</t>
  </si>
  <si>
    <t>De Grey Mining Limited, 2014. Turner River – base metals project update. Unpublished De Grey Mining Limited announcement to the Australian Securities Exchange, 16 July 2014, 28 p.</t>
  </si>
  <si>
    <t>De Grey Mining Limited, 2016. Substantial resource increase for Turner River VMS (Zn-Pb-Au-Ag) deposits. Unpublished De Grey Mining Limited announcement to the Australian Securities Exchange, 8 November 2016, 18 p.</t>
  </si>
  <si>
    <t>De Grey Mining Limited, 2020. Total mineral resource increases to 2.2Moz. Unpublished De Grey Mining Limited announcement to the Australian Securities Exchange, 2 April 2020, 24 p.</t>
  </si>
  <si>
    <t>De Grey Mining Limited, 2021. 6.8Moz Hemi maiden mineral resource drives Mallina gold project. Unpublished De Grey Mining Limited announcement to the Australian Securities Exchange, 23 June 2021, 35 p.</t>
  </si>
  <si>
    <t>De Grey Mining Limited, 2023. Hemi gold project resource update - November 2023. Unpublished De Grey Mining Limited announcement to the Australian Securities Exchange, 21 November 2023, 47 p.</t>
  </si>
  <si>
    <t>de Joux, A., Thordarson, T., Denny, M., Hinton, R.W., de Joux, A.J., 2013. U–Pb dating constraints on the felsic and intermediate volcanic sequence of the nickel-sulphide bearing Cosmos succession, Agnew-Wiluna greenstone belt, Yilgarn Craton, Western Australia. Precambrian Research 236, 85–105.</t>
  </si>
  <si>
    <t>de Roo, J.A., 1988. Structural controls on the emplacement of the vein-type tungsten-tin ore at Mount Carbine, Queensland, Australia. Economic Geology 83, 1170–1180.</t>
  </si>
  <si>
    <t>De Waele, B., Pisarevsky, S.A., 2008. Geochronology, paleomagnetism and magnetic fabric of metamorphic rocks in the northeast Fraser Belt, Western Australia. Australian Journal of Earth Sciences 55, 605–621.</t>
  </si>
  <si>
    <t>Dean, G., 2010. EL3539 Myrtle Creek prospect drilling final report – Rediscover Victoria Drilling Round 2. Unpublished Northgate Minerals report, April, 2010, 71 p.</t>
  </si>
  <si>
    <t>Deep Yellow Limited, 2023. 2023 annual report, 94 p.</t>
  </si>
  <si>
    <t>Degeling, P.R., 1982. Wagga Wagga 1:250 000 metallogenic map – SI55-15 (plus parts of SI55-14, SJ55-2, SJ55-3 – mine data sheets and metallogenic study. Geological Survey of New South Wales Explanatory Notes, 451 p.</t>
  </si>
  <si>
    <t>Delta Lithium Ltd, 2023. Yinnetharra Lithium Project Maiden Mineral Resource Estimate. ASX announcement 27 Dec 2023, 28 pp.</t>
  </si>
  <si>
    <t>Denaro, T.J., Withnall, I.W., Bain, J.H.C. Mackenzie, D.E., 1997. Mineral resource assessment -Georgetown-Croydon area. Queensland Minerals and Energy Review Series, Queensland Department of Mines and Energy.</t>
  </si>
  <si>
    <t>Denwer, K., 2018. Alteration and mineral zonation at the Mt Lyell copper–gold deposit, Tasmania. Australian Journal of Earth Sciences 65, 787–807.</t>
  </si>
  <si>
    <t>Denwer, K.P., Brown, L., Hooper, J., 2017b. Mount Lyell copper-gold-silver deposits. Australasian Institute of Mining and Metallurgy Monograph 32, 823–828.</t>
  </si>
  <si>
    <t>Denwer, K.P., Garrick, L., Robertson, M., 2017a. Rosebery Cu-Pb-Zn-Ag-Au volcanogenic massive sulfide deposit. Australasian Institute of Mining and Metallurgy Monograph 32, 819–822.</t>
  </si>
  <si>
    <t>Denwer, K.P., Richardson, S.M., Murphy, T.M., Akerman, T.E., 2014. Hellyer, Fossey, Que River and Mt Charter deposits. Geological Society of Australia Special Publication 24, 324–362.</t>
  </si>
  <si>
    <t>Develop Global Limited, 2023. Sulphur Springs zinc-copper project, WA - signficant increase in fresh ore resource paves way for revised economic study. Unpublished Develop Global Limited announcement to the Australian Securities Exchange, 01 June 2023, 11 p.</t>
  </si>
  <si>
    <t>Develop Global Limited, 2024. Woodlawn copper-zinc project, NSW - Develop poised to embark on funding and production strategy following significant resource upgrade. Unpublished Develop Global Limited announcement to the Australian Securities Exchange, 22 March 2024, 45 p.</t>
  </si>
  <si>
    <t>De-Vitry, C., Libby, J.W., Langworthy, P.J., 1998. Rocky’s Reward nickel deposit. Australasian Institute of Mining and Metallurgy Monograph 22, 315–319.</t>
  </si>
  <si>
    <t>Devlin, S.P., Crimeen, J.D., 1990. Lady Bountiful Extended gold deposit. Australasian Institute of Mining and Metallurgy Monograph 14, 405–410.</t>
  </si>
  <si>
    <t>Dickinson, S.B., 1953a. The copper deposits of the Mount Lofty Ranges. In: Edwards, A.B. (ed), Geology of Australian ore deposits. Melbourne, Australasian Institute of Mining and Metallurgy, 476-486.</t>
  </si>
  <si>
    <t>Dickinson, S.B., 1953b. The copper deposits of the northern Flinders Ranges. In: Edwards, A.B. (ed), Geology of Australian ore deposits. Melbourne, Australasian Institute of Mining and Metallurgy, 505–516.</t>
  </si>
  <si>
    <t>Diemar, V.A., 1998. Thuddungra magnesite deposits. Australasian Institute of Mining and Metallurgy Monograph 22, 655–660.</t>
  </si>
  <si>
    <t>Dittrich, T., 2017. Meso- to Neoarchean lithium-cesium-tantalum- (LCT-) pegmatites (Western Australia, Zimbabwe) and a genetic model for the formation of massive pollucite mineralisations. Unpublished Ph.D. dissertation, Techinsche Universitat Bergakademe Freiberg, 369 p.</t>
  </si>
  <si>
    <t>Dixon, G., Davidson, G.J., 1996. Stable isotope evidence for thermochemical sulfate reduction in the Dugald river (Australia) strata-bound shale-hosted zinc-lead deposit. Chemical Geology 129, 227–246.</t>
  </si>
  <si>
    <t>Domagala, J., Robertson, A.D., Bultitude, R.J., 1993. Geology of the Butchers Hill 1:100 000 Sheet area, Northern Queensland, Queensland Geological Record 1993/30, 77 p.</t>
  </si>
  <si>
    <t>Dominy, S.C., Hennigh, Q.T., 2019. Mineral Resource Update, Beatons Creek Conglomerate Gold Project, Pilbara Region, Western Australia. Unpublished NI 43-101 Technical Report, Novo Resources Corp, 132 p.</t>
  </si>
  <si>
    <t>Donaghy, A.G., 1994. Geology, geochemistry, geophysics and mineralisation of the VICTOR 2 basemetal prospect, Mount Stavely Volcanic Complex, western Victoria. Unpublished honours thesis B.Sc. thesis, University of Tasmania.</t>
  </si>
  <si>
    <t>Donald, D., Giblet, A., Thamm, A., 2023. Mt Cattlin Stage 4 expansion project. Unpublished Entech Proprietary Limited NI43-101 report to Allkem Limited, 16 August 2023, 312 p.</t>
  </si>
  <si>
    <t>Donaldson, M.J., Bromely, G.L., 1981. The Honeymoon Well nickel sulphide deposits, Western Australia. Economic Geology 76, 1550–1565.</t>
  </si>
  <si>
    <t>Donchak, P.J.T., Purdy, D.J., Withnall, I.W., Blake, P.R., Jell, P.A., 2013. Chapter 5. New England Orogen. In Jell, P. A. (ed), Geology of Queensland. Geological Survey of Queensland, p. 305–472</t>
  </si>
  <si>
    <t>Dong, G.Y., Zhou, T., 1996. Zoning in the Carboniferous-Lower Permian Cracow epithermal vein system, central Queensland, Australia. Mineralium Deposita 31, 210–224.</t>
  </si>
  <si>
    <t>Donnellan, N., 2013a. Chapter 9: Warramunga Province. Northern Territory Geological Survey, Special Publication 5.</t>
  </si>
  <si>
    <t>Donnellan, N., 2013b. Chapter 10: Davenport Province. Northern Territory Geological Survey, Special Publication 5.</t>
  </si>
  <si>
    <t>Donnellan, N., 2013c. Chapter 16: Thomkinson Province. Northern Territory Geological Survey, Special Publication 5.</t>
  </si>
  <si>
    <t>Doray Minerals, 2015. Annual resource and reserve statement. Doray Minerals Limited announcement to the Australian Securities Extchange, 30 September 2015, 43 p.</t>
  </si>
  <si>
    <t>Doublier, M.P. (compiler), 2013. Geological setting of mineral deposits in the Southern Cross district — a field guide: Geological Survey of Western Australia Record 2013/11, 55 p.</t>
  </si>
  <si>
    <t>Doublier, M.P., Thébaud, N., Wingate, M.T.D., Romano, S.S., Kirkland, C.L., Gessner, K., Mole, D.R., Evans, N., 2014. Structure and timing of Neoarchean gold mineralization in the Southern Cross district (Yilgarn Craton, Western Australia) suggest leading role of late Low-Ca I-type granite intrusions. Journal of Structural Geology 67, 205–221.</t>
  </si>
  <si>
    <t>Downes, P. M., 2003. Mineralisation in and adjacent to the Hill End Trough. Geological Survey of New South Wales Open File GS Report 2003/291, 63–93.</t>
  </si>
  <si>
    <t>Downes, P., Cameron, R., Colquhoun, G., Meakin, S., Burton, G., 2004a. Geological setting of the Browns Reef deposit, Lake Cargelligo, central N.S.W. Geological Society of Australia Abstracts 73, 153.</t>
  </si>
  <si>
    <t>Downes, P., McEvilly, R., Raphael, N., 2004b. Mineral deposits and models, Cootamundra 1:250 000 map sheet area. Geological Survey of New South Wales Quarterly Notes 116, 38 p.</t>
  </si>
  <si>
    <t>Downes, P.J., Demény, A., Czuppon, G., Jaques, A.L., Verrall, M., Sweetapple, M., Adams, D., McNaughton, N.J., Gwalani, L.G., Griffin, B.J., 2014. Stable H–C–O isotope and trace element geochemistry of the Cummins Range Carbonatite Complex, Kimberley region, Western Australia: implications for hydrothermal REE mineralization, carbonatite evolution and mantle source regions. Mineralium Deposita 49, 905–932.</t>
  </si>
  <si>
    <t>Downes, P.J., Wartho, J.-A., Griffin, B.J., 2006. Magmatic evolution and ascent history of the Aries micaceous kimberlite, central Kimberley Basin, Western Australia: evidence from zoned phlogopite phenocrysts and UV laser 40Ar/39Ar analysis of phlogopite-biotite. Journal of Petrology 47, 1751–1783.</t>
  </si>
  <si>
    <t>Downes, P.M., 1998. Mineral occurrences. In Pogson, D.J., Watkins, J.J. (compilers). Explanatory notes – Bathurst 1:250 000 sheet SI55/55-8, 2nd edition. Geological Survey of New South Wales, 337–362.</t>
  </si>
  <si>
    <t>Downes, P.M., 1999. Mineral occurrences, in Lyons, P., Raymond, O.L., Duggan, M.B. (compilers). Explanatory notes – Dubbo 1:250 000 geological Sheet SI/55-4, 2nd Edition. Australian Geological Survey Organisation and Geological Survey of New South Wales, 396–426.</t>
  </si>
  <si>
    <t>Downes, P.M., 2006b. Petrology and ore microscopy of The Glen and Wet Lagoon base metal systems, Goulburn 1:250 000 map sheet area. Geological Survey of New South Wales Report GS2006/216.</t>
  </si>
  <si>
    <t>Downes, P.M., 2007. Yerranderie – a Late Devonian silver-gold-lead intermediate sulfidation epithermal district, Eastern Lachlan Orogen, New South Wales, Australia. Resource Geology 57, 1–23.</t>
  </si>
  <si>
    <t>Downes, P.M., 2009. Sulfur- and lead-isotope signatures of selected middle Silurian to Carboniferous mineral systems of the Lachlan Orogen, eastern New South Wales - implications for metallogenesis. Unpublished Ph.D. thesis, University of Newcastle.</t>
  </si>
  <si>
    <t>Downes, P.M., 2012. Metallic mineral systems. In Thomas, O.D., Pogson, D.J. (compilers). Explanatory notes – Goulburn 1:250 000 sheet SI55/55-12, second edition. Geological Survey of New South Wales, 148–225.</t>
  </si>
  <si>
    <t>Downes, P.M., 201y. A mineral systems model for orogenic Au and Au-Sb deposits in the southern New England. Geological Survey of New South WalesReport GS2017/0619, 22 p.</t>
  </si>
  <si>
    <t>Downes, P.M., Burton, GR, 2000. Mineral occurrences. In Lyons, P., Raymond O.L., Duggan, M.B. (compilers). Explanatory notes – Forbes 1:250 000 sheet SI55/55-8, 2nd edition. AGSO Record 2000/20, 177–197.</t>
  </si>
  <si>
    <t>Downes, P.M., Colquhoun, G.P., Blevin, P.L., Forster, D.B., Rutledge, J.M., Pogson, D.J., McQueen, K.G., 2013. Bathurst 1:250 000 metallogenic map (2nd edition). Maitland, Geological Survey of New South Wales.</t>
  </si>
  <si>
    <t>Downes, P.M., Fitzherbert, J.A., 2018a. A mineral system model for orogenic gold mineralisation in the Koonenberry Belt, New South Wales. Geological Survey of New South Wales Report GS2018/0372, 67 p.</t>
  </si>
  <si>
    <t>Downes, P.M., Fitzherbert, J.A., 2018b. A mineral system model for Grasmere-type massive sulfide mineralisation. Geological Survey of New South Wales Report GS2018/0370, 81 p.</t>
  </si>
  <si>
    <t>Downes, P.M., Jones, S.A., von Perger, D.A., Hine, K., 2017b. Woodlawn Zn-Cu-Pb-Ag deposit. Australasian Institute of Mining and Metallurgy Monograph 32, 781–784.</t>
  </si>
  <si>
    <t>Downes, P.M., Lennox, P., Wood, S., Phillips, D., Dunlop, A., 2011. Phoenix: an Early Devonian granite-related tungsten deposit from the eastern Lachlan Orogen, New South Wales. Geological Survey of New South Wales Quarterly Notes 135, 1–15.</t>
  </si>
  <si>
    <t>Downes, P.M., Matchan, E.L., Phillips, D., 2021. Ar–Ar geochronology of gold systems in the eastern Lachlan Orogen NSW — new constraints mineralisation. Geological Survey of New South Wales Report GS2021/1663.</t>
  </si>
  <si>
    <t>Downes, P.M., Phillips D., 2018. 40Ar/39Ar geochronology of three samples from mineralised zones in the Nymagee project area: preliminary results. Geological Survey of New South Wales Report GS2018/0164.</t>
  </si>
  <si>
    <t>Downes, P.M., Phillips, D., 2006. 40Ar/39Ar geochronology of the Tara intrusion-related base metal deposit: implications for metallogenesis in the central Lachlan Orogen, New South Wales. Geological Survey of New South Wales Quarterly Notes 120, 1–12.</t>
  </si>
  <si>
    <t>Downes, P.M., Phillips, D., 2010. Contrasting age and isotope characteristics of volcanic-hosted and skarn-type mineralisation near The Glen, Goulburn, in the Lachlan Orogen, New South Wales. Geological Survey of New South Wales Quarterly Notes 133, 1–18.</t>
  </si>
  <si>
    <t>Downes, P.M., Poulson, S.R., 2018. Isotope signatures of selected Silurian to Devonian mineral systems in the Nymagee area, central Lachlan Orogen, New South Wales. Geological Survey of New South Wales Quarterly Notes 151, 1–35.</t>
  </si>
  <si>
    <t>Downes, P.M., Raymond, C., Fitzherbert, J.A., 2017a. Girilambone copper district. Australasian Institute of Mining and Metallurgy Monograph 32, 751–754.</t>
  </si>
  <si>
    <t>Downes, P.M., Seccombe, P.K., 2004. Sulfur isotope distribution in Late Silurian volcanic‐hosted massive sulfide deposits of the Hill End Trough, eastern Lachlan Fold Belt, New South Wales. Australian Journal of Earth Sciences 51, 123–139.</t>
  </si>
  <si>
    <t>Downes, P.M.., Blevin, P.L., Armstrong, R., Simpson, C.J., Sherwin, L., Tilley, D.B., Burton, G.R., 2016. Outcomes of the Nymagee mineral system study – an improved understanding of the timing of events and prospectivity of the central Lachlan Orogen. New South Wales. Geological Survey of New South Wales Quarterly Notes 147, 1–38.</t>
  </si>
  <si>
    <t>Doyle, M.G., Catto, B., Gibbs, D., Kent, M., Savage, J., 2017. Tropicana gold deposit. Australasian Institute of Mining and Metallurgy Monograph 32, 299–306.</t>
  </si>
  <si>
    <t>Doyle, M.G., Fletcher, I.R., Foster, J., Large, R.R., Mathur, R., Neal J. McNaughton, N.J., Meffre, S., Muhling, J.R., Phillips, D., Rasmussen, B., 2015. Geochronological constraints on the Tropicana gold deposit and Albany-Fraser Orogen, Western Australia. Economic Geology 110, 355–386.</t>
  </si>
  <si>
    <t>Doyle, M.G., Huston, D.L., 1999. The subsea-floor replacement origin of the Ordovician Highway-Reward volcanic-associated massive sulfide deposit, Mount Windsor Subprovince, Australia. Economic Geology 94, 825–843.</t>
  </si>
  <si>
    <t>Draper, J.J., Lang, S.C., 1994. Geology of the Devonian to Carboniferous Burdekin Basin. Queensland Geological Record, 1994/9,</t>
  </si>
  <si>
    <t>Dreadnought Resources (2023a). Initial, Independent REE-Nb-P-Ti-Sc Resource at C3 – Mangaroon. ASX announcement 28 August 2023, 35 pp.</t>
  </si>
  <si>
    <t>Dreadnought Resources (2023b). Large, high confidence Yin Ironstone resource - Mangaroon (100 %). ASX announcement 30 November 2023, 51 pp.</t>
  </si>
  <si>
    <t>Drummond, A.J., Beilby, G.R., 1990. Westonia gold deposits. Australasian Institute of Mining and Metallurgy Monograph 14, 289–300.</t>
  </si>
  <si>
    <t>Duckworth, G., Vigar, A., Dunn, G., 2016. Westmoreland uranium project. Unpublished NI 43-101 technical report – scoping study, Lycopodium Minerals Pty Ltd, 276 p.</t>
  </si>
  <si>
    <t>Duerden, P., 2010. The McPhillamys gold deposit, a significant discovery in the Lachlan Fold Belt, central New South Wales. AIG Bulletin 52, 11-16.</t>
  </si>
  <si>
    <t>Dugdale, J., Howard, N., 2017. Mount Carlton gold deposit. Australasian Institute of Mining and Metallurgy Monograph 32, 711–716.</t>
  </si>
  <si>
    <t>Duncan, R., Huston, D., Bastrakov, E., Thomas, M., 2018. Known mineral occurrences in STAVELY. Geoscience Australia Record 2018/02, 135–150.</t>
  </si>
  <si>
    <t>Duncan, R.J., Hitzman, M.W., Nelson, E.P., Togtokhbayar, O., 2014. Structural and lithological controls on iron oxide copper-gold deposits of the southern Selwyn-Mount Dore Corridor, Eastern Fold Belt, Queensland, Australia. Economic Geology 109, 419–445.</t>
  </si>
  <si>
    <t>Duncan, R.J., Stein, H.J., Evans, K.A., Hitzman, M.W., Nelson, E.P., Kirwin, D.J., 2011. A new geochronological framework for mineralization and alteration in the Selwyn-Mount Dore corridor, Eastern Fold Belt, Mount Isa Inlier, Australia: genetic implications for iron oxide copper-gold deposits. Economic Geology 106, 169–192.</t>
  </si>
  <si>
    <t>Dunn, E.J., 1913. The Woolshed Valley, Beechworth, Geological Survey of Victoria Bulletin 25.</t>
  </si>
  <si>
    <t>Dunster, J.N., Munson, T.J., 2017. Georgina phosphate deposits. Australasian Institute of Mining and Metallurgy Monograph 32, 535–538.</t>
  </si>
  <si>
    <t>Duuring, P., Hagemann, S.G., Cassidy, K.F. Johnson, C.A., 2004. Hydrothermal alteration, ore fluid characteristics, and gold depositional processes along a trondhjemite-komatiite contact at Tarmoola, Western Australia. Economic Geology 99, 423–451.</t>
  </si>
  <si>
    <t>Duuring, P., Hagemann, S.G., Love, R.J., 2001. A thrust ramp model for gold mineralization at the Archean trondhjemite-hosted Tarmoola deposit: the importance of heterogeneous stress distributions around granitoid contacts. Economic Geology 96, 1379–1396.</t>
  </si>
  <si>
    <t>Duuring, P., Hassan, L., Zelic, M., Gessner, K., 2016. Geochemical and spectral footprint of metamorphosed and deformed VMS-style mineralization in the Quinns district, Yilgarn Craton, Western Australia. Economic Geology 111, 1411–1438.</t>
  </si>
  <si>
    <t>Duuring, P., Teitler, Y., Hagemann, S.G., 2017. Banded iron formation-hosted ore deposits of the Pilbara Craton. Australasian Institute of Mining and Metallurgy Monograph 32, 345–350.</t>
  </si>
  <si>
    <t>Eadington, P.J., Smith, J.W., Wilkins, R.W.T., 1974.  Fluid inclusion and sulphur isotope research, Mount Morgan, Queensland. Proceedings of the Australasian Institute of Mining and Metallurgy South and Central Queensland Conference, p. 441–444.</t>
  </si>
  <si>
    <t>Eagle, R.M., Birch, W.D., McKnight, S., 2015. Phosphate minerals in granitic pegmatites from the Mount Willis district, north-eastern Victoria. Proceedings of the Royal Society of Victoria 127, 55–68.</t>
  </si>
  <si>
    <t>Eastern Iron Limited, 2011. Maiden resource of 465Mt for Eulogie magnetite iron project, Queensland. Unpublished Eastern Iron Limited announcement to the Australian Securities Exchange, 19 October 2011, 6 p.</t>
  </si>
  <si>
    <t>Eastern Metals Limited, 2023. Resource grows at Home of Bullion copper project. Unpublished Eastern Metals Limited announcement to the Australian Securities Exchange, 8 March 2023, 28 p.</t>
  </si>
  <si>
    <t>Ebbels, A.-M., Walsh, S., Kentwell, D., 2019. Costerfield operation, Victoria, Australia. Unpublished SRK Consulting (Australia) Pty Ltd NI 43-101 technical report to Mandalay Resouces Corporation, 215 p.</t>
  </si>
  <si>
    <t>Ebsworth, G.B., de Vickerod Krokowski, J., Fothergill, J., 1998. Eaglehawk-Linscott reef gold deposits, Maldon. Australasian Institute of Mining and Metallurgy Monograph 22, 527–533.</t>
  </si>
  <si>
    <t>Edgecombe, D., Soininen, L., 2017. Waggga Tank/Southern Nights and Mallee Bull, evolvinng stories. Proceedings of Discoveries in the Tasmanides. https://smedg.org.au/wp-content/uploads/2020/07/Edgecombe%20Soininen%20Wagga%20Tank%20Southern%20Nights%20Mallee%20Bull.pdf</t>
  </si>
  <si>
    <t>Edgoose, C.J., 2013a. Chapter 23: Amadeus Basin. Northern Territory Geological Survey Special Publication 5.</t>
  </si>
  <si>
    <t>Edgoose, C.J., 2013b. Chapter 23: Ngalia Basin. Northern Territory Geological Survey Special Publication 5.</t>
  </si>
  <si>
    <t>Edgoose, C.J., 2017. Amadeus and Ngalia Basins – geology and metallogeny. Australasian Institute of Mining and Metallurgy Monograph 32, 567–570.</t>
  </si>
  <si>
    <t>Edgoose, C.J., Ahmad, M., 2013. Chapter 42: Cenozoic geology and regolith, Northern Territory Geological Survey Special Publication 5.</t>
  </si>
  <si>
    <t>Edwards, G.C., 1987. Structural and geochemical controls on alteration and mineralisation, Tennant Creek goldfield, Northern Territory. Unpublished B.Sc. Honours thesis, Monash University.</t>
  </si>
  <si>
    <t>Edwards, G.C., Booth, S.A., Cozens, G.J., 1990. White Devil gold deposit. Australasian Institute of Mining and Metallurgy Monograph 14, 849–855.</t>
  </si>
  <si>
    <t>Edwards, J., Wohlt, K.E., Slater, K.R., Olshina, A., Hutchinson, D.F., 1995. Heathcote and parts of Woodend and Echuca 1:100 000 map area geological report. Geological Survey of Victoria Report 108, 212 p.</t>
  </si>
  <si>
    <t>Edwards, M., Keily, J., 2017. Report on the mineral resources &amp; mineral reserves of the Northern Terriitory operations, Northern Territory, Australia. Unpublished Kirkland Lake Gold Limited NI 43-101 technical report, 463 p.</t>
  </si>
  <si>
    <t>Edwards, M.J., Hitchman, S.P. 2017. Pine Creek gold province including Cosmo and Maud Creek. Australasian Institute of Mining and Metallurgy Monograph 32, 467–472.</t>
  </si>
  <si>
    <t>Ehrig, K., Kamenetsky, V.S., McPhie, J., Cook, N.J., Ciobanu, C.L., 2017. Olympic Dam Cu-U-Au-Ag deposit. Australasian Institute of Mining and Metallurgy Monograph 32, 601–610.</t>
  </si>
  <si>
    <t>Ehrig, K., McPhie, J., Kamenetsky, V.S., 2012. Geology and mineralogical zonation of the Olympic Dam iron oxide Cu-U-Au-Ag deposit, South Australia. Society of Economic Geologists Special Publication 16, 237–267.</t>
  </si>
  <si>
    <t>Eiloart, K., Hill, P., Holden, D., Smillie, P, Van Roij, A., 2014. Old Pirate high-grade gold project: new insights into geology and the use of bulk sampling as an exploration tool. Northern Territory Geological Survey Record 2014-001, 75–80.</t>
  </si>
  <si>
    <t>Ekstrom, J., 1982. Brodies camp prospect: lode W, Sn, Mo, Bi. Unpublisshed Mareeba Mining and Exploration Pty Ltd report, 5 p. CR 11556. Avaliable at https://geoscience.data.qld.gov.au/data/report/cr011556.</t>
  </si>
  <si>
    <t>Element29 Limited, 2019. Substantial upgrade at Butcherbird high purity manganese project. Unpublished Element29 Limited announcement to the Australian Securities Exchange, 16 April, 2019, 42 p.</t>
  </si>
  <si>
    <t>Elementos Limited (2013) Cleveland tin, copper and tungsten JORC resources. Unpublished Elementos Limited announcement to the Australian Securities Exchange, 18 April 2013, 5 p.</t>
  </si>
  <si>
    <t>Elias, M., Donaldson, M.J., Giorgetta, N., 1981. Geology, mineralogy, and chemistry of lateritic nickel-cobalt deposits near Kalgoolie, Western Australia. Economic Geology 76, 1775-1786.</t>
  </si>
  <si>
    <t>Elliot, S.M., Bywater, A., Johnston, C., 1998. McKinnons gold deposit, Cobar. Australasian Institute of Mining and Metallurgy Monograph 22, 567-573.</t>
  </si>
  <si>
    <t>Ellis, P., 2004. Geology and mineralisation of the Jaguar copper-zinc deposit, Western Australia. CSIRO Explore 2, 39–46.</t>
  </si>
  <si>
    <t>Emerson Resources, 2021. Chariot High Grade Gold Resource increased by 40% - Amended, ASX announcement, 22 December 2021.</t>
  </si>
  <si>
    <t>Emerson Resources, 2022. High-Grade Gold Resource for Mauretania at Tennant Creek, ASX announcement, 6 April 2022, 20 p.</t>
  </si>
  <si>
    <t>Empire Resources Limited, 2016. Updated copper-gold resource, Yuinmery Project. Unpublished Empire Resources Limited announcement to the Australian Securities Exchange, 17 May 2016, 16 p.</t>
  </si>
  <si>
    <t>England, G.L., Thomas, T., 2017. Razorback magnetite deposit. Australasian Institute of Mining and Metallurgy Monograph 32, 651–654.</t>
  </si>
  <si>
    <t>ERA, 2005. ERA annual report 2005. 88 p.</t>
  </si>
  <si>
    <t>ERA, 2006. ERA annual report 2006. 71 p.</t>
  </si>
  <si>
    <t>ERA, 2007. ERA annual report 2007. 84 p.</t>
  </si>
  <si>
    <t>ERA, 2008. ERA annual report 2008. 104 p.</t>
  </si>
  <si>
    <t>ERA, 2009. ERA annual report 2009. 104 p.</t>
  </si>
  <si>
    <t>ERA, 2010. ERA annual report 2010. 104 p.</t>
  </si>
  <si>
    <t>ERA, 2011. ERA annual report 2011. 132 p.</t>
  </si>
  <si>
    <t>ERA, 2012. ERA annual report 2012. 128 p.</t>
  </si>
  <si>
    <t>ERA, 2013. ERA annual report 2013. 136 p.</t>
  </si>
  <si>
    <t>ERA, 2014. ERA annual report 2014. 140 p.</t>
  </si>
  <si>
    <t>ERA, 2015. ERA annual report 2015. 120 p.</t>
  </si>
  <si>
    <t>ERA, 2016. ERA annual report 2016. 124 p.</t>
  </si>
  <si>
    <t>ERA, 2017. ERA annual report 2017. 114 p.</t>
  </si>
  <si>
    <t>ERA, 2018. ERA annual report 2018. 100 p.</t>
  </si>
  <si>
    <t>ERA, 2019. ERA annual report 2019. 108 p.</t>
  </si>
  <si>
    <t>ERA, 2020. ERA annual report 2020. 112 p.</t>
  </si>
  <si>
    <t>ERA, 2021. ERA annual report 2021. 108 p.</t>
  </si>
  <si>
    <t>ERA, 2023. ERA annual report 2023. 124 p.</t>
  </si>
  <si>
    <t>Evans, N.J., McInnes, B.I.A., McDonald, B., Danišík, M., Jourdan, F., Mayers, C., Thern, E., Corbett, D., 2013. Emplacement age and thermal footprint of the diamondiferous Ellendale E9 lamproite pipe, Western Australia. Mineralium Deposita 48, 413–421.</t>
  </si>
  <si>
    <t>Everest Metals Corporation, 2023a. Mt Edon project exploration update. Unpublished Everest Metals Corporation announcement to the Australian Securities Exchange, 29 March 2023, 13 p.</t>
  </si>
  <si>
    <t>Everest Metals Corporation, 2023b. Mt Edon exploration target defined, supporting resource drilling commencement - continued high grade rubidium-lithium assays from surface. Unpublished Everest Metals Corporation announcement to the Australian Securities Exchange, 14 December 2023, 15 p.</t>
  </si>
  <si>
    <t>Evins, P.M., Baker, T., Blake, K.L., Giles, B., Williams, P.J., Lees, T., Gregory, P.W., Pearson, N.J., Selby, D., 2007. New geochronological constraints on the Einasleigh Cu deposit, Georgetown Inlier, Queensland, Australia. In: Andrew CJ (ed) Mineral Exploration and Research: Digging Deeper; Proceedings of the Ninth Biennial Meeting of the Society for Geology Applied to Mineral Deposits, Dublin, Ireland, p. 389–392.</t>
  </si>
  <si>
    <t>Evins, P.M., Smithies, R.H., Howard, H.M., Kirkland, C.L., Wingate, M.T., Bodorkos, S., 2010. Devil in the detail; the 1150–1000 Ma magmatic and structural evolution of the Ngaanyatjarra Rift, west Musgrave Province, Central Australia. Precambrian Research 183, 572–588.</t>
  </si>
  <si>
    <t>Evolution Mining Limited, 2012. 2012 Annual report, 118 p.</t>
  </si>
  <si>
    <t>Evolution Mining Limited, 2013. 2013 Annual report, 132 p.</t>
  </si>
  <si>
    <t>Evolution Mining Limited, 2014. 2014 Annual report, 140 p.</t>
  </si>
  <si>
    <t>Evolution Mining Limited, 2015. Evolution Mining Limited 2015 Annual Report, 164 p.</t>
  </si>
  <si>
    <t>Evolution Mining Limited, 2017a. Quarterly report - for the period ending 31 March 2017, 53 p.</t>
  </si>
  <si>
    <t>Evolution Mining Limited, 2017b. Quarterly report - for the period ending 30 June 2017, 45 p.</t>
  </si>
  <si>
    <t>Evolution Mining Limited, 2017c. Quarterly report - for the period ending 30 September 2017, 53 p.</t>
  </si>
  <si>
    <t>Evolution Mining Limited, 2017d. Quarterly report - for the period ending 31 December 2017, 42 p.</t>
  </si>
  <si>
    <t>Evolution Mining Limited, 2018a. Annual mineral resources and ore reserves statement. Unpublished Evolution Mining Limited announcement to the Australian Securities Exchange, 19 April 2018, 40 p.</t>
  </si>
  <si>
    <t>Evolution Mining Limited, 2018b. 2018 annual report, 164 p.</t>
  </si>
  <si>
    <t>Evolution Mining Limited, 2018c. Quarterly report - for the period ending 31 March 2018, 46 p.</t>
  </si>
  <si>
    <t>Evolution Mining Limited, 2018d. Quarterly report - for the period ending 30 June 2018, 41 p.</t>
  </si>
  <si>
    <t>Evolution Mining Limited, 2018e. Quarterly report - for the period ending 30 September 2018, 36 p.</t>
  </si>
  <si>
    <t>Evolution Mining Limited, 2018f. Quarterly report - for the period ending 31 December 2018, 33 p.</t>
  </si>
  <si>
    <t>Evolution Mining Limited, 2019a. 2019 annual report, 164 p.</t>
  </si>
  <si>
    <t>Evolution Mining Limited, 2019b. Quarterly report - for the period ending 31 March 2019, 36 p.</t>
  </si>
  <si>
    <t>Evolution Mining Limited, 2019c. Quarterly report - for the period ending 30 June 2019, 39 p.</t>
  </si>
  <si>
    <t>Evolution Mining Limited, 2019d. Quarterly report - for the period ending 30 September 2019, 35 p.</t>
  </si>
  <si>
    <t>Evolution Mining Limited, 2019e. Quarterly report - for the period ending 31 December 2019, 35 p.</t>
  </si>
  <si>
    <t>Evolution Mining Limited, 2020a. 2020 annual report, 164 p.</t>
  </si>
  <si>
    <t>Evolution Mining Limited, 2020b. Quarterly report - for the period ending 31 March 2020, 45 p.</t>
  </si>
  <si>
    <t>Evolution Mining Limited, 2020c. Quarterly report - for the period ending 30 June 2020, 65 p.</t>
  </si>
  <si>
    <t>Evolution Mining Limited, 2020d. Quarterly report - for the period ending 30 September 2020, 56 p.</t>
  </si>
  <si>
    <t>Evolution Mining Limited, 2020e. Quarterly report - for the period ending 31 December 2020, 49 p.</t>
  </si>
  <si>
    <t>Evolution Mining Limited, 2021a. Quarterly report - for the period ending 31 March 2021, 41 p.</t>
  </si>
  <si>
    <t>Evolution Mining Limited, 2021b. Quarterly report - for the period ending 30 June 2021, 29 p.</t>
  </si>
  <si>
    <t>Evolution Mining Limited, 2021c. Quarterly report - for the period ending 30 September 2021, 44 p.</t>
  </si>
  <si>
    <t>Evolution Mining Limited, 2021d. Quarterly report - for the period ending 31 December 2021, 40 p.</t>
  </si>
  <si>
    <t>Evolution Mining Limited, 2022a. Quarterly report - for the period ending 31 March 2022, 47 p.</t>
  </si>
  <si>
    <t>Evolution Mining Limited, 2022b. Quarterly report - for the period ending 30 June 2022, 21 p.</t>
  </si>
  <si>
    <t>Evolution Mining Limited, 2022c. Quarterly report - for the period ending 30 September 2022 32 p.</t>
  </si>
  <si>
    <t>Evolution Mining Limited, 2022d. Quarterly report - for the period ending 31 December 2022, 12 p.</t>
  </si>
  <si>
    <t>Evolution Mining Limited, 2023a. Quarterly report - for the period ending 31 March 2023, 11 p.</t>
  </si>
  <si>
    <t>Evolution Mining Limited, 2023b. Quarterly report - for the period ending 30 June 2023, 15 p.</t>
  </si>
  <si>
    <t>Evolution Mining Limited, 2023c. Quarterly report - for the period ending 30 September 2023, 44 p.</t>
  </si>
  <si>
    <t>Evolution Mining Limited, 2023d. Quarterly report - for the period ending 31 December 2023, 40 p.</t>
  </si>
  <si>
    <t>Evolution Mining Limited, 2024. Annual mineral resources and ore reserves statement as at 31 December 2023, 185 p.</t>
  </si>
  <si>
    <t>Ewers, G.R., Sun, S.-S., 1989. The genesis of the Red Dome deposit, northeast Queensland. Economic Geology Monograph 6, 218–232.</t>
  </si>
  <si>
    <t>Ewers, G.R., Torrey, C.E., Erceg, M.M., 1990. Red Dome gold deposit. Australasian Institute of Mining and Metallurgy Monograph 14, 1455–1460.</t>
  </si>
  <si>
    <t>Exco Resources Limited, 2010. Cloncurry copper project (CCP) maiden reserve. Unpublished Exco Resources Limited announcement to Australian Securities Exchange, 17 December 2010, 8 p.</t>
  </si>
  <si>
    <t>Exco Resources Limited, 2011. Quarterly report, September 2011. Unpublished Exco Resources Limited announcement to Australian Securities Exchange, 31 October 2011, 27 pp.</t>
  </si>
  <si>
    <t>Fairfield, P., Kentwell, D., Walsh, S., 2016. Preliminary economic assessment of the Maud Creek Gold Project, Northern Territory, Australia. Unpublished SRK Consulting (Australia) Proprietary Limited NI 43-101 technical report to Newmarket Gold Inc, 263 p.</t>
  </si>
  <si>
    <t>Fanning C.M., Link P.K., 2008. Age constraints for the Sturtian Glaciation; data from the Adelaide Geosyncline, South Australia and Pocatello Formation, Idaho, USA. Geological Society of Australia Extended Abstracts 91, 57–62.</t>
  </si>
  <si>
    <t>Fanning, C.M., 1997. SHRIMP zircon U/Pb age dates for samples from the Dubbo 1:250 000 sheet area: Geological Survey of New South Wales Report GS 1997/590.</t>
  </si>
  <si>
    <t>Fanning, C.M., Reid, A. J., Teale, G., 2007. A geochronological framework for the Gawler Craton, South Australia. Geological Survey of South Australia Bulletin 55.</t>
  </si>
  <si>
    <t>Farais, P.G., 2023. Mineral systems characterisation in the context of a new geological framework for the Rover field, Northern Territory. Northern Territory Geological Survey Record 2023-010.</t>
  </si>
  <si>
    <t>Farias, P,.G., Whelan ,J.A., Waltenberg, K., Brotodewo, A., Clark, C., Armstrong, R., Evans, N.J., McDonald, B.J., 2022b. Summary of results. Zircon isotopic and trace element data from the Rover field, Warramunga Province. Northern Territory Geological Survey Record 2022-009.</t>
  </si>
  <si>
    <t>Farias, P,G,, Reno, B.L., Whelan, J.A., Danyushevsky, L.V.1., 2022a.  Summary of results. Laser ablation ICP–MS in situ apatite geochronology of the base metal and gold–copper–bismuth deposits of the Rover field, and the copper–nickel mineralisation of the Bluebush area, Warramunga Province. Northern Territory Geological Survey Record 2022-003.</t>
  </si>
  <si>
    <t>Farias, P.G., Gilbert, S., 2022. Summary of results. In situ Lu–Hf apatite geochronology from the Rover field, Warramunga Province. Northern Territory Geological Record 2022-011.</t>
  </si>
  <si>
    <t>Faulkner, I.L., Phillips, K.G., 2017. Merlin molybdenum-rhenium deposit. Australasian Institute of Mining and Metallurgy Monograph 32, 519–522.</t>
  </si>
  <si>
    <t>Fellows, M.L., Hammond, J.M., 1990. Wirralie gold deposits. Australasian Institute of Mining and Metallurgy Monograph 14, 1489–1492.</t>
  </si>
  <si>
    <t>Ferenczi, P., 2004. The Daly River mineral field. Northern Territory Geological Survey Record 2004-001, 23–25.</t>
  </si>
  <si>
    <t>Ferenczi, P., 2005. Low-profile base metal deposit in the Northern Territory. Northern Territory Geological Survey Record 2005-001, 23–25.</t>
  </si>
  <si>
    <t>Ferguson, K.M., 1999. Lead, zinc and silver deposits of Western Australia. Geological Survey of Western Australia Mineral Resources Bulletin 15, 332 p.</t>
  </si>
  <si>
    <t>Ferguson, K.M., Ruddock, I., 2001. Mineral occurrences and exploraiton potential of the East Pilbara. Geological Survey of Western Australia Report 81, 114 p.</t>
  </si>
  <si>
    <t>Fergusson, C. L., Henderson, R., Lewthwaite, K., Phillips, D. &amp; Withnall, I. W. (2005). Structure of the Early Palaeozoic Cape River Metamorphics, Tasmanides of north Queensland: evaluation of the roles of convergent and extensional tectonics. Australian Journal of Earth Sciences, 52, 261–277.</t>
  </si>
  <si>
    <t>Fergusson, C.L., 2010. Plate-driven extension and convergence along the East Gondwana active margin: Late Silurian–Middle Devonian tectonics of the Lachlan Fold Belt, southeastern Australia. Australian Journal of Earth Sciences 57, 627–649.</t>
  </si>
  <si>
    <t>Fetherston, J.M., 2004. Tantalum in Western Australia. Geological Survey of Western Australia Mineral Resources Bulletin 22, 162 p.</t>
  </si>
  <si>
    <t>Fielding, I.O.H., Johnson, S.P., Meffre, S., Zi, J., Sheppard, S., Large, R.R., Rasmussen, B., 2019. Linking gold mineralization to regional-scale drivers of mineral systems using in situ U-Pb geochronology and pyrite LA-ICP-MS element mapping. Geoscience Frontiers 10, 89–105.</t>
  </si>
  <si>
    <t>Fielding, I.O.H., Johnson, S.P., Rogers, J., Elliott, L.K., 2017b. Paulsens gold deposit. Australasian Institute of Mining and Metallurgy Monograph 32, 405–410.</t>
  </si>
  <si>
    <t>Fielding, I.O.H., Johnson, S.P., Zi, J.-W., Rasmussen, B., Muhling, J.R., Dunkley, D.J., Sheppard, S., Wingate, M.T.D., Rogers, J.R., 2017a. Using in situ SHRIMP monazite and xenotime geochronology to determine the age of orogenic gold mineralization: an example from the Paulsens mine, southern Pilbara Craton. Economic Geolgy 112, 1205–1230.</t>
  </si>
  <si>
    <t>Fiorentini, M., Beresford, S., Barley, M., Duuring, P., Bekker, A., Rosengren, N., Cas, R., Hronsky, J., 2012. District to camp controls on the genesis of komatiite-hosted nickel sulfide deposits, Agnew-Wiluna greenstone belt, Western Australia: insights from the multiple sulfur isotopes. Economic Geology 107, 781–796.</t>
  </si>
  <si>
    <t>Fiorentini, M.L., O’Neill, C., Giuliani, A., Choi, E., Maas, R., Pirajno, F. and Foley, S., 2020. Bushveld superplume drove Proterozoic magmatism and metallogenesis in Australia. Scientific Reports 10, 19729.</t>
  </si>
  <si>
    <t>Firebird Metals Limited, 2022. Game changing resource upgrade at Oakover. Unpublished Firebird Metals Limited announcement to the Australian Securities Exchange, 10 March 2023, 29 p.</t>
  </si>
  <si>
    <t>Fitzherbert and Huang (2019)</t>
  </si>
  <si>
    <t>Fitzherbert, J.A, Downes, P.M., Blevin, P.L., 2016. Cobar Special 1:500 000 Metallogenic Map. Maitland, Geological Survey of New South Wales.</t>
  </si>
  <si>
    <t>Fitzherbert, J.A., Blevin, P.L., McKinnon, A.R., 2017b. Turbidite-hosted intrusion-related mineralisation in the Cobar Basin: new insights from the south. AIG Bulletin 67.</t>
  </si>
  <si>
    <t>Fitzherbert, J.A., Downes, P.M., 2020. A mineral system model for Cu-Au-Pb-Zn-Ag systems of the Cobar Basin, central Lachlan Orogen, New South Wales. Geological Survey of New South Wales Report GS2021/0042.</t>
  </si>
  <si>
    <t>Fitzherbert, J.A., Downes, P.M., 2021. Petrographic/isotopic characterisation and U-Pb dating of the Federation Au-base metal system, southern Cobar Basin. Geological Survey of New South Wales report.</t>
  </si>
  <si>
    <t>Fitzherbert, J.A., Downes, P.M., Blevin, P.L., Norris, E., Huang, H., Matchan, E., Waltenberg, K., Wall, C., Phillips, D., 2019. Refining the Cobar-type mineral system: new insights spawned from direct dating of mineralisation. AIG Bulletin 69.</t>
  </si>
  <si>
    <t>Fitzherbert, J.A., Mawson, R., Mathieson, D., Simpson, A.J., Simpson, C. J., Nelson, M.D., 2017a. Metamorphism in the Cobar Basin: current state of understanding and implications for mineralisation. Geological Survey of New South Wales Quarterly Notes 148, 1–35.</t>
  </si>
  <si>
    <t>Fitzherbert, J.A., McKinnon, A.R., Blevin, P.L., Waltenberg, K., Downes, P.M., Wall, C., Matchan, E., Huang, H., 2021. The Hera orebody: a complex distal (Au-Zn-Pb-Ag-Cu) skarn in the Cobar Basin of central New South Wales, Australia. Resource Geology  71, 296-319.</t>
  </si>
  <si>
    <t>Fleming, M.J., Ormsby, W.R., Nicholson, P.M., 1994. The geology of the Woodcutters lead-zinc-silver mine. Proceedings, 1994 AusIMM Annual Conference, Darwin 5–9 August 1994. Australasian Institute of Mining and Metallurgy, Parkville, 21–28.</t>
  </si>
  <si>
    <t>Fletcher, I.R. McNaughton, N.J., 2002. Sm-Nd and Pb/Pb isotope geochemistry of Yilgarn granitoids. Minerals and Energy Research Institute of Western Australia Report 222, 7.1–7.16.</t>
  </si>
  <si>
    <t>Fock, A., Billington, D., Griffin, K., 2022. Techincal report summary - Mt. Holland lithium project. Unpublished Sociedad Quimica y Minera de Chile S-K 1300 technical report, 25 April 2022. 116 p. http://q4live.s25.clientfiles.s3-website-us-east-1.amazonaws.com/757756353/files/doc_news/2022/4/25/96.2-Mt-Holland-Technical-Report-Summary.pdf</t>
  </si>
  <si>
    <t>Foden, J., Elburg, M.A., Dougherty-Page, J., Burtt, A. 2006. The timing and duration of the Delamerian Orogeny: correlation with the Ross Orogen and implications for Gondwana assembly. Journal of Geology 114, 189–210.</t>
  </si>
  <si>
    <t>Fogarty, J.M., 1998. Girilambone district copper deposits. Australasian Institute of Mining and Metallurgy Monograph 22, 593–600.</t>
  </si>
  <si>
    <t>Forde, A., 1991. The late orogenic timing of mineralisation in some slate belt gold deposits, Victoria, Australia. Mineralium Deposita 26, 257–266.</t>
  </si>
  <si>
    <t>Forge Resources Ltd, 2012. Growth through acquisition, development and exploration – company update. Unpublished Forge Resources Ltd announcement to Australian Securities Exchange, 24 p.</t>
  </si>
  <si>
    <t>Forrestal, P.J., 1990. Mount Isa and Hilton silver-lead-zinc deposits. Australasian Institute of Mining and Metallurgy Monograph 14, 927–934.</t>
  </si>
  <si>
    <t>Forrestal, P.J., Pearson, P.J., Coughlin, T., Schubert, C.J., 1998. Tick HIll gold deposit. Australasian Institute of Mining and Metallurgy Monograph 22, 699–706.</t>
  </si>
  <si>
    <t>Forster, D.B., Downes, P.M., Blevin, P.L., Phillips, D., 2014. New geochronological and isotopic constraints on granitoid-related gold mineralisation near Majors Creek, New South Wales. Geological Survey of New South Wales Quarterly Notes 141, 1–30.</t>
  </si>
  <si>
    <t>Forster, D.B., Seccombe, P.K., Phillips, D., 2004. Controls on skarn mineralization and alteration at the Cadia deposits, New South Wales, Australia. Economic Geology 99, 761–788.</t>
  </si>
  <si>
    <t>Forte Consolidated Limited, 2011. Replacement prospectus dated 11 Marcn 2011, 125 p.</t>
  </si>
  <si>
    <t>Foster, D.A., Gray, D.R., Bucher, M., 1999. Chronology of deformation within the turbidite-dominated, Lachlan orogen: implications for the tectonic evolution of eastern Australia and Gondwana. Tectonics 18, 452–485.</t>
  </si>
  <si>
    <t>Foster, D.A., Gray, D.R., Kwak, T.A., Bucher, M., 1998. Chronology and tectonic framework of turbidite-hosted gold deposits in the western Lachlan Fold Belt, Victoria: 40Ar–39Ar results. Ore Geology Reviews 13, 229–250.</t>
  </si>
  <si>
    <t>Fox Resources Ltd, 2007. Annual Report 2007, 98 p.</t>
  </si>
  <si>
    <t>Fox Resources Ltd, 2011. Annual Report 2011, 76 p</t>
  </si>
  <si>
    <t>Fraser, G.L., 2012. Zircon from iron-ore, Middleback Ranges, South Australia: isotopic resetting and the age of supergene fluid-alteration? Proceedings of the 6th International SHRIMP Workshop.</t>
  </si>
  <si>
    <t>Fraser, G.L., Bagas, L., Huston, D.L., 2012. 40Ar/39Ar evidence for the timing of Paleoproterozoic gold mineralisation at the Sandpiper deposit, Tanami region, northern Australia. Australian Journal of Earth Sciences 59, 399–409.</t>
  </si>
  <si>
    <t>Fraser, G.L., Gilmore, P.J., Fitzherbert, J.A., Trigg, S.J., Campbell, L.M., Deyssing, L., Thomas, O.D., Burton, G.R., Greenfield, J.E., Blevin, P.L., Simpson, C.J., 2014. New SHRIMP U-Pb zircon ages from the Lachlan, southern Thomson and New England orogens, New South Wales: February 2011-June 2013. Geoscience Australia. Record 2014/53, 217 p.</t>
  </si>
  <si>
    <t>Fraser, G.L., Hussey, K., Compston, D.M., 2008. Timing of Palaeoproterozoic Au–Cu–Bi and W-mineralization in the Tennant Creek region, northern Australia: improved constraints via intercalibration of 40Ar/39Ar and U–Pb ages. Precambrian Research 164, 50–65.</t>
  </si>
  <si>
    <t>Fraser, G.L., Skirrow, R.G., Schmidt-Mumm, A., Holm, O., 2007. Mesoproterozoic gold in the central Gawler craton, South Australia: geology, alteration, fluids, timing. Economic Geology 102, 1535–1563.</t>
  </si>
  <si>
    <t>Frater, K.M., 1983. Geology of the Golden Grove prospect, Western Australia: a volcanogenic massive sulfide-magnetite deposit. Economic Geology 78, 875–919.</t>
  </si>
  <si>
    <t>Frater, K.M., 2005. Tin-tantalum pegmatite mineralisation of the Northern Territory. Northern Territory Geological Survey Report 16, 185 p.</t>
  </si>
  <si>
    <t>Frederickson, D.C., Gane, M., 1998. Stawell gold deposits. Australasian Institute of Mining and Metallurgy Monograph 22, 535–541.</t>
  </si>
  <si>
    <t>Freeman, M.J., Shergold, J.H., Morris, D.G., Walter, M.R., 1990. Late Proterozoic and Palaeozoic basins of central and northern Australia – regional geology and mineralisation. Australasian Institute of Mining and Metallurgy Monograph 14, 1125–1133.</t>
  </si>
  <si>
    <t>French, T., Duerden, P., Simmons, H., Flitcroft, P., 2017. McPhillamy gold deposit. Australasian Institute of Mining and Metallurgy Monograph 32, 759–762.</t>
  </si>
  <si>
    <t>Frick, L.R., Lambert, D.D., Hoatson, D.M., 2001. Re-Os isotopic dating of the Radio Hill Ni-Cu deposit, west Pilbara Craton, Western Australia. Australian Journal of Earth Sciences 48, 43–48.</t>
  </si>
  <si>
    <t>Frost, K.M., Woodhouse, M., Pitkajarvi, J.T., Berkman, D.A., Mackenzie, D.H., 1998. Forrestania nickel deposits. Australasian Institute of Mining and Metallurgy Monograph 22, 365–370.</t>
  </si>
  <si>
    <t>Fu, B., Mernagh, T.P., Kita, N.T., Kemp, A.I., Valley, J.W., 2009. Distinguishing magmatic zircon from hydrothermal zircon: a case study from the Gidginbung high-sulphidation Au–Ag–(Cu) deposit, SE Australia. Chemical Geology 259, 131–142.</t>
  </si>
  <si>
    <t>Fuller, R., Tessalina, S., Jordan, F., Bateman, R., McInnes, B., 2014. Re-Os age for Archean molybdenite and Ar/Ar dating of sericite from gold prospects in the Yamarna Terrane, far eastern part of Yilgarn Craton, Western Australia. Geological Society of Australia Abstracts 110, 311–312.</t>
  </si>
  <si>
    <t>Fuller, T., Hann, I., 2019. Updated NI 43-101 technical report – Fosterville gold mine in the State of Victoria, Australia. Unpublished Kirkland Lake Gold Limited NI 43-101 Technical Report, 1 April 2019, 244 p.</t>
  </si>
  <si>
    <t>Future Metals Limited, 2023. Panton resource upgrade delivers opportunity of high-grade, long-life operation. Unpublished Future Metals Limited announcement to the Australian Securities Exchange, 26 Octpber 2023, 28 p.</t>
  </si>
  <si>
    <t>Galena Mining Limited, 2018. Replacement announcement – Galena updates resource, reserve &amp; mine model. Unpublished Galena Mining Limited announcement to the Australian Securities Exchange, 18 December 2018, 40 p.</t>
  </si>
  <si>
    <t>Galena Mining Limited, 2023. RAbra completes 2023 mineral resource updatel. Unpublished Galena Mining Limited announcement to the Australian Securities Exchange, 7 August 2023, 33 p.</t>
  </si>
  <si>
    <t>Gascoyne Resources Limited, 2020. Group mineral resouces grow to over 1.3Moz. Unpublished Gascoyne Resources Limited announcement to the Australian Securities Exchange, 18 December 2020, 35 p.</t>
  </si>
  <si>
    <t>Gauthier, L., Hall, G., Stein, H., Schaltegger, U., 2001. The Osborne deposit, Cloncurry district: a 1595 Ma Cu–Au skarn deposit. EGRU Contributions 59, 58–59.</t>
  </si>
  <si>
    <t>Gawlinski, S., 2004. Recent exploration success at Golden Grove, Western Australia. CSIRO Explore 2, 33–38.</t>
  </si>
  <si>
    <t>Gazley, M.F., Duclaux, G., Pearce, M.A., Fisher, L.A., du Plessis, E., Murray, S., Hough, R.M., 2016. Plutonic goldfield. Australasian Institute of Mining and Metallurgy Monograph 32, 307–312.</t>
  </si>
  <si>
    <t>Gazley, M.F., Vry, J.K., Millet, M.-A., Handler, M.R., du Plessis, E., Baker, J.A., 2016. New age constraints on metamorphism, metasomatism and gold mineralisation at Plutonic Gold Mine, Marymia Inlier, Western Australia. Australian Journal of Earth Sciences 63, 413–426.</t>
  </si>
  <si>
    <t>GBM Resources Limited, 2017a. Drilling resumes at Mt Coolon gold project. Unpublished GBM Resources Limited announcement to the Australian Securities Exchange, 25 January 2017, 15 p.</t>
  </si>
  <si>
    <t>GBM Resources Limited, 2017b. GBM acquires the Twin Hill gold project in the Drummond Basin, QLD. Unpublished GBM Resources Limited announcement to the Australian Securities Exchange, 22 December 2017, 9 p.</t>
  </si>
  <si>
    <t>GBM Resources Limited, 2023. Results of Yandan Mineral Resource Update. ASX Announcement 14 March 2023, 57p.</t>
  </si>
  <si>
    <t>GBM Resources Limited, 2024. Binding $12 Million Sale and Farm-in Agreement on Twin Hills. ASX Announcement 15 July 2024, 7p.</t>
  </si>
  <si>
    <t>Gellie, C., Neal, S., Hughes, N., 2017. Golden Grove Zn-Cu-Au deposits. Australasian Institute of Mining and Metallurgy Monograph 32, 173–180.</t>
  </si>
  <si>
    <t>Gemmell, J.B., Large, R.R., 1992. Stringer system and alteration zones underlying the Hellyer volcanogenic massive sulfide deposit, Tasmania, Australia. Economic Geology 87, 620−649.</t>
  </si>
  <si>
    <t>Genesis Minerals Limited, 2024. Resource and Reserve Update, Announcement 21 March 2024, 370 p.</t>
  </si>
  <si>
    <t>Geological Survey of Western Australia, 2010. East Yilgarn 2010 update. 1:100 000 geological information series.</t>
  </si>
  <si>
    <t>Georgees, C., 2007. The Mungana porphyry-related polymetallic deposit (and presentation). AIG Bulletin 46, 47–48.</t>
  </si>
  <si>
    <t>Giles, C., Just, T., 2017. Copper-gold deposits of the Benagerie Ridge, Curnamona Province. Australasian Institute of Mining and Metallurgy Monograph 32, 647–650.</t>
  </si>
  <si>
    <t>Gilligan, L.B., Brownlow, l.W., Cameron, R.G., Henley, H.F., 1992. Dorrigo - Coffs Harbour 1:250,000 metallogenic map SH/56-lO. SH/56-11: metallogenic study and mineral deposit data sheets. Sydney, Geological Survey of New South Wales, 509 p.</t>
  </si>
  <si>
    <t>Gilligan, L.B., Byrnes, J.G., 1995. Cobar 1:250 000 metallogenic map SH/55-14: metallogenic study and mineral deposit data sheets. Sydney, Geological Survey of New South Wales, 240 p.</t>
  </si>
  <si>
    <t>Gilman, S., Tear, S., Lee, G., 2018. Goondicum 2018 preliminary economic assessment. Unpublished TZ Minerals International Proprietary Limited NI43-101 Technical report to Melior Resources Incorporated, 280 p.</t>
  </si>
  <si>
    <t>Gilmore, P. J., 2010. Mineral systems. Geological Survey of New South Wales Bulletin 35, 400–424.</t>
  </si>
  <si>
    <t>Gilmore, P., Davidson, G., Trigg, S., Campbell, L., 2015. Mapping, magnetics and microscopes: understanding the setting of VAMS mineralisation in the Ordovician Girilambone Group, western NSW. AIG Bulletin 62, p. 83–92.</t>
  </si>
  <si>
    <t>Gladiator Resources Limited, 2020. Initial exploration target for Rutherglen gold project. Unpublished Gladiator Resources Limited announcement to the Australian Securiates Exchange, 28 September 2020, 29 p.</t>
  </si>
  <si>
    <t>Glaser, L.M., 1988. Genesis of volcanogenic epithermal gold-silver mineralization, Budawang Rift, New South Wales, Australia. Unpublished Ph.D. thesis, University of Melbourne.</t>
  </si>
  <si>
    <t>Glencore plc (2020) Annual Report – 2019, 256 p.</t>
  </si>
  <si>
    <t>Glencore plc (2024) Full year 2023 production report, 17 p.</t>
  </si>
  <si>
    <t>Global Lithium Resources, 2022. GL! delivers transormative 50.7 Mt lithium resource base. Unpublished Global Lithium Resources announcement to the Australian Securities Exchange, 15 December 2022, 37 p.</t>
  </si>
  <si>
    <t>Global Lithium Resources, 2023. Manna lithium project resource grows. Unpublished Global Lithium Resources announcement to the Australian Securities Exchange, 26 July 2023, 21 p.</t>
  </si>
  <si>
    <t>Godolphin Resources Limited, 2021. Lewis Ponds precious metal-focussed resource estimation completed. Unpublished Godolphin Resources Limited announcement to the Australian Securities Exchange, 2 February 2021, 22 p.</t>
  </si>
  <si>
    <t>Godsmark, B., Dennis, B, T., Cole, L., Ryan, S., Webb, D., 2017. Mount Watson copper-gold deposit. Australasian Institute of Mining and Metallurgy Monograph 32, 497-498.</t>
  </si>
  <si>
    <t>Goellnicht, N.M., Groves, D.I., McNaughton, N.J., Dimo, G., 1989. An epigenetic origin for the Telfer gold deposit. Economic Geology Monograph 6, 151–167.</t>
  </si>
  <si>
    <t>Goellnicht, N.M., Groves, I.M., Groves, D.I., Ho, S.E., McNaughton, N.J., 1988. A comparison between mesothermal gold deposits of the Yilgarn Block and gold mineralization at Telfer and Miralga Creek, Western Australia: indirect evidence for a non-magmatic origin for greenstone-hosted gold deposits. Geology Department of University Extension, The University of Western Australia, Publication 12, 309–319.</t>
  </si>
  <si>
    <t>Gold Fields Limited, 2013. Annual report 2013, 166 p.</t>
  </si>
  <si>
    <t>Gold Fields Limited, 2014. Annual report 2014, 125 p.</t>
  </si>
  <si>
    <t>Gold Fields Limited, 2015. Annual report 2015, 154 p.</t>
  </si>
  <si>
    <t>Gold Fields Limited, 2016. Annual report 2016, 132 p.</t>
  </si>
  <si>
    <t>Gold Fields Limited, 2017. Annual report 2017, 144 p.</t>
  </si>
  <si>
    <t>Gold Fields Limited, 2018. Annual report 2018, 136 p.</t>
  </si>
  <si>
    <t>Gold Fields Limited, 2019. Annual report 2019, 100 p.</t>
  </si>
  <si>
    <t>Gold Fields Limited, 2020. Annual report 2020, 116 p.</t>
  </si>
  <si>
    <t>Gold Fields Limited, 2021. Annual report 2021, 112 p.</t>
  </si>
  <si>
    <t>Gold Fields Limited, 2022. Annual report 2022, 98 p.</t>
  </si>
  <si>
    <t>Gold Fields Limited, 2023. Annual report 2023, 96 p.</t>
  </si>
  <si>
    <t>Gold Road Resources Ltd, 2019. 2018 Annual Report, 89 p.</t>
  </si>
  <si>
    <t>Gold Road Resources Ltd, 2020. 2019 Annual Report, 55 p.</t>
  </si>
  <si>
    <t>Gold Road Resources Ltd, 2021. 2020 Annual Report, 103 p.</t>
  </si>
  <si>
    <t>Gold Road Resources Ltd, 2022. 2021 Annual Report, 100 p.</t>
  </si>
  <si>
    <t>Gold Road Resources Ltd, 2023. 2022 Annual Report, 112 p.</t>
  </si>
  <si>
    <t>Gold Road Resources Ltd, 2024. 2023 Annual Report, 108 p.</t>
  </si>
  <si>
    <t>Golden Cross Resources Limited, 2015. Copper Hill resource estimate. Unpublished Golden Cross Resources Limited announcement to the Australian Securities Exchange, 24 March 2015, 42 p.</t>
  </si>
  <si>
    <t>Golding, S.D., Duck, L.J., Young, E., Baubyls, K.A., Glikson, M., Kamber, B.S., 2011. Earliest seafloor hydrothermal systems on Earth: comparison with modern analogues. In Golding, S.D., Glikson, M., eds., Earliest life on Earth: habitats, environments and methods of detection. Springer, Dordecht, 15–50.</t>
  </si>
  <si>
    <t>Golding, S.D., Huston, D.L., Dean, J.A., Messenger, P.R., Jones, I.W.O., Taube, A., White, A.H., 1993. Mount Morgan gold-copper deposit; the 1992 perspective. Proceedings Australasian Institute of Mining and Metallurgy Centenary Conference, 30 March-4 April, Adelaide, p. 95–111.</t>
  </si>
  <si>
    <t>Golding, S.D., Messenger, P.R., Dean, J A., Perkins, C., Huston, D.A., White, A.H., 1994. Mount Morgan gold - copper deposit: geochemical constraints on the source of volatiles and lead and the age of mineralization. James Cook University Economic Geology Research Unit Contribution 50, 89–95.</t>
  </si>
  <si>
    <t>Gole, M.J., Andrews, D.L., Drew, G.J., Woodhouse, M., 1998. Honeymoon Well nickel deposits. Australasian Institute of Mining and Metallurgy Monograph 22, 297–305.</t>
  </si>
  <si>
    <t>Goodz, M.D., Cohalan, L., Thynne, G., Summerhayes, E., Benton, J., McGahren, C., Jones, M., 2017. Mount Monger goldfield including Daisy Milano and Randalls. Australasian Institute of Mining and Metallurgy Monograph 32, 223–228.</t>
  </si>
  <si>
    <t>Goodz, M.D., Money, L.A., 2017. Coolgardie goldfield. Australasian Institute of Mining and Metallurgy Monograph 32, 207–210.</t>
  </si>
  <si>
    <t>Government of South Australia, 2013. Iron ore deposits of South Australia. South Australia earth resources information sheet M20, 4 p.</t>
  </si>
  <si>
    <t>Graham, S., Lambert, D., Shee, S., 2004. The petrogenesis of carbonatite, melnoite and kimberlite from the Eastern Goldfields Province, Yilgarn Craton. Lithos 76, 519–533.</t>
  </si>
  <si>
    <t>Grange Resources Limited, 2020. Update to Savage River mineral resouces and ore reserves, December 2019 resource – reserve statement, Savage River Operations, Tasmania. Unpublished Grange Resources Limited announcement to the Australian Securities Exchange, 27 April, 2020, 122 p.</t>
  </si>
  <si>
    <t>Gray, D., Sulway, R., Cameron, A., Stone, R. 2022. Ravensthorpe Nickel Operations, Western Australia - NI 43-101 technical report, March 28, 2022. Unpublished Ravensthorpe Nickel Operations NI43-101 technical report, 28 March 2022, 146 p.</t>
  </si>
  <si>
    <t>Gray, N., Mandyczewsky, A., Hine, R., 1995. Geology of the zoned gold skarn system at Junction Reefs, New South Wales. Economic Geology 90, 1533–1552.</t>
  </si>
  <si>
    <t>Greatland Gold plc, 2023. Havieron mineral resource estimate update. Unpublished Greatland Gold plc news release to the London Stock Exchange, 21 December 2023.</t>
  </si>
  <si>
    <t>Green, A.H., Donnelly, T.H., Jahnke, F.M., Keays, R.R., 1982. Evolution of gold-bearing veins in dykes of the Woods Point Dyke Swarm, Victoria. Mineralium Deposita 17, 175–192.</t>
  </si>
  <si>
    <t>Green, G.R., 1985. Metallic minerals. In: Baillie, P.W., Corbett, K.D., Geological Survey Explantory Report – Geological Atlas 1:50,000 Series – Sheet 57(7913N) Strahan. Tasmania Department of Mines.</t>
  </si>
  <si>
    <t>Green, G.R., Berry, R.F., Callaghan, T., Davidson, G.J., Hills, P.B., 2014. Devonian mineralisation in Tasmania. Geological Society of Australia Special Publication 24, 324–362.</t>
  </si>
  <si>
    <t>Green, G.R., Solomon, M., Walshe, J.L., 1981. The formation of the volcanic-hosted massive sulfide at Rosebery, Tasmania. Economic Geology 76, 304–338.</t>
  </si>
  <si>
    <t>Greenfield, J.E., Reid, W.J., 2006. Orogenic gold in the Tibooburra area north of Broken Hill — an extension of the Victorian goldfields? Geoscience Australia Record 2006/21, 60–69.</t>
  </si>
  <si>
    <t>Greentech Metals Limited, 2022. Maiden JORC 2012 mineral resource at Ayshia copper-zinc deposit increases Whundo contained metal content by 54%. Unpublished Greentech Metals Limited announcment to the Australian Securities Exchange, 11 May 2022, 104 p.</t>
  </si>
  <si>
    <t>Gregory, C.J., Reid, A.J., Say, P. and Teale, G.S. 2011. U-Pb geochronology of hydrothermal allanite and titanite and magmatic zircon from the Hillside Cu-Au deposit, Yorke Peninsula. In: Reid, A.J. and Jagodzinski, E.A. (Eds) 2011. PACE Geochronology: Results of collaborative geochronology projects 2009–10 South Australia. Department of Primary Industries and Resources. Report Book 2011/00003, pp. 95-126.</t>
  </si>
  <si>
    <t>Gregory, M.J. Wilde, A.R. Jones, P.A. 2005. Uranium deposits of the Mount Isa region and their relationship to deformation, metamorphism, and copper deposition. Economic Geology 100, 537–546.</t>
  </si>
  <si>
    <t>Gregory, P.W., Robinson, B.W., 1984. Sulphur isotope studies of the Mt Molloy, Dianne and O.K. stratiform sulphide deposits, Hodgkinson Province, northern Queensland, Australia. Mineralium Deposita 19, 36–43.</t>
  </si>
  <si>
    <t>Gregory, P.W., Taylor, R.G., White, A.H., 1980. Mineralisation in the Broken River and Hodgkinson Provinces. In: Henderson R.A., Stephenson, P.J. (eds), The geology and geophysics of northeastern Australia. Brisbane, Geological Society of Australia, Queensland Division, p. 191–200.</t>
  </si>
  <si>
    <t>Gresham, J.J., Loftus-Hills, G.D., 1981, The geology of the Kambalda nickel field, Western Australia. Economic Geology 76, 1373–1416.</t>
  </si>
  <si>
    <t>Grguric, B.A., Rosengren, N.M., Fletcher, C.M., Hronsky, J.M.A., 2006. Type 2 deposits: geology, mineralogy, and processing of the Mount Keith and Yakabindie orebodies, Western Australia. Society of Economic Geologists Special Publication 13, 119–138.</t>
  </si>
  <si>
    <t>Grguric, B.A.,Seat, Z., Hronsky, J.M.A., Miles, G.J., 2018. The Succoth Cu-Ni-Pd deposit: a new taxite-hosted magmatic sulphide system in the West Musgrave Province, Western Australia. Ore Geology Reviews 92, 397–415.</t>
  </si>
  <si>
    <t>Grieg, D., 1984. Geology of the Teutonic Bore massive sulphide deposit, Western Australia. Australasian Institute of Mineralogy and Metallurgy Proceedings 289, 147–156.</t>
  </si>
  <si>
    <t>Griessmann, M., 2011. Gold mineralisation in the Adelaide Fold Belt. Unpublished Ph.D. thesis, University of Adelaide, 331 p.</t>
  </si>
  <si>
    <t>Groenewald, P.B., Doyle, M.G., Brown, S.J.A., Barnes, S.J., 2006. Stratigraphy and physical volcanology of the Archean Kurnalpi Terrane, Yilgarn Craton - a field guide. Geological Survey of Wester Australia Record 2006/11.</t>
  </si>
  <si>
    <t>Groves, D.I., Ho, S.E., 1990. A short review of gold in the Yilgarn block. Australasian Institute of Mining and Metallurgy Monograph 14, 539–553.</t>
  </si>
  <si>
    <t>Groves, I., Carman, C., 2017. Beltana non-sulfide zinc deposit. Australasian Institute of Mining and Metallurgy Monograph 32, 673–676.</t>
  </si>
  <si>
    <t>Groves, I.M., 1987. Epithermal/porphyry style base- and precious-metal mineralization in the Miralga Creek area, eastern Pilbara Block. Unpublished B.Sc. Honours thesis, University of Western Australia, 82 p.</t>
  </si>
  <si>
    <t>Groves, I.M., Carman, C.E., Dunlap, W.J., 2003. Geology of the Beltana willemite deposit, Flinders Ranges, south Australia. Economic Geology 98, 797–818.</t>
  </si>
  <si>
    <t>Groves, I.M., Groves, D.I., Bierlein, F.P., Broome, J., Penhall, J., 2008. Recognition of the hydrothermal feeder to the structurally inverted, giant Broken Hill deposit, New South Wales, Australia. Economic Geology 103, 1389–1394.</t>
  </si>
  <si>
    <t>GSA Victoria, 2020. Mineralisation in Victoria. https://www.gsavic.org/vic-mineralisation.html (accessed December 2020).</t>
  </si>
  <si>
    <t>Gulson, B.L., 1986. Lead isotopes in mineral exploration. Elsevier, Amsterdam, 245 p.</t>
  </si>
  <si>
    <t>Gulson, B.L., Bofinger, V.M., 1972. Time differences within a calc-alkaline association. Contributions to Mineralogy and Petrology 36, 19–26.</t>
  </si>
  <si>
    <t>Gunther, M.C., Withnall, I.W., 1995. New and revised igneous rock units of the Rollingstone and Ewan 1:100 000 Sheet areas. Queensland Government Mining Journal 96, 16–25</t>
  </si>
  <si>
    <t>Hagemann, S., Brown, P.E., Ridley, J., Stern, P., Fournelle, J., 1998. Ore petrology, chemistry, and timing of electrum in the Archean hypozonal Transvaal lode gold deposit, Western Australia. Economic Geology 93, 271–291.</t>
  </si>
  <si>
    <t>Hagemann, S.G., Groves, D.I., Ridley, J.R., Vearncombe, J.R., 1992. The Archean lode gold deposits at Wiluna, Western Australia: high-level brittle-style mineralization in a strike-slip regime. Economic Geology 87, 1022–1053.</t>
  </si>
  <si>
    <t>Haines, P.W., Turner, S.P., Foden, J.D., Jago, J.B., 2009. Isotopic and geochemical characterisation of the Cambrian Kanmantoo Group, South Australia: implications for stratigraphy and provenance. Australian Journal of Earth Sciences 56, 1095-1110.</t>
  </si>
  <si>
    <t>Hajitaheri, J., 1985. The origin of mineralisation in South Heemskirk Granite, western Tasmania, Australia. Unpublished Ph.D. thesis, University of Tasmania, 322 p.</t>
  </si>
  <si>
    <t>Halley, S., 2007. SWIR study of alteration of alteration mineralogy at Mount Julia (Henty). Unpublished Auscope National Virtual Core Library use-case poster. http://www.mrt.tas.gov.au/mrtdoc/tasxplor/download/07_5513/Poster.pdf.</t>
  </si>
  <si>
    <t>Halley, S.W., Roberts, R.H., 1997. Henty: a shallow water, gold-rich VMS deposit in western Tasmania. Economic Geology 92, 438–447.</t>
  </si>
  <si>
    <t>Halley, S.W., Walshe, J.L., 1995. A re-examination of the Mount Bischoff cassiterite sulfide skarn, western Tasmania. Economic Geology 90, 1676–1693.</t>
  </si>
  <si>
    <t>Halloran, D.P., Ashley, P.M., Cooke, J.C., 2017. Twin Hills and Mount Gunyan silver deposits. Australasian Institute of Mining and Metallurgy Monograph 32, 725–728.</t>
  </si>
  <si>
    <t>Hancock, M.C. Purvis, A.H., 1990. Lady Loretta silver-lead-zinc deposit. Australasian Institute of Mining and Metallurgy Monograph 14, 943–948.</t>
  </si>
  <si>
    <t>Hancock, M.C., Maas, R., Wilde, A.R., 1990a. Jabiluka uranium-gold deposits. Australasian Institute of Mining and Metallurgy Monograph 14, 785–793.</t>
  </si>
  <si>
    <t>Hancock, M.C., Robertson, I.G., Booth, G.W., 1990b. Paddington gold deposits. Australasian Institute of Mining and Metallurgy Monograph 14, 395–400.</t>
  </si>
  <si>
    <t>Harkins, S.A., Appold, M.S., Nelson, B.K., Brewer, A.M., Groves, I.M., 2008. Lead isotope constraints on the origin of nonsulfide zinc and sulfide zinc-lead deposits in the Flinders Ranges, South Australia. Economic Geology 103, 353–364.</t>
  </si>
  <si>
    <t>Harmsworth, R.A., Kneeshaw, M., Morris, R.C., Robinson, C.J., Shrivastava, P.K., 1990. BIF-derived iron ores of the Hamersley Province. Australasian Institute of Mining and Metallurgy Monograph 14, 617–642.</t>
  </si>
  <si>
    <t>Harris, J.L., 1998. Mount McClure gold deposits. Australasian Institute of Mining and Metallurgy Monograph 22, 137–147.</t>
  </si>
  <si>
    <t>Harrison, N., Bailey, A., Shaw, J.D., Petersen, G.N., Allen, C.A., 1990. Ora Banda gold deposits. Australasian Institute of Mining and Metallurgy Monograph 14, 389–394.</t>
  </si>
  <si>
    <t>Harvey, J.D., Reddell, C.D., Swindell, E.P.W., 2017. Groot Eylant and Bootu Creek manganese deposits. Australasian Institute of Mining and Metallurgy Monograph 32, 543–546.</t>
  </si>
  <si>
    <t>Hassan, L.Y., 2000. Mineral occurrences and exploration potential of the East Kimberley. Geological Survey of Western Australia Report 74, 83 p.</t>
  </si>
  <si>
    <t>Hassan, L.Y., 2014. The Yuinmery volcanogenic massive sulfide prospects: mineralization, metasomatism and geology: Geological Survey of Western Australia Report 131, 65 p.</t>
  </si>
  <si>
    <t>Hastings Technology Metals Limited, 2017. Yangibana Project - definitive feasibility study, executive summary, November 2017. Unpublished report, Hastings Technology Metals Limited, 66 p.</t>
  </si>
  <si>
    <t>Hastings Technology Metals Limited, 2022a. Hastings Technology Metals Limited Annual Report 2022, 83 p.</t>
  </si>
  <si>
    <t>Hastings Technology Metals Limited, 2022b. Drilling along 8 km long Bald Hill - Fraser's trend increases indicated mineral resources by 50%. ASX announcement 11 October 2022, 22 pp.</t>
  </si>
  <si>
    <t>Hatfield, R.A., Muccilli, P., Muller, M., 2017. Widgiemooltha nickel deposits. Australasian Institute of Mining and Metallurgy Monograph 32, 117–122.</t>
  </si>
  <si>
    <t>Havilah Resources Limited, 2017. Prospect Hill tin drilling 2017. ASX announcement 16 January 2017, 5 pp.</t>
  </si>
  <si>
    <t>Havilah Resources Limited, 2020. Havilah Resources Limited annual report 2020. 80p.</t>
  </si>
  <si>
    <t>Hawke, M.L., Meffre, S., Stein, H., Hilliard, P., Large, R., Gemmell, B., 2015. Geochronology of the DeGrussa Cu-Au-Ag volcanic-hosted massive sulfide deposit and associated mineralisation of the Yerrida, Bryah and Padbury basins, Western Australia. Precambrian Research 267, 250–284.</t>
  </si>
  <si>
    <t>Haydon, P., Steemson, G., 1998. Deflector gold copper deposit. Australasian Institute of Mining and Metallurgy Monograph 22, 167–172.</t>
  </si>
  <si>
    <t>Haydon, S.J., 1999a. Recent base metal discovery at the Hill 800 Prospect. ASEG Extended Abstracts 1999:1, 49–66, DOI: 10.1071/ASEGSpec11_04.</t>
  </si>
  <si>
    <t>Haydon, S.J., 1999b.  Geophysics and exploration of the volcanic hosted massive sulphide prospect near Wickliffe, western Victoria. Geological Survey of Victoria Report 119 and Australian Society of Exploration Geophysicists Special Publication 11, 67–80.</t>
  </si>
  <si>
    <t>Hayman, P.C., Hull, S.E., Cas, R.A.F., Summerhayes, E., Amelin, Y., Ivanic, T.J., Price, D., 2015. A new period of volcanogenic massive sulfide formation in the Yilgarn: a volcanological study of the ca 2.76 Ga Hollandaire VMS deposit, Yilgarn Craton, Western Australia. Australian Journal of Earth Sciences 62, 189–210.</t>
  </si>
  <si>
    <t>Hayward, S., Colianiz, G., Ferris, B., Corbett, G., 2015. Copper Hill project: integration of traditional geology and new technologies to build a deposit model. AIG Bulletin 62, 111–127.</t>
  </si>
  <si>
    <t>Heavy Rare Earths Limited, 2023. Five-fold increase in mineral resources to 159 Mt @ 870 ppm total rare earth oxides at Cowalinya project in Western Australia. Unpublished Heavy Rare Earths Limited Announcement to the Australian Securities Exchange, 3 October, 2023, 63 p.</t>
  </si>
  <si>
    <t>Heggie, G.J., Fiorentini, M.L., Barnes, S.J., Barley, M.E., 2012. Maggie Hays Ni deposit: Part 2. Nickel mineralization and the spatial distribution of PGE ore-forming signatures in the Maggie Hays Ni system, Lake Johnston Greenstone Belt, Western Australia. Economic Geology 107, 817–833.</t>
  </si>
  <si>
    <t>Hein, K.A.A., Both, R.A., Bone, Y., 1994. The geology and genesis of the Tarcoola gold deposits, South Australia. Mineralium Deposita 29, 224–236.</t>
  </si>
  <si>
    <t>Heinrich, C.A., Bain, J.H.C., Mernagh, T.P., Wyborn, L.A.I., Andrew, A.S., Waring, C.L., 1995. Fluid and mass transfer during basalt alteration and copper mineralization at Mount Isa, Australia. Economic Geology 90, 705–730.</t>
  </si>
  <si>
    <t>Helix Resources Limited, 2019. Interim maiden resource at Collerina copper project – Cobar region NSW. Unpublished Helix Resources Limited announcement to the Australian Securities Exchange, 11 June 2019, 14 p.</t>
  </si>
  <si>
    <t>Helix Resources Limited, 2021. Massive copper sulphides intersected in second hole at Canbelego. Unpublished Helix Resources Limited announcement to the Australian Securities Exchange, 12 May 2021, 20 p.</t>
  </si>
  <si>
    <t>Helix Resources Limited, 2023. Canbelego resource increases 7% in contained copper. Unpublished Helix Resources Limited announcement to the Australian Securities Exchange, 14 June 2023, 22 p.</t>
  </si>
  <si>
    <t>Hell, A., Ramsay, R., Rheinberger, G., Pooley, S., 2003. The geology, age, near surface features and mineralogy of the Merlin Kimberlites, Northern Territory, Australia. 8th International Kimberlite Conference, Victoria, BC, Canada, Extended Abstracts, 273–277.</t>
  </si>
  <si>
    <t>Hellsten, K., Lewis, C.R., Denn, S., 1998. Cawse nickel-cobalt deposit. Australasian Institute of Mining and Metallurgy Monograph 22, 335-338.</t>
  </si>
  <si>
    <t>Henderson, R.A., Donchak, P.J.T., 2013, Hodgkinson Province. In Jell, P.A. (ed.), Geology of Queensland. Brisbane, Geological Survey of Queensland, p. 229–249.</t>
  </si>
  <si>
    <t>Henderson, R.G., Hill, L.V., 1990. Reedy gold deposits, Meekatharra. Australasian Institute of Mining and Metallurgy Monograph 14, 205–210.</t>
  </si>
  <si>
    <t>Henley, H.F., Brown, R.E., Brownlow, J.W., Barnes, R.G., Stroud, W.J. 2001. Grafton–Maclean 1:250 000 Metallogenic Map SH/56-6 and SH/56-7: Metallogenic Study and Mineral Deposit Data Sheets. Sydney, Geological Survey of New South Wales, 292 p.</t>
  </si>
  <si>
    <t>Heron Resources Limited, 2017. Heron’s Woodlawn Project - new mineral resource on shallow G2 lens and total underground resource upgrade. Unpublished Heron Resources Limited announcement to the Australian Securities Exchange, 13 November 2017, 20 p.</t>
  </si>
  <si>
    <t>Herzberger, G.A., Barnes, R.G., 1978. Mine data sheets to accompany metallogenic map – Bega 1:250 000 sheet. Sydney, Geological Survey of New South Wales.</t>
  </si>
  <si>
    <t>Herzberger, G.A., Barnes, R.G., Bowman, H.N., 1976. A metallogenic study of the Bega 1:250 000 Sheet SJ55-4. Sydney, Geological Survey of New South Wales, 40 p.</t>
  </si>
  <si>
    <t>Hickman, A.H., 1983. Geology of the Pilbara Block and its environs. Geological Survey of Western Australia Bulletin 127, 128 p.</t>
  </si>
  <si>
    <t>Hickman, A.H., 2016. Northwest Pilbara Craton: a record of 450 million years in the growth of Archean continental crust. Geological Surveyof Western Australia Report 160, 104 p.</t>
  </si>
  <si>
    <t>Hickman, A.H., Huston, D.L., Van Kranendonk, M.J., Smithies, R.H., 2006. Geology and mineralization of the west Pilbara — a field guide. Geological Survey of Western Australia Record 2006/17, 50 p.</t>
  </si>
  <si>
    <t>Hickman, A.H., Smurthwaite, A.J., Brown, I.M., Davy, R., 1992. Bauxite mineralization in the Darling Range, Western Australia. Geological Survey of Western Australia Report 33, 82 p.</t>
  </si>
  <si>
    <t>Hicks, J.D., 1990. Golden Crown gold deposit. Australasian Institute of Mining and Metallurgy Monograph 14, 217–220.</t>
  </si>
  <si>
    <t>Hicks, J.D., Balfe, R.G., 1998. Silver Swan, Cygnet and Black Swan nickel deposits, Tramways Dome, Kambalda. Australasian Institute of Mining and Metallurgy Monograph 22, 339–345.</t>
  </si>
  <si>
    <t>Hicks, J.D., Barnes, S.J., Le Vaillant, M., Mole, D.R., 2017. Savannah nickel sulfide deposits. Australasian Institute of Mining and Metallurgy Monograph 32, 435–440.</t>
  </si>
  <si>
    <t>Hicks, J.D., Parkinson, R.G., 2017. Deacon nickel sulfide deposit, Tramways Dome, Kambalda. Australasian Institute of Mining and Metallurgy Monograph 32, 113–116.</t>
  </si>
  <si>
    <t>Hill, A.P., 1996. Structure, volcanic setting, hydrothermal alteration and genesis of the Thalanga massive sulphide deposit. Unpublished Ph.D. thesis, University of Tasmania.</t>
  </si>
  <si>
    <t>Hill, J.H., 1990. TC8 gold deposit. Australasian Institute of Mining and Metallurgy Monograph 14, 857–859.</t>
  </si>
  <si>
    <t>Hillgrove Resources, 2022. Annual report 2022, 62 p.</t>
  </si>
  <si>
    <t>Hilliard, P., Adamcyk, K.E., Hawke, M.L., 2017. DeGrussa copper-gold deposit. Australasian Institute of Mining and Metallurgy Monograph 32, 393–400.</t>
  </si>
  <si>
    <t>Hills, P.B., 2017. Tasmania gold deposit, Beaconsfield. Australasian Institute of Mining and Metallurgy Monograph 32, 851–854.</t>
  </si>
  <si>
    <t>Hitchman, S.P., Phillips, N.J., Greenberger, O.J., 2017. Fosterville gold deposit. Australasian Institute of Mining and Metallurgy Monograph 32, 791–796.</t>
  </si>
  <si>
    <t>Hoatson, D.H., 1990. Platinum group element mineralisation and potential in Australia. Australasian Instituted of Mining and Metallurgy Monograph 14, 85-98.</t>
  </si>
  <si>
    <t>Hoatson, D.M., 2000. Geological setting, petrography, and geochemistry of the mafic-ultramafic intrusions. Australian Geological Survey Organisation Bulletin 246, 99–162.</t>
  </si>
  <si>
    <t>Hoatson, D.M., Jaireth, S., Jaques, A.L., 2006. Nickel sulfide deposits in Australia: characteristics, resources, potential. Ore Geology Reviews 29, 177–241.</t>
  </si>
  <si>
    <t>Hoatson, D.M., Jaireth, S., Miezitis, Y., 2011. The major rare-earth-element deposits of Australia: geological setting, exploration, and resources. Geoscience Australia, 204 p.</t>
  </si>
  <si>
    <t>Hoatson, D.M., Miezitis, Y., Jaireth, S., Huston, D.L., 2014. Platinum-group elements in Australia – geological setting, mineral systems, and potential. Geoscience Australia Record 2014/51, 981 p.</t>
  </si>
  <si>
    <t>Hoatson, D.M., Sun, S.-S., 2002. Archean layered mafic-ultramafic intrusions in the West Pilbara Craton, Western Australia: a synthesis of some of the oldest orthomagmatic mineralizing systems in the world. Economic Geology 97, 847–872.</t>
  </si>
  <si>
    <t>Hoatson, D.M., Wallace, D.A., Sun, S.-S., Macias, L.F., Simpson, C.J., Keays, R.R., 1992. Petrology and platinum-group-element geochemistry of Archaean layered mafic-ultramafic intrusions, west Pilbara Block, Western Australia. Australian Geological Survey Organisation Bulletin 242, 319 p.</t>
  </si>
  <si>
    <t>Hochwimmer, B., Turnbull, D., 2010. Mt Unicorn Mo-Cu-Ag porphyry exploration, NE Victoria, a new molybdenum porphyry field. AIG Bulletin 52, 25–42.</t>
  </si>
  <si>
    <t>Hodgson, G.D., 1998. Greenmount copper-cobalt-gold deposit. Australian Institute of Mining and Metallurgy Monograph 22, 769–773.</t>
  </si>
  <si>
    <t>Hofstra, A., Lisitsin, V., Corriveau, L., Paradis, S., Peter, J., Lauzière, K., Lawley, C., Gadd, M., Pilote, J., Honsberger, I., Bastrakov, E., Champion, D., Czarnota, K., Doublier, M., Huston, D., Raymond, O., VanDerWielen, S., Emsbo, P., Granitto, M., Kreiner, D., 2021. Deposit classification scheme for the Critical Minerals Mapping Initiative global geochemical database. United Sates Geological Survey Open-File Report 2021–1049, 60 p.</t>
  </si>
  <si>
    <t>Hohl, M., Steadman, J.A., Cloutier, J., Barker, S.L.L., Belousov, I., Goemann, K., and Cooke, D.R., 2024. Trace element systematics of magnetite from the Starra iron oxide‑copper gold deposits reveals early fluid conditions characteristic for Cu mineralization. Chemical Geology, 648, 23 p.</t>
  </si>
  <si>
    <t>Holliday, J.R., Wilson, A.J., Blevin, P.L., Tedder, I.J., Dunham, P.D., Pfitzner, M., 2002. Porphyry gold-copper mineralisation in the Cadia district, eastern Lachlan fold belt, New South Wales and its relationship to shoshonitic magmatism. Mineralium Deposita 37, 100–116.</t>
  </si>
  <si>
    <t>Hollis, S.P., Mole, D.R., Gillespie, P., Barnes, S.J., Tessalina, S., Cas, R.A.F., Hildrew, C., Pumphrey, A., Goodz, M.D., Caruso, S., Yeats, C.J., Verbeetem. A., Belford, S.M., Wych, S., Martin, L.A.J., 2017b. 2.7 Ga plume associated VHMS mineralization in the Eastern Goldfields Superterrane, Yilgarn Craton: Insights from the low temperature and shallow water, Ag-Zn-(Au) Nimbus deposit. Precambrian Research 291, 119–142.</t>
  </si>
  <si>
    <t>Hollis, S.P., Podmore, D., James, M., Menuge, J.F., Doran, A.L., Yeats, C.J. and Wyche, S., 2019. VHMS mineralisation at Erayinia in the Eastern Goldfields Superterrane: Geology and geochemistry of the metamorphosed King Zn deposit. Australian Journal of Earth Sciences, 66, 153–181.</t>
  </si>
  <si>
    <t>Hollis, S.P., Yeats, C.J., Wyche, S., Barnes, S.J., Ivanic, T.J., 2017a. VMS mineralization in the Yilgarn Craton, Western Australia: a review of known deposits and prospectivity analysis of felsic volcanic rocks. Geological Survey of Western Australia Report 165, 68 p.</t>
  </si>
  <si>
    <t>Hollis, S.P., Yeats, C.J., Wyche, S., Barnes, S.J., Ivanic, T.J., Belford, S.M., Davidson, G.J., Roache, A.J., Wingate, M.T.D., 2015. A review of volcanic-hosted massive sulfide (VHMS) mineralization in the Archaean Yilgarn Craton, Western Australia: tectonic, stratigraphic and geochemical associations. Precambrian Research 260, 113–135.</t>
  </si>
  <si>
    <t>Hong, W., Cooke, D.R., Huston, D.L., Maas, R., Meffre, S., Thompson, J., Zhang, L., Fox, N., 2017. Geochronological, geochemical and Pb isotopic compositions of Tasmanian granites (southeast Australia): Controls on petrogenesis, geodynamic evolution and tin mineralisation. Gondwana Research 46, 124–140.</t>
  </si>
  <si>
    <t>Hooper, B., Collins, P., Tuesley, M., 2004. Geology and mineralisation at Whim Creek - Mons Cupri, Pilbara Craton, Western Australia. CSIRO Explore 2, 47–52.</t>
  </si>
  <si>
    <t>Hopf, S., Head, D.L., 1998. Mount Keith nickel deposit. Australasian Institute of Mining and Metallurgy Monograph 22, 307–314.</t>
  </si>
  <si>
    <t>Horizon Minerals Limited, 2020. Richmond – Julia Creek vanadium project update. Unpublished Horizon Minerals Limited announcement to the Australian Securities Exchange, 27 p.</t>
  </si>
  <si>
    <t>Horn, C.M., Keeling, J.L., Oliver, J.G., 2017. Sedimentary magnesite deposits. Australasian Institute of Mining and Metallurgy Monograph 32, 671–672.</t>
  </si>
  <si>
    <t>Horseshoe Metals Limited, 2019. Horseshoe Metals Limited annual report for the year ended 31 December 2018, 58 p.</t>
  </si>
  <si>
    <t>Hou B, Keeling J, Reid A, Pobjoy R and Wu E 2021. Models, geology and exploration of heavy mineral deposits in South Australia, Report Book 2021/00011. Department for Energy and Mining, South Australia, Adelaide, 335 pp.</t>
  </si>
  <si>
    <t>Howard, E., 2017. Mount Rawdon gold deposit. Australasian Institute of Mining and Metallurgy Monograph 32, 723–724.</t>
  </si>
  <si>
    <t>Hronsky, J.M.A., Perriam, R.P.A., Schmulian, M.L., 1990. Lancefield gold deposit, Laverton. Australasian Institute of Mining and Metallurgy Monograph 14, 511–517.</t>
  </si>
  <si>
    <t>Hughes, F.E., Smith, C.B., 1990. Ellendale diamond deposits. Australasian Institute of Mining and Metallurgy Monograph 14, 1115–1122.</t>
  </si>
  <si>
    <t>Hunter, S.B., 1903. The Ararat, Cathcart and Langi Logan deep leads goldfield. Geological Survey of Victoria Bulletin 28, 42 p.</t>
  </si>
  <si>
    <t>Hunter, S.B., 1913. The Chiltern goldfield (with plans and sections). Geological Survey of Victoria Memoir 1, 42 p.</t>
  </si>
  <si>
    <t>Hurtig, N., 2008. Maureen, a Paleozoic unconformity-related U-Mo-F deposit, Queensland, Australia. Unpublished M.Sc. thesis, ETH Zurich.</t>
  </si>
  <si>
    <t>Hussey, K.J., Beier, P.R., Crispe, A.J., Donnellan, N., Kruse, P.D., 2001. Hellen Springs, Northern Territory (second edition) 1:250 000 geological map series and explanatory notes, SE 53-10. Darwin, Northern Territory Geological Survey.</t>
  </si>
  <si>
    <t>Hussey, K.J., Goulevitch, J., 2017. Nolans Bore REE-P-U deposit. Australasian Institute of Mining and Metallurgy Monograph 32, 557–560.</t>
  </si>
  <si>
    <t>Hussey, K.J., Huston, D.L., Claoué-Long, J.C., 2005. Geology and origin of some Cu-Pb-Zn (-Au-Ag) deposits in the Strangways Metamorphic Complex, Arunta Region: Northern Territory. Northern Territory Geological Survey Report 17.</t>
  </si>
  <si>
    <t>Huston, D., Blewett, R., Mernagh, T., Sun S.S., Kamprad, J., 2001. Gold Deposits of the Pilbara Craton: Results of AGSO Research, 1998-2000. AGSO – Geoscience Australia, Record 2001/10.</t>
  </si>
  <si>
    <t>Huston, D., Cross, A., Skirrow, R., Champion, D., Whelan, J., 2020b. The Tennant Creek mineral field and Rover fields: many similarities but some important differences. Annual Geoscience Exploration Seminar (AGES) Proceedings, Alice Springs, Northern Territory 24–25 March 2020, 70–83.</t>
  </si>
  <si>
    <t>Huston, D.L., 1988. Aspects of the geology of massive sulfide deposits from the Balcooma district, northern Queensland and Rosebery, Tasmania: Implications for ore genesis. Unpublished Ph.D. thesis, University of Tasmania.</t>
  </si>
  <si>
    <t>Huston, D.L., 1997. Reconnaissance economic geology studies for 1996, North Pilbara NGMA Project. AGSO Record 1997/13, 48 p.</t>
  </si>
  <si>
    <t>Huston, D.L., 2006. Mineralization and regional alteration at the Mons Cupri stratiform Cu–Zn–Pb deposit, Pilbara Craton, Western Australia. Mineralium Deposita 41, 17–32.</t>
  </si>
  <si>
    <t>Huston, D.L., Blewett, R.S., Keillor, B., Standing, J., Smithies, R.H., Marshall, A., Mernaugh, T.P., Kamprad, J., 2002b. Lode gold and epithermal deposits of the Mallina Basin, North Pilbara Terrain, Western Australia. Economic Geology 97, 801–818.</t>
  </si>
  <si>
    <t>Huston, D.L., Bolger, C., Cozens, G., 1993. A comparison of mineral deposits at Gecko K44 and White Devil: implications for ore genesis in the Tennant Creek district, Northern Territory, Australia. Economic Geology 88, 1198–1225.</t>
  </si>
  <si>
    <t>Huston, D.L., Champion, D.C., Cassidy, K.F., 2014. Tectonic controls on the endowment of Neoarchean cratons in volcanic-hosted massive sulfide deposits: evidence from lead and neodymium isotopes. Economic Geology 109, 11–26.</t>
  </si>
  <si>
    <t>Huston, D.L., Champion, D.C., Kositcin, N., 2010a. Metallogenesis of eastern Australia: links to the tectonic evolution of the Tasman Orogen. Australian Institute of Geoscientists Bulletin 52, 45–57.</t>
  </si>
  <si>
    <t>Huston, D.L., Champion, D.C., Ware, B., Carr, G., Maas, R., Tessalina, S., 2019. Preliminary national-scale lead isotope maps of Australia. Geoscience Australia Record 2019/01.</t>
  </si>
  <si>
    <t>Huston, D.L., Connolly, D., 2011. Uranium-copper mineral systems related to the Adelaide Rift. Geoscience Australia Record 2011/34, 119–165.</t>
  </si>
  <si>
    <t>Huston, D.L., Czarnota, K., Jaireth, S., Williams N., Maidment, D., Cassidy, K.F., Duerden, P., Miggins, D., 2010b. Mineral systems of the Paterson region. Geoscience Australia Record 2010/12, 155–218.</t>
  </si>
  <si>
    <t>Huston, D.L., Fraser, G., Cross, A., Kositcin, N., 2011a. Oasis U deposit, Queensland. Geoscience Australia Record 2011/12, 24-35.</t>
  </si>
  <si>
    <t>Huston, D.L., Kamprad, J., 2001. Zonation of alteration facies at Western Tharsis: implications for the genesis of Cu-Au deposits, Mount Lyell field, western Tasmania. Economic Geology 96, 1123–1132.</t>
  </si>
  <si>
    <t>Huston, D.L., Kuronen, U., Stolz, J., 1995. Waterloo and Agincourt prospects, northern Queensland: contrasting styles of mineralization within the same volcanogenic hydrothermal system. Australian Journal of Earth Sciences 42, 203–221.</t>
  </si>
  <si>
    <t>Huston, D.L., Maas, R., Cross, A., Hussey, K.J., Mernagh, T.P., Fraser, G., Champion, D.C., 2016. The Nolans Bore rare-earth element-phosphorus-uranium mineral system: geology, origin and post-depositional modifications. Mineralium Deposita 51, 797–822.</t>
  </si>
  <si>
    <t>Huston, D.L., Maas, R., Czarnota, K., 2020a, The age, metal source and genesis of the Nifty copper deposit in the context of the geological evolution of the Paterson Province, Western Australia. Mineralium Deposita 55, 147–162.</t>
  </si>
  <si>
    <t>Huston, D.L., Maas, R., Kositcin, N., Fraser, G., 2011b, Maureen U deposit, Queensland. Geoscience Australia Record 2011/12, 59–67.</t>
  </si>
  <si>
    <t>Huston, D.L., Maidment, D.M., Hussey, K.J., 2006b. Regional geology and metallogeny of the eastern Aileron and Irindina provinces: a field guide. Geoscience Australia Record 2006/13, 44 p.</t>
  </si>
  <si>
    <t>Huston, D.L., Morant, P., Pirajno, F., Cummins, B., Baker, D., Mernagh, T.P., 2007c. Palaeoarchaean mineral deposits of the Pilbara Craton: genesis, tectonic environment and comparisons with younger deposits. Developments in Precambrian Geology 15, 411–450.</t>
  </si>
  <si>
    <t>Huston, D.L., Norman, M., Maas, R., Miggins, D., Thiede, D.S., Vasconcelos, P., Creaser, R., Cross, A.J., Bennett, V., Bottrill, R., Lisitsin, V., Duncan, R., Forster, D., Brauhart, C., Dhnaram, C., Champion, D., Czarnota, K., Whitaker, A. 2022. Geochronological studies of selected Australian mineral deposits, 2003–2020. Record 2022/11. Geoscience Australia, Canberra. http://dx.doi.org/10.11636/Record.2022.011</t>
  </si>
  <si>
    <t>Huston, D.L., Scott, M., Meares, R., 1997. Volcanic-hosted massive sulphide deposits of the Eastern Lachlan Fold Belt. Sydney, Geological Society of Australia, 19 p</t>
  </si>
  <si>
    <t>Huston, D.L., Stevens, B., Southgate, P.N., Muhling, P., Wyborn, L., 2006a. Australian Zn-Pb-Ag ore-forming systems: a review and analysis. Economic Geology 101, 1117–1157.</t>
  </si>
  <si>
    <t>Huston, D.L., Sun, S.-S., Blewett, R.S., Hickman, A.H., Van Kranendonk, M., Phillips, D., Baker, D., Brauhart, C.W., 2002a. The timing of mineralization in the Archean Pilbara Craton, Western Australia. Economic Geology 97, 733–756.</t>
  </si>
  <si>
    <t>Huston, D.L., Taylor, T., Fabray, J., Patterson, D.J., 1992. A comparison of the geology and mineralization of the Balcooma and Dry River South volcanogenic massive sulfide deposits, northern Queensland. Economic Geology 87, 785–811.</t>
  </si>
  <si>
    <t>Huston, D.L., Vandenberg, L., Wygralak, A.S., Mernagh, T.P., Bagas, L., Crispe, A., Lambeck, A., Cross, A., Fraser, G., Williams, N., Worden, K., Meixner, T., Goleby, B., Jones, L., Lyons, P., Maidment, D., 2007a, Lode–gold mineralization in the Tanami region, northern Australia. Mineralium Deposita 42, 175–204.</t>
  </si>
  <si>
    <t>Hutchin, S., 2020. NI 43-101 technical report – Golden Mountain property, State of Victoria, Australia. Unpublished NI 43-101 report by Mining One Consultants Pty Ltd for Fosterville Soulth Exploration Ltd, 78 p.</t>
  </si>
  <si>
    <t>Hutton, L.J., Draper, J.J., Rienks, I.P., Withnall, I.W., Knutson, J., 1997. Charters Towers region, in Bain, J.H.C. and Draper, J.J., eds., North Queensland Geology. AGSO Bulletin 240 and Queensland Geology 9, 165–224.</t>
  </si>
  <si>
    <t>Hutton, L.J., Grimes, K.G., Law, S.R., McLennan, T.P.T., 1998, Mount Coolon sheet SF/55-7. Queensland 1:250000 Geological Series, Second Edition. Brisbane, Geological Survey of Queensland, 68 p.</t>
  </si>
  <si>
    <t>I’ons, M.E., Goody, J.L., 2010. The Whitewash molybdenum-copper project at Rawbelle, setting and progress to date. In Buckman, S., Blevin, P.L., eds., Proceedings of NEO 2010, 184–189.</t>
  </si>
  <si>
    <t>Icon Resources Limited, 2006. Prospectus 2006. Unpublished prospectus lodged with the Australian Securities Exchange, 21 April 2006, 135 p.</t>
  </si>
  <si>
    <t>IGO Limited, 2022. Greenbushes lithium operation - site visit presentation. Unpublished IGO Limited announcement to the Australian Securities Exchange, 29 July 2022, 37 p.</t>
  </si>
  <si>
    <t>Iluka Resources Limited, 2017. Updated mineral resource and ore reserve statement. Unpublished Iluka Resources Limited announcement to the Australian Securities Exchange, 20 February 2017, 263 p.</t>
  </si>
  <si>
    <t>Iluka Resources Limited, 2019. Eneabba mineral sands recovery project – updated mineral resource estimate. Unpublished Iluka Resources Limited announcement to the Australian Securities Exchange, 24 July 2017, 18 p.</t>
  </si>
  <si>
    <t>Impact Minerals Limited, 2019. Near-surface resource upgrade at the Commonwealth-Silica Hill gold-silver base metal prospects, New South Wales. Unpublished Impact Minerals Limited announcement to the Australian Securities Exchange, 22 August 2019, 28 p.</t>
  </si>
  <si>
    <t>IMX Resources Ltd, 2008. Cairn Hill Ore Reserve Estimate. ASX announcement 22 December 2008, 15 pp.</t>
  </si>
  <si>
    <t>Independence Group NL, 2014. 2014 financial year results and final dividend. Unpublished Independence Group NL announcement to the Australian Securities Exchange, 28 August 2014, 78 p.</t>
  </si>
  <si>
    <t>Independence Group NL, 2015a. Full year financial results. Unpublished Independence Group NL announcement to the Australian Securities Exchange, 24 August 2015, 7 p.</t>
  </si>
  <si>
    <t>Independence Group NL, 2015b. Mineral resources and ore reserves update. Unpublished Independence Group NL announcement to the Australian Securities Exchange, 28 October 2015, 63 p.</t>
  </si>
  <si>
    <t>Independence Group NL, 2016. FY16 financial results. Unpublished Independence Group NL announcement to the Australian Securities Exchange, 31 August 2016, 8 p.</t>
  </si>
  <si>
    <t>Independence Group NL, 2017. Venture forward. Unpublished Independence Group NL annual report 2017, 136 p.</t>
  </si>
  <si>
    <t>Independence Group NL, 2018. Making a difference. Unpublished Independence Group NL annual report 2018, 140 p.</t>
  </si>
  <si>
    <t>Independence Group NL, 2019. Making a difference. Unpublished Independence Group NL annual report 2019, 136 p.</t>
  </si>
  <si>
    <t>Independence Group NL, 2020. Making a difference. Unpublished Independence Group NL annual report 2020, 142 p.</t>
  </si>
  <si>
    <t>Independence Group NL, 2021. We believe in a green energy future. Unpublished Independence Group NL 2021 annual report, 145 p.</t>
  </si>
  <si>
    <t>Independence Group NL, 2022. FY22 Cosmos and Forrestania resources and reserves. Unpublished Independence Group NL announcement to the Australian Securities Exchange, 30 August 2022, 162 p.</t>
  </si>
  <si>
    <t>Investigator Resources Limited, 2017. Significant 26% upgrade for Paris silver rosources to 42Moz contained silver. Unpublished Investigator Resources Limited announcement to the Australian Securities Exchange, 19 April 2017, 44 p.</t>
  </si>
  <si>
    <t>Investigator Resources Limited, 2021. Paris update mineral resource estimate – 53.1Moz silver, 73% indicated category. Unpublished Investigator Resources Limited announcement to the Australian Securities Exchange, 28 June 2021, 49 p.</t>
  </si>
  <si>
    <t>Investigator Resources Limited, 2023. Paris mineral resources update. Unpublished Investigator Resources Limited announcement to the Australian Securities Exchange, 5 July 2023, 44 p.</t>
  </si>
  <si>
    <t>Inwood, N.A., 1998. New Holland, New Holland South and Genesis gold deposits, Lawlers. Australasian Institute of Mining and Metallurgy Monograph 22, 155–160.</t>
  </si>
  <si>
    <t>Ivey, M.E., Fowler, M.J., Gent, P.G., Barker, A.J., 1998. Centurion gold deposit. Australasian Institute of Mining and Metallurgy Monograph 22, 215–218.</t>
  </si>
  <si>
    <t>Iwata, K., Schmidt, B.L., Leitch, E.C., Allan, A.D., Watanabe, T., 1995. Ordovician microfossils from the Ballast Formation (Girilambone Group) of New South Wales. Australian Journal of Earth Sciences 42, 371–376.</t>
  </si>
  <si>
    <t>Jackson, D.J., Andrew, R.L., 1990. Kintyre uranium deposit. Australasian Institute of Mining and Metallurgy Monograph 14, 653–658.</t>
  </si>
  <si>
    <t>Jackson, M.J., Southgate, P N., Black, L.P., Blake, P.R., Domgala, J., 2005. Overcoming Proterozoic quartzite sandbody miscorrelations: integrated sequence stratigraphy and SHRIMP U–Pb dating of the Surprise Creek Formation, Torpedo Creek and Warrina Park Quartzites, Mount Isa Inlier. Australian Journal of Earth Sciences 52, 1–25.</t>
  </si>
  <si>
    <t>Jackson, P., Changkakoti, A., Krouse, H.R., Gray, J., 2000. The origin of greisen fluids of the Foley’s zone, Cleveland tin mine, Tasmania, Australia. Economic Geology 95, 227–236.</t>
  </si>
  <si>
    <t>Jadar Resources Limited, 2021. Maiden JORC tin-copper resource announced at Mt Wells and completion of Mt Wells and Maranboy due diligence. Unpublished Jadar Resources Limited announcement to the Australian Securiteis Exchange, 6 September 2021, 34 p.</t>
  </si>
  <si>
    <t>Jagodzinski, E., 2014. The age of magmatic and hydrothermal zircon at Olympic Dam. Geological Society of Australia Abstracts 110, 254–255.</t>
  </si>
  <si>
    <t>Jagodzinski, E.A., Reid, A., Anderson, J., Hill, R., 2012. Project PGC02-06: Zircon U-Pb geochronology from the Peterlumbo Ag-Pb prospect, northern Eyre Peninsula. Geological Survey of South Australia Report Book 2012/12, 136–147.</t>
  </si>
  <si>
    <t>Jagodzinski, E.A., Reid, A., Farrell, F., 2011. Project PGC01-04: Geochronology of the Bungalow prospect. Geological Survey of South Australia Report Book 2012/00003, 42–62.</t>
  </si>
  <si>
    <t>Jagodzinski, E.A., Reid, A.J., Chalmers, N., Swain, G., Frew, R.A., Foudoulis, C., 2007. Compilation of SHRIMP U-Pb geochronological data for the Gawler Craton, South Australia, 2007. Geological Survey of South Australia Report Book 2007/21, 87 p.</t>
  </si>
  <si>
    <t>Jagodzinski, E.A., Werner, M., Curtis, S.O., Fabris, A., 2020. SHRIMP geochronology of the Mount Double area, southern Gawler Ranges margin. Geological Survey of South Australia Report Book 2020/00006.</t>
  </si>
  <si>
    <t>Jahn, I., Clark, C., Reddy, S., Taylor, R.J.M., 2021. Zircon U–Pb Geochronology and Hf–O Isotope Characteristics of Granitoids from the Capricorn Orogen, Western Australia. Journal of Petrology 62, 1-24.</t>
  </si>
  <si>
    <t>Jaireth, S. 2011. Mineral systems overview. Chapter 4 in Craig, M.A., (ed), Costelloe, M.T., Hutchinson, D.K., Jaireth, S., Liu, S.F. 2011. Geological and energy implications of the Pine Creek region airborne electromagnetic (AEM) survey, Northern Territory, Australia. Geoscience Australia Record 2011/018. https://pid.geoscience.gov.au/dataset/ga/71854</t>
  </si>
  <si>
    <t>Jaireth, S., Hoatson, D.M., Miezitis, J., 2014. Geological setting and resources of the major rare-earth-element deposits in Australia. Ore Geology Reviews 62, 72-128.</t>
  </si>
  <si>
    <t>Jaques, A.L., Webb, A.W., Fanning, C.M., Black, L.P., Pidgeon, R.T., Ferguson, J., Smith, C.B., Gregory, G.P., 1984. The age of the diamond-bearing pipes and associated leucite lamproites of the West Kimberley region, Western Australia. BMR Journal of Australian Geology &amp; Geophysics 9, 1–7.</t>
  </si>
  <si>
    <t>Jeffries, G.M., Arne, D.C., 2014. Independent geologist's report on the Stavely, Ararat and Mortlake projects, Victoria, Australia. Unpublished CSA Global report for Stavely Minerals Pty Ltd.</t>
  </si>
  <si>
    <t>Jenkins, R.J.F., Cooper, J.A., Compston, W. 2002. Age and biostratigraphy of Early Cambrian tuffs from SE Australia and southern China. Journal of the Geological Society of London 159, 645–658.</t>
  </si>
  <si>
    <t>Jennings, I.B., Clarke, M.J., Leaman, D.E., Collins, P.L.F., Summons, T.G., Threader, V.M., Dix, M.J., 1979. Explanatory Report, geological atlas one mile series, zone 7 sheet 37 (8115S), Sheffield. Tasmania Department of Mines, Geological Survey, 117 p.</t>
  </si>
  <si>
    <t>Jobin-Bevans, S., Saxon, M., 2020. Independent NI 43-101 technical report on the BMV gold project, central Victoria State, Australia. Unpublished Caracle Creen Internatonal Consulting Incorporated NI 43-101 technical report for Red Rock Australasia Proprietary Limited and Red Rock Resources Plc, 15 September 2020, 113 p.</t>
  </si>
  <si>
    <t>Johanson, G.F., Johnstone, A., 2017. Browns Cu-Pb-Zn-Co-Ni deposit. Australasian Institute of Mining and Metallurgy Monograph 32, 465–466.</t>
  </si>
  <si>
    <t>Johnson, G.I., Cooper, H.J.A., Blight, D.F., 1989. The geology and geochronology of a Proterozoic trachyandesite plug, Murchison Province, Yilgarn Block, Western Australia. Australian Journal of Earth Sciences 36, 319-336.</t>
  </si>
  <si>
    <t>Johnson, J.P., Cross, K.C., 1995. U-Pb geochronological constraints on the genesis of the Olympic Dam Cu-U-Au-Ag deposit, South Australia. Economic Geology 90, 1046–1063.</t>
  </si>
  <si>
    <t>Jones, A., 2010. Mineralogy, petrography and gold distributions at the Twin Hills, epithermal gold depost north-central Queensland, Australia. B.Sc. Honours thesis, University of Adelaide, 124 p.</t>
  </si>
  <si>
    <t>Jones, D., Bull, S., McGoldrick, P., 1999. The Kamarga deposit: a large, low grade, stratabound zinc resource, in the Proterozoic ‘Carpentaria Zinc Belt’ of northern Australia. Mineral deposits: processes to processing. Balkeema, Rotterdam, 873–876.</t>
  </si>
  <si>
    <t>Jones, G., MacKenzie, I., 2007. Mineral Hill – a mining centre renaissance. AIG Bulletin 46, 87–93 (also including associated presentation: https://smedg.org.au/M&amp;W07/JonesMineralHill.pdf)</t>
  </si>
  <si>
    <t>Jones, M., Tang, J., Dhnaram, C., Greenwood, M., Gopalakrishnan, S., Denaro, T., Laukamp, C., Cudahy, T., Stein, H., 2012. Kalman deposit characterisation using HyLogger – final report. Geological Survey of Queensland Record 2012/03.</t>
  </si>
  <si>
    <t>Jones, P., 2012. Unlocking the Tritton volcanic associated sulphide field. The Cobar Mining and Exploration Conference, December 2012, Cobar, New South Wales.</t>
  </si>
  <si>
    <t>Jones, S., McNaughton, N. J., Grguric, B., 2013. Structural controls and timing of fault-hosted manganese at Woodie Woodie, East Pilbara, Western Australia. Ore Geology Reviews 50, 52–82.</t>
  </si>
  <si>
    <t>Jones, S.A., 2017a. Geology and geochemistry of fault-hosted hydrothermal and sedimentary manganese deposits in the Oakover Basin, east Pilbara, Western Australia. Australian Journal of Earth Sciences 64, 63–102.</t>
  </si>
  <si>
    <t>Jones, S.A., 2017b. Woodie Woodie manganese deposits. Australasian Institute of Mining and Metallurgy Monograph 32, 381–384.</t>
  </si>
  <si>
    <t>Jones, S.A., Witt, W.K., 2017. Gold deposits of the Leonora district. Australasian Institute of Mining and Metallurgy Monograph 32, 235–242.</t>
  </si>
  <si>
    <t>Jones, T.R., Moeller, T., Truelove, A.J., 1990. Collingwood tin deposit. Australasian Institute of Mining and Metallurgy Monograph 14, 1549–1555.</t>
  </si>
  <si>
    <t>Jorgensen, G.C., Dendle, P.K., Rowley, M., Lee, R.J., 1990. Sorby lead-zinc-silver deposit. Australasian Institute of Mining and Metallurgy Monograph 14, 1097–1101.</t>
  </si>
  <si>
    <t>Kairos Minerals, 2023. Resource increases to 1.6Moz and remains open. ASX announcement, 15 May 2023, 36 p.</t>
  </si>
  <si>
    <t>Kalbar Operations Proprietary Limited, 2020. Fingerboards mineral sands project – environment effects statement information brochure – soils and geology. Unpublished Kalbar Operations Proprietary Limited report, 8 p.</t>
  </si>
  <si>
    <t>Kalbar Resources Limited, 2019. Kalbar Resources Limited financial report for the year ended 30 June 2019, 68 p.</t>
  </si>
  <si>
    <t>Kalium Lakes Limited, 2019. Annual report 2018/29, 108 p.</t>
  </si>
  <si>
    <t>Kaminsky, J., 2017. Rimfire Pacific Mining NL – Annual General Meeting – Project Area at Fifield NSW. Unpublished Rimfire Pacific Mining NL Annual General Meeting presentation, 24 November 2017, https://www.rimfire.com.au/site/PDF/56f515cc-c4b5-4b00-8252-047b82ad78ea/PresentationtoAGMNovember2017.</t>
  </si>
  <si>
    <t>Karimzadeh Somarin, A., 2009. Ore mineralogy and mineral chemistry of the Glen Eden Mo-W-Sn greisen-breccia system, eastern Australia. Journal of Mineralogical and Petrological Sciences 104, 339–355.</t>
  </si>
  <si>
    <t>Karimzadeh Somarin, A., Ashley, P., 2004. Hydrothermal alteration and mineralization of the Glen Eden Mo-W-Sn deposit: a leucogranite-related hydrothermal system, southern New England Orogen, NSW, Australia. Mineralium Deposita 39, 282–300.</t>
  </si>
  <si>
    <t xml:space="preserve">Karora Resources Limited, 2024. NI43-101 Technical report, Higginsville - Lakewood operation eastern goldfields, Western Australia, 387 p. </t>
  </si>
  <si>
    <t>KBL Mining Limited, 2013. Annual report 2013 – KBL Mining Limited, 64 p.</t>
  </si>
  <si>
    <t>KBL Mining Limited, 2015. Annual report 2015 – KBL Mining Limited, 64 p.</t>
  </si>
  <si>
    <t>KBL Mining Limited, 2016. Quarterly activities report end 30 June 2016. Unpublished KBL Mining Limited announcement to the Australian Securities Exchange, 28 July 2016, 10 p.</t>
  </si>
  <si>
    <t>Keays, R.R., Jowitt, S.M., 2013. The Avebury Ni deposit, Tasmania: A case study of an unconventional nickel deposit. Ore Geology Reviews 52, 4–17.</t>
  </si>
  <si>
    <t>Keeling, J.L., 2017. Graphite deposits of the Eyre Peninsula. Australasian Institute of Mining and Metallurgy Monograph 32, 621–624.</t>
  </si>
  <si>
    <t>Keeling, J.L., Reid, A.J., Hou, B., Pobjoy, R., 2016. Provenance of zircon in heavy mineral sand deposits, western Murray Basin. MESA Journal 81, 13–17.</t>
  </si>
  <si>
    <t>Kendall, C.J., 1990. Ranger uranium deposit. Australasian Institute of Mining and Metallurgy Monograph 14, 799–805.</t>
  </si>
  <si>
    <t>Kendall-Langley, L.A., Kemp, A.I., Grigson, J.L., Hammerli, J., 2020. U-Pb and reconnaissance Lu-Hf isotope analysis of cassiterite and columbite group minerals from Archean Li-Cs-Ta type pegmatites of Western Australia. Lithos 352, p.105231.</t>
  </si>
  <si>
    <t>Kenex Ltd, 2015. Surrender Report EL12/2013. Ringarooma Bay Project for the period 30 June 2014 to May 2015. 14 pp.</t>
  </si>
  <si>
    <t>Kennedy, A.K., 1998. SHRIMP ages of apatites from Pilbara tin-bearing pegmatites (abstract). Geological Society of Australia Abstracts 49, 242.</t>
  </si>
  <si>
    <t>Kennedy, D.R., Loudon, A.G., 1965. Holbrook molybdenite deposit. Geological Survey of New South Wales Report GS 33, 3–9.</t>
  </si>
  <si>
    <t>Kent, A.J.R., Cassidy, K.F., Fanning, C.M.F., 1996. Gold mineralization synchronous with the final stages of cratonization, Yilgarn Craton, Western Australia: evidence from Sm–Nd and U–Pb ages of crosscutting post-gold dykes. Geology 24, 879–882.</t>
  </si>
  <si>
    <t>Kent, A.J.R., Hagemann, S.G., 1996. Constraints on the timing of lode-gold mineralisation in the Wiluna greenstone belt, Yilgarn Craton, Western Australia. Australian Journal of Earth Science 43, 573–588.</t>
  </si>
  <si>
    <t>Kepert, D., Robinson, S., Clarke, N., Nitschke, N.., 2017. Nyidinghu and Eliwana – Flying Fish bedded iron deposits. Australasian Institute of Mining and Metallurgy Monograph 32, 359–362.</t>
  </si>
  <si>
    <t>KGL Resources, 2023. Annual Report 2023, 94 p.</t>
  </si>
  <si>
    <t>Khin Zaw, Huston, D.L., Large, R.R., 1999. A chemical model for the Devonian remobilization process in the Cambrian volcanic-hosted massive sulfide Rosebery deposit, western Tasmania. Economic Geology 94, 931−952.</t>
  </si>
  <si>
    <t>Khin Zaw, Large, R.R., 1992. The precious metal-rich South Hercules mineralization, western Tasmania: A possible subsea-floor replacement volcanic-hosted massive sulfide deposit. Economic Geology 87, 931−952.</t>
  </si>
  <si>
    <t>Khin Zaw, Singoyi, B., 2000. Formation of magnetite-scheelite skarn mineralization at Kara, northwestern Tasmania: evidence from mineral chemistry and stable isotopes. Economic Geology 95, 1218–1230.</t>
  </si>
  <si>
    <t>Kidman Resources Limited, 2014. Maiden resource at Home of Bullion. Unpublished Kidman Resources Limited announcement to the Australian Securities Exchange, 29 July 2014, 22 p.</t>
  </si>
  <si>
    <t>Kidson Resources Limited, 2011. September 2011 quarterly activities report. Unpublished Kidson Resources Limited announcement to the Australian Securities Exchange, 31 October 2011, 11 p.</t>
  </si>
  <si>
    <t>Kincora Copper Limited, 2021. Prospectus – Kincora Copper Limited. Unpublished prospectus lodged with the Australian Securities and Investments Commission, 1 March 2021, 314 p.</t>
  </si>
  <si>
    <t>Kingsland Mineals Limited, 2023. Cleo uraniium deposit mineral resource estimate. Unpublished Kingsland Minerals Limited announcement to the Australian Securiteis Exchange, 14 March 2023, 34 p.</t>
  </si>
  <si>
    <t>Kingsland Minerals (2023) - Cleo Uranium Deposit - Mineral Resource Estimate 14 March 2023, 34 pp.</t>
  </si>
  <si>
    <t>Kingston Resources Limited (2023) Mineral resource update at Jack's Hut, Mineral Hill. Unpublished Kingston Resource Limited announcement to the Australian Securities Exchange, 21 March 2023, 62 p.</t>
  </si>
  <si>
    <t>Kinhill Engineers Ltd. (1992). Mt Weld Rare Earths Project - Public Environmental Review. 202 pp.</t>
  </si>
  <si>
    <t>Kinny, P.D., 2000. U-Pb dating of rare-metal (Sn-Ta-Li) mineralized pegmatites in Western Australia by SIMS analysis of tin and tantalum-bearing ore minerals (abstract), in Abstracts and proceedings, Beyond 2000, New frontiers in isotope geoscience, Lorne, Victoria, 113–116.</t>
  </si>
  <si>
    <t>Kirkland Lake Gold Limited, 2021. Annual information form for the year ended December 31, 2020.</t>
  </si>
  <si>
    <t>Kitch, R.B., Murphy, R.W., 1990. Gympie gold field. Australasian Institute of Mining and Metallurgy Monograph 14, 1515–1518.</t>
  </si>
  <si>
    <t>Kitto, P.A., 1994. Structural and geochemical controls on mineralisation at Renison, Tasmania, Australia. Unpublished Ph.D. thesis, University of Tasmania.</t>
  </si>
  <si>
    <t>Klominsky, J., Partingdon, G.A., McNaughton, N.J., Ho, S.E., Groves, D.I., 1996. Radiothermal granites of the Cullen Batholith and associated mineralization (Australia). Czech Geological Survey Special Papers 5, 155 p.</t>
  </si>
  <si>
    <t>Kneale, C.M., MacDonnald, I.A., Shannon, C.H.C., Zeissink, H.E., 1979. Annual report – Exploration Licences: 1208; 1226 – 7th September, 1977 – 7th September, 1978, Exploration licences: 1422, 1423, 1436, 1438, 1439, 1486 – 7th November, 1977 – 6th November, 1978. Unpublished A.O. (Australia) Pty Ltd report to Northern Territory Department of Mines. Northern Territory Geological Survey company report CR 1979/0008.</t>
  </si>
  <si>
    <t>Knutson, J., Donnelly, T.H., Tonkin, D.G., 1983. Geochemical constraints on the genesis of copper mineralization in the Mount Gunson area, South Australia. Economic Geology 78, 250–274.</t>
  </si>
  <si>
    <t>Knutson, J., Ferguson, J., Roberts, W.M.B., Donnelly, T.H., Lambert, I.B., 1979. Petrogenesis of the copper-bearing breccia pipes, Redbank, Northern Territory, Australia. Economic Geology 74, 814–826.</t>
  </si>
  <si>
    <t>Kohanpur, F., Occhipinti, S., Lindsay, M., Gorczyk, W., Jourdan, F., Poujol, M., in review. Nickel and gold mineral systems analysis and prospectivity modelling of the Halls Creek Orogen, Western Australia. Ore Geology Reviews.</t>
  </si>
  <si>
    <t>Kohler, F., 2020. Mining magagement plan exporation activities - Leaky Bore Project (EL26942). https://industry.nt.gov.au/__data/assets/pdf_file/0005/979061/emmp-leaky-bore-project-201220.pdf</t>
  </si>
  <si>
    <t>Korsch, M.J., Gulson, B.L., 1986. Nd and Pb isotopic studies of an Archaean layered mafic-ultramafic complex, Western Australia, implications for mantle heterogeneity. Geochimica et Cosmochimica Acta 50, 1–10.</t>
  </si>
  <si>
    <t>Kositcin, N., Brown, S.J.A., Barley, M.E., Krapez, B., Cassidy, K.F., Champion, D.C., 2008. SHRIMP U-Pb zircon age constraints on the Late Archaean tectonostratigraphic architecture of the Eastern Goldfields Superterrane, Yilgarn Craton, Western Australia. Precambrian Research 161, 5–33.</t>
  </si>
  <si>
    <t>Kositcin, N., Bultitude, R.J., Purdy, D.J., Brown, D.D., Carr, P.A., Lisitsin, V., 2015. Summary of results – joint GSQ-GA geochronology project: Kennedy Igneous Association, Mossman Orogen, Thomson Orogen and Iron Range Province, 2013-2014, Queensland Geological Record 2015/03, 154 p.</t>
  </si>
  <si>
    <t>Kositcin, N., Champion, D.C., Huston, D.L., 2009. Geodynamic synthesis of the North Queensland region and implications for metallogeny. Geoscience Australia Record 2009/30, 196 p.</t>
  </si>
  <si>
    <t>Kositcin, N., Reno, B.L., Beyer, E.E., 2018. Summary of results. Joint NTGS-GA geochronology project: Aileron Province, July 2015-June 2016, Northern Territory Geological Survey Record 2018-005, 36 p.</t>
  </si>
  <si>
    <t>Kovacs, N.J.. 2000. Magmatic and hydrothermal evolution of the Browns Creek Intrusive Complex and associated gold mineralisation. Unpublished M.Sc. thesis, Australian National University.</t>
  </si>
  <si>
    <t>Krapez, B., Martin, D.McB., 1999. Sequence stratigraphy of the Palaeoproterozoic Nabberu Province of Western Australia. Australian Journal of Earth Sciences 46, 89–103.</t>
  </si>
  <si>
    <t>Kreuzer, O.P., 2005. Intrusion-hosted mineralization in the Charters Towers goldfield, north Queensland: new isotopic and fluid inclusion constraints on the timing and origin of the auriferous veins. Economic Geology 100, 1583–1603.</t>
  </si>
  <si>
    <t>Kreuzer, O.P., 2006. Textures, paragenesis and wall-rock alteration of lode-gold deposits in the Charters Towers district, north Queensland: implications for the conditions of ore formation. Mineralium Deposita 40, 639–663.</t>
  </si>
  <si>
    <t>Krokowsi de Vickerod, J., Moore, D.H., Cayley, R.A., 1997. St Arnaud 1:100 000 map area geological report. Geological Survey of Victoria Report 110, 112 p.</t>
  </si>
  <si>
    <t>Kruse, P.D., Dunster, J.N., Munson, T.J., 2013. Chapter 28: Georgina Basin. Northern Territory Geological Survey Special Publication 5.</t>
  </si>
  <si>
    <t>Kwak, T.A.P., 1987. W-Sn deposits and related metamorphic skarns and granitoids. Developments in Economic Geology 24, 451 p.</t>
  </si>
  <si>
    <t>Kwak, T.A.P., Askins, P.W., 1981. Geology and genesis of the F-Sn-W(-Be-Zn) skarn at Moina, Tasmania. Economic Geology 76, 439–479.</t>
  </si>
  <si>
    <t>Kwak, T.A.P., Tan, T.H., 1981. The geochemisty of zoning in skarn minerals at the King Island (Dolphin) mine. Economic Geology 76, 468–467.</t>
  </si>
  <si>
    <t>Kwon, J., Min, K., Bickel, P.J., Renne, P.R., 2002. Statistical methods for jointly estimating the decay constant of 40K and the age of a dating standard. Mathematical Geology 34, 457–474.</t>
  </si>
  <si>
    <t>Laconia Resources Limited, 2012. Clarification of use of zinc equivalents on resource upgrade at Lennons Find project. Unpublished Laconia Resources Limited announcement to Australian Securities Exchange, 4 March 2012, 5 p.</t>
  </si>
  <si>
    <t>Lally, J.H., Bajwah, Z.U., 2006. Uranium deposits of the Northern Territory. Geological Survey of Northern Territory Report 20.</t>
  </si>
  <si>
    <t>Lambert, D.D., Foster, J.G., Frick, L.R., Hoatson, D.M., Purvis, A.C., 1998. Application of the Re‐Os isotopic system to the study of Precambrian magmatic sulfide deposits of Western Australia. Australian Journal of Earth Sciences 45, 265–284.</t>
  </si>
  <si>
    <t>Lambert, I.B., Donnelly, T.H., Dunlop, J.S.R., Groves, D.I., 1978. Stable isotopic compositon of early Archaean sulphate deposits of probable evaporitic and volcanogenic origins. Nature 276, 808–810.</t>
  </si>
  <si>
    <t>Lambert, I.B., Donnelly, T.H., Rowlands, N.J., 1980. Genesis of upper Proterozoic stratabound copper mineralization, Kapunda, South Australia. Mineralium Deposita 15, 1–18.</t>
  </si>
  <si>
    <t>Lambert, I.B., Knutson, J., Donnelly, T.H., Etiman, H., 1987. Stuart Shelf-Adelaide Geosyncline copper province, South Australia. Economic Geology, 82 108–123.</t>
  </si>
  <si>
    <t>Lambrechts, J., Ostrowski, M., 2019. Mount Aubrey – past, present, future. AIG Bullentin 68. https://www.aig.org.au/wp-content/uploads/2019/10/Lambrechts_Mount-Aubrey-Past-Present-Future.pdf.</t>
  </si>
  <si>
    <t>Lane, K., Jagodzinski, E.A., Dutch, R., Reid, A.J., Hand, M., 2015. Age constraints on the timing of iron ore mineralisation in the southeastern Gawler Craton. Australian Journal of Earth Sciences 62, 55–75.</t>
  </si>
  <si>
    <t>Laneway Resources Limited, 2020. Significant high grade resource increase for Agate Creek gold project. Unpublished Laneway Resources Limited announcement to the Australian Secuities Exchange, 30 January 2020, 30 p.</t>
  </si>
  <si>
    <t>Large, R.R., 1975. Zonation of hydrothermal minerals at the Juno mine, Tennant Creek goldfield, central Australia. Economic Geology 70, 1387–1413.</t>
  </si>
  <si>
    <t>Large, R.R., 1980. The Ajax Cu-Zn-Ag prospect, Yarrol basin, Qld. Journal of Geochemical Exploration 12, 327–331.</t>
  </si>
  <si>
    <t>Large, R.R., Both, R.A., 1980. The volcanogenic sulfide ores at Mount Chalmers, eastern Queensland. Economic Geology 75, 992–1009.</t>
  </si>
  <si>
    <t>Large, R.R., Bull, S.W., McGoldrick, P.J., Walters, S., Derrick, G.M., Carr, G.R., 2005. Stratiform and strata-bound Zn-Pb-Ag deposits in Proterozoic sedimentary basins, northern Australia. Economic Geology 100th Anniversary Volume, 931–964.</t>
  </si>
  <si>
    <t>Lawrie, K.C., Hinman, M.C., 1998. Cobar-style polymetallic Au-Cu-Ag-Pb-Zn deposits. AGSO Journal of Australian Geology and Geophysics 17, 169–187.</t>
  </si>
  <si>
    <t>Lawrie, K.C., Mernagh, T.P., Ryan, C.G., van Achterbergh, E., Black, L.P., 2007. Chemical fingerprinting of hydrothermal zircons: an example from the Gidginbung high sulphidation Au-Ag-(Cu) deposit, New South Wales, Australia. Proceedings of the Geologists' Association 118, 37–46.</t>
  </si>
  <si>
    <t>Le Vaillant, M., Barnes, S.J., Mole, D.R., Fiorentini, M.L., Laflamme, C., Denyszyn, S.W., Austin, J., Patterson, B., Godel, B., Hicks, J., Mao, Y.-J., Neaud, A., 2019. Multidisciplinary study of a complex magmatic system: the Savannah Ni-Cu-Co camp, Western Australia. Ore Geology Reviews 117, 103292.</t>
  </si>
  <si>
    <t>Le, T. X., Dirks, P. H. G. M., Sanislav, I. V., Huizenga, J. M., Cocker, H., &amp; Manestar, G. N., 2021. Geochronological constraints on the geological history and  gold mineralisation in the Tick Hill region, Mount Isa Inlier. Precambrian  Research, 366, 106422. https://doi.org/10.1016/j.precamres.2021.106422</t>
  </si>
  <si>
    <t>Lee, D.C., Reddicliffe, T.H., Scott-Smith, B.H., Taylor, W.R., Ward, L.M., 1998. Merlin diamondiferous kimberlite pipes. Australasian Institute of Mining and Metallurgy Monograph 22, 461–464.</t>
  </si>
  <si>
    <t>Lees, T., Buckle, P., 2009. Base metal deposits in the Einasleigh area. Australian Institute of Geoscientists Bulletin 49, 75–78.</t>
  </si>
  <si>
    <t>Lees, T., Buckle, P., 2017. Mineral deposits in the Einasleigh district. Australasian Institute of Mining and Metallurgy Monograph 32, 523–526.</t>
  </si>
  <si>
    <t>Lees, T., Khin Zaw, Large, R.R., Huston, D.L., 1990. Rosebery and Hercules copper-lead-zinc deposits. Australasian Institute of Mining and Metallurgy Monograph 14, 1241–1248.</t>
  </si>
  <si>
    <t>Lefroy Exploration Limited, 2023. Lefroy confirms high-grade 15 kt resource at Goodyear. Unpublished Lefroy Exploration Limited announcement to the Australia Securities Exchange, 23 August, 2023, 23  p.</t>
  </si>
  <si>
    <t>Leggo, N., Ulrich, S., Whishaw, A., 2019. Independent assessment report – Castile Resources Ltd – Rover and Warumpi projects. Unpublished CSA Global Report R339.2019.</t>
  </si>
  <si>
    <t>Lehrmann, B., 2012, Polymetallic mineralisation in the Chillagoe district of north-east Queensland: insights into base metal rich intrusion-related gold systems. Unpublished Ph.D. thesis, James Cook University, 313 p.</t>
  </si>
  <si>
    <t>Leslie, C., Balind, P., Howard, N., Heidemann, G., 2017. Cowal gold mine; district geology and exploration overview. AIG Bulletin 67, 4 p.</t>
  </si>
  <si>
    <t>Leu, M.R., 2015. Defining specific suites of diagnostic characteristics of some reduced intrusion-related gold systems in eastern Australia. AIG Bulletin 62, 163–186.</t>
  </si>
  <si>
    <t>Levy, I.W., Storey, N.J.M., 1990. Horn Island gold deposit. Australasian Institute of Mining and Metallurgy Monograph 14, 1451–1454.</t>
  </si>
  <si>
    <t>Lewis, C. Huston, D., Shofield, A., Cayley, R., Taylor, D., 2018. New geochronology constratints on the development and duration of the Stavely Arc. Geoscience Australial Record 2018/2, 39–41.</t>
  </si>
  <si>
    <t>Lewis, C.J., Cayley, R.A., Duncan, R.J., Schofield, A. and Taylor, D.H., 2016. New SHRIMP U-Pb zircon ages from the Stavely region, western Victoria: July 2014-June 2016. Geoscience Australia Record 2016/27.</t>
  </si>
  <si>
    <t>Li, B., 2014. Tectonic evolution and gold mineralisation of the Granites-Tanami Orogen, North Australian Craton. Unpublished Ph.D. thesis, University of Western Australia.</t>
  </si>
  <si>
    <t>Libby, J.W., Stockman, P.R., Cervoj, K.M., Muir, M.R.K., Whittle, M., Langworthy, P.J., 1998. Perseverance nickel deposit. Australasian Institute of Mining and Metallurgy Monograph 22, 321–328.</t>
  </si>
  <si>
    <t>Lickfold, V., Cooke, D.R, Crawford, A.J., Fanning, C.M., 2007. Shoshonitic magmatism and formation of the Northparkes porphyry Cu–Au deposits, New South Wales. Australian Journal of Earth Sciences 54, 417–444.</t>
  </si>
  <si>
    <t>Lickfold, V., Cooke, D.R, Smith, S.G., Ullrich, T.D., 2003. Endeavour copper–gold porphyry deposits, Northparkes, New South Wales: intrusive history and fluid evolution. Economic Geology 98, 1607–1636.</t>
  </si>
  <si>
    <t>Lilly, R., Case, G., Miller, B., 2017. Ernest Henry iron oxide copper-gold deposit. Australasian Institute of Mining and Metallurgy Monograph 32, 501–506.</t>
  </si>
  <si>
    <t xml:space="preserve">Liontown Resources Limited, 2019. December 2019 quarterly activities report, 20 p. </t>
  </si>
  <si>
    <t xml:space="preserve">Liontown Resources Limited, 2020. Kathleen Valley confirmed as a world-class lithium depasit as mineral resource increases to 156Mt @ 1.4% Li2O. Unpublished Liontowm Resources Limited announcement to the Australian Securities Exchange, 11 May 2020, 25 p. </t>
  </si>
  <si>
    <t>Lisitsin, V., 2019. Late Paleozoic gold mineral systems in north-east Queensland – recent geochronology and metallogenic research. Unpublished presentation (https://smi.uq.edu.au/files/44040/D108_Lisitsin_Late%20PZ%20Au%20in%20NQ.pdf).</t>
  </si>
  <si>
    <t>Lisitsin, V.A., Jackson, T., 2017. Northcote and Tregoora gold-antimony deposits in the Hodgkinson Province. Australasian Institute of Mining and Metallurgy Monograph 32, 677–680.</t>
  </si>
  <si>
    <t>Lisowiec, N., Morrison, G., 2017. Ravenswood and Mount Wright gold deposits. Australasian Institute of Mining and Metallurgy Monograph 32, 705–710.</t>
  </si>
  <si>
    <t>Lithium Plus Minerals (2023). Maiden high-grade lithium resource declared at Lei. ASX Announcement 19 Dec 2023. 37 pp.</t>
  </si>
  <si>
    <t>Livesey, J., 2017. Chandler salt deposit. Australasian Institute of Mining and Metallurgy Monograph 32, 575–576.</t>
  </si>
  <si>
    <t>Lord, J.R., Fabray, J.F., 1990. Jeannie River tin prospects. Australasian Institute of Mining and Metallurgy Monograph 14, 1545–1548.</t>
  </si>
  <si>
    <t>Lorrigan, A., Blake, M., Purvis, G., 2017. Henty gold deposit. Australasian Institute of Mining and Metallurgy Monograph 32, 847–850.</t>
  </si>
  <si>
    <t>Lorrigan, A., Cozens, G., 2017. Dargues Reef gold deposit. Australasian Institute of Mining and Metallurgy Monograph 32, 787–790.</t>
  </si>
  <si>
    <t>Lottermoser, B.G., 1990. Rare-earth element mineralisation within the Mt. Weld carbonatite laterite, Western Australia. Lithos 24, 151–167.</t>
  </si>
  <si>
    <t>Low, G.H., 1963. Copper deposits of Western Australia. Geological Survey of Western Australia Mineral Resources Bulletin 8, 202 p.</t>
  </si>
  <si>
    <t>Loyalka, S., 2016. Annual report for the period 1.03.2015 to 28.02.2016, Nelson Bay River – EL41/2004. Unpublished Shree Minerals Limited report to Mineral Resources Tasmania, 20 p. https://www.mrt.tas.gov.au/mrtdoc/tasxplor/download/16_7371/EL412004_201601_02_Annual_Report.pdf</t>
  </si>
  <si>
    <t>Lu, J., Seccombe, P.K., Foster, D., Andrew, A.S., 1996. Timing of mineralization and source of fluids in a slate-belt auriferous vein system, Hill End goldfield, NSW, Australia: evidence from 40Ar-39Ar dating and O-and H-isotopes. Lithos 38, 147–165.</t>
  </si>
  <si>
    <t>Lu, Y., Wingate, M.T.D., Smithies, R.H., 2020a, 219901: metagranodiorite, Dingo Hill mine; Geological Survey of Western Australia Geochronology Record 1685, 5p.</t>
  </si>
  <si>
    <t>Lu, Y., Wingate, M.T.D., Smithies, R.H., 2020b, 219902: metagranodiorite, Jinkas Hill mine; Geological Survey of Western Australia Geochronology Record 1686, 5p.</t>
  </si>
  <si>
    <t>Lucknow Gold Limied, 2008. Prospectus for the issue of 37,500,000 shares. Unpublished prospectus lodged at the Australian Securities Exchange, 31 July 2008, 116 p.</t>
  </si>
  <si>
    <t>Ludwig, K.R., Grauch, R.I., Nutt, C.J., Nash, J.T., Frishman, D., Simmons, K.R., 1987. Age of uranium mineralization at the Jabiluka and Ranger deposits, Northern Territory, Australia; new U-Pb isotope evidence. Economic Geology 82, 857–874.</t>
  </si>
  <si>
    <t>Lynas Corporation Limited, 2013. The Path from Here – 2013 Annual Report, 112 p.</t>
  </si>
  <si>
    <t>Lynas Corporation Limited, 2014. From Mine to Market – Lynas Corporation 2014 Annual Report, 84 p.</t>
  </si>
  <si>
    <t>Lynas Corporation Limited, 2015. Lynas Corporation Limited 2015 Annual Report, 114 p.</t>
  </si>
  <si>
    <t>Lynas Corporation Limited, 2016. Lynas Corporation Limited 2016 Annual Report, 109 p.</t>
  </si>
  <si>
    <t>Lynas Corporation Limited, 2017FY17 Financial Report, 81 p.</t>
  </si>
  <si>
    <t>Lynas Corporation Limited, 2018. Lynas Corporation Limited 2018 Annual Report, 103 p.</t>
  </si>
  <si>
    <t>Lynas Corporation Limited, 2019. Lynas Corporation Limited 2019 Annual Report, 98 p.</t>
  </si>
  <si>
    <t>Lynas Corporation Limited, 2020. Lynas Corporation Limited 2020 Annual Report, 101 p.</t>
  </si>
  <si>
    <t>Lynas Rare Earths, 2021. Lynas Rare Earths 2021 Annual Report, 112 p.</t>
  </si>
  <si>
    <t>Lynas Rare Earths, 2022. Lynas Rare Earths 2022 Annual Report, 116 p.</t>
  </si>
  <si>
    <t>Lysytsyn, V., 2015. Mineral Prospectivity Analysis and Quantitative Resource Assessments for Regional Exploration Targeting: Development of Effective Integration Models and Practical Applications. Unpublished Ph.D. thesis, University of Western Australia, 666 p.</t>
  </si>
  <si>
    <t>Maas, R., 1989. Nd-Sr Isotopic constraints on the age and origin of unconformity-type uranium deposits in the Alligator Rivers uranium field, Northern Territory, Australia. Economic Geology 84, 64–90.</t>
  </si>
  <si>
    <t>Maas, R., McCulloch, M.T., Campbell, I.H., Page, R.W. 1987. Sm–Nd isotope systematics in uranium rare-earth element mineralisation in the Mary Kathleen mine. Economic Geology 82, 1805–1826.</t>
  </si>
  <si>
    <t>MacDonald, G., 1991. The Comstock Chert: implications for Mt Lyell geology. Unpublished B.Sc. Honours thesis, University of Tasmania, 69 p.</t>
  </si>
  <si>
    <t>Mackie, A.W., 1986. Geological and mining history of the Arltunga Goldfield, Northern Territory Geological Survey Report 2.</t>
  </si>
  <si>
    <t>MacPhersons Reward Limited, 2015. Nimbus increases resources. Unpublished MacPhersons Reward Limited announcement to the Australian Securities Exchange, 30 April 2015, 42 p.</t>
  </si>
  <si>
    <t>Magmatic Resources Limited, 2023. 110Mt maiden mineral resource estimate for Corvette and Kingswood. Unpublished Magmatic Resources Limited announcement to the Australian Securities Exchange, 28 p.</t>
  </si>
  <si>
    <t>Magnetite Mines Limited, 2017. Proposed Lodestar merger - potential gateway to early production. Unpublished Magnetite Mines announcement to the Australian Securities Exchange, 12 April 2017, 53 p.</t>
  </si>
  <si>
    <t>Magnetite Mines Limited, 2023. Iron Peak mineral resource significantly improved - extending mine life &amp; supporting direct reduction premium-grade target. Unpublished Magnetite Mines announcement to the Australian Securities Exchange, 9 February 2023, 53 p.</t>
  </si>
  <si>
    <t>Maher, S., Vandenberg, A.H.M., McDonald, P.A., Sapurmas, P., 1997. The geology and prospectivity of the Wangaratta 1:250 00 map sheet area. Geological Survey of Queensland VIMP Report 46, 89 p.</t>
  </si>
  <si>
    <t>Maidment, D.W., Huston, D.L., Beardsmore, T., 2017. Paterson Orogen geology and metallogeny. Australasian Institute of Mining and Metallurgy Monograph 32, 411–416.</t>
  </si>
  <si>
    <t>Maidment, D.W., Huston, D.L., Donnellan, N., Lambeck, A., 2013. Constraints on the timing of the Tennant Event and associated Au–Cu–Bi mineralisation in the Tennant Region, Northern Territory. Precambrian Research 237, 51–63.</t>
  </si>
  <si>
    <t>Maidment, D.W., Huston, D.L., Heaman, L., 2010. The age of the Telfer Au-Cu deposit and its relationship with granite emplacement, Paterson Province, Western Australia. Geoscience Australia Professional Opinion 2010/05, 36 p.</t>
  </si>
  <si>
    <t>Main, J.V., Nicholson, P.M., O’Neill, W.J., 1990. K44 ironstone copper-gold deposit, Gecko mine. Australasian Institute of Mining and Metallurgy Monograph 14, 845–848.</t>
  </si>
  <si>
    <t>Malachite Resources NL, 2008a. Conrad silver project – resources upgrade to form basis of new scoping study. Unpublished Malachite Resources NL announcement to the Australian Securities Exchange, 16 December 2008, 10 p.</t>
  </si>
  <si>
    <t>Malachite Resources NL, 2008b. Elsmore tin project: progress report and future plans. Unpublished Malachite Resources NL announcement to the Australian Securities Exchange, 2 June 2008, 5 p.</t>
  </si>
  <si>
    <t>Malachite Resources NL, 2008c. Elsmore tin project to underpin Malachite’s future growth. Unpublished Malachite Resources NL announcement to the Australian Securities Exchange, 5 November 2008, 10 p.</t>
  </si>
  <si>
    <t>Mallee Resources Limited ,2022. Annual Report 2022. 72 p.</t>
  </si>
  <si>
    <t>Manning, C.G., 1990. The geology and mineralisation of the Western Tharsis copper deposit, Mt Lyell, Tasmania. Unpublished B.Sc. Honors thesis, University of Tasmania, 107 p.</t>
  </si>
  <si>
    <t>Mantle Mining Corporation Limited, 2013. Porphyry copper prospects. Unpublished Mantle Mining Corporation Limited announcement to the Australian Securities Exchange, 12 April 2013, 6 p.</t>
  </si>
  <si>
    <t>Mantle Mining Corporation Limited, 2014. December 2013 quarterly activities report. Unpublished Mantle Mining Corporation Limited announcement to the Australian Securities Exchange, 24 January 2014, 14 p.</t>
  </si>
  <si>
    <t>Manuka Resources Limited, 2024. Mineral resources update - Mt Boppy gold project. Unpublished Manuka Resources Limited announcement to the Australian Securities Exchange, 15 April 2024, 22 p.</t>
  </si>
  <si>
    <t>Mark, G., Oliver, N.H., Williams, P.J., 2006. Mineralogical and chemical evolution of the Ernest Henry Fe oxide–Cu–Au ore system, Cloncurry district, northwest Queensland, Australia. Mineralium Deposita 40, 769–801.</t>
  </si>
  <si>
    <t>Mark, G., Stein, H.J., Salt, C.J., 2004. Re–Os isotopic evidence for periods of sulfide mineralization in the vicinity of the Ernest Henry Cu–Au deposit, northwest Queensland, Australia. Geological Society of Australia Abstracts 73, 96.</t>
  </si>
  <si>
    <t>Markham, N.L., 1975. Au deposits of the New England Fold Belt. Geological Survey of New South Report GS1975/378.</t>
  </si>
  <si>
    <t>Marks, M., Bryanm R.C., Dyer, T.L., Hudson, A.L., Hussey, A., Johns, C., Johnson, M., Malhotra, D., Ponos, Z., Scharnhorst, V.J. and Thompson, K., 2024, NI 43-101 Technical Report, Mt Todd Gold Project, 50,000 tpd Feasibility Study, Northern Territory, Australia, Tetra Tech, 411 p.</t>
  </si>
  <si>
    <t>Marlow, A.G., Bushell, D., 1995. Dunolly 1:100 000 map area geological report. Geological Survey of Victoria Report 105, 69 p.</t>
  </si>
  <si>
    <t>Maronan Metals, 2024. ASX Announcement. Updated Resource Estimate Fuels Ideas of Early Development Potential of the Shallow Starter Zone. 12 March 2024, 63 p.</t>
  </si>
  <si>
    <t>Marshall, A.E., 2000. Low temperature-low pressure (‘epithermal’) vein deposits of the North Pilbara granite-greenstone terrane, Western Australia. Australian Geological Survey Organisation Record 2000/1, 40 p.</t>
  </si>
  <si>
    <t>Martindale, J., Hagemann, S., Huston, D., Danyushevsky, L., 2014. Integrated stratigraphic–structural–hydrothermal alteration and mineralisation model for the Kangaroo Caves zinc–copper deposit, Western Australia. Australian Journal of Earth Sciences 61, 159–185.</t>
  </si>
  <si>
    <t>Mason, A.J., Teale, M., Blampain, P.A., 1990. Heavy mineral deposits, central Murray Basin. Australasian Institute of Mining and Metallurgy Monograph 22, 647–650.</t>
  </si>
  <si>
    <t>Masterman, G.J., White, N.C., Wilson, C.J.L., Pape, D., 2002. High sulfidation gold deposits in ancient volcanic terranes: insights from the mid-Palaeozoic Peak Hill deposit, NSW. SEG Newsletter, 1//10–16.</t>
  </si>
  <si>
    <t>Masters, B.K., 1990. Heavy mineral deposits in the Yoganup Formation. Australasian Institute of Mining and Metallurgy Monograph 14, 1595–1598.</t>
  </si>
  <si>
    <t>Matrix Metals Limited, 2008. Quarterly activities report for the quarter ended 30 June 2008, Unpublished Matrix Metals Limited report to the Australian Securities Exchange, 34 p.</t>
  </si>
  <si>
    <t>Matthäi, S.K., Henley, R.W., Rose, S.B., Binns, R.A., Andrew, A.S., Carr, G.R., French, D.H., McAndrew, J., Kavanagh, M.E., 1995. Intrusion related high temperature gold quartz veining in the Cosmopolitan Howley metasedimentary rock-hosted gold deposit, Northern Territory, Australia. Economic Geology 90, 1012–1045.</t>
  </si>
  <si>
    <t>Matzat, H.W., 1984. The Savage River ore formation theories. Syngenesis and Epigenesis in the Formation of Mineral Deposits. Berlin, Springer, Berlin, p. 590–597.</t>
  </si>
  <si>
    <t>Mauger, A.J., Keeling, J.L., Huntington, J.F., 2007. Alteration mapping of the Tarcoola Goldfield (South Australia) using a suite of hyperspectral methods. Transactions of the Institute of Mining and Metallurgy, Section B. Applied Earth Science B116, 2–12.</t>
  </si>
  <si>
    <t>Maximum Resrouces, 2023. Annual Report 2023, 63 p.</t>
  </si>
  <si>
    <t>Mayer, T.E., 1990. The Granites gold field. Australasian Institute of Mining and Metallurgy Monograph 14, 719–724.</t>
  </si>
  <si>
    <t>McArthur, G.J., Dronseika, E.V., 1990. Que River and Hellyer zinc-lead-silver deposits. Australasian Institute of Mining and Metallurgy Monograph 14, 1229–1240.</t>
  </si>
  <si>
    <t>McCambridge, J., 2008. Green light for metals mine. Australian Mining, 28 March 2008. Accessed at https://www.australianmining.com.au/green-light-for-metals-mine/</t>
  </si>
  <si>
    <t>McClenaghan, M.P., Turner, N.J., Baillie, P.W., Brown, A.V., Williams, P.R., Moore, W.R., 1982. Geology of the Ringarooma-Boobyalla area. Tasmania Department of Mines Geological Survey Bulletin 61, 202 pp.</t>
  </si>
  <si>
    <t>McConachy, T.F., McInnes, B.I.A., Carr, G.R., 2004. Is Western Australia intrinsically impoverished in volcanogenic massive sulphide deposits, or under explored? CSIRO Explores 2, 15–32.</t>
  </si>
  <si>
    <t>McCracken, S.R., Etiman, H., Connor, A.G., Williams, V.A., 1996. Geology of the Admiral Bay carbonate-hosted zinc-lead deposit, Canning Basin, Western Australia. Society of Economic Geologists Special Publication 4, 330–349.</t>
  </si>
  <si>
    <t>McCready, A.J., Stumpfl, E.F., Lally, J., Ahmad, M., Gee, R.D., 2004. Polymetallic mineralisation at Browns, Rum Jungle Mineral Field, Northern Territory: Australia’s new Co and Ni producer. Economic Geology 99, 257–277.</t>
  </si>
  <si>
    <t>McCuaig, T.C., Behn, M., Stein, H., Hagemann, S.G., McNaughton, N.J., Cassidy, K.F., Champion, D., Wyborn, L., 2001. The Boddington gold mine: a new style of Archaean Au-Cu deposit. AGSO-Geoscience Australia Record 2001/37, 453–455.</t>
  </si>
  <si>
    <t>McDougall, I., Leggo, P.J., 1965. Isotopic age determinations on granitic rocks from Tasmania. Journal of the Geological Society of Australia 12, 295–332.</t>
  </si>
  <si>
    <t>McEwing, S., Dreisinger, D., Gillett, L., Cervoj, K., 2019. NI 43-101 Technical Report on the Paroo Station Lead Carbonate Mine, Wiluna, Western Australia. Unpublished SRK Consulting NI 43-101 Technical report to LeadFX Incorporated, 5 April 2019, 243 p.</t>
  </si>
  <si>
    <t>McFarlane, C.R., Mavrogenes, J.A., Tomkins, A.G., 2007. Recognizing hydrothermal alteration through a granulite facies metamorphic overprint at the Challenger Au deposit, South Australia. Chemical Geology 243, 64–89.</t>
  </si>
  <si>
    <t>McFarlane, C.R.M., 2006. Palaeoproterozoic evolution of the Challenger Au deposit, South Australia, from monazite geochronology. Journal of Metamorphic Geology 24, 75–87.</t>
  </si>
  <si>
    <t>McGeough, M.A., Faulkner, I.L., 2017. Selwyn mineral field. Australasian Institute of Mining and Metallurgy Monograph 32, 513–518.</t>
  </si>
  <si>
    <t>McGloin, M., and Weisheit, A., 2021. Epigenetic copper and tungsten mineralisation in the northeastern Aileron Province, central Australia. AGES 2021 proceedings, NT Geological Survey, 8 p.</t>
  </si>
  <si>
    <t>McGloin, M., Maas, R., Weisheit, A., Meffre, S., Thompson, J., Zhukova, I., Steward, J., Hutchinson, G., Turnball, R., Creaser, R., 2016. Palaeoproterozoic mineralisation in the Aileron Province: new findings on temporal, spatial and genetic features. Annual Geoscience Exploration Seminar (AGES) Proceedings, Alice Springs, Northern Territory 15–16 March 2016, 63–74.</t>
  </si>
  <si>
    <t>McGloin, M., Weisheit, A., 2015. Base metal and tungsten mineralisation in the Jervois mineral field and Bonya Hills: Characterisation, potential genetic models and exploration implications. Northern Territory Geological Survey Record 2015-002, 108–123.</t>
  </si>
  <si>
    <t>McGloin, M.V., Matchan, E., 2019. Summary of results. 40Ar/39Ar step-heating muscovite dating, Wolfram Hill (MOUNT DOREEN) tungsten-copper deposit, Aileron Province. Northern Territory Geological Survey, Record 2019-006</t>
  </si>
  <si>
    <t>McGoldrick, P.J., 1998. Lithogeochemical, isotopic and petrographic studies of the Grevillea prospect, Riversleigh area, north west Queensland. AMIRA Project P384A Final Report, 2, 101–133 (unpublished).</t>
  </si>
  <si>
    <t>McGoldrick, P.J., Large, R.R., 1992. Geologic and geochemical controls on gold-rich stringer mineralization in the Que River deposit, Tasmania. Economic Geology 87, 667–685.</t>
  </si>
  <si>
    <t>McGregor, A.J., 2013. Mineralisation of Pipeline Ridge, Cobar, NSW - styl and genesis. B.Sc. Honours thesis, University of Wollongong.</t>
  </si>
  <si>
    <t>McIlwaine, T., McKibben, J., Knell, B., Elder, D., Stevenson, T., O’Toole, V., Sourbutts, D., Debuno, A., Woidt, A., 2013. Mount Woods Magnetite Project (South Australia). Unpublished Xstract Mining Consultants NI 43-101 Technical Report for IMX Resources, 18 July 2013, 322 p.</t>
  </si>
  <si>
    <t>McKay, A.D., 1990. Evaluation of the uranium mineralisation and uranium potential at Coronation Hill. In Curtis, R.E.S. (ed.) Assessment of the identified resource at Coronation Hill and its possible extensions. BMR Geological and Mineral Resource Studies, Resource Assessment Commission, Kakadu Conservation Zone, Inquiry Consultancy Series. Australian Government Publishing Service, Canberra.</t>
  </si>
  <si>
    <t>McKay, A.D., Miezitis, Y., 2001. Australia's uranium resources, geology and development of deposits. AGSO - Geoscience Australia Mineral Resource Report 1, 200 p.</t>
  </si>
  <si>
    <t>McKay, W.J., Hazeldene, R.K., 1987. Woodlawn Zn-Pb-Cu sulfide deposit, New South Wales, Australia; an interpretation of ore formation from field observations and metal zoning. Economic Geology 82, 141–164.</t>
  </si>
  <si>
    <t>McKenzie, D.A., Nott, R.J., Bolger, P.F., 1984. Radiometric age determinations. Geological Survey of Victoria Report 74.</t>
  </si>
  <si>
    <t>McKnight, R., 1992. Constraints on the origin of Broadhurst stratabound Cu mineralization, with emphasis on stratigraphic setting and timing of mineralization. Unpublished B.Sc. Honours thesis, University of Western Australia.</t>
  </si>
  <si>
    <t>McLaren,  S.,  Wallace,  M.W.,  Gallgher,  S.J.,  Miranda,  J.A., Holdgate, G.R., Gow, L.J., Snowball, I., Sandgren, P., 2011. Palaeogeographic, climatic and tectonic change in southeastern Australia: the Late Neogene evolution of the Murray Basin. Quaternary Science Reviews 30, 1086–1111.</t>
  </si>
  <si>
    <t>McNaughton, N.J., Mueller, A.G., Groves, D.I., 2005. The age of the giant Golden Mile deposit, Kalgoorlie, Western Australia: ion-microprobe zircon and monazite U-Pb geochronology of a synmineralization lamprophyre dike. Economic Geology 100, 1427–1440.</t>
  </si>
  <si>
    <t>McNeill, A.W., 2014. The Rosebery deposit. Geological Society of Australia Special Publication 24, 193–198.</t>
  </si>
  <si>
    <t>McPhie, J., Kamenetsky, V.S., Chambefort, I., Ehrig, K., Green, N., 2011. Origin of the supergiant Olympic Dam Cu-U-Au-Ag deposit, South Australia: was a sedimentary basin involved? Geology 39, 795–798.</t>
  </si>
  <si>
    <t>McQueen, K., 2007. A thirsty and confusing diggings: the Albert Goldfield, Milparinka–Tibooburra, north-western NSW. Journal of Australasian Mining History 5, 97–96.</t>
  </si>
  <si>
    <t>McQueen, K., 2017. Mining history of the New England region. Geological Sirey of New South Wales Report GS2017/0650, 15 p.</t>
  </si>
  <si>
    <t>McQueen, K.G., 1986. The Cowarra gold deposit – a granitic gold source? Geological Society Australia Abstracts 18, 29–31.</t>
  </si>
  <si>
    <t>McQueen, K.G., 2016. Mining history of the Cobar-Lake Corgelligo region. Geological Survey of New South Wales Report GS2016/0734, 14 p.</t>
  </si>
  <si>
    <t>McQueen, K.G., Box, S., 1988. Mineralization at the Wallah Wallah silver mine, Rye Park, New South Wales and its metallogenic significance. Mineralogy and Petrology 39, 289–305.</t>
  </si>
  <si>
    <t>McQueen, K.G., Rugless, C.S., Williams, R.E., 2005. McKinnons gold deposit, Cobar district, New South Wales. In: Butt, C.R.M., Robertson, I.D.M., Scott, K.M., eds. Regolith expression of Australian ore systems. CRC LEME, Bentley, Western Australia, 282-284.</t>
  </si>
  <si>
    <t>McQuitty, B.M., Roberts, R.H., Kitto, P.A., Cannard, C.J., 1998. Renison Bell tin deposit. Australasian Institute of Mining and Metallurgy Monograph 22, 487–491.</t>
  </si>
  <si>
    <t>Meade, R.A., 1986. The geology and genesis or the Argo gold-bismuth-copper deposit, Tennant Creek, Northern Territory, Autralia. Unpublished B.Sc. Honours thesis, Monash University.</t>
  </si>
  <si>
    <t>Meares. R., 2007. Mineralisation styles at the Conrad silver mine: Australian Institute of Geoscientists Bulletin 46, 101–106.</t>
  </si>
  <si>
    <t>Meates, D.G., Ransted, T.W., Chalmers, D.I., 2017. Tomingley gold deposits deposits. Australasian Institute of Mining and Metallurgy Monograph 32, 785–786.</t>
  </si>
  <si>
    <t>Meffre, S., Ehrig, K., Kamenetsky, V., Chambefort, I., Maas, R., McPhie, J., 2010. Pb isotopes at Olympic Dam: constraining sulphide growth. International Association on the Genesis of Ore Deposits (IAGOD), Conference Proceedings of the 13th Quadrennial IAGOD Symposium, Adelaide, South Australia, 6–9 April, 2010, 78–79.</t>
  </si>
  <si>
    <t>Meisel, T., Moser, J., Wegscheider, W., 2001. Recognizing heterogeneous distribution of platinum group elements (PGE) in geological materials by means of the Re-Os isotope system. Fresenius Journal of Analytical Chemistry 370, 566–572.</t>
  </si>
  <si>
    <t>Melchiorre, E.B., Williams, P.A., 2001. Stable isotope characterization of the thermal profile and subsurface biological activity during oxidation of the Great Australia deposit, Cloncurry, Queensland, Australia. Economic Geology 96, 1685–1693.</t>
  </si>
  <si>
    <t>Mernagh, T.P., Heinrich, C.A., Leckie, J.F., Carville, D.P., Gilbert, D.J., Valenta, R.K., Wyborn, L.A.I., 1994. Chemistry of low-temperature hydrothermal gold, platinum, and palladium (± uranium) mineralization at Coronation Hill, Northern Territory, Australia. Economic Geology 89, 1053–1073.</t>
  </si>
  <si>
    <t>Messenger, P.R., Golding, S.D., 1996. Relationships between Devonian volcanic and plutonic units in the Mt Morgan Area, central Queensland. Australian Journal of Earth Sciences 43, 97–101.</t>
  </si>
  <si>
    <t>Metalicity Limited, 2017. High grade near surface zinc projects option. Unpublished Metalicity Limited announcement to Australian Securities Exchange, 27 July 2017, 16 p.</t>
  </si>
  <si>
    <t>Metallica Minerals Limited, 2009. Major resource boost for Queensland nickel project. Unpublished Metallica Minerals Limited announcement to the Australian Securities Exchange, 19 January 2009, 8 p.</t>
  </si>
  <si>
    <t>Metallica Minerals Limited, 2013. SCONI project, north Queensland – nickel-cobalt and scandium resource upgrade. Unpublished Metallica Minerals Limited announcement to the Australian Securities Exchange, 21 October 2013, 340 p.</t>
  </si>
  <si>
    <t>Metallica Minerals Limited, 2016. Significant increase in volume and category to mineral resource for Urquhart bauxite project. Unpublished Metallica Minerals Limited announcement to the Australian Securities Exchange, 14 November 2016, 33 p.</t>
  </si>
  <si>
    <t>Metals X Limited, 2009. Annual report 2009, 168 p.</t>
  </si>
  <si>
    <t>Metals X Limited, 2010. Annual report 2010, 176 p.</t>
  </si>
  <si>
    <t>Metals X Limited, 2011. Annual report 2011, 126 p.</t>
  </si>
  <si>
    <t>Metals X Limited, 2012. Annual report 2012, 129 p.</t>
  </si>
  <si>
    <t>Metals X Limited, 2013. Annual report 2013, 127 p.</t>
  </si>
  <si>
    <t>Metals X Limited, 2014a. Central Murchison gold project – mineral resources and initial ore reserve estimates. Unpublished Metals X Ltd announcement to the Australian Securities Exchange, 10 December 2014, 43 p.</t>
  </si>
  <si>
    <t>Metals X Limited, 2014b. Annual report 2014, 126 p.</t>
  </si>
  <si>
    <t>Metals X Limited, 2015. Annual report 2015, 129 p.</t>
  </si>
  <si>
    <t>Metals X Limited, 2016. Annual report 2016, 136 p.</t>
  </si>
  <si>
    <t>Metals X Limited, 2017. Annual report 2017, 100 p.</t>
  </si>
  <si>
    <t>Metals X Limited, 2018. Annual report 2018, 102 p.</t>
  </si>
  <si>
    <t>Metals X Limited, 2019. Annual report 2019, 109 p.</t>
  </si>
  <si>
    <t>Metals X Limited, 2020. Annual report 2020, 105 p.</t>
  </si>
  <si>
    <t>Metals X Limited, 2021. Annual report 2021, 71 p.</t>
  </si>
  <si>
    <t>Metals X Limited, 2022a. Annual report 2022, 71 p.</t>
  </si>
  <si>
    <t>Metals X Limited, 2022b. Quarterly report for the quarter ending 31 December 2022. 6 p.</t>
  </si>
  <si>
    <t>Metals X Limited, 2023a. Quarterly report for the quarter ending 31 March 2023. 7 p.</t>
  </si>
  <si>
    <t>Metals X Limited, 2023b. 2023 Renison mineral resource update. Unpublished Metals X Limited announcement to the Australian Securities Exchange, 28 September 2023. 18 p.</t>
  </si>
  <si>
    <t>Meteroic Resources Limited, 2021. Palm Springs maiden resource - 357,000 oz @ 2.0 g/t Au - delivered well ahead of schedule. Unpublished Meteroic Resources Limited announcement to the Australian Securities Exchange, 3 June 2021, 24 p.</t>
  </si>
  <si>
    <t>Metro Mining Limited, 2017. Annual Report – 2017, 64 p.</t>
  </si>
  <si>
    <t>Middlemost, E., 1990. Mineralogy and petrology of the rauhaugites of the Mt Weld Carbonatite Complex of Western Australia. Mineralogy and Petrology 41, 145–161.</t>
  </si>
  <si>
    <t>Migisha, C.J.R., 1983. Geochemical and mineralogical studies of the Trench tungsten deposit, Mount Mulgine, Western Australia. Unpublished M.Sc. thesis, University of Adelaide, 324 p.</t>
  </si>
  <si>
    <t>Migisha, C.J.R., Both, R.A., 1991. Mineralogy and genesis of the Trench tungsten-molybdenum deposit, Mount Mulgine, Western Asutralia. Mineralium Deposita 26, 247–256.</t>
  </si>
  <si>
    <t>Millennium Resources Limited, 2011. Annual Report 2011.</t>
  </si>
  <si>
    <t>Millennium Resources Limited, 2012. Annual Report 2012.</t>
  </si>
  <si>
    <t>Millennium Resources Limited, 2013. Annual Report 2013.</t>
  </si>
  <si>
    <t>Millennium Resources Limited, 2014. Annual Report 2014.</t>
  </si>
  <si>
    <t>Millennium Resources Limited, 2015. Annual Report 2015.</t>
  </si>
  <si>
    <t>Miller, J.McL., Phillips, D., Wilson, C.J.L., Dugdale, L.J., 2005. Evolution of a reworked orogenic zone: the boundary between the Delamarian and Lachlan Fold Belts, southeastern Australia. Australian Journal of Earth Sciences 52, 921–940.</t>
  </si>
  <si>
    <t>Miller, M., McLeod, R., Devlin, S., 1999, Discovery of the Ghost Crab deposit, Kalgoorlie, Western Australia. In Vinar, J., ed., New Generation Gold Mines 99, Case Histories of Discovery, Perth, November, 1999, 127–141.</t>
  </si>
  <si>
    <t>Mincor Resource NL, 2016. Mincor Resources NL annual report – 2016, 96 p.</t>
  </si>
  <si>
    <t>Mincor Resource NL, 2019. Cassini mineral resources hits 50,400 nickel tonnes as recent drilling confirms substantial new high-grade Kambalda deposit. Unpublished Mincor Resources NL announcement to the Australian Securities Exchange, 6 November 2019, 13 p.</t>
  </si>
  <si>
    <t>Mincor Resources NL, 2018. Tottenham JV mineral resources – annual update. Unpublished Mincor Resources NL announcement to the Australian Securities Exchange, 10 September 2020, 14 p.</t>
  </si>
  <si>
    <t>Mineral Resources Limited, 2017. Annual financial report, 30 June 2017, 100 p.</t>
  </si>
  <si>
    <t>Mineral Resources Limited, 2018a. Wodgina mineral resource and ore reserve update. Unpublished Mineral Resources Limited announcement to the Australian Securities Exchange, 23 October 2018, 39 p.</t>
  </si>
  <si>
    <t>Mineral Resources Limited, 2018b. Annual financial report, 30 June 2018, 99 p.</t>
  </si>
  <si>
    <t>MinRex Resources Limited, 2022. MinRex Resources Limited and its controlled entities - Annual report for the year ended 20 June 2022, 83 p.</t>
  </si>
  <si>
    <t>Mithril Resources Ltd, 2009. Quarterly report for the period ending 31 March 2009. Unpublished Mithril Resources Ltd announcement to the Australian Securities Exchange, 29 April 2009, 14 p.</t>
  </si>
  <si>
    <t>MMG, 2019. Annual report 2018, 178 p.</t>
  </si>
  <si>
    <t>MMG, 2020. Annual report 2019, 189 p.</t>
  </si>
  <si>
    <t>MMG, 2021. Annual report 2020, 190 p.</t>
  </si>
  <si>
    <t>MMG, 2022. Annual report 2021, 200 p.</t>
  </si>
  <si>
    <t>MMG, 2023. Annual report 2022, 208 p.</t>
  </si>
  <si>
    <t>MMG, 2024. Annual report 2023, 68 p.</t>
  </si>
  <si>
    <t>Mole, D.R., Barnes, S.J., Le Vaillant, M., Martin, L.A.J., Hicks, J., 2018. Timing, geochemistry and tectonic setting of Ni-Cu sulfide-associated intrusions of the Halls Creek Orogen, Western Australia. Lithos 314-315, 425-446.</t>
  </si>
  <si>
    <t>Mole, D.R., Burley, L., Barnes, S.J. 2016, A new komatiite-hosted Ni-Cu-PGE event in the Eastern Goldfields Superterrane. Geological Survey of Western Australia Record 2016/13, 57.</t>
  </si>
  <si>
    <t>Monecke, T., Gemmell, J.B., Herzig, P.M., 2006. Geology and volcanic facies architecture of the Lower Ordovician Waterloo massive sufide deposit, Australia. Economic Geology 101, 179–197.</t>
  </si>
  <si>
    <t>Moody, T.C., Ashley, P.M., Flood, P.G., 1993. The early Permian Halls Peak Volcanics and associated massive sulphide deposits: implications for the southern New England Orogen, in Flood, P.F., Aitchison, J.C., eds., New England Orogen, Eastern Australia. Armidale, Department of Geology and Geophysics, University of New England, p. 331–336.</t>
  </si>
  <si>
    <t>Morand, V.J., Simons, B.A., Taylor, D.H., Cayley, R.A., Maher, S., Wohlt, K.E., Radojkovic, A.M., 2005. Bogog 1:100 000 map area geological report. Geological Survey of Victoria Report 125, 208 p.</t>
  </si>
  <si>
    <t>Morant, P., 1998. Panorama zinc-copper deposits. Australasian Institute of Mining and Metallurgy Monograph 22, 287–292.</t>
  </si>
  <si>
    <t>Morey, A.A., Weinberg, R.F., Bierlein, F.P., 2007. The structural controls of gold mineralisation within the Bardoc Tectonic Zone, Eastern Goldfields Province, Western Australia: implications for gold endowment in shear systems. Mineralium Deposita 42, 583–600.</t>
  </si>
  <si>
    <t>Morgan, P.J., El-Raghy, S., 1990. Matilda gold deposits, Wiluna. Australasian Institute of Mining and Metallurgy Monograph 14, 313–318.</t>
  </si>
  <si>
    <t>Morin-Ka, S., Beardsmore, T.J., Hancock, E.A., Rasmussen, B., Dunkley, D., Muhling, J., Zi, J., Wilson, R., Champion, J., 2016. Alteration and age of the Browns Range rare earth element deposits. Geological Survey of Western Australia Record 2016/2, 21–25.</t>
  </si>
  <si>
    <t>Morning Star Gold NL, 2012. Morning Star Gold NL (ABN 34 003 312 721) interim financial report for the six monthes ended 31 December 2011. Unpublished Morning Star Gold NL financial report, 22 p.</t>
  </si>
  <si>
    <t>Morrison, G., Blevin, P.L., Miller, C., Hill, P., MacKenzie, I., 2004. Age and setting of the Mineral Hll Au-base metal deposits. Geological Society of Australia Abstracts 74, 83–93.</t>
  </si>
  <si>
    <t>Morrison, G., Mustard, H., Cody, A., Lisitsin, V., Veracruz, J., Beams, S., 2019. Metallogenic study of the Georgetown, Forsayth and Gilberton regions, north Queensland. Unpublished Terrasearch Pty Ltd Report 114062.</t>
  </si>
  <si>
    <t>Morrison, G.W., Beams, S.D., 1995. Geological setting and mineralisation style of ore deposits of Northeast Queensland. Contributions of the Economic Geology Research Unit, James Cook University 52, 1–32.</t>
  </si>
  <si>
    <t>Morrison, I., Beaton, A., 2015. The zinc-rich skarn deposits in the Chillagoe district of north-east Queensland. AIG Bulletin 62, 199–208.</t>
  </si>
  <si>
    <t>Morrison, I., Treacy, J., 2001. The Mount Garnet zinc skarn deposit. AIG Journal, paper 2001-05, 6 p.</t>
  </si>
  <si>
    <t>Morrison, J., Burger, P., 2019. A history of Greenvale nickel. Unpublished presentation, Australasian Institute of Mining and Metallurgy North Queensland Branch. https://ausimm.com/wp-content/uploads/2018/10/NQ-AusIMM_Greenvale_History_2019-10-30.pdf</t>
  </si>
  <si>
    <t>Mortensen, J.K., Gemmell, J.B., McNeill, A.W., Friedman, R.M., 2015. High-precision U-Pb zircon chronostratigraphy of the Mount Read Volcanic Belt in western Tasmania, Australia: implications for VHMS deposit formation. Economic Geology 110, 445–468.</t>
  </si>
  <si>
    <t>MRV Metals Proprietary Limited, 2016. MRV Metals Pty Ltd acquires highly prospective tenements. Unpublished MRV Metals Proprietary Limited announcement to the Australian Securities Exchange, 12 p.</t>
  </si>
  <si>
    <t>Mudd, G., Jowitt, S., Werner, T., 2017. The world's lead-zinc mineral resources: scarcity, data, issues and opportunities. Ore Geology Reviews 80, 1160–1190.</t>
  </si>
  <si>
    <t>Mueller A.G., Hall, G.C., Nemchen, A.A., Stein, H.J., Creaser, R.A., Mason, D.R., 2008. Archean high-Mg monzodiorite-syenite, epidote skarn, biotite-sericite gold lodes in the Granny Smith-Wallaby district, Australia: U-Pb and Re-Os chronometry of two intrusion related hydrothermal systems. Mineralium Deposita 43, 337–362.</t>
  </si>
  <si>
    <t>Mueller, A.G., 1997. The Nevoria gold skarn deposit in Archean iron formation, Southern Cross greenstone belt, Western Australia: I. Tectonic setting, petrography, and classification. Economic Geology 92, 181–209.</t>
  </si>
  <si>
    <t>Mueller, A.G., 2015. Structure, alteration, and geochemistry of the Charlotte quartz vein stockwork, Mt Charlotte gold mine, Kalgoorlie, Australia: time constraints, down-plunge zonation, and fluid source. Mineralium Deposita 50, 221–244.</t>
  </si>
  <si>
    <t>Mueller, A.G., 2017. Mount Charlotte deposit, Kalgoorlie goldfield. Australasian Institute of Mining and Metallurgy Monograph 32, 195–198.</t>
  </si>
  <si>
    <t>Mueller, A.G., Campbell, I.H., Schiøtte, L., Sevigny, J.H., Layer, P.W., 1996. Constraints on the age of granitoid emplacement, metamorphism, gold mineralization, and subsequent cooling of the Archean greenstone terrane at Big Bell, Western Australia. Economic Geology 91, 896–915.</t>
  </si>
  <si>
    <t>Mueller, A.G., Nemchin, A.A., Frei, R., 2004. The Nevoria Gold skarn deposit, Southern Cross Greenstone Belt, Western Australia: II. Pressure-temperature-time path and reationship to postorogenic granites. Economic Geology 99, 453–478.</t>
  </si>
  <si>
    <t>Muhling, J.R., Fletcher, I.R., Rasmussen, B., 2012. Dating fluid flow and Mississippi Valley Type base-metal mineralization in the Paleoproterozoic Earaheedy Basin, Western Australia. Precambrian Research 212-213, 75–90.</t>
  </si>
  <si>
    <t>Mulholland, I.R., 1991. The geology, petrology, and alteration geochemistry of the Magpie volcanogenic massive sulfide prospect, North Queensland, Australia. Economic Geology 86, 1387-1400.</t>
  </si>
  <si>
    <t>Mulholland, I.R., Cowden, A., Hay, I.P., Ion, J.C., Greenaway, A.L., 1998. Nimbus silver-zinc deposit. Australasian Institute of Mining and Metallurgy Monograph 22, 273–277.</t>
  </si>
  <si>
    <t>Müller, S.G., Krapež, B., Barley, M.E., Fletcher, I.R., 2005. Giant iron-ore deposits of the Hamersley province related to the breakup of Paleoproterozoic Australia: new insights from in situ SHRIMP dating of baddeleyite from mafic intrusions. Geology 33, 577–580.</t>
  </si>
  <si>
    <t>Munro S.W., 2010. Developments at Goldminco's Temora exploration project. AIG Bulletin 52, 107–112.</t>
  </si>
  <si>
    <t>Munro, K.D., 1990. Youanmi gold deposit. Australasian Institute of Mining and Metallurgy Monograph 14, 279–282.</t>
  </si>
  <si>
    <t>Munson, T.J., Ahmad, M., Dunster, J.L., 2013. Chapter 39: Carpentaria Basin. Northern Territory Geological Survey, Special Publication 5.</t>
  </si>
  <si>
    <t>Munson, T.J., Ahmad, M., Dunster, J.N., 2013. Chapter 39: Carpentaria Basin. In: Ahmad, M., Munson, T.J. (compilers), Geology and mineral resources of the Northern Territory. Northern Territory Geological Survey Special Publication 5.</t>
  </si>
  <si>
    <t>Murchison United NL (1999) Preliminary Final Report 1999, Part A. Unpublished Murchison United NL announcement to the Australian Securities Exchange, 5 August 2002.</t>
  </si>
  <si>
    <t>Murchison United NL (2000) Fourth quarter activities report, Part B. Unpublished Murchison United NL announcement to the Australian Securities Exchange, 21 July 2000.</t>
  </si>
  <si>
    <t>Murchison United NL (2001) Preliminary Final Report 2001, Part A. Unpublished Murchison United NL announcement to the Australian Securities Exchange, 14 September 2001.</t>
  </si>
  <si>
    <t>Murchison United NL (2002a) Second quarter activities report, Part B. Unpublished Murchison United NL announcement e to the Australian Securities Exchange, 31 January 2002.</t>
  </si>
  <si>
    <t>Murchison United NL (2002b) Fourth quarter activities report, Part A. Unpublished Murchison United NL announcement to the Australian Securities Exchange, 10 September 1999.</t>
  </si>
  <si>
    <t>Murchison United NL (2003) Annual report for the year ended 30 June 2003, 52 p.</t>
  </si>
  <si>
    <t>Murgulov, V., Griffin, W.L., O’Reilly, S.Y., 2009. Temporal and genetic relationships between the Kidston gold-bearing Breccia Pipe and the Lochaber Ring Dyke Complex, North Queensland, Australia: insights from in situ U–Pb and Hf-isotope analysis of zircon. Mineralogy and Petrology 95, 17–45.</t>
  </si>
  <si>
    <t>Murgulov, V., O'Reilly, S.Y., Griffin, W.L., Blevin, P.L., 2008. Magma sources and gold mineralisation in the Mount Leyshon and Tuckers Igneous Complexes, Queensland, Australia: U-Pb and Hf isotope evidence. Lithos, 101, 281–307.</t>
  </si>
  <si>
    <t>Murison, C., 2015. Characteristics and ore genesis of the Mount Cuthbert deposit, Kalkadoon-Leichhardt Belt, Mount Isa Inlier, north west Queensland. Unpublished B.Sc. Honours thesis, Adelaide University, 179 p.</t>
  </si>
  <si>
    <t>Murray, C.G., Blake, P.R., Crouch, S.B.S., Hayward, M.A., Robertson, A.D.C., Simpson, G.A., 2012. Geology of the Yarrol Province central coastal Queensland. Queensland Geology 13.</t>
  </si>
  <si>
    <t>Mustard, R., 1998. Belyando gold deposit. Australasian Institute of Mining and Metallurgy Monograph 22, 707–714.</t>
  </si>
  <si>
    <t>Mustard, R., 2001. Granite-hosted gold mineralization at Timbarra, northern New South Wales, Australia. Mineralium Deposita 36, 542–562.</t>
  </si>
  <si>
    <t>Mustard, R., Nielsen, R., Ruxton, P.A., 1998. Timbarra gold deposits. Australasian Institute of Mining and Metallurgy Monograph 22, 551–560.</t>
  </si>
  <si>
    <t>Naldrett, A.J., Turner, A.R., 1977. The geology and petrogenesis of a greenstone belt and related nickel sulfide mineralization at Yakabindie, Western Australia. Precambrian Research 5, 43–103.</t>
  </si>
  <si>
    <t>Navarre Minerals Limited, 2015. Stawell corridor gold project – exploration update. Unpublished Navarre Minerals Limited announcement to the Australian Stck Exchange, 12 June 2015, 21 p.</t>
  </si>
  <si>
    <t>Navarre Minerals Limited, 2022. Navarre Minerals annual report 2022, 112 p.</t>
  </si>
  <si>
    <t>Navarre Minerals Limited, 2022. Navarre receives regulatory approval for open pit mining of the Mt Carton United gold-silver-copper deposit. Unpublished Navarre Minerals Limited announcement to the Australian Stck Exchange, 27 Octber 2022, 5 p.</t>
  </si>
  <si>
    <t>Nazari-Dehkordi, T., Spandler, C., Oliver, N.H.S., Wilson, R., 2020. Age, geological setting, and paragenesis of heavy rare earth element mineralization of the Tanami region, Western Australia. Mineralium Deposita 55, 107-130.</t>
  </si>
  <si>
    <t>Nazari-Dehkordi, T., Spandler, C., Oliver, N.H.S., Wilson, R., 2108. Unconformity-related rare earth element deposits: a regional-scale hydrothermal mineralization type of northern Australia. Economic Geology 113, 1297–1305.</t>
  </si>
  <si>
    <t>Nelson, D.R., 1995. Compilation of SHRIMP U-Pb zircon geochronology data, 1994. Geological Survey of Western Australia Record 1995/3, 244 p.</t>
  </si>
  <si>
    <t>Nelson, D.R., 1997. Evolution of the Archaean granite–greenstone terranes of the Eastern Goldfields, Western Australia: SHRIMP U–Pb constraints. Precambrian Research 83, 57–81.</t>
  </si>
  <si>
    <t>Nelson, D.R., 1998. Compilation of SHRIMP U-Pb zircon geochronology data, 1997. Geological Survey of Western Australia Record 1998/2, 242 p.</t>
  </si>
  <si>
    <t>Nelson, D.R., 2001. 169067: quartz-chlorite schist, Pincher Well. Geological Survey of Western Australia Geochronology Record 105.</t>
  </si>
  <si>
    <t>Nesbit, B.W., Devlin, S., Joyce, P.J., 1983. Geology and suggested genesis of cobalt-tungsten mineralization at Mt. Cobalt, north western Queensland. Proceedings of Australasian Institute of Mining and Metallurgy 278, 9–17.</t>
  </si>
  <si>
    <t>Neumayr, P., Groves, D.I., Ridley, J.R., Koning, C.D., 1993. Syn-amphibolite facies Archaean lode gold mineralisation in the Mt. York district, Pilbara block, Western Australia. Mineralium Deposita, v. 28, 457–468.</t>
  </si>
  <si>
    <t>Neumayr, P., Ridley, J.R., McNaughton, N.J., Kinny, P.D., Barley, M.E., Groves, D.I., 1998. Timing of gold mineralization in the Mt York district, Pilgangoora greenstone belt, implications for the tectonic and metamorphic evolution of an area linking the western and eastern Pilbara Craton. Precambrian Research 88, 249–265.</t>
  </si>
  <si>
    <t>New Century Resources, 2019. New Century Resources annual report 2019, 81 p.</t>
  </si>
  <si>
    <t>New South Resources Limited, 2011. Prospectus lodged with the Australian Securities and Investment Commission, 6 October 2011, 170 p.</t>
  </si>
  <si>
    <t>New South Wales Department of Planning and Environment, 2014. Magnesite opportunities in New South Wales. Unpublished fact sheet, New South Wales Department of Planning and Environment, October 2014, 2 p.</t>
  </si>
  <si>
    <t>New South Wales Department of Planning, Industry and Environment, 2019. Tin and tungsten opportunities in New South Wales. Unpublished fact sheet, New South Wales Department of Planning, Industry and Environment, October 2019, 4 p.</t>
  </si>
  <si>
    <t>Newcrest Mining Limited, 2017. Quarterly report for the three months ended 30 June 2017, 15 p.</t>
  </si>
  <si>
    <t>Newcrest Mining Limited, 2018. Newcrest  Mining Limited 2018 annual report, 156 p.</t>
  </si>
  <si>
    <t>Newcrest Mining Limited, 2019. Newcrest  Mining Limited 2019 annual report, 152 p.</t>
  </si>
  <si>
    <t>Newcrest Mining Limited, 2020a. Inferred mineral resource estimate for Haveiron of 3.4Moz of gold and 160Kt of copper. Unpublished Newcrest Mining Limited announcement to the Australian Securities Exchange, 14 p.</t>
  </si>
  <si>
    <t>Newcrest Mining Limited, 2020b. Newcrest  Mining Limited 2020 annual report, 188 p.</t>
  </si>
  <si>
    <t>Newcrest Mining Limited, 2021. Newcrest  Mining Limited 2021 annual report, 200 p.</t>
  </si>
  <si>
    <t>Newcrest Mining Limited, 2022. Newcrest  Mining Limited 2022 annual report, 200 p.</t>
  </si>
  <si>
    <t>Newcrest Mining Limited, 2023a. Annual Mineral Resources and Ore Reserves Statement – as at 30 June 2023. ASX announcement 11 August 2023.</t>
  </si>
  <si>
    <t>Newcrest Mining Limited, 2023b. Newcrest Mining Limited 2023 annual report, 188 p.</t>
  </si>
  <si>
    <t>Newmont Corporation, 2018. Creating the world's leading gold business. Newmont Mining Corporation 2018 annual report and form 10-K, 197 p.</t>
  </si>
  <si>
    <t>Newmont Corporation, 2019. The world's leading gold company. Newmont Mining Corporation 2018 annual report and form 10-K, 202 p.</t>
  </si>
  <si>
    <t>Newmont Corporation, 2020. Focused on value, driven by purpose. Newmont Mining Corporation 2020 annual report and form 10-K, 190 p.</t>
  </si>
  <si>
    <t>Newmont Corporation, 2021. Leading change, focused on value. Newmont Mining Corporation 2021 annual report and form 10-K, 201 p.</t>
  </si>
  <si>
    <t>Newmont Corporation, 2022. Sustainable business, enduring value. Newmont Mining Corporation 2022 annual report and form 10-K, 202 p.</t>
  </si>
  <si>
    <t>Newmont Corporation, 2023. More than gold. Newmont Mining Corporation 2023 annual report and form 10-K, 222 p.</t>
  </si>
  <si>
    <t>Nguyen, P., Booth, S.A., Both, R.A., James, P.R., 1989. The White Devil deposit, Tennant Creek, Northern Territory, Australia. Economic Geology Monograph 6, 180–192.</t>
  </si>
  <si>
    <t>Nichols, S.J., Hagemann, S.G., 2014. Structural and hydrothermal alteration evidence for two gold mineralisation events at the New Celebration gold deposits in Western Australia. Australian Journal of Earth Sciences 61, 113–141.</t>
  </si>
  <si>
    <t>Nicholson, B.E., Anderson, J.A., Cross, K.C., 2017. Menninnie Dam Pb-Zn-Ag and Paris Ag-Pb deposits. Australasian Institute of Mining and Metallurgy Monograph 32, 629–630.</t>
  </si>
  <si>
    <t>NiCo Resources Limited, 2022. PFS confirms Wingellina as a Tier 1 project capable of supplying decaseds of nickel and cobalt. Unpublished NiCo Resources Limited announcement to the Australian Securities Exchange, 22 December 2022,  49 p.</t>
  </si>
  <si>
    <t>Nisbet, E.G., Chinner, G.A., 1981. Controls on the eruption of mafic and ultramafic lavas: Ruth Well Cu–Ni prospect, western Pilbara. Economic Geology 76, 1729–1735.</t>
  </si>
  <si>
    <t>Noble Resources Limited, 1992. Noble Resources annual report 1992.</t>
  </si>
  <si>
    <t>Norman, M., 2015. Re-Os isotope dating of molybdenite from southeastern Australia. Unpublished Australian National University report to Geoscience Australia.</t>
  </si>
  <si>
    <t>Norman, M., Bennett, V., Blevin, P., McCulloch, M., 2004a. Improved methods for Re-Os dating of molybdenite using multi-collector ICPMS. Geological Society of Australia Abstracts 73, 281.</t>
  </si>
  <si>
    <t>Norman, M., Bennett, V., Blevin, P., McCulloch, M., 2004b. New Re-Os ages of molybdenite from granite-related deposits of eastern Australia using an improved multi-collector ICPMS technique. Geological Society of Australia Abstracts 74, 129–132.</t>
  </si>
  <si>
    <t>Norris, N.D., 1990. New Celebration gold deposits. Australasian Institute of Mining and Metallurgy Monograph 14, 449–454.</t>
  </si>
  <si>
    <t>Northern Cobalt, 2018. ASX release, 9 april 2018, 27 pp.</t>
  </si>
  <si>
    <t>Northern Minerals Limited, 2019. 2019 annual report, 132 p.</t>
  </si>
  <si>
    <t>Northern Minerals Limited, 2020. Northern Minerals 2020 Annual Report, 114 p.</t>
  </si>
  <si>
    <t>Northern Star Resources Limited, 2011. Northern Star acquires 668,000oz Ashburton gold project. Unpublished Northern Star Resources Limited announcement to Australian Securities Exchange, 9 p.</t>
  </si>
  <si>
    <t>Northern Star Resources Limited, 2019. Northern Star Resources Limited 2019 Annual Report, 159 p.</t>
  </si>
  <si>
    <t>Northern Territory Geological Survey, 2024. Resourcing the Territory – Iron ore (Fe). Northern Terriotry Geological Survey Fact Sheet, 2 p. https://resourcingtheterritory.nt.gov.au/__data/assets/pdf_file/0003/756552/IronOre.pdf</t>
  </si>
  <si>
    <t>Novo Resources Corporation, 2022. Beatons Creek updated mineral resource estimate. Unpublished Novo Resources Corporation new release, 2 November 2022, 10 p.</t>
  </si>
  <si>
    <t>Nugus, M., Oliver, N.H.S., Blenkinsop, T.G., Hill, E.J., Finlayson, S., Cleverley, J.S., 2017. Sunrise Dam gold deposit. Australasian Institute of Mining and Metallurgy Monograph 32, 249–254.</t>
  </si>
  <si>
    <t>O’Rourke, A.J., Johnson, B.N.B., King, S., 2017. Century Zn-Pb-Ag deposits. Australasian Institute of Mining and Metallurgy Monograph 32, 485–478.</t>
  </si>
  <si>
    <t>Occipinti, S.A., Hocking, R., Lindsay, M., Aitken, A., Copp, I., Jones, J., Sheppard, S., Pirajno, F., Metelka, V., 2017. Paleoproterozoic basin development on the northern Yilgarn Craton, Western Australia. Precambrian Research 300, 121-140.</t>
  </si>
  <si>
    <t>Ojala, V.J., Ridley, J.R., Groves, D.I., Hall, G.C., 1993. The Granny Smith gold deposit: the role of heterogeneous strain distribution at an irregular granitoid contact in a greenschist faces terrane. Mineralium Deposita 28, 409–419.</t>
  </si>
  <si>
    <t>Olierook, H.K., Fougerouse, D., Doucet, L.S., Liu, Y., Rayner, M.J., Danišík, M., Condon, D.J., McInnes, B.I., Jaques, A.L., Evans, N.J. and McDonald, B.J., 2023. Emplacement of the Argyle diamond deposit into an ancient rift zone triggered by supercontinent breakup. Nature Communications 14, 5274.</t>
  </si>
  <si>
    <t>Oliver, N.H.S., Pearson, P.J., Holcombe, R.J., Ord, A. 1999. Mary Kathleen metamorphic-hydrothermal uranium-rare-earth element deposit; ore genesis and numerical model of coupled deformation and fluid flow. Australian Journal of Earth Sciences 46, 467–484.</t>
  </si>
  <si>
    <t>Orange Minerals NL, 2023a. Orange Minerals acquires Lennon's Find Project in Pilbara WA. Unpublished Orange Minerals NL announcement to the Australian Securities Exchange, 8 August 2023, 20 p.</t>
  </si>
  <si>
    <t>Orange Minerals NL, 2023b. Maiden JORC resource at Palarie Project. Unpublished Orange Minerals NL announcement to the Australian Securities Exchange, 13 February 2023, 23 p.</t>
  </si>
  <si>
    <t>Oreskes, N., Einaudi, M.T., 1990. Origin of rare earth element-enriched hematite breccias at the Olympic Dam Cu-U-Au-Ag deposit, Roxby Downs South Australia. Economic Geology 85, 1–85.</t>
  </si>
  <si>
    <t>Orion Gold NL, 2013. Quarterly activities report for the quarter ended 31 December 2013. Unpublished Orion Gold NL announcement to the Australian Securities Exchange, 31 December 2013, 117 p.</t>
  </si>
  <si>
    <t>Orth, K., 2009. Insights into alteration and mineral potential of volcanic successions of the Murphy Inlier and surrounding areas. Northern Territory Geological Survey Record 2009-002, 32–34.</t>
  </si>
  <si>
    <t>Orth, K., Meffre, S., Davidson, G. 2014. Age and paragenesis of mineralisation at Coronation Hill uranium deposit, Northern Territory, Australia. Mineralium Deposita 49, 595–623.</t>
  </si>
  <si>
    <t>Osborne, D.J., Chambers, C.D., 2017. Pajingo gold deposit. Australasian Institute of Mining and Metallurgy Monograph 32, 717–720.</t>
  </si>
  <si>
    <t>Osborne, J.P., Levett, J., Donaldson, J., Berg, R., Davys, C., Prentice, K., Tullberg, D., Lubieniecki, L.Z., Tunjic, J.A., Bath, A.B., Libby, J.W., 2017. Gruyere gold deposit, Yarmana. Australasian Institute of Mining and Metallurgy Monograph 32, 267–272.</t>
  </si>
  <si>
    <t>Outhwaite, M.D., 2018. Metamorphosed Mesoarchean Cu-Mo-Ag mineralization: evidence from the Calingiri deposits, southwest Yilgarn Craton. Geological Survey of Western Australia Report 183, 208 p.</t>
  </si>
  <si>
    <t>Owen, S.R., Joughin, S.C., Radonijic, A., Stein, J.K.R., 2017. Mount Lindsay and South Meredith tin-tungsten deposits. Australasian Institute of Mining and Metallurgy Monograph 32, 835–838.</t>
  </si>
  <si>
    <t>Owens, J., Priest, D., Jago, C., Pacey, A., 2017. Northparkes copper-gold deposits. Australasian Institute of Mining and Metallurgy Monograph 32, 763–770.</t>
  </si>
  <si>
    <t>Oxenburgh, S.K., Falconer, M., Doutch, D., Edmonds, P., Foley, A., Jane, M., 2017. Kambalda – St Ives goldfield. Australasian Institute of Mining and Metallurgy Monograph 32, 215–222.</t>
  </si>
  <si>
    <t>OZ Minerals Limited, 2014. Initial 202 Mt at 0.6% copper resource for Khamsin. Unpublished OZ Minerals Limited announcement to Australian Securities Exchange, 25 p.</t>
  </si>
  <si>
    <t>OZ Minerals Limited, 2022. West Musgrave Project, Nebo-Babel deposits - 2022 mineral resource and ore reserve statment and explanatory notes as at 23 September 2022. Unpublished OZ Minerals Limited announcement to Australian Securities Exchange, 23 September 2022, 60 p.</t>
  </si>
  <si>
    <t>Pacey, A., Wilkinson, J.J., Owens, J., Priest, D., Cooke, D.R., Millar, I.L., 2019. The anatomy of an alkali porphyry Cu-Au system: geology and alteration at Northparkes mines, New South Wales, Australia. Economic Geology 114, 441–472.</t>
  </si>
  <si>
    <t>Pacifico Minerals Limited, 2019. Mineral resource estimate upgrade at Sorby Hills. Unpublished Pacifico Minerals Limited announcement to the Australian Securities Exchange, 7 March 2019, 29 p.</t>
  </si>
  <si>
    <t>Page, D.G., 2011. Geology of the Hera (Pb–Zn–Au) and Nymagee (Cu) deposits, New South Wales. Unpublished B.Sc. Honours thesis, University of Wollongong, 196 p.</t>
  </si>
  <si>
    <t>Page, R.W., 1983. Chronology of magmatism, skarn formation and uranium mineralizaion, Mary Kathleen, Queensland, Australia. Economic Geology 78, 838–853.</t>
  </si>
  <si>
    <t>Page, R.W., Blake, D.H., Tyler, I.M., Griffin, T.J., Thorne, A.M., 1994. New geological and geochronological constraints on VMS prospectivity near Halls Creek, W. A,. AGSO Research Newsletter 20, 5–7.</t>
  </si>
  <si>
    <t>Page, R.W., Conor, C.H.H., Stevens, B.P.J., Gibson, G.M., Preiss, W.V., Southgate, P.N., 2005a, Correlation of Olary and Broken Hill Domains, Curnamona Province: possible relationship to Mount Isa and other north Australian Pb-Zn-Ag-bearing successions. Economic Geology 100, 663–676.</t>
  </si>
  <si>
    <t>Page, R.W., Conor, C.H.H., Sun, S-S., 1998. Geochronology of metasedimentary and metavolcanic successions in the Olary Domain and comparisons to Broken Hill. Australian Geological Survey Organisation Record 1998/25, 89–93.</t>
  </si>
  <si>
    <t>Page, R.W., Hoatson, D.M., 2000. Geochronology of the mafic-ultramafic intrusions. Australian Geological Survey Organisation Bulletin 246, 163–172.</t>
  </si>
  <si>
    <t>Page, R.W., Jackson, M.J., Krassay, A.A., 2000. Constraining sequence stratigraphy in north Australia basins: SHRIMP U-Pb zircon geochronology between Mt Isa and McArthur River. Australian Journal of Earth Sciences 47, 431–460.</t>
  </si>
  <si>
    <t>Page, R.W., Stevens, B.P.J., Gibson, G.M., 2005b, Geochronology of the sequence hosting the Broken Hill Pb-Zn-Ag orebody, Australia. Economic Geology 100, 633–661.</t>
  </si>
  <si>
    <t>Painter, M.G., Golding, S.D., Hannan, K.W., Neudert, M.K., 1999. Sedimentologic, petrographic, and sulfur isotope constraints on fine-grained pyrite formation at Mount Isa Mine and environs, Northwest Queensland, Australia. Economic Geology 94, 883–912.</t>
  </si>
  <si>
    <t>Paladin Energy, 2023. Annual report 2023, 132p.</t>
  </si>
  <si>
    <t>Panoramic Resouces Limited, 2014. Mineral resources and ore reserves at 30 June 2014. Unpublished Panoramic Resources Ltd release to the Australian Securities Exchange, 63 p.</t>
  </si>
  <si>
    <t>Panoramic Resouces Limited, 2020. Savanah Project - mineral resource update. Unpublished Panoramic Resources Ltd release to the Australian Securities Exchange, 7 May 2020, 18 p.</t>
  </si>
  <si>
    <t>Pantoro Limited, 2016. Pantoro 2016 annual report, 108 p.</t>
  </si>
  <si>
    <t>Pantoro Limited, 2017. Pantoro 2017 annual report, 137 p.</t>
  </si>
  <si>
    <t>Pantoro Limited, 2018. Pantoro 2018 annual report, 102 p.</t>
  </si>
  <si>
    <t>Pantoro Limited, 2019. Pantoro 2019 annual report, 117 p.</t>
  </si>
  <si>
    <t>Pantoro Limited, 2020. Pantoro 2020 annual report, 117 p.</t>
  </si>
  <si>
    <t>Pantoro Limited, 2021. Pantoro 2021 annual report, 113 p.</t>
  </si>
  <si>
    <t>Pantoro Limited, 2022. Pantoro 2022 annual report, 124 p.</t>
  </si>
  <si>
    <t>Pantoro Limited, 2023. Pantoro 2023 annual report, 125 p.</t>
  </si>
  <si>
    <t>Paradigm Metals Limited, 2010. Paradigm Metals (ABN 28 102 747 133) annual report for the year ended 30 June 2010, 59 p.</t>
  </si>
  <si>
    <t>Parker, P., Bartlett, J., Hodges, K., Thompson, A., Standing, J.G., 2017a. Nova-Bollinger Ni-Cu-Co sulfide deposit. Australasian Institute of Mining and Metallurgy Monograph 32, 139–142.</t>
  </si>
  <si>
    <t>Parker, P., Belford, S., Maier, R., Lynn, S., Stewart, W., 2017b. Teutonic Bore – Jaguar – Bentley volcanogenic massive sulfide field. Australasian Institute of Mining and Metallurgy Monograph 32, 167–172.</t>
  </si>
  <si>
    <t>Parker, T.W.H., Brown, T., 1990. Horseshoe gold-copper-silver deposit. Australasian Institute of Mining and Metallurgy Monograph 14, p. 671–675.</t>
  </si>
  <si>
    <t>Parr, J.M., 1994. The geology of the Broken Hill-type Pinnacles Pb-Zn-Ag deposit, western New South Wales, Australia. Economic Geology 89, 778–790.</t>
  </si>
  <si>
    <t>Parr, J.M., Stevens, B.P., Carr, G.R., Page, R.W., 2004. Subseafloor origin for Broken Hill Pb-Zn-Ag mineralization, New South Wales, Australia. Geology 32, 589–592.</t>
  </si>
  <si>
    <t>Partington, G.A., 2017. Greenbushes tin, tantalum and lithium deposit. Australasian Institute of Mining and Metallurgy Monograph 32, 153–157.</t>
  </si>
  <si>
    <t>Partington, G.A., Davis, T.P., Pilcher, T.W.B., 2017. Bullabulling goldfield. Australasian Institute of Mining and Metallurgy Monograph 32, 211–214.</t>
  </si>
  <si>
    <t>Partington, G.A., McNaughton, N.J., 1997. Controls on mineralisation in the Howley District, Northern Territory: a link between granite intrusion and gold mineralisation. Chronique de la Recherche Minière 529, 1–19.</t>
  </si>
  <si>
    <t>Partington, G.A., McNaughton, N.J., Williams, I.S., 1995. A review of the geology, mineralization, geochronology of the Greenbushes pegmatite, Western Australia. Economic Geology 90, 616–635.</t>
  </si>
  <si>
    <t>Paterson Resources Limited, 2021. Burraga project update. Unpublished Paterson Resources Limited announcement to the Australian Securities Exchange, 30 March 2021, 43 p.</t>
  </si>
  <si>
    <t>Paterson, R.G., 1990. Ardlethan tin deposits. Australasian Institute of Mining and Metallurgy Monograph 14, 1357–1364.</t>
  </si>
  <si>
    <t>Patterson, D.J., Ohmoto, H., Solomon, M., 1981. Geologic setting and genesis of the cassiterite-sulfide mineralization at Renison Bell, western Tasmania. Economic Geology 76, 393–438.</t>
  </si>
  <si>
    <t>Paulick, H., Herrmann, W., Gemmell, J.B., 2001. Alteration of felsic volcanics hosting the Thalanga massive sulfide deposit (Northern Queensland, Australia) and geochemical proximity indicators to ore. Economic Geology 96, 1175–1200.</t>
  </si>
  <si>
    <t>Paull, P.L., Hodkinson, I.P., Morrison, G.W., Teale, G.S., 2017. Mount Leyshon gold deposit. Australasian Institute of Mining and Metallurgy Monograph 14, 1471–1481.</t>
  </si>
  <si>
    <t>Peck, D.C., Keays, R.R., 1990. Geology, geochemistry and origin of platinum-group element-chromitite occurrences in the Heazlewood River Complex, Tasmania. Economic Geology 85, 765–793.</t>
  </si>
  <si>
    <t>Peel Mining Limited, 2017. Mallee Bull resource grows 65% to 175,000t CuEq. Unpublished Peel Mining Limited announcement to the Australian Securities Exchange, 6 July 2017, 18 p.</t>
  </si>
  <si>
    <t>Peel Mining Limited, 2019. Retraction and re-submission of ASX release – metal equivalents calculation. Unpublished Peel Mining Limited announcement to the Australian Securities Exchange, 12 July 2019, 38 p.</t>
  </si>
  <si>
    <t>Peel Mining Limited, 2020a. Substantial resource upgrade for Southern Nights. Unpublished Peel Mining Limited announcement to the Australian Securities Exchange, 13 October 2020, 24 p.</t>
  </si>
  <si>
    <t>Peel Mining Limited, 2020b. Maiden May Day inferred mineral resource estimate. Unpublished Peel Mining Limited announcement to the Australian Securities Exchange, 26 March 2020, 36 p.</t>
  </si>
  <si>
    <t>Peel Mining Limited, 2023. 20MT resource base for South Cobar Project. Unpublished Peel Mining Limited announcement to the Australia Securities Exchange, 9 January 2023, 67 p.</t>
  </si>
  <si>
    <t>Pendergast, W.J., Baggot, M.S., Schmeider, S., 2017. Dead Bullock Soak including Callie. Australasian Institute of Mining and Metallurgy Monograph 32, 551–556.</t>
  </si>
  <si>
    <t>Penney, R., 2012. Australian sandstone-hosted uranium deposits. Transactions of the Institute of Mining and Metallurgy, Series B, Applied Earth Sciences 121 (2), 65–75.</t>
  </si>
  <si>
    <t>Perkins, C., Heinrich, C.A., Wyborn, L.A., 1999. 40Ar/39Ar geochronology of copper mineralization and regional alteration, Mount Isa, Australia. Economic Geology 94, 23–36.</t>
  </si>
  <si>
    <t>Perkins, C., Hinman, M.C., Walshe, J.L., 1994. Timing of mineralization and deformation, Peak Au mine, Cobar, New South Wales. Australian Journal of Earth Sciences 41, 509–522.</t>
  </si>
  <si>
    <t>Perkins, C., Kennedy, A.K., 1998. Permo-Carboniferous gold epoch of northeast Queensland. Australian Journal of Earth Sciences 45, 185–200.</t>
  </si>
  <si>
    <t>Perkins, C., McDougall, I., Claoué-Long, J., Heithersay, P.S., 1990. 40Ar/39Ar and U–Pb geochronology of the Goonumbla porphyry Cu–Au deposits, New South Wales, Australia. Economic Geology 85, 1808–1824.</t>
  </si>
  <si>
    <t>Perkins, C., Walshe, J.L., Morrison, G., 1995. Metallogenic episodes of the Tasman Fold Belt System, eastern Australia. Economic Geology 90, 1443–1466.</t>
  </si>
  <si>
    <t>Perkins, C., Wyborn, L.A., 1998. Age of Cu-Au mineralisation, Cloncurry district, eastern Mt Isa Inlier, Queensland, as determined by 40Ar/39Ar dating. Australian Journal of Earth Sciences 45, 233–246.</t>
  </si>
  <si>
    <t>Perkins, W.G., 1984. Mount Isa silica dolomite and copper orebodies: the result of a syntectonic hydrothermal alteration system. Economic Geology 79, 601–637.</t>
  </si>
  <si>
    <t>Perkins, W.G., 1990. Mount Isa copper orebodies. Australasian Institute of Mining and Metallurgy Monograph 14, 935–941.</t>
  </si>
  <si>
    <t>Perring, C.S., 2015. A 3-D geological and structural synthesis of the Leinster area of the Agnew-Wiluna belt, Yilgarn Craton, Western Australia, with special reference to the volcanological setting of komatiite-associated nickel sulfide deposits. Economic Geology 110, 469–503.</t>
  </si>
  <si>
    <t>Perring, C.S., Rieuwers, M.T., Western, E.E., Menicheli, M.M., Greenwood, W.F., Gole, M.J., 2017. Nickel deposits of the Mount Keith and Leinster regions, Agnew-Wiluna belt. Australasian Institute of Mining and Metallurgy Monograph 32, 127–132.</t>
  </si>
  <si>
    <t>Peters, B., Buck, P., 2000. The Maggie Hays and Emily Ann nickel deposits, Western Australia: a geophysical case history. Exploration Geophysics 31, 210–221.</t>
  </si>
  <si>
    <t>Peters, J., 2016. ECR Minerals plc – Competent Person’s Report – Project Number AU9666. Unpublished Snowden competent person’s report to ECR Minerals plc, 84 p.</t>
  </si>
  <si>
    <t>Peters, S.G., Golding, S.D., 1989. Geologic, fluid inclusion and stable isotope studies of granitoid-hosted gold-bearing quartz veins, Charters Towers, northeastern Australia. Economic Geology Monograph 6, 260–273.</t>
  </si>
  <si>
    <t>Phelps-Barber, Z., Trench, A., Groves, D.I., 2022. Recent pegmatite-hosted spodumene discoveries in Western Australia: insights for lithium exploration in Australia and globally, Applied Earth Science 131, 100-113, DOI: 10.1080/25726838.2022.2065450</t>
  </si>
  <si>
    <t>Phillips, C, Orth, K, Hollis, JA, Kirkland, CL, Bodorkos, S, Kemp, AIS, Wingate, MTD, Lu, Y, Iaccheri, L and Page, RW 2016, Geology of the Eastern Zone of the Lamboo Province, Halls Creek Orogen, Western Australia: Geological Survey of Western Australia, Report 164, 57pp.</t>
  </si>
  <si>
    <t>Phillips, D., Clarke , W., Jaques, A.L., 2012b, New 40Ar/39Ar ages for the West Kimberley lamproites and implications for Australian plate geodynamics. 10th International Kimberlite Conference, Bangalore, India, Extended abstracts.</t>
  </si>
  <si>
    <t>Phillips, D., Fu, B., Wilson, C.J.L. , Kendrick, M.A., Fairmaid, A.M., Miller, J.McL., 2012a, Timing of gold mineralisation in the western Lachlan Orogen, SE Australia: A critical overview. Australian Journal of Earth Sciences 59, 495–525.</t>
  </si>
  <si>
    <t>Phillips, G.N., Hergt, J., Powell, R., 2017a. Kalgoorlie gold field – petrology, alteration and mineralisation of the Golden Mile Dolerite. Australasian Institute of Mining and Metallurgy Monograph 32, 185–194.</t>
  </si>
  <si>
    <t>Phillips, G.N., Hughes, M.J., 1998. The geology and gold deposits of the Victorian gold province. Ore Geology Reviews 23, 377–432.</t>
  </si>
  <si>
    <t>Phillips, G.N., Hughes, M.J., Arne, D.C., Bierlein, F.P., Carey, S.P., Jackson, T., Willman, C.E., 2003. Gold – historical wealth, future potential. Geological Society of Australia Special Publication 23, 377–432.</t>
  </si>
  <si>
    <t>Phillips, G.N., Powell, R., de Nooy, C.D., 2017b. Big Bell gold deposit and its precursors. Australasian Institute of Mining and Metallurgy Monograph 32, 313–316.</t>
  </si>
  <si>
    <t>Pickard, A.L., 2002. SHRIMP U–Pb zircon ages of tuffaceous mudrocks in the Brockman Iron Formation of the Hamersley Range, Western Australia. Australian Journal of Earth Sciences 49, 491–507.</t>
  </si>
  <si>
    <t>Pidgeon, R.T., Hallberg, J.A., 2000. Age relationships in supracrustal sequences of the northern part of the Murchison Terrane, Archaean Yilgarn Craton, Western Australia: A combined field and zircon U–Pb study. Australian Journal of Earth Sciences 47, 153-165.</t>
  </si>
  <si>
    <t>Pidgeon, R.T., Smith, C.B., Fanning, C.M., 1986. Kimberlite and lamprophyre emplacement ages in Western Australia. Geological Society of Australia Special Publication 14, 367–381.</t>
  </si>
  <si>
    <t>Pidgeon, R.T., Smith, C.B., Fanning, C.M., 1989. Kimberlite and lamproite emplacement ages in Western Australia. Geological Society of Australia Special Publication 14, 369–381.</t>
  </si>
  <si>
    <t>Pidgeon, R.T., Wilde, S.A., Compston, W., Shield, M.W., 1990. Archaean evolution of the Wongan Hills Greenstone Belt, Yilgarn Craton, Western Australia. Australian Journal of Earth Sciences 37, 279–292.</t>
  </si>
  <si>
    <t>Pietsch, B.A., Clayton, W., 1990. Bynoe area tin-tantalum deposits. Australasian Institute of Mining and Metallurgy Monograph 14, 813–815.</t>
  </si>
  <si>
    <t>Pike, S., Spence, B., Wilson, C., Little, E., 2017. Cracow gold deposit. Australasian Institute of Mining and Metallurgy Monograph 32, 721–722.</t>
  </si>
  <si>
    <t>Pilbara Minerals Limited, 2018. 2018 annual report, 100 p.</t>
  </si>
  <si>
    <t>Pilbara Minerals Limited, 2019. 2019 annual report - powering a sustainable energy future, 77 p.</t>
  </si>
  <si>
    <t>Pilbara Minerals Limited, 2020. 2020 annual report - powering a sustainable energy future, 85 p.</t>
  </si>
  <si>
    <t>Pilbara Minerals Limited, 2021. 2021 annual report - powering a sustainable energy future, 91 p.</t>
  </si>
  <si>
    <t>Pilbara Minerals Limited, 2022. 2022 annual report - powering a sustainable energy future, 107 p.</t>
  </si>
  <si>
    <t>Pilbara Minerals Limited, 2023. 2023 annual report - powering a sustainable energy future, 232 p.</t>
  </si>
  <si>
    <t>Pioneer Resources Ltd, 2018. Australia's first pollucite extraction commences. ASX announcement, 12 Dec 2018, 5 pp.</t>
  </si>
  <si>
    <t>Pirajno, F., Burlow, R., Huston, D., 2010. The Magellan Pb deposit, Western Australia; a new category within the class of supergene non-sulphide mineral systems. Ore Geology Reviews 37, 101–113.</t>
  </si>
  <si>
    <t>Pirajno, F., Chen, Y., Li, N., Li, C., Zhou, L., 2016. Besshi-type mineral systems in the Palaeoproterozoic Bryah rift-basin, Capricon Orogen: implications for tectonic setting and geodynamic evolution. Geoscience Frontiers 7, 345–357.</t>
  </si>
  <si>
    <t>Pirajno, F., Mernagh, T.P., Huston, D., Creaser, R.A., Seltmann, R., 2015. The Mesoproterozoic Abra polymetallic sedimentary rock-hosted mineral deposit, Edmund Basin, Western Australia. Ore Geology Reviews 76, 442–462.</t>
  </si>
  <si>
    <t>Pirajo, F., González-Ávarez, I., Border, A., Porter, T.M., 2017b. Mount Weld and Gifford Creek rare earth elements carbonatites. Australasian Institute of Mining and Metallurgy Monograph 32, 163–166.</t>
  </si>
  <si>
    <t>Pirajo, F., González-Ávarez, I., Chen, W., Kyser, K.T., Simonetti, A., Leduc, E., leGras, M., 2014. The Gifford Creek Ferrocarbonatite Complex, Gascoyne Province, Western Australia: associated fenitic alteration and a putative link with the ~ 1075 Ma Warakurna LIP. Lithos 202-203, 100–119.</t>
  </si>
  <si>
    <t>Pirajo, F., Sergeev, N., Burlow, R., Tessalina, S., 2017a. Paroo Station (Magellan-Cano) supergene lead deposits. Australasian Institute of Mining and Metallurgy Monograph 32, 401–402.</t>
  </si>
  <si>
    <t>Platina Resources Ltd, 2010, Platina to re-estimate Munni Munni resource and drill potential high-grade zone. Unpublished Platina Resources Limited announcement to Australian Securities Exchange, 2 p.</t>
  </si>
  <si>
    <t>Plimer, I.R., 1977. The origin of the albite-rich rocks enclosing the cobaltian pyrite deposit at Thackaringa, NSW, Australia. Mineralium Deposita 12, pp.175–187.</t>
  </si>
  <si>
    <t>Plimer, I.R., 1984. The mineralogical history of the Broken Hill lode, N.S.W: Australian Journal of Earth Sciences 31, 379−402.</t>
  </si>
  <si>
    <t>PNX Metals Limited, 2017. Hayes Creek mineral resources exceed 1.1 Moz gold equivalent. Unpublished PNX Metals Limited announcement to the Australia Securities Exchange, 3 May 2017, 31 p.</t>
  </si>
  <si>
    <t>PNX Metals Limited, 2020. Increase and improved confidence in mineral resources at Fountain Head gold project. Unpublished PNX Metals Limited announcement to the Australia Securities Exchange, 16 June 2020, 33 p.</t>
  </si>
  <si>
    <t>PNX Metals Limited, 2022a. Significant upgrade in Glencoe gold mineral resource categorisation. Unpublished PNX Metals Limited announcement to the Australia Securities Exchange, 30 August 2022, 26 p.</t>
  </si>
  <si>
    <t>PNX Metals Limited, 2022b. PNX acquires the Mt Porter gold deposit, NT. Unpublished PNX Metals Limited announcement to the Australia Securities Exchange, 28 September 2022, 106 p.</t>
  </si>
  <si>
    <t>Podmore, D.C., 1990. Shay Gap and Nimingarra iron ore deposits. Australasian Institute of Mining and Metallurgy Monograph 14, 137–140.</t>
  </si>
  <si>
    <t>Pogson, D.J. , Watkins, J.J., 1998. Bathurst 1:250 000 geological Sheet. SI/55-8. Explanatory Notes. Australian Geological Survey Organisation and Geological Survey of New South Wales.</t>
  </si>
  <si>
    <t>Polito, P.A. Kyser, T.K, Stanley, C., 2009. The Proterozoic, albitite-hosted, Valhalla uranium deposit, Queensland, Australia: A description of the alteration assemblage associated with uranium mineralisation in diamond drill hole V39. Mineralium Deposita 44, 11–40.</t>
  </si>
  <si>
    <t>Polito, P.A., Kyser, T.K., Alexandre, P., Hiatt, E.E., Stanley, C.R., 2011. Advances in understanding the Kombolgie Subgroup and unconformity-related uranium deposits in the Alligator Rivers Uranium Field and how to explore for them using lithogeochemical principles. Australian Journal of Earth Sciences 58, 453–474.</t>
  </si>
  <si>
    <t>Polito, P.A., Kyser, T.K., Golding, S.D., Southgate, P.N., 2006, Zinc deposits and related mineralization of the Burketown mineral field, including the world-class Century deposit, Northern Australia: fluid inclusion and stable isotope evidence for basin fluid sources. Economic Geology 101, 1251–1273.</t>
  </si>
  <si>
    <t>Polito, P.A., Kyser, T.K., Marlatt, J., Alexandre, P., Bajwah, Z., Drever, G., 2004. Significance of alteration assemblages for the origin and evolution of the Proterozoic Nabarlek unconformity-related uranium deposit, Northern Territory, Australia. Economic Geology 99, 113–139.</t>
  </si>
  <si>
    <t>Polito, P.A., Kyser, T.K., Rheinberger, G., Southgate, P.N., 2005a, A paragenetic and isotopic study of the Proterozoic Westmoreland uranium deposits, southern McArthur Basin, Northern Territory, Australia. Economic Geology 100, 1243–1260.</t>
  </si>
  <si>
    <t>Polito, P.A., Kyser, T.K., Thomas, D., Marlatt, J., Drever, G., 2005b, Re-evaluation of the petrogenesis of the Proterozoic Jabiluka unconformity-related uranium deposit, Northern Territory, Australia. Mineralium Deposita 40, 257–288.</t>
  </si>
  <si>
    <t>Pollard, P.J., 1981. Hydrothermal tin-tungsten mineralisation and origin of associated cordierite-anthophyllite rocks at Tommy Burns mine, North Queensland, Australia. Transactions of the Institute of Mining and Metallurgy 90, B65–B69.</t>
  </si>
  <si>
    <t>Pontifex, I.R., 1964. Geological study of the occurrence of ore at Tennant Creek, NT. Unpublished MSc thesis, University of Adelaide.</t>
  </si>
  <si>
    <t>Porter, R.R.G., 1990. Pajingo gold deposits. Australasian Institute of Mining and Metallurgy Monograph 14, 1483–1487.</t>
  </si>
  <si>
    <t>Porter, T.M., 2017a. Boddington–Wandoo gold-copper deposit. Australasian Institute of Mining and Metallurgy Monograph 32, 287–290.</t>
  </si>
  <si>
    <t>Porter, T.M., 2017b. Other significant deposits. Australasian Institute of Mining and Metallurgy Monograph 32, 857–864.</t>
  </si>
  <si>
    <t>Porter, T.M., 2017c. Nifty and Maroochydore copper deposits. Australasian Institute of Mining and Metallurgy Monograph 32, 423–426.</t>
  </si>
  <si>
    <t>Porter, T.M., 2017d. Telfer gold-copper deposit. Australasian Institute of Mining and Metallurgy Monograph 32, 417–422.</t>
  </si>
  <si>
    <t>Porter, T.M., 2017e. Angas Zn-Pb-Ag-Au deposit. Australasian Institute of Mining and Metallurgy Monograph 32, 665–666.</t>
  </si>
  <si>
    <t>Porter, T.M., 2017f. Cadia gold copper deposits. Australasian Institute of Mining and Metallurgy Monograph 32, 755–756.</t>
  </si>
  <si>
    <t>Porter, T.M., 2017g. Stawell gold deposits. Australasian Institute of Mining and Metallurgy Monograph 32, 801–806.</t>
  </si>
  <si>
    <t>Posiedon Nickel Limited, 2015. Maggie Hays &amp; Mt Windarra ore reserves. Unpublished Poseidon Nickel Limited announcement to the  Australian Securities Exchange, 6 July 2015, 29 p.</t>
  </si>
  <si>
    <t>Posiedon Nickel Limited, 2023. Updated Black Swan dissiminated resource provides more nickel supporting restart. Unpublished Poseidon Nickel Limited announcement to the  Australian Securities Exchange, 7 June 2023, 29 p.</t>
  </si>
  <si>
    <t>Prakash, N., Enright, M., Angus, R., 2018. The effective use of forward modelling and petrophysical analyses in the application of induced polarisation surves to explore for disseminated sulphide systems in the Paterson Province, Western Australia. Proceedings of AEGC 2018, Sydney, 8 p.</t>
  </si>
  <si>
    <t>Preiss, W.V., 2000. The Adelaide Geosyncline of South Australia and its significance in Neoproterozoic continental reconstruction. Precambrian Research 100, 21–63.</t>
  </si>
  <si>
    <t>Preiss, W.V., Drexel, J.F., Reid, A.J., 2009. Definition and age of the Kooringa Member of the Skillogalee Dolomite – host for Neoproterozoic (c. 790 Ma) porphyry-related copper mineralisation at Burra. MESA Journal 55, p. 19–33.</t>
  </si>
  <si>
    <t>Prichard J., 2013. The geochemistry and geochronology of cassiterite from the New England Fold Belt, NSW. Unpublished B.Sc. Honours thesis, Australian National University.</t>
  </si>
  <si>
    <t>Primary Gold Limited, 2017. Major resource upgrade for Mt Bundy gold project to 1.8M ounces. Unpublished Primary Gold Limited announcement to the Australian Securities Exchange, 31 October 2017, 33 p.</t>
  </si>
  <si>
    <t>Primary Gold Limited, 2023. Mt Bundy DFS - Section 1.0 - Executive summary. Unpublished Primary Gold Limited report, 47 p. https://www.hankingmining.com/static/upload/file/20231113/1699865472910306.pdf (accessed May 2024).</t>
  </si>
  <si>
    <t>Prodigy Gold Limited, 2023. Annual mineral resource statement. Unpublished Prodigy Gold Limited announcement to the Australian Securities Exchange, 15 August 2023, 6 p.</t>
  </si>
  <si>
    <t>Purdy, D.J., 2013. Granitoids of the northern New England Orogen. In Jell, P.A., ed., Geology of Queensland, 399–433.</t>
  </si>
  <si>
    <t>Pure Alumina Limited, 2020. Hargraves mineral resource estimate update. Unpublished Pure Alumina Limited announcement to the Australian Securities Exchange, 29 May 2020, 39 p.</t>
  </si>
  <si>
    <t>Putzolu, F., Abad, I., Balassone, G., Boni, M., Cappelletti, P., Graziano, S.F., Maczurad, M., Mondillo, N., Najorka, J., Santoro, L., 2020. Parent rock and climatic evolution control on the genesis of Ni-bearing clays in Ni-Co laterites: New inferences from the Wingellina deposit (Western Australia). Ore Geology Reviews 120, 103431.</t>
  </si>
  <si>
    <t>Putzolu, F., Balassone, G., Boni, M., Maczurad, M., Mondillo, N., Najorka, J., Pirajno, F., 2018. Mineralogical association and Ni-Co deportment in the Wingellina oxidetype laterite deposit (Western Australia). Ore Geology Reviews 97, 21-34.</t>
  </si>
  <si>
    <t>Qiu, Y.M., McNaughton, N.J., Groves, D.J., Dalstra, H.J., 1999. Ages of internal granitoids in the Southern Cross region, Yilgarn Craton, Western Australia, their crustal evolution and tectonic implications. Australian Journal of Earth Sciences 46, 971–981.</t>
  </si>
  <si>
    <t>QMines Limited, 2022. Resource increases by 104% with 84% now in measured &amp; indicaed. Unpublished QMines Limited announcement to the Australian Securities Exchange, 22 November 2022, 54 p.</t>
  </si>
  <si>
    <t>Quayle, M., 2010. Hargraves - a goldfield reborn. Presentation at Mines &amp; Wines 2010 - a vintage year for the Tasmanides. https://smedg.org.au/wp-content/uploads/2020/07/M&amp;W%202010/Quayle%20Hargraves%20Au.pdf.</t>
  </si>
  <si>
    <t>Queensland Mining Corporation, 2017. Kuridala mineral resource restatement under JORC Code (2012). Unpublished Queensland Mining Corporation Limited announcement to the Australian Securities Exchange, 15 p.</t>
  </si>
  <si>
    <t>Rabone, G., 2010. Recent advances in understanding the Wild Cattle Creek antimony deposit, Dorrigo, NSW. AIG Bulletin 52, 121–130.</t>
  </si>
  <si>
    <t>Rae, P.S., 2000. Geology of the Surveyor-1 VHMS deposit, north east Queensland. Unpublished M.Sc. thesis. James Cook University.</t>
  </si>
  <si>
    <t>Raiden Resources, 2023. Annual report - 30 June 2023, 79 p.</t>
  </si>
  <si>
    <t>Rajagopolan, S., 1999. Porphyry-type copper deposits, eastern Victoria, ASEG Extended Abstracts, 1999:1, 113-128. DOI: 10.1071/ASEGSpec11_08</t>
  </si>
  <si>
    <t>Ramanaidou, E., Wells, M.A., Morris, R., Duclaux, G., Evans, N., Danišík, M., 2017. Channel iron deposits of the Pilbara. Australasian Institute of Mining and Metallurgy Monograph 32, 375–380.</t>
  </si>
  <si>
    <t>Ramelius Resources, 2012. 2012 Annual report, 118 p.</t>
  </si>
  <si>
    <t>Ramelius Resources, 2013. 2013 Annual report, 128 p.</t>
  </si>
  <si>
    <t>Ramelius Resources, 2014. 2014 Annual report, 130 p.</t>
  </si>
  <si>
    <t>Ramelius Resources, 2015. 2015 Annual report, 114 p.</t>
  </si>
  <si>
    <t>Ramelius Resources, 2016. 2016 Annual report, 132 p.</t>
  </si>
  <si>
    <t>Ramelius Resources, 2017. 2017 Annual report, 118 p.</t>
  </si>
  <si>
    <t>Ramelius Resources, 2018. 2018 Annual report, 122 p.</t>
  </si>
  <si>
    <t>Ramelius Resources, 2019. 2019 Annual report, 122 p.</t>
  </si>
  <si>
    <t>Ramelius Resources, 2020. 2020 Annual report, 148 p.</t>
  </si>
  <si>
    <t>Ramelius Resources, 2021. 2021 Annual report, 142 p.</t>
  </si>
  <si>
    <t>Ramelius Resources, 2022. 2022 Annual report, 97 p.</t>
  </si>
  <si>
    <t>Ramelius Resources, 2023. 2023 Annual report, 122 p.</t>
  </si>
  <si>
    <t>Ramsay, R.R., Eves, A.E., Denyszyn, S.W., Wingate, M.T.D., Fiorentini, M.L., Gwalani, L.G., Rogers, K.A., 2019. Geology and geochronology of the Paleoproterozoic Hart Dolerite, Western Australia. Precambrian Research, 335, 105482, 15pp.</t>
  </si>
  <si>
    <t>Ramsden, A.R., French, D.H., Chalmers, D.I., 1993. Volcanic-hosted rare-metals deposit at Brockman, Western Australia. Mineralium Deposita 28, 1–12.</t>
  </si>
  <si>
    <t>Rankin, R., 2016. Geologist’s report on Macquarie Gold Limited’s tenements at Adelong, NSW, Australia. Unpublished GeoRes report to Macquarie Gold Limited, 3 August 2016, 97 p.</t>
  </si>
  <si>
    <t>RareX Limited, 2021. RareX delivers major resources upgrade at Cummins Range rare earths project, WA. Unpublished RareX Limited announcement to the Australian Securities Exchange 19, July 2021, 25 p.</t>
  </si>
  <si>
    <t>Rasmussen, B., Mueller, A.G., Fletcher, I.R., 2009. Zirconolite and xenotime U-Pb constraints on the emplacement of the Golden Mile Dolerite sill and gold mineralization at the Mt Charlotte mine, Eastern Goldfields Province, Yilgarn Craton, Western Australia. Contributions to Mineralogy and Petrology 157, 559–572.</t>
  </si>
  <si>
    <t>Rasmussen, B., Sheppard, S., Fletcher, I.R., 2006. Testing ore deposit models using in situ U-Pb geochronology of hydrothermal monazite: Paleoproterozoic gold mineralization in northern Australia. Geology 34, 77–80.</t>
  </si>
  <si>
    <t>Raymond, O.L., 1992. Geology and mineralisation of the southern Prince Lyell deeps, Queenstown, Tasmania. Unpublished MSc thesis, University of Tasmania, 94p.</t>
  </si>
  <si>
    <t>Red 5 Limited, 2018. Geological modelling at King of the Hills confirms exceptional exploration potential. ASX announcement, 15 November 2018, 5 p.</t>
  </si>
  <si>
    <t>Red 5 Limited, 2023, Annual report 2023, 98 p.</t>
  </si>
  <si>
    <t>Red Dirt Metals, 2022. Maiden lithium minera resource estimate at Mt Isa. Unpublished Red Dirt Metals announcement to the Australian Securities Exchange, 19 October 2022, 24 p.</t>
  </si>
  <si>
    <t>Red River Resources Limited, 2019. Red River acquires Hillgrove Gold-Antimony Project in NSW. Unpublished Red River Resources announcement to the Australian Securities Exchange, 3 July 2019, 32 p.</t>
  </si>
  <si>
    <t>Redbank Copper Limited (2021) ASX announcement 24 June 2021, 74 pp.</t>
  </si>
  <si>
    <t>Reddell, C.T., Schmulian, M.L., 1990. Windarra nickel deposits, Laverton. Australasian Institute of Mining and Metallurgy Monograph 14, 561–566.</t>
  </si>
  <si>
    <t>Reddicliffe, T.H., Kammermann, M.S., 2017. Merlin diamond deposit. Australasian Institute of Mining and Metallurgy Monograph 32, 533–534.</t>
  </si>
  <si>
    <t>Reed, A., 1996. The structural, stratigraphic and temporal setting of the Maroochydore copper prospect, Paterson orogen, Western Australia. Unpublished Ph.D. thesis, University of Western Australia.</t>
  </si>
  <si>
    <t>Reeve, J.S., Cross, K.C., Smith, R.N., Oreskes, N., 1990. Olympic Dam copper-uranium-gold-silver deposit. Australasian Institute of Mining and Metallurgy Monograph 14, 1009–1035.</t>
  </si>
  <si>
    <t>Regis Resources Limited, 2019. Mineral resource and ore reserve statement as at 31 March 2019. Unpublished Regis Resources Limited announcement to the Australian Securities Exchange, 31 March 2019, 174 p.</t>
  </si>
  <si>
    <t>Regis Resources Limited, 2021. 2021 annual report, 112 p.</t>
  </si>
  <si>
    <t>Regis Resources Limited, 2022. 2022 annual report, 57 p.</t>
  </si>
  <si>
    <t>Regis Resources Limited, 2023. 2023 annual report, 53 p.</t>
  </si>
  <si>
    <t>Regis Resources Limited, 2024a. Condensed consolidated interim financial report for the half year ended 31 December 2023, 23 p.</t>
  </si>
  <si>
    <t>Regis Resources Limited, 2024b. Reserves keep growing at Tropicana. Unpublished Regis Resources Limited announcement to the Australian Stock Exchange, 26 February 2024, 13 p.</t>
  </si>
  <si>
    <t>Reid, A., Smith, R.N., Baker, T., Jagodzinski, E.A., Selby, D., Gregory, C.J., Skirrow, R.G., 2013. Re-Os dating of molybdenite within hematite breccias from the Vulcan Cu-Au prospect, Olympic Cu-Au province, South Australia. Economic Geology 108, 883–894.</t>
  </si>
  <si>
    <t>Reid, A.J., 2009. New models for base metal mineralisation in the Gawler Craton and the Adelaide Geosyncline. MESA Journal 53, 9.</t>
  </si>
  <si>
    <t>Reid, A.J., 2017. Geology and metallogeny of the Gawler Craton. Australasian Institute of Mining and Metallurgy Monograph 32, 589–594.</t>
  </si>
  <si>
    <t>Reid, A.J., Gregory, C., 2012. Project PGC01-10: U-Pb SHRIMP geochronology of hydrothermal allanite, monazite and titanite from the Kalkaroo Cu-Au deposit, Curnamona Province, South Australia. Geological Survey of South Australia Report Book 2012/12, 38–50.</t>
  </si>
  <si>
    <t>Reid, A.J., Jagodzinski, E., Greene, D., Maas, R., Selby, D., Gregory, C., 2012. Project PGC02-04 and PGC02-05: Geochronology from the Mawson prospect, Weednana skarn magnetite deposit and the Telephone Dam prospect, South Australia. Geological Survey of South Australia Report Book 2012/12, 101–135.</t>
  </si>
  <si>
    <t>Reid, A.M., 1921. Osmiridium in Tasmania. Geological Survey of Tasmania Bulletin 32.</t>
  </si>
  <si>
    <t>Reid, A.M., 1925. The Dundas mineral field. Tasmania Department of Mines Geological Survey Bulletin 36, 98 p.</t>
  </si>
  <si>
    <t>Reid, K.O., Meares, R.M.D., 1981. Exploration for volcanic-hosted sulfide deposits in western Tasmania. Economic Geology 76, 350–364.</t>
  </si>
  <si>
    <t>Ren, S.K., Walshe, J.L., Paterson, R.G., Both, R.A., Andrew, A., 1995. Magmatic and hydrothermal history of the porphyry-style deposits of the Ardlethan tin field, New South Wales, Australia. Economic Geology 90, 1620–1645.</t>
  </si>
  <si>
    <t>Reno, B., Beyer, E.E., Weisheit, A., Whelan, J.A., Kositcin, N., Kraus, S., 2015. Geological evolution of the Jervois Range area: 1:100.000 special mapsheet. Northern Territory Geological Survey Record 2015-002, 95–103.</t>
  </si>
  <si>
    <t>Reveleigh, G.C., 1977. Geology and genesis of Nobles Nob and Golden Forty ore deposits, Tennant Creek, NT. Unpublished MSc thesis, James Cooke University of North Queensland.</t>
  </si>
  <si>
    <t>Revolver Resources Holdings Limited, 2022. Revolver reveals maiden copper mineral resource at Dianne mine. Unpublished Revolver Resources Holdings Limited announcement to the Australian Securities Exchange, 12 December 2022, 44 p.</t>
  </si>
  <si>
    <t>Reynolds, D.G., Brook, W.A., Marshall, A.E., Allchurch, P.D., 1975. Volcanogenic copper-zinc deposits in the Pilbara and Yilgarn Archaean blocks. Australasian Institute of Mining and Metallurgy Monograph 5, 185–194.</t>
  </si>
  <si>
    <t>Reynolds, N.A., Copp, I.A., 2017a. Zn-Pb-Ag deposits of the Lennard Shelf, Canning Basin. Australasian Institute of Mining and Metallurgy Monograph 32, 441–444.</t>
  </si>
  <si>
    <t>Reynolds, N.A., Copp, I.A., 2017b. Admiral Bay Zn-Pb-Ag deposit of the Canning Basin. Australasian Institute of Mining and Metallurgy Monograph 32, 445–448.</t>
  </si>
  <si>
    <t>RGC Limited, 1998. Sale of Renison tin mine. Unpublished announcement to the Australian Securities Exchange, 24 August 1998.</t>
  </si>
  <si>
    <t>Richards, D.R., Elliott, G.J., Jones, B.H., 1998. Vera North and Nancy gold deposits. Australasian Institute of Mining and Metallurgy Monograph 22, 685–689.</t>
  </si>
  <si>
    <t>Richards, J.R., Blockley, J.G., 1984. The base of the Fortescue Group, Western Australia: further galena lead isotopic evidence of its age. Australian Journal of Earth Sciences 31, 257–268.</t>
  </si>
  <si>
    <t>Richards, J.R., Compston, W., Paterson, R.G., 1982. Isotopic information on the Ardlethan tin field, NSW. Proceedings of the Australasian Institute of Mining and Metallurgy 284, 11–16.</t>
  </si>
  <si>
    <t>Richards, J.R., Fletcher, I.R., Blockley, J.G., 1981. Pilbara galenas: precise isotopic assay of the oldest Australian leads; model ages and growth-curve implications. Mineralium Deposita 16, 7–30.</t>
  </si>
  <si>
    <t>Richardson, J., Bowman, N., Paterson, L., Hobbs, J., 1983. Disseminated copper-gold mineralization at Cargo: Geological Survey of New South Wales Records 21, M29–M52.</t>
  </si>
  <si>
    <t>Richardson, S.M., Moy, A.D., 1998. Gunpowder copper deposits. Australian Institute of Mining and Metallurgy Monograph 22, 743–752.</t>
  </si>
  <si>
    <t>Rickard, M.J., McQueen, K.G., Hayden, P., 1996. Structural controls on the Cowarra gold deposit near Bredbo, southeastern New South Wales, Australian Journal of Earth Sciences 43, 201–215.</t>
  </si>
  <si>
    <t>Rimfire Pacific Mining NL, 2014. Sopressa gold and silver maiden resource – Fifield NSW – 6.4Mt for 125kOz of gold and 7.9Moz of silver. Unpublished Rimfire Pacific Mining NL announcement to the Australian Securities Exchange, 23 December 2014, 27 p.</t>
  </si>
  <si>
    <t>Rimfire Pacific Mining NL, 2019. Sopresa Resource Update. Unpublished Rimfire Pacific Mining NL announcement to the Australian Securities Exchange, 6 November 2019, 20 p.</t>
  </si>
  <si>
    <t>Ringrose, C.R., 1989. Studies of selected carbonate-hosted lead-zinc deposits in the Kimberley region. Geological Survey of Western Australia Report 24.</t>
  </si>
  <si>
    <t>Rio Tinto Limited, 2013. 2012 annual report, 236 p.</t>
  </si>
  <si>
    <t>Rio Tinto Limited, 2019. 2018 annual report, 300 p.</t>
  </si>
  <si>
    <t>Rio Tinto Limited, 2020. Rio Tinto reveals maiden resource at Winu and new discovery. Unpublished Rio Tinto Limited announcement to the Australian Securities Exchange, 28 July 2020, 25 p.</t>
  </si>
  <si>
    <t>RMG Limited, 2014. Kamarga: updated resources for JB zinc deposit. Unpublished RMG Limited announcement to the Australian Securities Exchange, 19 p.</t>
  </si>
  <si>
    <t>Roache, M., 1996. The geology, timing of mineralisation, and genesis of the Menninnie Dam Zn-Pb-Ag deposit, Eyre Peninsula, South Australia. Unpublished Ph.D. thesis, University of Tasmania.</t>
  </si>
  <si>
    <t>Roberts, F.I., 1982. Trace element chemistry of pyrite: a useful guide to the occurrence of sulfide base metal mineralization. Journal of geochemical Exploration 17, 49–62.</t>
  </si>
  <si>
    <t>Robertson, R.S., 1995. Copper and gold in South Australia. Geological Survey of South Australia Report Book, 95/41, 23 p.</t>
  </si>
  <si>
    <t>Roche, L.K., Johnson, S.P., Dunbar, M., Goldsworthy, J., 2017. Glenburgh goldfield. Australasian Institute of Mining and Metallurgy Monograph 32, 317–320.</t>
  </si>
  <si>
    <t>Rohrlach, B.D., Fu, M., Clarke, J.D.A., 1998. Geological setting, paragenesis and fluid history of the Walford Creek Zn‐Pb‐Cu‐Ag prospect, Mt Isa Basin, Australia. Australian Journal of Earth Sciences 45, 63–81.</t>
  </si>
  <si>
    <t>Rolley P., Wright, M., 2017. Kanmantoo copper deposits. Australasian Institute of Mining and Metallurgy Monograph 32, 667–670.</t>
  </si>
  <si>
    <t>Rolley P.J., Baxter J.L., 1990. Marvel Loch gold deposit. Australasian Institute of Mining and Metallurgy Monograph 14, 297–300.</t>
  </si>
  <si>
    <t>Romano, S.S., Thébaud, N.J.M., Mole, D.R., Wingate, M.T.D., Kirkland, C.L., Doublier, M.P. 2014. Geochronological constraints on nickel metallogeny in the Lake Johnston belt, Southern Cross Domain. Australian Journal of Earth Sciences 61, 143–157.</t>
  </si>
  <si>
    <t>Ross, A.A., Barley, M.E., Brown, S.J.A., McNaughton, N.J., Ridley, J.R., Fletcher, I.R., 2004. Young porphyries, old zircons: new constraints on the timing of deformation and gold mineralisation in the Eastern Goldfields from SHRIMP U-Pb zircon dating at the Kanowna Bell gold mine, Western Australia. Precambrian Research 128, 105–142.</t>
  </si>
  <si>
    <t>Rotherham, J.F, 1997. A metasomatic origin for the iron-oxide Au-Cu Starra orebodies, Eastern Fold Belt, Mount Isa Inlier. Mineralium Deposita 32, 205–218</t>
  </si>
  <si>
    <t>Rotherham, J.F, Blake, K.L., Cartwright, I., Williams, P.J., 1998. Stable isotope evidence for the origin of the Mesoproterozoic Starra Au-Cu deposit, Cloncurry district, northwest Queensland. Economic Geology 93, 1435–1449.</t>
  </si>
  <si>
    <t>Rox Resources Limited, 2024. MRE uupdate confirms Youanmi as significant high-grade gold project and paves way for PFS. Unpublished Rox Resources Limited announcement to the Australian Securities Exchangem 30 January 2024, 35 p.</t>
  </si>
  <si>
    <t>Rumble Resources Limited, 2023. Maiden resource confirms Earaheedy's world class potential. Unpublished Rumble Resoruces Limited announcement to the Australian Securities Exchange, 19 April 2023, 35 p.</t>
  </si>
  <si>
    <t>Ruxton, P.A., Seed, M.J., 1998. Yandan gold deposit. Australasian Institute of Mining and Metallurgy Monograph 22, 695–698.</t>
  </si>
  <si>
    <t>Rye, D.M., Williams, N., 1981. Studies of base metal sulfide deposits at McArthur River, Northern Territory, Australia. III: The stable isotope geochemistry of the HYC, Ridge and Cooley deposits. Economic Geology 76, 1–26.</t>
  </si>
  <si>
    <t>Sainty, R.A., 1992. Shallow-water stratigraphy at the Mount Chalmers volcanic-hosted massive sulfide deposit. Economic Geology 87, 812–824.</t>
  </si>
  <si>
    <t>Salier, B.P., Groves, D.J., McNaughton, N.J., Fletcher, I.R., 2004. The world-class Wallaby gold deposit, Laverton, Western Australia: An orogenic overprinting on a magmatic-hydrothermal magnetite-calcite alteration pipe? Mineralium Deposita 39, 473–494.</t>
  </si>
  <si>
    <t>Salier, B.P., Groves, D.J., McNaughton, N.J., Fletcher, I.R., 2005. Geochronological and stable isotope evidence for widespread orogenic gold mineralisation from deep-seated fluid source at ca. 2.65 Ga in the Laverton Gold Province, Western Australia. Economic Geology 100, 1363–1388.</t>
  </si>
  <si>
    <t>Sally Malay Mining Limited, 2007. Copernicus feasibility study,29 June 2007, 4 p.</t>
  </si>
  <si>
    <t>Salt Lake Potash Limited, 2016. Scoping study confirms Lake Wells’ potential as a major low cost SOP project. Unpublished Salt Lake Potash Limited announcement to the Australian Securities Exchange, 29 August 2016, 35 p.</t>
  </si>
  <si>
    <t>Salt Lake Potash Limited, 2019. 2019 Annual Report, 86 p.</t>
  </si>
  <si>
    <t>Samieyani, A., 1995, Mineralogy and geochemistry of ~3.5 Ga volcanogenic massive sulfide deposits at the Big Stubby prospect, the Pilbara district, Western Australia. Unpublished M.Sc. thesis, Tohoku University, 90 p.</t>
  </si>
  <si>
    <t>Sanders, T.S., 1999. Mineralization of the Halls Creek Orogen, East Kimberley region, Western Australia. Geological Survey of Western Australia Report 66, 44 p.</t>
  </si>
  <si>
    <t>Sandfire Resources NL, 2017. Sandfire Group JORC mineral resource and ore reserve statement. Unpublished Sandfire Resources NL announcement to the Australian Securities Exchange, 19 October 2017.</t>
  </si>
  <si>
    <t>Saturn Metals Limited, 2020. Saturn joint ventures into second gold asset – high grade West Wyalong gold field. Unpublished Saturn Metals Limited announcement to the Australian Securities Exchange, 28 April 2020, 16 p.</t>
  </si>
  <si>
    <t>Saunders, D., 2022. Technical report, maiden mineral resource estimate Thursdays Gossan Project, Victoria. Unpublished Cube Consulting Pty Ltd technical report to Stavely Minerals Limited, 1 June 2022, 44 p.</t>
  </si>
  <si>
    <t>Savage, M., 2020. The Rover Project. Annual Geoscience Exploration Seminar (AGES) Proceedings, p. 84-87.</t>
  </si>
  <si>
    <t>Sawyer, M., Whittaker, B., de Little, J., 2017. Carrapateena Cu-Au-Ag-U deposit. Australasian Institute of Mining and Metallurgy Monograph 32, 615–620.</t>
  </si>
  <si>
    <t>Schaltegger, U., Pettkea, T., Audétat, A., Reusserc, E., Heinrich, C.A., 2005. Magmatic-to-hydrothermal crystallization in the W–Sn mineralized Mole Granite (NSW, Australia) Part I: Crystallization of zircon and REE-phosphates over three million years—a geochemical and U–Pb geochronological study. Chemical Geology 220, 215–235.</t>
  </si>
  <si>
    <t>Schellen, K., Graham, I.T., McKinnon, A., Privat, K., Dietz, 2020. The ore and gangue mineralogy of the newly-discovered Federation massive sulfide deposit, central New South Wales, Australia. Minerals 10, https://sciforum.net/manuscripts/9348/manuscript.pdf.</t>
  </si>
  <si>
    <t>Schindler, C., Hagemann, S.G., Banks, D., Mernagh, T., Harris, A.C., 2016. Magmatic hydrothermal fluids at the sedimentary rock-hosted, intrusion-related Telfer copper-gold deposit, Paterson Orogen, Western Australia: pressure-temperature-composition constraints on the ore-forming fluids. Economic Geology 111, 1099–1126.</t>
  </si>
  <si>
    <t>Schmeider, S., Perazzo, S., Griesel, L., Robinson, C., 2018. Newmont Tanamii Operations: multiple new discoveriteis supporting transformational growth in a mature mining camp. AGES 2018 Prodeedings, p. 122-124.</t>
  </si>
  <si>
    <t>Schmid, S., Foss, C., Hill, J., Quigley, M., Schaubs, P., Cleverly, J., Robinson, J., 2012. JSU Ngalia Basin uranium mineral system project. Northern Territory Geological Survey Record 2012-003.</t>
  </si>
  <si>
    <t>Schoneveld, L., Spandler, C., Hussey, K., 2015. Genesis of the central zone of the Nolans Bore rare earth element deposit, Northern Territory, Australia. Contributions to Mineralogy and Petrology 170(2), 11.</t>
  </si>
  <si>
    <t>Scorpion Metals Limited, 2019. Mt Mulcahy exploration licence granted. Unpublished Scorpion Minerals Limited announcement to the Australian Securities Exchange, 13 September 2019, 11 p.</t>
  </si>
  <si>
    <t>Scott, K.M., 1978. Geochemical aspects of the alteration-mineralisation at Copper Hill, New South Wales. Economic Geology 73, 966–976.</t>
  </si>
  <si>
    <t>Scott, K.M., Torrey, C.E., 2003. Copper Hill porphyry Cu-Au prospect, central NSW. CRC LEME, http://crcleme.org.au/RegExpOre/CopperHill.pdf.</t>
  </si>
  <si>
    <t>Scrimgeour, I.M., 1989. Early Proterozoic metamorphism at the The Granites gold mines, Northern Territory. Unpublished B.Sc. Honours thesis, University of Adelaide.</t>
  </si>
  <si>
    <t>Scrimgeour, I.R., 2013a. Chapter 12: Aileron Province. Northern Territory Geological Survey, Special Publication 5.</t>
  </si>
  <si>
    <t>Scrimgeour, I.R., 2013b. Chapter 29: Irindina Province. Northern Territory Geological Survey Special Publication 5.</t>
  </si>
  <si>
    <t>Seat, Z., Gee, M.A.M., Grguric, B.A., Beresford, S.W., Grassineau, N.V., 2011. Nebo-Babel and Succoth Ni-Cu-PGE sulfide deposit (west Musgrave, Australia): Part 1. U/Pb zircon ages, whole-rock and mineral chemistry, and O-Sr-Nd isotope compositions of the intrusion, with constraints on petrogenesis. Economic Geology 106, 527–556.</t>
  </si>
  <si>
    <t>Seat, Z., Grguric, B.A., Hronsky, J.M.A., Miles, G.J., 2017. The Nebo-Babel Ni-Cu-platinum group element deposits, west Musgrave Province. Australasian Institute of Mining and Metallurgy Monograph 32, 581–588.</t>
  </si>
  <si>
    <t>Seccombe, P.K., 1990. Fluid inclusion and sulphur isotope evidence for syntectonic mineralisation at the Elura mine, southeastern Australia. Mineralium deposita 25, 304–312.</t>
  </si>
  <si>
    <t>Seccombe, P.K., Downes, P.M., Ashley, P.M., Brathwaite, R.L., Green, G.R., Murray, C.G., Rubenach, M.J., 2005. World skarn deposits: skarn deposits of the southwest Pacific. Economic Geology 100th Anniversary Volume, electronic appendices, 13 p.</t>
  </si>
  <si>
    <t>Seccombe, P.K., Frater, K.M., 1981. A preliminary study of sulphur isotopes and ore genesis at the Golden Grove copper deposit, Western Australia. Geological Society of Australia Special Publication 7, 421–428.</t>
  </si>
  <si>
    <t>Seccombe, P.K., Lau J.L., Lea J.F., Offler R., 1984. Geology and ore genesis of silver-lead-zinc-copper sulphide deposits, Sunny Corner, NSW. Proceedings of the Australasian Institute of Mining and Metallurgy 289, 51–57.</t>
  </si>
  <si>
    <t>Seccombe, P.K., Offler, R., Ayshford, S., 2000. Origin of magnetite skarn at Tallawang, NSW: preliminary sulphur isotope results. Centre for Isotopic Studies Research Report 1995-2000, 56–58.</t>
  </si>
  <si>
    <t>Seccombe, P.K., Spry, P.G., Both, R.A., Jones, M.T., Schiller, J.C., 1985. Base metal mineralisation in the Kanmantoo Group, South Australia: a regional sulfur isotope study. Economic Geology 80, 1824–1841.</t>
  </si>
  <si>
    <t>Seed, M.J., Ruxton, P.A., 1998. Wirralie gold deposit. Australasian Institute of Mining and Metallurgy Monograph 22, 691–694.</t>
  </si>
  <si>
    <t>Şener, A.K., 2004. Characteristics, distribution and timing of gold mineralisation in the Pine Creek Orogen, Northern Territory, Australia. Unpublished Ph.D. thesis, University of Western Australia, Perth.</t>
  </si>
  <si>
    <t>Şener, A.K., Young, C., Groves, D.I., Krapež, B., Fletcher, I. R., 2005. Major orogenic gold episode associated with Cordilleran-style tectonics related to the assembly of Paleoproterozoic Australia? Geology 33, 225–228.</t>
  </si>
  <si>
    <t>Sewell, D.M., 1999. The Koongie Park and Little Mount Isa zinc-copper-lead deposits, East Kimberley region. Geological Survey of Western Australia Mineral Resources Bulletin 15, 139–155.</t>
  </si>
  <si>
    <t>Seymour, D.B., Green, G.R., Calver, C.R., 2006. The geology and mineral deposits of Tasmania: a summary. Tasmanian Geological Survey Bulletin 72, 29 p.</t>
  </si>
  <si>
    <t>Sha, P., Spandler, C., Chang, Z., 2015. Elaine Dorothy Cu-Au (REE-U) skarn deposit. Proceedings of PACRIM 2015, 18-21 March 2015, Hong Kong. Australasian Institute of Mining and Metallurgy, p. 445–449.</t>
  </si>
  <si>
    <t>Shanghai Metals Market, 2010. Former Van Dieman Mines Assets up for Sale (Tin). News report, 3 June 2010.</t>
  </si>
  <si>
    <t xml:space="preserve">Shannon, J.M., Angus, M., Nussipakynova, D., Methven, G., Lebleu, P., and Mulvihill, B., 2019. Technical report: Pegmont mineral resource update and PEA. AMC consultants, 325 p. </t>
  </si>
  <si>
    <t>Sharpe, R., Gemmell, J.B., 2000. Sulfur isotope characteristics of the Archean Cu-Zn Gossan Hill VHMS deposit, Western Australia. Mineralium Deposita 35, 533–550.</t>
  </si>
  <si>
    <t>Sharpe, R., Gemmell, J.B., 2001. Alteration characteristics of the Archean Golden Grove Formation at the Gossan Hill deposit, Western Australia. Economic Geology 96, 1239–1262</t>
  </si>
  <si>
    <t>Sharpe, R., Gemmell, J.B., 2002. The Archean Cu-Zn Magnetite-rich Gossan Hill volcanic-hosted massive Sulfide deposit, Western Australia: genesis of a multistage hydrothermal system. Economic Geology 97, 517–539.</t>
  </si>
  <si>
    <t>Sharrad, K.A., McKinnon-Matthews, J., Cook, N.J., Ciobanu, C.L., Hand, M., 2014. The Basil Cu–Co deposit, Eastern Arunta Region, Northern Territory, Australia: a metamorphosed volcanic-hosted massive sulphide deposit. Ore Geology Reviews 56, 141–158.</t>
  </si>
  <si>
    <t>Sheard, M.J., Fanning, C.M., Flint, R.B., 1992. Geochronology and definition of Mesoproterozoic volcanics and granitoids of the Mount Babbage Inlier, northern Flinders Ranges. Quarterly Geological Notes Issued by the Geological Survey of South Australia 123, 18-31.</t>
  </si>
  <si>
    <t>Shen Yao Holding Liited, 2021. Shen Yao Holdings Limited Annual Report 2021, 127 p.</t>
  </si>
  <si>
    <t>Shen Yao Holding Liited, 2022. Shen Yao Holdings Limited Annual Report 2022, 129 p.</t>
  </si>
  <si>
    <t>Shen, Y., Buick, R., Canfield, D.E., 2001. Isotopic evidence for microbial reduction in the early Archaean era. Nature 410, 77–81.</t>
  </si>
  <si>
    <t>Shepherd, M.S., 1990. Eneabba heavy mineral sand placers. Australasian Institute of Mining and Metallurgy Monograph 14, 1591–1594.</t>
  </si>
  <si>
    <t>Sheppard, S, Fletcher, I.R., Rasmussen, B., Zi, J.-W., Muhling, J.R., Occhipinti, S.A., Wingate, M.T.D., Johnson, S.P., 2016b. A new Paleoproterozoic tectonic history for the eastern Capricorn Orogen, Western Australia, revealed by U-Pb zircon dating of micro-tuffs. Precambrian Research 286, 1-19.</t>
  </si>
  <si>
    <t>Sheppard, S., Griffin, T.J., Tyler, I.M., 1995. Geochemistry of felsic igneous rocks from the southern Halls Creek Orogen. Geological Survey of Western Australia Record 1995/4, 81 p.</t>
  </si>
  <si>
    <t>Sheppard, S., Krapež, B., Zi, J.-W., Rasmussen, B., Fletcher, I.R., 2016. Young ores in old rocks: Proterozoic iron mineralisation in Mesoarchean banded iron formation, northern Pilbara Craton, Australia. Ore Geology Reviews 89, 40–69.</t>
  </si>
  <si>
    <t>Shi, B., Sun, K., Nielsen, B., Dixon, A., Davies, M., Fothergill, J., Coppin, P., Byrne, B., Carter, P., Young, B., Wang, J., 2021. Independent qualified persons report for the Ballarat goldmine, Australia. Unpublished Shen Yao Holdings Limited report, 28 February 2021. 139 p.</t>
  </si>
  <si>
    <t>Shree Minerals Ltd, 2020. Nelson Bay River iron project update. Unpublished Shree Minerals Ltd announcement to the Australian Securities Exchange, 8 December 2020, 7 p.</t>
  </si>
  <si>
    <t>Silver City Minerals Limited, 2017. High grade iron oxide copper-gold mineralisation at Broken Hill. Unpublished Silver City Minerals Limited announcement to the Australian Securities Exchange, 4 May 2017, 19 p.</t>
  </si>
  <si>
    <t>Silver City Minerals Limited, 2021. Large copper-gold-rare earth-iron system identified at Copper Blow. Unpublished Silver City Minerals Limited announcement to the Australian Securities Exchange, 24 May 2021, 22 p.</t>
  </si>
  <si>
    <t>Silverlake Resources, 2017. Annual Report for the year ended 30 June 2017. 84 p.</t>
  </si>
  <si>
    <t>Silverlake Resources, 2018. Annual Report for the year ended 30 June 2018. 80 p.</t>
  </si>
  <si>
    <t>Silverlake Resources, 2019. Annual Report for the year ended 30 June 2019. 88 p.</t>
  </si>
  <si>
    <t>Silverlake Resources, 2020. Annual Report for the year ended 30 June 2020. 73 p.</t>
  </si>
  <si>
    <t>Silverlake Resources, 2021. Annual Report for the year ended 30 June 2021. 75 p.</t>
  </si>
  <si>
    <t>Silverlake Resources, 2022. Annual Report for the year ended 30 June 2022. 41 p.</t>
  </si>
  <si>
    <t>Silverlake Resources, 2023. Annual Report for the year ended 30 June 2023. 69 p.</t>
  </si>
  <si>
    <t>Simpson, A., Glorie, S., Hand, M., Gilbert, S.E., Spandler, C., Dmitrijeva, M., Swain, G., Nixon, A., Mulder, J. and Münker, C., 2024. In situ apatite and carbonate Lu-Hf and molybdenite Re-Os geochronology for ore deposit research: Method validation and example application to Cu-Au mineralisation. Geoscience Frontiers 15, 101867.</t>
  </si>
  <si>
    <t>Sinclair, P., 2019. Refreshing the Alligator River Uranium Field exploration toolkit – Angularli and Such Wow. Annual Geoscience Exploration Seminar (AGES) Proceedings, Alice Springs, Northern Territory, 19–20 March 2019. Northern Territory Geological Survey, Darwin, 138–142.</t>
  </si>
  <si>
    <t>Sinclair, P., Ewington, D., Thomas, D., 2017. Kintyre uranium deposit. Australasian Institute of Mining and Metallurgy Monograph 32, 427–428.</t>
  </si>
  <si>
    <t>Skirrow, R., Mercadier, J., Armstrong, R., Kuske T., Deloule, E., 2016. The Ranger uranium deposit, northern Australia: timing constraints, regional and ore-related alteration, and genetic implications for unconformity-related mineralisation. Ore Geology Reviews 76, 463–503.</t>
  </si>
  <si>
    <t>Skirrow, R.G., Bastrakov, E.N., Barovich, K., Fraser, G.L., Creaser, R.A., Fanning, C.M., Raymond, O.L., Davidson, G.J., 2007. Timing of iron oxide Cu-Au-(U) hydrothermal activity and Nd isotope constraints on metal sources in the Gawler craton, South Australia. Economic Geology 102, 1441–1470.</t>
  </si>
  <si>
    <t>Skirrow, R.G., Creaser, R., Hore, S.B., 2011. Mt Gee-Armchair U-REE deposits, South Australia. Geoscience Australia Record 2011/12, 36–58.</t>
  </si>
  <si>
    <t>Skirrow, R.G., Walshe, J.L., 2002. Reduced and oxidize Au-Cu-Bi iron oxide deposits of the Tennant Creek Inlier, Australia: an integrated geologic and chemical model. Economic Geology 97, 1167–2002.</t>
  </si>
  <si>
    <t>Skwarnecki, M.S. and Fitzpatrick, R.W. (2003) Mount Torrens Pb prospect, South Australia. In: C.R.M. Butt, M. Cornelius, K.M. Scott and I.D.M. Robertson (eds). Regolith expression of Australian ore systems: A compilation of geochemical case histories and conceptual models. Cooperative Research Centre for Landscape Environments and Mineral Exploration (CRC LEME) Monograph (http://crcleme.org.au/). pp4.</t>
  </si>
  <si>
    <t>Sky Metals Limited (2021) Sky completes purchase of Galwadgere copper-gold project &amp; maiden JORC-2012 resource. Unpublished Sky Metals Limited announcement to the Australian Securities Exchange, 7 July 2021, 25 p.</t>
  </si>
  <si>
    <t>Sky Metals Limited, 2024. Tallebung - substantial increase to mineral resource estimate with eceptional ore sorting upgrade. ASX announcement 23 January 2024, 26 pp.</t>
  </si>
  <si>
    <t>Slezak, P., Spandler, C., 2019. Carbonatites as recorders of mantle-derived magmatism and subsequent tectonic events: An example of the Gifford Creek Carbonatite Complex, Western Australia. Lithos 328, 212-227.</t>
  </si>
  <si>
    <t>Smith, B., Ross, J., 2016. Mount Marion lithium pegmatite deposit. Australasian Institute of Mining and Metallurgy Monograph 32, 161–162.</t>
  </si>
  <si>
    <t>Smith, J.B., 1998a. Integrated tectonic analysis of the Archaean West Pilbara Block, Western Australia. Unpublished Ph.D. thesis, University of Western Australia, 247 p.</t>
  </si>
  <si>
    <t>Smith, J.W., Burns, M.S., Croxford, N.J.W., 1978. Stable isotope studies of the origins of mineralization at Mount Isa. I. Mineralium Deposita 13, 369–381.</t>
  </si>
  <si>
    <t>Smith, M.E., 1998b. Tuckabianna gold deposits. Australasian Institute of Mining and Metallurgy Monograph 22, 149–154.</t>
  </si>
  <si>
    <t>Smith, M.L., Pillans, B.J., McQueen, K.G., 2009. Paleomagnetic evidence for periods of intense oxidative weathering, McKinnons mine, Cobr, New South Wales. Australian Journal of Earth Sciences 56, 201-212.</t>
  </si>
  <si>
    <t>Smith, S., Haese, R., Grigson, M.W., 2017. Jundee gold deposit. Australasian Institute of Mining and Metallurgy Monograph 32, 273–278.</t>
  </si>
  <si>
    <t>Smith, S.G., 1996. Geology and geochemistry of the Warrabarty carbonate-hosted Zn-Pb prospect, Paterson Orogen, Western Australia. Unpublished Ph.D. thesis, University of Tasmania.</t>
  </si>
  <si>
    <t>Snelling, A.A., 1990. Koongarra uranium deposit. Australasian Institute of Mining and Metallurgy Monograph 14, 807–812.</t>
  </si>
  <si>
    <t>Solomon, M., Rafter, T.A., Jensen, M.L., 1969. Isotope studies on Rosebery, Mt Farrell and Mt Lyell ores, Tasmania. Mineralium Deposita 4, 172–199.</t>
  </si>
  <si>
    <t>South32 Limited, 2016. 2016 annual report, 200 p.</t>
  </si>
  <si>
    <t>Sovereign Gold Company Limited, 2012. 2012 drilling target snapshot. Unpublished Sovereign Gold Company Limited announcement to the Australian Securities Exchange, 26 April 2012, 4 p.</t>
  </si>
  <si>
    <t>Sovereign Gold Company Limited, 2014. Company presentation. Unpublished Sovereign Gold Company Limited announcement to the Australian Securities Exchange, 2 January 2014, 35 p.</t>
  </si>
  <si>
    <t>Spandler, C., Hammerli, J., Sha, P., Hilbert-Wolf, H., Hu, Y., Roberts, E., Schmitz, M., 2016. MKED1: a new titanite standard for in situ analysis of Sm–Nd isotopes and U–Pb geochronology. Chemical Geology 425, 110-126.</t>
  </si>
  <si>
    <t>Spandler, C., Morris, C., 2016. Geology and genesis of the Toongi rare metal (Zr, Hf, Nb, Ta, Y and REE) deposit, NSW, Australia, and implications for rare metal mineralization in peralkaline igneous rocks. Contribution to Mineralogy and Petrology 171, 104.</t>
  </si>
  <si>
    <t>Spinks, S.C., Sperling, E.A., Thorne, R.L., LaFountain, F., White, A.J.R., Armstrong, J., Woltering, M., Tyler, I.M., 2023. Mesoproterozoic surface oxygenation accompanied major sedimentarty magnaese deposition at 1.4 and 1.1 Ga. Gebiology 21, 28-43.</t>
  </si>
  <si>
    <t>Squire, R.J., Crawford, A. J., 2007. Magmatic characteristics and geochronology of Ordovician igneous rocks from the Cadia – Neville region, New South Wales: implications for tectonic evolution. Australian Journal of Earth Sciences 54, 293–314.</t>
  </si>
  <si>
    <t>Squire, R.J., Herrmann, W., Pape, D., Chalmers, D.I., 2007. Evolution of the Peak Hill high-sulfidation epithermal Au – Cu deposit, eastern Australia. Mineralium Deposita 42, 489–503.</t>
  </si>
  <si>
    <t>Squire, R.J., Wilson, C.J.L., 2005. Interaction between collisional orogenesis and convergent-margin processes: evolution of the Cambrian proto-Pacific margin of East Gondwana, Journal of the Geological Society of London 162, 749–761.</t>
  </si>
  <si>
    <t>St Barbara Limited, 2017. 2017 Annual report, 88 p.</t>
  </si>
  <si>
    <t>St Barbara Limited, 2018. 2018 Annual report, 87 p.</t>
  </si>
  <si>
    <t>St Barbara Limited, 2019. 2019 Annual report, 92 p.</t>
  </si>
  <si>
    <t>St Barbara Limited, 2020. 2020 Annual report, 113 p.</t>
  </si>
  <si>
    <t>St Barbara Limited, 2021. 2021 Annual report, 129 p.</t>
  </si>
  <si>
    <t>St Barbara Limited, 2022. 2022 Annual report, 125 p.</t>
  </si>
  <si>
    <t>St Barbara Limited, 2023. 2023 Annual report, 110 p.</t>
  </si>
  <si>
    <t>Stacey, J.S., Kramers, J.D., 1975. Approximation of terrestrial lead isotope evolution by a two-stage model. Earth Planetary Science Letters 26, 207–221.</t>
  </si>
  <si>
    <t>Stander, L., Berthesen, R., 2017. Cobar copper-gold field. Australasian Institute of Mining and Metallurgy Monograph 32, 747–750.</t>
  </si>
  <si>
    <t>Standing, C.A., Hou, B., Teakle, M.G., Klingner, D., Harrison, S., 2017. Heavy mineral sand deposits of Australia. Australasian Institute of Mining and Metallurgy Monograph 32, 83–88.</t>
  </si>
  <si>
    <t>Stanton, R.L., 1955. Lower Paleozoic mineralization near Bathurst, New South Wales. Economic Geology 50, 681–714.</t>
  </si>
  <si>
    <t>Staude, S., Sheppard, S., Parker, P., Paggi, J., 2017. Long-Victor nickel sulfide deposits, Kambalda. Australasian Institute of Mining and Metallurgy Monograph 32, 107–112.</t>
  </si>
  <si>
    <t>Stavely Minerals Limited, 2020a. 2020 annual report, 82 p.</t>
  </si>
  <si>
    <t>Stavely Minerals Limited, 2020b. More wide copper-gold intercepts as latest drilling continues to extend Cayley lode mineralisation. Unpublished Stavely Minerals Limited announcement to the Australian Securities Exchange, 22 December 2020, 40 p.</t>
  </si>
  <si>
    <t>Stegman, C.L., Stegman, T.M., 1996. The history of mining in the Cobar field. In: Cook, W.G., Ford, A.J., McDermott, J., Standish, P., Stegman, C.L., Stegman, T.M., eds., The Cobar mineral field – a 1996 perspective. Melbourne, The Australisian Institute of Mining and Metallurgy, p. 3–39.</t>
  </si>
  <si>
    <t>Stein, H.J., Markey, R.J., 2001. Re-Os dating of orogenic gold deposits, Yilgarn, Western Australia. Abstract Volume, EUG 11 meeting, Strasbourg, France, April 8-12, 2001.</t>
  </si>
  <si>
    <t>Stein, H.J., Markey, R.J., Morgan, J.W., Selby, D., Creaser, R.A., McCuaig, T.C., Behn, M., 2001. Re-Os dating of Boddington molybdenite, SW Yilgarn – two Au mineralization events. AGSO-Geoscience Australia Record 2001/37, 469–471.</t>
  </si>
  <si>
    <t>Stellar Resources Limited, 2019. Early tin production potential at Razorback. Unpublished Stellar Resoures Limited announcement to the Australian Securities Exchange, 16 July 2019, 15 p.</t>
  </si>
  <si>
    <t>Stellar Resources Limited, 2023. Heemskirk tin mineral resource estimate update increases indicated resource by 24%. Unpublished Stellar Resoures Limited announcement to the Australian Securities Exchange, 4 September 2023, 15 p.</t>
  </si>
  <si>
    <t>Stevens, B.J.P., 1974. Hill End synclinorial zone. In Markham, N.L., Basden, H. (eds.) The mineral deposits of New South Wales. Sydney, Geological Survey of New South Wales, p. 276–294.</t>
  </si>
  <si>
    <t>Stevens, B.J.P., Page, R.W., Crooks, A., 2008. Geochronology of Willyama Supergroup metavolcanics, metasediments and contemporaneous intrusions, Broken Hill, Australia. Australian Journal of Earth Sciences 55, 301-330, DOI: 10.1080/08120090701769456.</t>
  </si>
  <si>
    <t>Stevens, B.P.J. 1976. Barite—New South Wales. Australasian Institute of Mining and Metallurgy Monograph 8, 24–25.</t>
  </si>
  <si>
    <t>Stewart, A.J., 1971. Potassium‐argon dates from the Arltunga Nappe complex, Northern Territory. Journal of the Geological Society of Australia 17, 205–211.</t>
  </si>
  <si>
    <t>Stokes, C.F., Buerger, R.J., Turner, B.J., 2011. An evolving understanding of the controls of the Trident Gold deposit, Higginsville, Western Australia. Proceedings of the Eighth International Mining Geology Conference, Queenstown New Zealand, 22-24 August, 2011. Melbourne, Australasian Institute of Mining and Metallurgy, 191–210.</t>
  </si>
  <si>
    <t>Stolz, A.J., 1995. Geochemistry of the Mount Windsor Volcanics; implications for the tectonic setting of Cambro-Ordovician volcanic-hosted massive sulfide mineralization in northeastern Australia. Economic Geology 90, 1080–1097.</t>
  </si>
  <si>
    <t>Stone, W.E., Masterman, E.E., 1998. Kambalda nickel deposits. Australasian Institute of Mining and Metallurgy Monograph 22, 347–355.</t>
  </si>
  <si>
    <t>Straits Resources Limited (2014). Tritton operations: updated mineral resource and ore reserve estimate. Unpublished Straits Resources Limited announcement to the Australian Securities Exchange, 9 April 2014, 91 p.</t>
  </si>
  <si>
    <t>Stuart, C., 2022. Characterising VMS mineralisation at the Palaeoproterozoic Home of Bullion copper deposit, Aileron Province, central Australia. Northern Territory Geological Survey Record 2022-008.</t>
  </si>
  <si>
    <t>Stuart-Smith, P., Black, L., 1994. The Mount Stavely Volcanic Complex, western Victoria: mainland equivalents of the Tasmanian Cambrian Mount Read Volcanics. AGSO Research Newsletter 21, 13–14.</t>
  </si>
  <si>
    <t>Stuart-Smith, P.G., Needham, R.S., Page, R.W., Wyborn, L.A.I., 1993. Geology and mineral deposits of the Cullen mineral field, Northern Territory. Australian Geological Survey Organisation Bulletin 229, 145 p.</t>
  </si>
  <si>
    <t>Sun Y., Jiang Z., Seccombe P.K., Feng Y., 2000. New dating and a review of previous data for the development, inversion and mineralization in the Cobar Basin, in McQueen K.G., Stegman, C.L., eds., Central West Symposium Cobar 2000. Geology, Landscapes and Mineral Exploration. Perth, Cooperative Research Centre for Landscape Evolution and Mineral Exploration, 113–116.</t>
  </si>
  <si>
    <t>Sun, S.-S., Carr, G.R., Page, R.W., 1996a, A continued effort to improve lead-isotope model ages. AGSO Research Newsletter, No. 24, 19–20.</t>
  </si>
  <si>
    <t>Sun, S.-S., Jaques, A.L., McCulloch, M.T., 1986. Isotopic evolution of the Kimberley Block, Westerm Australia. Geological Society of Australia Abstracts 16, 346–348.</t>
  </si>
  <si>
    <t>Sun-S.-S., Sheraton, J.W., Glikson, A.Y., Stewart, A.J., 1996b, A major magmatic event during 1050-1080 Ma in central Australia, an emplacement age for the Giles Complex. AGSO Research Newsletter, No. 24, 13–15.</t>
  </si>
  <si>
    <t>Sunshine Metals Limited, 2023. Sunshine Metals Limited annual financial report, 30 June 2023, 70 p.</t>
  </si>
  <si>
    <t>Suppel, D.W., Gilligan, L.B., 1993. Metallogenic study and mineral deposit data sheets – Nymagee 1:250 000 metallogenic map SI/55-2. Geological Survey of New South Wales Explanatory Notes, 177 p.</t>
  </si>
  <si>
    <t>Suppel, D.W., Warren, A.Y.E., Watkins, J.J., Chapman, J., Woods, Tenison Woods, K., Barron, L., 1986. A reconnaissance study of the geology and gold deposits of the West Wyalong – Temora – Adelong district. Geological Survey of New South Wales Quarterly Notes 64, 1–23.</t>
  </si>
  <si>
    <t>Sweetapple, M.T., Collins, P.L., 2002. Genetic framework for the classification and distribution of Archean rare metal pegmatites in the North Pilbara Craton, Western Australia. Economic Geology 97, 873–895.</t>
  </si>
  <si>
    <t>Sweetapple, M.T., Cornelius, H., Collins, P.L.F., 2001. The Wodgina tantalum-tin pegmatie district. Geological Survey of Western Australia Record 2001/11, 41-58.</t>
  </si>
  <si>
    <t>Sweetapple, M.T., Holmes, J., Young, J., Grigson, M.W., Barbes, L., Till, S., 2017. Pilgangoora lithium-tantalum pegmatite deposit. Australasian Institute of Mining and Metallurgy Monograph 32, 339–342.</t>
  </si>
  <si>
    <t>Symons, D.T.A., 2007. Paleomagnetism of the HYC Zn-Pb SEDEX Deposit, Australia: evidence of an epigenetic origin. Economic Geology 102, 1295–1310.</t>
  </si>
  <si>
    <t>Symons, D.T.A., Arne, D.C., 2003. Paleomagnetic dating of mineralization in the Kapok MVT deposit, Lennard Shelf, Western Australia. Journal of Geochemical Exploration 78, 267–272.</t>
  </si>
  <si>
    <t>Symons, D.T.A., Arne, D.C., 2005. Paleomagnetic constraints on Zn–Pb ore genesis of the Pillara mine, Lennard shelf, Western Australia. Mineralium Deposita 39, 944–959.</t>
  </si>
  <si>
    <t>Szpunar, M., Hand, M., Barovich, K., Jagodzinski, E., Belousova, E., 2011. Isotopic and geochemical constraints on the Paleoproterozoic Hutchison Group, southern Australia: implications for Paleoproterozoic continental reconstructions. Precambrian Research 187, 99–126.</t>
  </si>
  <si>
    <t>Taheri, J., Bottrill, R., 1999. Porphyry and sedimentary-hosted gold deposits near Cygnet – new styles of gold mineralisation in Tasmania. Tasmanian Geological Survey Record 1999/01, 82 p.</t>
  </si>
  <si>
    <t>Taheri, J., Bottrill, R., 2004. The nature and origins of copper and tin-tungsten deposits in the Balfour–Temma area, northwest Tasmania. Tasmanian Geological Survey Record 2004/05, 65 p.</t>
  </si>
  <si>
    <t>Taheri, J., Bottrill, R., 2005. Devonian granites and associated mineralisation in northeast and northwest Tasmania. Tasmanian Geological Survey Record 2005/03, 72 p.</t>
  </si>
  <si>
    <t>Taheri, J., Green, G.R., 1990. The origin of gold-tin-copper mineralisation at the Lakeside deposit, western Tasmania. Tasmania Department of Resources and Energy, Division of Mines and Mineral Resources Mt Read Volcanic Project Geological Report 5, 59 p.</t>
  </si>
  <si>
    <t>Tanami Gold NL, 2023. Tanami Gold NL 2023 annual report, 48 p.</t>
  </si>
  <si>
    <t>Taranovic, V., Barnes, S.J., Beresford, S., Williams, M., McRae, C., Schoneveld, L.W., 2022. Nova-Bollinger Ni-Cu sulfide ore deposits, Fraser Zone, Western Australia: petrogenesis of the host intrusions. Economic Geology 117, 455-584.</t>
  </si>
  <si>
    <t>Taube, A., 1986. The Mount Morgan gold-copper mine and environment, Queensland: a volcanogenic massive sulfide deposit associated with penecontemporaneous faulting. Economic Geology 81, 1322–1340.</t>
  </si>
  <si>
    <t>Taube, A., 1990a. Mount Morgan gold-copper deposit. Australasian Institute of Mining and Metallurgy Monograph 14, 1499–1504.</t>
  </si>
  <si>
    <t>Taube, A., 1990b. Mount Chalmers gold-copper deposits. Australasian Institute of Mining and Metallurgy Monograph 14, 1493–1497.</t>
  </si>
  <si>
    <t>Taube, A., van der Helder, P., 1983. The Mount Chalmers mine and environment – a Kuroko-style volcanogenic sulphide environment. In: Permian geology of Queensland. Brisbane, Geological Society of Australia, Queensland Division, p. 387–399.</t>
  </si>
  <si>
    <t>Tawana Resources NL, 2018. Lithium ore reserve increase of 105% at Bald Hill. Unpublished TAwana Resources NL announcement to the Australia Securities Exchange, 6 June 2018, 33 p.</t>
  </si>
  <si>
    <t>Taylor, D., Dalstra, H.J., Harding, A.E., Broadbent, G.C., Barley, M.E., 2001. Genesis of high-grade hematite orebodies in the Hammersley Province. Economic Geology 96, 837–873.</t>
  </si>
  <si>
    <t>Taylor, D.H., 1996. Linton. 1:50 000 geological map. Geological Survey of Victoria.</t>
  </si>
  <si>
    <t>Taylor, D.H., 1998. Ballarat gold deposits. Australasian Institute of Mining and Metallurgy Monograph 22, 543–548.</t>
  </si>
  <si>
    <t>Taylor, D.H., Whitehead, M.L., Olshina, A., Leonard, J.G., 1996. Ballarat 1:100 000 map geological report. Geological Survey of Victoria Report 101.</t>
  </si>
  <si>
    <t>Taylor, D.H., Willman, C.E., Hughes, M.J., Boucher, R.K., 2017b. Recent gold mining and exploration in Victoria. Australasian Institute of Mining and Metallurgy Monograph 32, 807–810.</t>
  </si>
  <si>
    <t>Taylor, D.H., Wohlt, K.E., Simmons, B.A., Maher, S., Morand, V.J., Sapurmas, P., 2000. Creswick – 1:100 000 map area geological report. Geological Survey of Victoria Report 117, 147 p.</t>
  </si>
  <si>
    <t>Taylor, G., Eggleton, R.A., 2008. Genesis of pisoliths and of the Weipa bauxite deposit, northern Australia. Australian Journal of Earth Sciences 55, S83–S107.</t>
  </si>
  <si>
    <t>Taylor, G., Eggleton, R.A., Foster, L.D., Tilley, D.B, Le Gleuher, M., Morgan, C.M., 2008. Nature of the Weipa Bauxite deposit, northern Australia, Australian Journal of Earth Sciences 55,  S45–S70.</t>
  </si>
  <si>
    <t>Taylor, I., 2023. Independent technical report on the mineral resource estimate, Great Pyramid tin property, Australia. TinOne Resources report to the Toronto Stock Exchange, 9 Dec 2023. Ref: MA2317-2-2. 100 pp.</t>
  </si>
  <si>
    <t>Taylor, M.I., McMillan, N.E., Dalrymple, I.J., Hayward, N., 2017a. Teena zinc-lead deposit. Australasian Institute of Mining and Metallurgy Monograph 32, 483–484.</t>
  </si>
  <si>
    <t>Taylor, R.D., Leach, D.L., Bradley, D.C., Pisarevsky, S.A., 2009. Compilation of mineral resource data for Mississippi Valley-type and clastic-dominated sediment-hosted lead-zinc deposits. United States Geological Survey Open-File Report 2009–1297, 42 p.</t>
  </si>
  <si>
    <t>Taylor, R.G., Morgan, W.R., Phillips, D.N., 1970. On the occurrence of varlamoffite at the Sardine tin mine, north Queensland, Australia. Mineralogical Magazine 37, 624–628.</t>
  </si>
  <si>
    <t>Taylor, S., Mathison, I.J., 1990. Oceana lead-zinc-silver deposit. Australasian Institute of Mining and Metallurgy Monograph 14, 1253–1256.</t>
  </si>
  <si>
    <t>Taylor, W.R., Page, R.W., Esslemont, G., Rock, N.M.S., Chalmers, D.I., 1995. Geology of the volcanic-hosted Brockman rare-metals deposit, Halls Creek Mobile Zone, northwest Australia. I. Volcanic environment, geochronology and petrography of the Brockman volcanics. Mineralogy and Petrology 52, 209–230.</t>
  </si>
  <si>
    <t>Taylor, W.R., Schmid, S., 2017. Bigryli uranium-vanadium deposit. Australasian Institute of Mining and Metallurgy Monograph 32, 571–574.</t>
  </si>
  <si>
    <t>Teale, G.S., Brewer, A.M., Fanning, C.M., Havilah Resources, 2014. The Prospect Hill tin deposit: new discoveries and ideas. Presentation to the South Australian Exploration and Mining Conference, December 2014.</t>
  </si>
  <si>
    <t>Teale, G.S., Say, P., Green, N., Forgan, H., Went, D., Twining, M., Cole, L., 2017. Hillside copper-gold deposit. Australasian Institute of Mining and Metallurgy Monograph 32, 631–634.</t>
  </si>
  <si>
    <t>Tear, S., 2019. Resource estimation for the Jervois Copper Project, NT. Unpublished H &amp; S Consultants Proprietary Limited report to KGL Resources Limited, 227 p.</t>
  </si>
  <si>
    <t>Teen, M.T., 1996. Silicification and base metal mineralisation within the Earaheedy Basin, Western Austrlia. Unpublished B.Sc. Honours thesis, University of Tasmania.</t>
  </si>
  <si>
    <t>Teitler, Y., Duuring, P., Hagemann, S.G., 2017. Genesis history of iron ore from Mesoarchean BIF at the Wodgina mine, Western Australia. Australian Journal of Earth Sciences 64, 41–62.</t>
  </si>
  <si>
    <t>Terramin Australia Limited, 2018. Bird-in-Hand scoping study generates strong returns. Unpublished Terramin Australia Limited announcment to the Australian Securities Exchange, 30 October 2018, 36 p.</t>
  </si>
  <si>
    <t>Terramin Australia Limited, 2020. Bird in Hand mineral resources statement - April 2020. Unpublished Terramin Australia Limited announcment to the Australian Securities Exchange, April 2020, 17 p.</t>
  </si>
  <si>
    <t>Tessalina, S., 2016. Re-Os dating of molybdenite (Samples ID: 14CA00001 [451.7 – 451.8] and 12CA00002- 66.74]). Unpublished John de Laeter Centre for Isotope Research (Curtin University) Report, 2 p.</t>
  </si>
  <si>
    <t>Thalhammer, O.A.R., 1992. Deformation history and the formation of auriferous quartz veins in the Warratta and Mount Poole inliers, northwestern New South Wales, Australia. Proceedings of the Australasian Institute of Mining and Metallurgy 297, 2, 45–63.</t>
  </si>
  <si>
    <t>Thébaud, N., Sugiono, D., LaFlamme, C., Miller, J., Fisher, L., Voute, F., Tessalina, S., Sonntag, I., Fiorentini, M., 2018. Protracted and polyphased gold mineralisation in the Agnew District (Yilgarn Craton, Western Australia). Precambrian Research 310, 291–304.</t>
  </si>
  <si>
    <t>Thom, J.L., 2001. Geochemistry and petrology of samples from the Sambas, Liffey, Mt. Orient, New Victoria and Peabody mines, Wandiligong and Harrietville goldfields, eastern Victoria. Geological Surey of Victoria Unpublished Report 2002/5, 31 p.</t>
  </si>
  <si>
    <t>Thomas, A., Johnson, K., MacGeehan, P.J., 1990. Norseman gold deposits. Australasian Institute of Mining and Metallurgy Monograph 14, 493–504.</t>
  </si>
  <si>
    <t>Thomas, L., 2013. Geochronology and metamorphism of the magmatic Ni-Cu Nova deposit, Albany-Fraser Range, WA. Unpublished B.Sc. Honours thesis, University of Tasmania.</t>
  </si>
  <si>
    <t>Thompkins, L.A., Pedone, V.A., Roche, M.T., Groves, D.I., 1994a. The Cadjebut deposit as an example of Mississippi Valley-type mineralization on the Lennard Shelf, Western Australia – single episode or multiple events. Economic Geology 90, 450–466.</t>
  </si>
  <si>
    <t>Thompkins, L.A., Rayner, M.J., Groves, D.I., Roche, M.T., 1994b. Evaporites: in situ sulfur source for rhythmically banded ore in the Cadjebut Mississippi Valley-type deposit. Economic Geology 90, 467–492.</t>
  </si>
  <si>
    <t>Thompson, M.J., Watchorn, R.B., Bonwick, C.M., Frewin, M.O., Goodgame, V.R., Pyle, M.J., MacGeehan, P.J., 1990. Gold deposits of Hill 50 Gold Mine NL at Mount Magnet. Australasian Institute of Mining and Metallurgy Monograph 14, 221–241.</t>
  </si>
  <si>
    <t>Thomson Resources Limited, 2021. Thomson outlines significant exploration potential and advances new resource estimation at Conrad silver – critical metals project. Unpublished Thomson Resources Limited announcement to the Australian Securities Exchange, 9 June 2021, 30 p.</t>
  </si>
  <si>
    <t>Thomson Resources Limited, 2022a. Updated polymetallic mineral resource estimate for Mt Carrington Strauss and Kylo deposits increases resources available for central processing. Unpublished Thomson Resources Limited announcement to the Australian Securities Exchange, 22 June 2022, 40 p.</t>
  </si>
  <si>
    <t>Thomson Resources Limited, 2022b. 19.5 Moz silver equivalent indicated and inferred mineral resources estimate for the Texas silver district. Unpublished Thomson Resources Limited announcement to the Australian Securities Exchange, 1 March 2022, 82 p.</t>
  </si>
  <si>
    <t>Thor Mining PLC, 2018. Bonya copper maiden resource estimae. Unpublished Thor Mining PLC announcement to the Australian Securities Exchange, 26 November 2018, 14 p.</t>
  </si>
  <si>
    <t>Thor Mining PLC, 2019. Kapunda project – Copper and Gold update. Unpublished Thor Mining PLC announcement to the Australian Securities Exchange, 19 December 2019, 3 p.</t>
  </si>
  <si>
    <t>Thor Mining PLC, 2020. Mineral sesource estimates – Bonya tungsten and copper. Unpublished Thor Mining PLC announcement to the Australian Securities Exchange, 29 January 2020, 15 p.</t>
  </si>
  <si>
    <t>Thor Mining PLC, 2021. Molyhil project – mineral resource estimate update. Unpublished Thor Mining PLC announcement to the Australian Securities Exchange, 8 April 2021, 33 p.</t>
  </si>
  <si>
    <t>Thordarson, T., de Joux, A., 2017. Cosmos nickel sulfide deposit. Australasian Institute of Mining and Metallurgy Monograph 32, 133–137.</t>
  </si>
  <si>
    <t>Thorne, W., Dalstra, H., Gordon, J., Paine, M., Hagemann, S.G., 2017. Mount Tom Price, Paraburdoo and western Hamersley iron ore deposits. Australasian Institute of Mining and Metallurgy Monograph 32, 363–368.</t>
  </si>
  <si>
    <t>Thorne, W., Hagemann, S.G., Dalstra, H., Banks, D., 2015. Structural control, hydrothermal alteration and fluid chemistry of the concealed, BIF-hosted high-grade iron 4EE ore body at the the Paraburdoo 4E deposit, Hamersley Province, Western Australia. Economic Geology 109, 1529–1562.</t>
  </si>
  <si>
    <t>Thorne, W., Hagemann, S.G., Webb, S.S.G., Clout, J., 2008. Banded iron formation-related iron ore deposits of the Hamersley Province. Reviews in Economic Geology 15, 197–222.</t>
  </si>
  <si>
    <t>Thorpe, R.A., Hickman, A.H., Davis, D.W., Mortensen, J.K., Trendall, A.F., 1992a, U-Pb zircon geochronology of Archean felsic units in the Marble Bar region, Pilbara Craton, Western Australia. Precambrian Research 56, 169–189.</t>
  </si>
  <si>
    <t>Thorpe, R.I., Hickman, A.H., Davis, D.W., Mortensen, J.K., Trendall, A.F., 1992b, Constraints to models for Archaean lead evolution from precise zircon U-Pb geochronology for the Marble Bar region, Pilbara Craton, Western Australia. Geology Department (Key Centre) &amp; University Extension, The University of Western Australia, Publication 22, 395–407.</t>
  </si>
  <si>
    <t>Thundelarra Exploration, 2011. Thunderball uranium deposit maiden JORC resource. Unpublished Thundelarra Exploration announcement to the Australian Securities Exchange, 7 February 2011, 3 p.</t>
  </si>
  <si>
    <t>Timms, D., David, V., 2011. Kempfiled silver, barite and base metal (Pb-Zn) deposit, Lachlan Orogen, eastern Australia. Proceedings of Eight International Mine Geology Conference, Queenstown, New Zealand, 22-24 August 2011, p. 211–223.</t>
  </si>
  <si>
    <t>Tivan, 2023. Technical update on Speewah Project. ASX Announcement 6 October 2023, 10 pp.</t>
  </si>
  <si>
    <t>Tivan, 2024. Tivan upgrades mineral resource estimate for Speewah Fluorite Project. ASX Announcement 22 April 2024, 32 pp.</t>
  </si>
  <si>
    <t>Tomkins, A.G., 2017. Granulite-hosted Challenger gold deposit. Australasian Institute of Mining and Metallurgy Monograph 32, 595–600.</t>
  </si>
  <si>
    <t>Tomkins, A.G., Dunlap, W.J., Mavrogenes, J.A., 2004. Geochronological constraints on the polymetamorphic evolution of the granulite-hosted Challenger gold deposit, NW Gawler Craton. Australian Journal of Earth Sciences 51, 1–14.</t>
  </si>
  <si>
    <t>Tomlinson, K.M., Wilson, C.J.L., Hazeldene, R., Lohe, E.M., 1988. Structural control on gold mineralization at Walhalla, Victoia. Australian Journal of Earth Sciences 35, 421–444.</t>
  </si>
  <si>
    <t>Tonkin, D.G., Creelman, R.A., 1990. Mount Gunson copper deposits. Australasian Institute of Mining and Metallurgy Monograph 14, 1037–1043.</t>
  </si>
  <si>
    <t>Torrey, C.E., 1986, The geology and genesis of the Red Dome (Mungana) gold skarn deposit, north Queensland. Unpublished MSc thesis, James Cook University.</t>
  </si>
  <si>
    <t>Torrey, C.E., and White, P.D., 1998, Porphyry copper and gold mineralization at Cargo, NSW. Geological Society of Australia Abstracts 49, 442.</t>
  </si>
  <si>
    <t>Towsey, C.A.J., 2012. The Mineral Resources and Reserves of the Charters Towers Gold Project. Unpublished Pathfinder Exploration Proprietary Limited report to Citigold Corporation Limited.</t>
  </si>
  <si>
    <t>Towsey, C.A.J., 2020. Mineral resources and ore reserves 2020 – Charters Towers gold project. Unpublished Pathfinder Exploration Proprietary Limited NI43-101 technical report to Citigold Corporation Limited, 8 December 2020, 189 p.</t>
  </si>
  <si>
    <t>Transition Minerals Limited, 2023. Barkly initial inferred mineral resource - 40 Mt @ 2100 ppm TREO. Unpublished Transition Minerals Limited announcement to the Australian Securities Exchange, 21 November 2023, 43 p.</t>
  </si>
  <si>
    <t>Trendall, A.F., Nelson, D.R., De Laeter, J.R., Hassler, S.W., 1998. Precise zircon U–Pb ages from the Marra Mamba Iron Formation and Wittenoom Formation, Hamersley Group, Western Australia. Australian Journal of Earth Sciences 45, 137–142.</t>
  </si>
  <si>
    <t>TriAusMin Limited, 2014. TriAusMin commences drilling at the Overflow project, central New South Wales, Australia. Unpublished TriAusMin Limited announcement to the Australian Securities Exchange, 5 May 2014, 11 p.</t>
  </si>
  <si>
    <t>Tripp, G.I., 2000. Structural geology and gold mineralisation of the Ora Banda and Zuleika districts, Eastern Goldfields, Western Australia. Unpublished M.Sc. thesis, Curtin University of Technology, 378 p.</t>
  </si>
  <si>
    <t>Tully, R.B., Platt, H.K., Chirnside, A.R., Murray, A.L., 2017. Gold deposits of the Granny Smith-Wallaby district. Australasian Institute of Mining and Metallurgy Monograph 32, 255–259.</t>
  </si>
  <si>
    <t>Tungsten Mining NL, 2019. Update on activities at Mulgine Hill. Unpublished Tungsten Mining NL announcement to the Australian Securities Exchange, 12 April 2019, 26 p.</t>
  </si>
  <si>
    <t>Tungsten Mining NL, 2020. Update of mineral resource estimate for Mulgine Trench deposit. . Unpublished Tungsten Mining NL announcement to the Australian Securities Exchange, 4 May 2020, 28 p.</t>
  </si>
  <si>
    <t>Tungsten Mining NL, 2023. Tungsten Mining 2023 annual report, 62 p.</t>
  </si>
  <si>
    <t>Tunjic, J.A., Donaldson, J., Osborne, J.P., Davys, C., Berg, R., 2019. Yarmana geology: foundations for further discovery. Proceedings of AEGC2019: From Data to Discovery.</t>
  </si>
  <si>
    <t>Tunks, A.J., Cooke, D., 2007. Geological and structural controls on gold mineralisation in the Tanami district, Northern Territory. Mineralium Deposita 42, 107–126.</t>
  </si>
  <si>
    <t>Turnbull, D.G., McDermott, G.J., 1998. Deborah line of reef gold deposits, Bendigo. Australasian Institute of Mining and Metallurgy Monograph 22, 521–526.</t>
  </si>
  <si>
    <t>Twelvetrees, W.H., Ward, L.K., 1910. The orebodies of the Zeehan field. Geological Survey of Tasmania Bulletin 8.</t>
  </si>
  <si>
    <t>Twyerould, S.C., 1997. The geology and genesis of the Ernest Henry Fe–Cu–Au deposit, northwest Queensland, Australia. Unpublished Ph.D. thesis, University of Oregon.</t>
  </si>
  <si>
    <t>Vaasjoki, M., Gulson, B.L., 1986. Carbonate-hosted base metal deposits: lead isotope data bearing on their genesis and exploration. Economic Geology 81, 156–172.</t>
  </si>
  <si>
    <t>Valenta, R., 2018a. Chapter 2 - Mount Isa Cu and Pb-Zn-Ag orebodies. Northwest Mineral Province Deposit Atlas. https://smi.uq.edu.au/project/nw-mineral-province-deposit-atlas.</t>
  </si>
  <si>
    <t>Valenta, R., 2018b. Chapter 3 - Ernest Henry Cu-Au deposit. Northwest Mineral Province Deposit Atlas. https://smi.uq.edu.au/project/nw-mineral-province-deposit-atlas.</t>
  </si>
  <si>
    <t>Valenta, R., 2019a. Chapter 5 - Cannington, Pegmont and Maronan. Northwest Mineral Province Deposit Atlas. https://smi.uq.edu.au/project/nw-mineral-province-deposit-atlas.</t>
  </si>
  <si>
    <t>Valenta, R., 2019b. Chapter 6 - Osborne and Kulthor Cu-Au Deposits. Northwest Mineral Province Deposit Atlas. https://smi.uq.edu.au/project/nw-mineral-province-deposit-atlas.</t>
  </si>
  <si>
    <t>Valenta, R., 2019c. Chapter 7 - Eloise Cu-Au-Ag deposit. Northwest Mineral Province Deposit Atlas. https://smi.uq.edu.au/project/nw-mineral-province-deposit-atlas.</t>
  </si>
  <si>
    <t>Valenta, R., 2019d. Chapter 8 - Lady Loretta Zn-Pb-Ag deposit and Lady Annie Cu deposit. Northwest Mineral Province Deposit Atlas. https://smi.uq.edu.au/project/nw-mineral-province-deposit-atlas.</t>
  </si>
  <si>
    <t>Valenta, R., 2019e. Chapter 9 - Gunpowder (Mount Gordon) Cu-Co deposits. Northwest Mineral Province Deposit Atlas. https://smi.uq.edu.au/project/nw-mineral-province-deposit-atlas.</t>
  </si>
  <si>
    <t>Valenta, R., 2019f. Chapter 10 - Century and Grevillea Pb-Zn-Ag Deposits. Northwest Mineral Province Deposit Atlas. https://smi.uq.edu.au/project/nw-mineral-province-deposit-atlas.</t>
  </si>
  <si>
    <t>Valenta, R., 2019g. Chapter 11 - George Fisher Zn-Pb-Ag deposit. Northwest Mineral Province Deposit Atlas. https://smi.uq.edu.au/project/nw-mineral-province-deposit-atlas.</t>
  </si>
  <si>
    <t>Valenta, R., 2019h. Chapter 12 - E1 Cu-Au Deposit. Northwest Mineral Province Deposit Atlas. https://smi.uq.edu.au/project/nw-mineral-province-deposit-atlas.</t>
  </si>
  <si>
    <t>Valenta, R., 2019i. Chapter 13 - Rocklands Cu-Co deposit. Northwest Mineral Province Deposit Atlas. https://smi.uq.edu.au/project/nw-mineral-province-deposit-atlas.</t>
  </si>
  <si>
    <t>Valenta, R., 2019j. Chapter 14 - Tick Hill gold deposit. Northwest Mineral Province Deposit Atlas. https://smi.uq.edu.au/project/nw-mineral-province-deposit-atlas.</t>
  </si>
  <si>
    <t>Valenta, R., 2019k. Chapter 15 - Kalman Cu-Mo-Au-Ag-Re deposit. Northwest Mineral Province Deposit Atlas. https://smi.uq.edu.au/project/nw-mineral-province-deposit-atlas.</t>
  </si>
  <si>
    <t>Valenta, R., 2019l. Chapter 16 - Dugald River Zn-Pb-Ag deposit. Northwest Mineral Province Deposit Atlas. https://smi.uq.edu.au/project/nw-mineral-province-deposit-atlas.</t>
  </si>
  <si>
    <t>Valenta, R., 2019m. Chapter 17 - Roseby Cu-Au deposits. Northwest Mineral Province Deposit Atlas. https://smi.uq.edu.au/project/nw-mineral-province-deposit-atlas.</t>
  </si>
  <si>
    <t>Valenta, R., 2020a. Chapter 18 - Mary Kathleen U-REE deposit. Northwest Mineral Province Deposit Atlas. https://smi.uq.edu.au/project/nw-mineral-province-deposit-atlas.</t>
  </si>
  <si>
    <t>Valenta, R., 2020b. Chapter 19 - Walford Creek Cu-Pb-Zn-Ag-Co deposit. Northwest Mineral Province Deposit Atlas. https://smi.uq.edu.au/project/nw-mineral-province-deposit-atlas.</t>
  </si>
  <si>
    <t>Valenta, R., 2020c. Chapter 20 - Ardmore phosphate deposit. Northwest Mineral Province Deposit Atlas. https://smi.uq.edu.au/project/nw-mineral-province-deposit-atlas.</t>
  </si>
  <si>
    <t>Valenta, R., 2020d. Chapter 21 - Valhalla U deposit. Northwest Mineral Province Deposit Atlas. https://smi.uq.edu.au/project/nw-mineral-province-deposit-atlas.</t>
  </si>
  <si>
    <t>Valenta, R., and Hinman, M., 2019. Chapter 4 - Selwyn Region Cu-Au-Mo Deposits. Northwest Mineral Province Deposit Atlas. https://smi.uq.edu.au/project/nw-mineral-province-deposit-atlas.</t>
  </si>
  <si>
    <t>Valenta, R.K., 1991. Structural controls on mineralisation of the Coronation Hill deposit and surrounding area. Bureau of Mineral Resources, Geology and Geophysics Record 1991/107.</t>
  </si>
  <si>
    <t>Valetich, M., Zivak, D., Spandler, C., Degeling, H., 2021. REE enrichment of phosphorites: an example of the Cambrian Georgina Basin of Australia. Chemical Geology 588, 120654.</t>
  </si>
  <si>
    <t>Vallini, D.A., Groves, D.I., McNaughton, N.J., Fletcher, I.R., 2007. Uraniferous diagenetic xenotime in northern Australia and its relationship to unconformity-associated uranium mineralisation. Mineralium Deposita 42, 51–64.</t>
  </si>
  <si>
    <t>van de Graaff, W.J.E., Crowe, R.W.A., Bunting, J.A., Jackson, M.J., 1977. Relict early Cainozoic drainages in Western Australia. Zeitschrift Fur Geomorphologie (Annals of Geomorphology) 21, 379–400.</t>
  </si>
  <si>
    <t>Van Kranendonk, M.J., Hickman, A.H., Huston, D.L., 2006. Geology and mineralization of the east Pilbara - a field guide. Geological Survey of Western Australia Record 2006/17, 90 p.</t>
  </si>
  <si>
    <t>Van Kranendonk, M.J., Ivanic, T.J., 2008. A new lithostratigraphic scheme for the northeastern Murchison Domain, Yilgarn Craton. Geological Survey of Western Australia Annual Review 2007/2008, 35–47.</t>
  </si>
  <si>
    <t>Van Kranendonk, M.J., Philippot, P., Lepot, K., Bodorkos, S., Pirajno, F., 2008. Geological setting of Earth’s oldest fossils in the ca. 3.5 Ga Dresser Formation, Pilbara Craton, Western Australia. Precambrian Research 167, 93–124.</t>
  </si>
  <si>
    <t>Van Kranendonk, M.J., Pirajno, F., 2004. Geological setting and geochemistry of metabasalts and alteration zones associated with hydrothermal chert ± barite deposits in the ca. 3.45 Ga Warrawoona Group, Pilbara Craton, Australia. Geochemistry: Exploration, Environment, Analysis 4, 253–278.</t>
  </si>
  <si>
    <t>Van Krieken, A.T., Wilson, C.J.L., 2015. Structural and timing constraints on molybdenum and tungsten mineralisation at Yea, Victoria, Australian Journal of Earth Sciences 62, 985–1007.</t>
  </si>
  <si>
    <t>Vandenberg, A.H.M., Cayley, R.A., Willman, C.E., Morand, A.R., Seymon, A.R., Osborne, C.R., Taylor, D.H, Haydon, S.J., McLean, M.,Quinn, C., Jackson, P., Sandford, A., 2006. Walhalla-Woods Point-Tallangallook speical map area geological report. Geological Survey of Victoria Report 127, 462 p.</t>
  </si>
  <si>
    <t>Vandenberg, A.H.M., Willman, C.E., Hendrickx, M., Bush, M.D., Sands, B.C., 1995. The geology and prospectivity of the 1993 Mount Wellington airborne survey area. Geological Survey of Victoria VIMP Report 2, 165 p.</t>
  </si>
  <si>
    <t>Varndell, B.J., 2017. Independent technical valuation of the Lincoln Minerals Limited assets, South Australia. Unpublished Al Maynard &amp; Associated Pty Ltd report to Stantons International Securities Pty Ltd, 21 April 2017, 39 p. https://www.asx.com.au/asxpdf/20170821/pdf/43lkmyfk7fpzks.pdf.</t>
  </si>
  <si>
    <t>Vaughan, J., Tungpalan, K., Parbhakar-Fox, A., Fu, W., Gagen, E.J., Nkrumah, P.N., Southam, G., Van der Ent, A., Erskine, P.D., Gow, P., Valenata, R., 2021. Toward closing a loophole: recovering rare earth elements from uranium metallurgical process tailings. JOM 73, https://doi.org/10.1007/s11837-020-04451-7.</t>
  </si>
  <si>
    <t>Vaughan, J.P., Stanton, R.L., 1986. Sedimentary and metamorphic factors in the development of the Pegmont stratiform Pb-Zn deposit, Queensland, Australia. Transactions of the Institution of Mining and Metallurgy, Section B: Applied Earth Science, B94–B121.</t>
  </si>
  <si>
    <t>Vearncombe, J.R., Bright, S., Conner, G., 2017. Mount Mulgine tungsten deposit. Australasian Institute of Mining and Metallurgy Monograph 32, 159–160.</t>
  </si>
  <si>
    <t>Vearncombe, J.R., Chisnall, A.W., Dentith, M.C., Dörling, S.L., Rayner, M.J., Holyland, P.W., 1996. Structural controls on Mississippi Valley-type mineralization, the southeastern Lennard Shelf, Western Australia. Society of Economic Geologists Special Publication 4, 74–94.</t>
  </si>
  <si>
    <t>Vearncombe, S.E., 1995. Volcanogenic massive sulphide-sulfate mineralisation at Strelley, Pilbara Craton, Western Australia. Unpublished Ph.D. thesis, University of Western Australia,152 p.</t>
  </si>
  <si>
    <t>Vellacott, S., 2016. Dhupuma Plateau bauxite mine, mining management plan, Gove, NT. Unpublished Landroc Proprietary Limited report to Gulkula Mining Company Proprietary Limited, 71 p. http://epbcnotices.environment.gov.au/_entity/annotation/659cc04a-79b6-e611-b33d-005056ba00a7/a71d58ad-4cba-48b6-8dab-f3091fc31cd5?t=1523491200371.</t>
  </si>
  <si>
    <t>Venture Minerals, 2012. Quarterly report for the period ending 30 September 2012. ASX announcement 17 October 2012, 20 pp.</t>
  </si>
  <si>
    <t>Venturex Resources Limited, 2020. 2020 annual report. 60 p.</t>
  </si>
  <si>
    <t>Venus Metals Corporation Limited, 2018. Significant increase in Youanmi near surface deposits boosting total JORC 2012 resources to c. 1.2 million ounces of gold at Youanmi. Venus Metals Corporation Ltd release to Australian Securities Exchange, 29 June 2018, 27 p.</t>
  </si>
  <si>
    <t>Verbaas, J., Beckett, S., 2012. Nevoria East mineral resource estimate, February 2012. Unpublished CSA Global Ltd report to St Barbara Ltd, 71 p.</t>
  </si>
  <si>
    <t>Veska, L., 2015. Annual report, Licence EL8/2011, Cumberland Lake, Western Tasmania, July 2015. Unpublished Australian Hualong Pty Ltd report, 14 p. http://www.mrt.tas.gov.au/mrtdoc/tasxplor/download/15_7265/EL82011_201507_01_Annual_Report_to_July_2015.pdf.</t>
  </si>
  <si>
    <t>VHM Limited, 2023. 2023 Annual Report for the year ended 30 June 2023,110 p.</t>
  </si>
  <si>
    <t>Vicary, M.J., 1983. Final report, EL 1213, Mt Pleasant, Cudgegong area. Geological Survey of New South Wales File GS1983/403.</t>
  </si>
  <si>
    <t>Vickery, N., Leigh, J., Oates, M., 2010. Attunga skarn project: latest exploration findings and interpretations. Australian Institute of Geoscientists Bulletin 52, 147-154.</t>
  </si>
  <si>
    <t>Vielreicher, N., Groves, D., McNaughton, N., Fletcher, I., 2015. The timing of gold mineralization across the eastern Yilgarn craton using U–Pb geochronology of hydrothermal phosphate minerals. Mineralium Deposita 50, 391–428.</t>
  </si>
  <si>
    <t>Vielreicher, N.M., Groves, D.J., Fletcher, I.R., McNaughton, N.J., Rasmussen, B., 2003. Hydrothermal monazite and xenotime geochronology: a new direction for precise dating of orogenic gold mineralization. Society of Economic Geologists Newsletter 53, 10–16.</t>
  </si>
  <si>
    <t>Vielreicher, N.M., Groves, D.J., Snee, L.W., Fletcher, I.R., McNaughton, N.J., 2010. Broad synchroneity of three gold mineralization styles in the Kalgoorlie Gold Field: SHRIMP, U-Pb, 40Ar-39Ar geochronological evidence. Economic Geology 105, 187–227.</t>
  </si>
  <si>
    <t>Vielreicher, N.M., McNaughton, N.J., 2002. SHRIMP U–Pb geochronology of magnetism and thermal events in the Archaean Marymia Inlier, central Western Australia. International Journal of Earth Science 91, 406–432.</t>
  </si>
  <si>
    <t>Vielreicher, N.M., Ridley, J.R., Groves, D.I., 2002. Marymia: An Archaean, amphibolite facies, hosted orogenic lode-gold deposit overprinted by Paleoproterozoic orogenesis and base metal mineralization, Western Australia. Mineralium Deposita 37, 737–764.</t>
  </si>
  <si>
    <t>Villa, I.M., De Bièvre, P., Holden, N.E. and Renne, P.R., 2015. IUPAC-IUGS recommendation on the half life of 87Rb. Geochimica et Cosmochimica Acta 164, 382-385.</t>
  </si>
  <si>
    <t>Vimy Resources Limited, 2018. Maiden mineral resource at Angularli deposit, Alligator River Project. Unpublished Vimy Resources Limited release to the Australian Securities Exchange, 20 March 2018, 25 p.</t>
  </si>
  <si>
    <t>Vogt, J.H., Stumpfl, E.F., 1987. Abra: a strata-bound Pb–Cu–Ba mineralization in the Bangemall Basin, Western Australia. Economic Geology 82, 805–825.</t>
  </si>
  <si>
    <t>Voisey, C.R., Tomkins, A.G., Xing, Y., 2020. Analysis of a telescoped orgenic gold system: insights from the Fosterville deposit. Economic Geology 115, 1645-1664.</t>
  </si>
  <si>
    <t>Von Pechmann E., 1986. Mineralogy, age dating and genesis of the Kylie and Spring Creek uranium prospects, Waterhouse Complex, Northern Territory, Australia. In Craig, J.R., Hagni, R.D., Kiesl, W., Lange, I.M., Petrovskaya, N.V., Shadlun, T.N., Udubasa, G., Augustithis, S.S., editors, Mineral Paragenesis. Athens, Theophrastus Publications, SA, 303–343.</t>
  </si>
  <si>
    <t>Vos, I.M.A., Bierlein, F.P., Phillips, D., 2007. The Palaeozoic tectono-metallogenic evolution of the northern Tasman Fold Belt System, Australia: interplay of subduction rollback and accretion. Ore Geology Reviews 30, 277–296.</t>
  </si>
  <si>
    <t>WA Resources, 2024. 2024 Annual Report, 52p.</t>
  </si>
  <si>
    <t>WA Resources, 2023. West Arunta Project - high-grade central zone at Luni. Unpublished WA1 Resources Limited announcement to the Australia Securities Exchange, 11 December 2023, 19 p.</t>
  </si>
  <si>
    <t>Walker, R.N., Gulson, B., Smith, J., 1983. The Coxco deposit – a Proterozoic Mississippi Valley-type deposit in the McArthur River district, Northern Territory, Australia. Economic Geology 78, 214–249.</t>
  </si>
  <si>
    <t>Wallis, D.S., Oakes, G.M., 1990. Heavy mineral sands in eastern Australia. Australasian Institute of Mining and Metallurgy Monograph 14, 1599–1608.</t>
  </si>
  <si>
    <t>Walshe, J.L., Solomon, M., 1981. An investigation into the environment of formation of the volcanic-hosted Mt. Lyell copper deposits using geology, mineralogy, stable isotopes, and a six-component chlorite solid solution model. Economic Geology 76, 246–284.</t>
  </si>
  <si>
    <t>Waltenberg, K., Blevin, P. L., Bull, K.F., Cronin, D.E., Armistead, S.E., 2016. New SHRIMP U–Pb zircon ages from the Lachlan Orogen and the New England Orogen, New South Wales: Mineral Systems Projects, July 2015–June 2016. Geoscience Australia Record 2016/28, 97 p.</t>
  </si>
  <si>
    <t>Wang, L.G., McNaughton, N.J., Groves, D.I., 1993. An overview on the relationship between granitoid intrusion and gold mineralisation in the Archean Murchison Province, Western Australia. Mineralium Deposita 28, 482–494.</t>
  </si>
  <si>
    <t>Wang, Q, Schiǿtte, L., Campbell, I.H., 1996. Geochronological constraints on the age of komatiites and nickel mineralisation in the Lake Johnston greenstone belt, Yilgarn Craton, Western Australia. Australian Journal of Earth Sciences 43, 381–385.</t>
  </si>
  <si>
    <t>Wang, Q, Schiǿtte, L., Campbell, I.H., 1998. Geochronology of supracrustal rocks from the Golden Grove area, Murchison Province, Yilgarn Craton, Western Australia. Australian Journal of Earth Sciences 45, 571–577.</t>
  </si>
  <si>
    <t>Warren, A.Y.E., Barron, L.M., Meakin, N.S., Morgan, E.J., Raymond, O.L., Cameron, R.G., Colquhoun, G.P., 1999. Mesozoic igneous rocks, in Meakin, N.S., Morgan, E.J. (compilers). Explanatory notes – Dubbo 1:250 000 geological Sheet SI/55-4, 2nd Edition. Australian Geological Survey Organisation and Geological Survey of New South Wales, 313–328.</t>
  </si>
  <si>
    <t>Warren, R.G., Thorpe, R.I., Dean, J.A., Mortensen, J.K., 1995. Pb-isotope data from base-metal deposits in central Australia: implications for Proterozoic stratigraphic correlations. AGSO Journal of Australian Geology and Geophysics 15, 501–509.</t>
  </si>
  <si>
    <t>Watkins, K.P., Tyler, I.M., Hickman, A.H., 1987. Cue, Western Australia. Explanatory Notes to the 1:250 000 Geological Series. Sheet SG50-15 International Index. Geological Survey of Western Australia, 36 pp.</t>
  </si>
  <si>
    <t>Webb, K., 2014. The age and tectonometallogenic setting of the Fifield “Alaskan-type” intrusive suite, Lachlan Orogen, NSW. Unpublished B.Sc. Honours thesis, University of Wollongong, 161 p.</t>
  </si>
  <si>
    <t>Weber, C.R., 1979. The Nundle gold field, New South Wales. Geological Survey of New South Wales Quarterly Notes 37, 1–14.</t>
  </si>
  <si>
    <t>Webster, A., Braniff, V., Bottrill, R., 2017. Savage River magnetite deposits. Australasian Institute of Mining and Metallurgy Monograph 32, 829–834.</t>
  </si>
  <si>
    <t>Wedekind, M.R., Large, R.R., Williams, B.T., 1990. Controls on high-grade mineralization at Tennant Creek, Northern Territory, Australia. Economic Geology Monograph 6, 168–179.</t>
  </si>
  <si>
    <t>Wedekind, M.R., Love, R.J., 1990. Warrego gold-copper-bismuth deposit. Australasian Institute of Mining and Metallurgy Monograph 14, 839–843.</t>
  </si>
  <si>
    <t>Weekes G.J., Robertson A.C., 1993. Magnetite production by Commercial Minerals Limited in Queensland and New South Wales. Australasian Institute of Mining and Metallurgy Monograph 19, 1393–1396.</t>
  </si>
  <si>
    <t>Wellman, P., 1973. Early Miocene potassium-argon age for the Fitzroy lamproites of Western Australia Journal of the Geological Society of Australia 19, 471–474.</t>
  </si>
  <si>
    <t>Wellman, T., Cossom, M., Hingston, R., Stephens, S., 2017. Andy Well gold deposit, Meekatharra. Australasian Institute of Mining and Metallurgy Monograph 32, 283–286.</t>
  </si>
  <si>
    <t>Wells, K., Murray, AM, Cunneen, RD, 1989. The geology and exploration of the Mt Coolon gold deposit. In Broadbent, G, Furnell, R, Morrison, G, eds. NQ Gold 1989 Conference, Australian Institute of Mining and Metallurgy, Melbourne, p. 111–114.</t>
  </si>
  <si>
    <t>Wells, M., Laukamp, C., Hancock, E., 2016. Reflectance spectroscopic characterisation of mineral alteration footprints associated with sediment-hosted gold mineralisation at Mt Olympus (Ashburton Basin, Western Australia), Australian Journal of Earth Sciences 63, 987–1002.</t>
  </si>
  <si>
    <t>Wells, M.A., 2003. Murrin Murrin nickel laterite deposit, WA. http://crcleme.org.au/RegExpOre/MurrinMurrin.pdf</t>
  </si>
  <si>
    <t>Wells, M.A., Butt, C.R.M., 2017. Murrin Murrin and Bulong smectite-hosted nickel laterite deposits. Australasian Institute of Mining and Metallurgy Monograph 32, 149-152.</t>
  </si>
  <si>
    <t>Wells, T.J., Cooke, D.R., Baker, M.J., Zhang, L., Meffre, S., Steadman, J., Norman, M.D., Hoye, J.L., 2021. Geology and geochronology of the Two-Thirty prospect, Northparkes district, NSW. Australian Journal of Earth Sciences 68, 659–683.</t>
  </si>
  <si>
    <t>Wesolowski, D., 1984. Geochemistry of tungsten in scheelite deposits: the skarn ores at King Island, Tasmania. Unpublished Ph.D. thesis, Pennsylvania State University.</t>
  </si>
  <si>
    <t>Western Desert Resiyrces Limited, 2014.  Roper Bar ore reserves statement. Unpublished Western Desert Resources Limited announcement to the Australian Securities Exchange, 17 July 2014, 7p.</t>
  </si>
  <si>
    <t>Westgold Resources Limited, 2017. 2017 Annual Update of Mineral Resources &amp; Ore Reserves, Press Release 4 September 2017, 82 p.</t>
  </si>
  <si>
    <t>Westgold Resources Limited, 2021. Annual report 2021, 110 p.</t>
  </si>
  <si>
    <t>Westgold Resources Limited, 2023. Annual report 2023, 114 p.</t>
  </si>
  <si>
    <t>Wheeler, A., 2017. Technical report on the mineral resources and reserves of the Wolfram Camp project, Australia. Unpublished NI 43-101 report to Almonty Industries, 31 March 2017, 199 p.</t>
  </si>
  <si>
    <t>Whelan, J.A., Hallett, L., Close, D.F., Yaxley, G.M., 2010. Geochemical and isotopic constraints on mafic magmatism in the Irindina Province, eastern Arunta region: implications for mineral prospectivity. Northern Territory Geological Survey Record 2010-002, 29–32.</t>
  </si>
  <si>
    <t>White Rock Minerals Limited, 2020. Exceptional updated gold pre-feasibility study results. Unpublished White Rock Minerals Limited release to the Australian Securities Exchange, 19 August 2020, 48 p</t>
  </si>
  <si>
    <t>Whitehead, P.W., Stephenson, P.J., McDougall, I., Hopkins M.S., Graham, A.W., Collerson, K.D., Johnson, D.P., 2007. Temporal development of the Atherton Basalt Province, north Queensland, Australian Journal of Earth Sciences 54, 691–709.</t>
  </si>
  <si>
    <t>Whitelaw, H.S., Baragwanath, W., 1923. The Daylesford gold-field. Geological Survey of Victoria Bulletin 42, 95 p.</t>
  </si>
  <si>
    <t>Whitford, D.J., Ashley, P.M., 1992. The Scuddles volcanic-hosted massive sulfide deposit, Western Australia: geochemistry of the host rocks and evaluation of lithogeochemistry for exploration. Economic Geology 87, 873–888.</t>
  </si>
  <si>
    <t>Whittle, A.W.G., 1966. The paragenesis and origin of the Tennant Creek mineral deposits. Unpublished Ph.D. thesis, University of Adelaide.</t>
  </si>
  <si>
    <t>Wiedenbeck, M., Watkins, K.P., 1993. A time scale for granitoid emplacement in the Archean Murchison Province, Western Australia, by single zircon geochronology. Precambrian Research 61, 1–26.</t>
  </si>
  <si>
    <t>Wildcat Resource Limited, 2020. Wildcat Resources Limited annual report (formerly known as Fraser Range Metals Group Limited) for the year ended 30 June 2020, 53 p.</t>
  </si>
  <si>
    <t>Wildcat Resource Limited, 2023. Wildcat Resources Limited annual report for the year ended 30 June 2023, 62 p.</t>
  </si>
  <si>
    <t>Wildcat Resource Limited, 2024. New discovery at Tabba Tabba - Luke pegmatite returns 41 m at 1.0% Li2O. Unpublished Widcat Resources Liited announcment to the Australian Securities Exchange, 10 April 2024, 34 p., 53 p.</t>
  </si>
  <si>
    <t>Wilde, A., Andrews, W.L., 2017. Valhalla uranium deposit. Australasian Institute of Mining and Metallurgy Monograph 32, 499–500.</t>
  </si>
  <si>
    <t>Wilde, A., Otto, A., Jory, J., MacRae, C., Pownceby, M., Wilson, N., Torpy, A., 2013. Geology and mineralogy of uranium deposits from Mount Isa, Australia: implications for albitite uranium deposit models. Minerals, 3:258–283.</t>
  </si>
  <si>
    <t>Wilde, A.R.., Noakes, J.S., 1990. Nabarlek uranium deposit. Australasian Institute of Mining and Metallurgy Monograph 14, 779–783.</t>
  </si>
  <si>
    <t>Williams, I.R., 1999. Muccan, W.A. Sheet 2956. Western Australia Geological Survey 1:100 000 Geological Series Explanatory Notes, 39 p.</t>
  </si>
  <si>
    <t>Williams, I.S., Collins, W.J. 1990. Granite-greenstone terranes in the Pilbara Block, Australia, as coeval volcano-plutonic complexes; evidence from U-Pb zircon dating of the Mount Edgar batholith. Earth and Planetary Science Letters 97, 41–53.</t>
  </si>
  <si>
    <t>Williams, M.R., Holwell, D.A., Lilly, RM., Case, G.N.D., McDonald, I., 2015. Mineralogical and fluid characteristics of the fluorite-rich Monakoff and E1 Cu–Au deposits, Cloncurry region, Queensland, Australia: implications for regional F–Ba-rich IOCG mineralisation. Ore Geology Reviews 64, 103–127.</t>
  </si>
  <si>
    <t>Williams, N., 1978a. Studies of the base metal sulphide deposits at McArthur River, Northern Territory, Australia. I: The Cooley and Ridge deposits. Economic Geology 73, 1005–1035.</t>
  </si>
  <si>
    <t>Williams, N., 1978b. Studies of the base metal sulphide deposits at McArthur River, Northern Territory, Australia. II: The sulfide-S and organic-C relationships of the concordant deposits and their significance. Economic Geology 73, 1036–1056.</t>
  </si>
  <si>
    <t>Williams, P. J., 1998. An introduction to the metallogeny of the McArthur River-Mount Isa-Cloncurry minerals province. Economic Geology, 93(8), 1120-1131.</t>
  </si>
  <si>
    <t>Williams, P., 2022. Mineral resource estimaes for Onedin and Sandiego. Unpublished CSA Global memorandum to AuKing Mining Limited, 4 April 2022, 35 p. https://www.aukingmining.com/site/PDF/dc8d0e7b-edb3-46df-87ce-15b92fd58723/CSAGlobalreport.</t>
  </si>
  <si>
    <t>Williams, P., Freeman, H., Anderson, I., Holcombe, R., 2017. Prominent Hill copper-gold deposit. Australasian Institute of Mining and Metallurgy Monograph 32, 611–614.</t>
  </si>
  <si>
    <t>Williams, P.J., Heinemann, M., 1993. Maramungee; a Proterozoic Zn skarn in the Cloncurry District, Mount Isa Inlier, Queensland, Australia. Economic Geology 88, 1114–1134.</t>
  </si>
  <si>
    <t>Williams, P.J., Pendergast, W.J., Dong, G., 1998. Late orogenic alteration in the wall rocks of the Pegmont Pb-Zn deposit, Cloncurry District, Queensland, Australia. Economic Geology 93, 1180–1189.</t>
  </si>
  <si>
    <t>Williams, P.J., Skirrow, R.G., 2000. Overview of iron oxide-copper-gold deposits in the Curnamona Province and Cloncurry district (eastern Mount Isa Block), Australia. In Porter, T.M., ed., Hydrothermal iron oxide copper-gold &amp; related deposits - a global perspective. Adelaide, Australian Mineral Foundation, Inc., 105–122.</t>
  </si>
  <si>
    <t>Williams, R., Potter, J., Snow, N., 2008. Mineral resource estimate, Transvaal Project, Southern Cross, Western Australia. Unpublished report to St Barbara Limited by Runge Limited, 93 p.</t>
  </si>
  <si>
    <t>Willis, J.L., 1970. Mining history of gold deposits of the far south cost, New South Wales. Geological Survey of New South Wales Bulletin 24, 117 p.</t>
  </si>
  <si>
    <t>Willman, C.E., 1995. Castlemaine goldfield – Castlemaine-Chewton, Fryers Creek – 1:10 000 maps geological report. Geological Survey of Victoria Report 106, 123 p.</t>
  </si>
  <si>
    <t>Willman, C.E., Bibby, L.M., Radojkovic, A.M., Maher, S., Haydon, S.J., Hollis, J.D., Osborne, C.R., 2002. Castlemaine 1:100 000 map area geological report. Geological Survey of Victoria Report 121, 170 p.</t>
  </si>
  <si>
    <t>Wilson, A.C., 1990. North Morning Star (Parkinson pit) gold deposit, Mount Magnet. Australasian Institute of Mining and Metallurgy Monograph 14, 249–253.</t>
  </si>
  <si>
    <t>Wilson, A.J., Cooke, D.R., Harper, B.L., 2003. The Ridgeway gold-copper deposit: a high-grade alkalic porphyry deposit in the Lachlan fold belt, New South Wales, Australia. Economic Geology 98, 1637–1666.</t>
  </si>
  <si>
    <t>Wilson, A.J., Cooke, D.R., Stein, H.J., Fanning, C.M., Holliday, J.R., Tedder, I.J., 2007. U-Pb and Re-Os geochronologic evidence for two alkalic porphyry ore-forming events in the Cadia district, New South Wales, Australia. Economic Geology 102, 3–26.</t>
  </si>
  <si>
    <t>Wilson, C.J.L., Moore, D.H., Luzin, V., Salvemini, F., 2017. Costerfield antimony-gold deposit, southeast Australia: coupling between brittle deformation and dissolution-precipitation reactions in the Melbourne Zone. Ore Geology Reviews 91, 741–764.</t>
  </si>
  <si>
    <t>Wiluna Mining, 2022. Annual report 2022, 76 p.</t>
  </si>
  <si>
    <t>Windh, J., 1992. Tectonic evolution and metallogenesis of the Early Proterozoic Glengarry Basin, Western Australia. Unpublished Ph.D. thesis, University of Western Australia.</t>
  </si>
  <si>
    <t>Wingate, M. T. D., &amp; Bodorkos, S. (2007b). 177919: felsic metavolcanicrock, Urania Prospect; Geochronology dataset 666. In Compilation ofgeochronology data. Perth, WA: Western Australia Geological Survey.</t>
  </si>
  <si>
    <t>Wingate, M.T.D., Fielding, I.O.H., Lu, Y., Ivanic, T.J., 2021. 203747: pegmatitic leucogabbro, Julimar prospect. Geological Survey of Western Australia Geochronology Record 1784, 5p.</t>
  </si>
  <si>
    <t>Wingate, M.T.D., Kirkland, C.L., Bodorkos, S., Hickman, A.H., 2010. 160258: felsic metavolcanic rock, Orchard Well. Geological Survey of Western Australia Geochronology Record 840, 4 p.</t>
  </si>
  <si>
    <t>Winnal, N.J., Hibberd, T.J., Thynne, D.S., Wahdan, E., 1998. Some gold deposits of the Bluebird, Nannine and Cuddingwarra goldfields, Murchison district. Australasian Institute of Mining and Metallurgy Monograph 22, 111–118.</t>
  </si>
  <si>
    <t>Winterbottom, J., Holland, I., 2017. Report on the mineral resources &amp; mineral reserves of the Stawell gold mine, in the State of Victoria, Australia. Unpublished Kirkland Lake Gold NI43-101 technical report, 30 March 2017, 207. p.</t>
  </si>
  <si>
    <t>Withnall, I.W., Black, L.P., Harvey, K.J., 1991. Geology and geochronology of the Balcooma area: part of an early Palaeozoic magmatic belt in North Queensland. Australian Journal of Earth Sciences 38, 15–29.</t>
  </si>
  <si>
    <t>Witt, W.K. 1998. Geology and mineral resources of the Ravensthorpe and Cocanarup 1:100 000 sheets. Geological Survey of Western Australia Report 54.</t>
  </si>
  <si>
    <t>Witt, W.K., 2001. Tower Hill gold deposit, Western Australia: an atypical, multiply deformed Archaean gold-quartz vein deposit. Australian Journal of Earth Sciences 48, 81–99.</t>
  </si>
  <si>
    <t>Witt, W.K., Cooper, A., Jones, R., Mitchell, A., Siggs, B., Perring, C.S., Barnes, S.J., Hill, R.E.T., Hunter, W.M., Frost, K. 1997. Geology and mineralzation of the south central Yilgarn Craton, Western Australia - a field guide. Geological Survey of Western Australia Record 1997/8.</t>
  </si>
  <si>
    <t>Witt, W.K., Laneyrie, T., 2017. Red October gold deposit. Australasian Institute of Mining and Metallurgy Monograph 32, 243–244.</t>
  </si>
  <si>
    <t>Witt, W.K., Mills, D., 2017. Carosue Dam gold deposits. Australasian Institute of Mining and Metallurgy Monograph 32, 245–248.</t>
  </si>
  <si>
    <t>Wood, DG, Porter, RG, White, NC, 1990. Geological features of some Paleozoic epithermal gold occurrences in northeastern Queensland, Australia. Journal of Exploration Geochemistry 36, 413–443.</t>
  </si>
  <si>
    <t>Worden, K.E., Carson, C.J., Close, D.F., Donnellan, N., Scrimgeour, I.R., 2008b, Summary of results. Joint NTGS-GA geochronology: Tanami Region, Arunta Region, Pine Creek Orogen and Halls Creek Orogen correlatives, January 2005-March 2007. Northern Territory Geological Survey Record 2008-003, 180p.</t>
  </si>
  <si>
    <t>Worden, K.E., Carson, C.J., Scrimgeour, I.R., Lally, J., Doyle, N., 2008a, A revised Palaeoproterozoic chronostratigraphy for the Pine Creek Orogen, Northern Australia: evidence from SHRIMP U-Pb zircon geochrnology. Precambrian Research 166, 122-144.</t>
  </si>
  <si>
    <t>Wormald, P.J., 2017. Mount Leyshon gold deposit. Australasian Institute of Mining and Metallurgy Monograph 32, 697–704.</t>
  </si>
  <si>
    <t>WPG Resources, 2016. Tarcoola gold project – updated feasibility study and revised ore reserve estimate. Unpublished WPG Resources announcement to the Australian Securities exchange, 1 September 2016, 23 p.</t>
  </si>
  <si>
    <t>Wright, J.H., Kwak, T.A.P., 1989. Tin-bearing greisens of Mount Bischoff, northwestern Tasmania. Economic Geology 84, 551–574.</t>
  </si>
  <si>
    <t>Wright, K., James, B., Pucko, E., 2017. Cannington Ag-Pb-Zn deposit. Australasian Institute of Mining and Metallurgy Monograph 32, 507–512.</t>
  </si>
  <si>
    <t>Wülser, P.A., Brugger, J., Foden, J., Pfeifer, H.R., 2011. The sandstone-hosted Beverley uranium deposit, Lake Frome Basin, South Australia: mineralogy, geochemistry, a time-constrained model for its genesis. Economic Geology 106, 835–867.</t>
  </si>
  <si>
    <t>Wyborn D., Warren, A.Y.E., Meakin N.S., 1999. Yeoval Batholith in Meakin, N.S., Morgan, E.J. (compilers). Explanatory notes – Dubbo 1:250 000 geological Sheet SI/55-4, 2nd Edition. Australian Geological Survey Organisation and Geological Survey of New South Wales, 211–223.</t>
  </si>
  <si>
    <t>Wyborn, D., 1971. The geology and genesis of the Golden Forty gold-bismuth-copper deposit, Tennant Creek, Northern Territory. Unpublished B.Sc. Honours thesis, University of Sydney.</t>
  </si>
  <si>
    <t>Wyborn, L.A.I., 1987. The petrology and geochemistry of alteration assemblages in the Eastern Creek Volcanics, as a guide to copper and uranium mobility associated with regional metamorphism and deformation, Mount Isa, Queensland. Geological Society Special Publication 33, 425–434.</t>
  </si>
  <si>
    <t>Wygralak, A.S., Huston, D.L., Mernagh, T.P., 2017. Gold deposits of the Tanami gold province. Australasian Institute of Mining and Metallurgy Monograph 32, 547–550.</t>
  </si>
  <si>
    <t>Yandal Resources, 2023. Mt McClure Mineral Resource Inventory increased by 34% to 182koz Au. ASX announcement, 3 October 2023, 44 p.</t>
  </si>
  <si>
    <t>Yates, K.R., Robinson, P., 1990. Nobles Nob gold deposit. Australasian Institute of Mining and Metallurgy Monograph 14, 861–865.</t>
  </si>
  <si>
    <t>Yeates, G., 1989. Middleback Range iron deposits. Institute of Mining and Metallurgy Monograph 14, 1045–1048.</t>
  </si>
  <si>
    <t>Yeats, C.J., Groves, D.I., 1998. The Archean Mount Gibson gold deposits, Yilgarn Craton, Western Australia: products of a combined synvolcanic and syntectonic alteration and mineralisation. Ore Geology Reviews 13, 103–129.</t>
  </si>
  <si>
    <t>Yeats, C.J., McNaughton, N.J., Groves, D.I., 1996. SHRIMP U-Pb geochronological constraints on Archean volcanic-hosted massive sulfide and lode gold mineralization at Mount Gibson, Western Australia. Economic Geology 91, 1354–1371.</t>
  </si>
  <si>
    <t>Yeats, C.Y., NcNaughton, N.J., Ruettger, D., Bateman, R., Groves, D.I., Harris, J.L., Kohler, E., 1999. Evidence for diachronous Archean lode gold mineralization in the Yilgarn Craton, Western Australia: A SHRIMP U-Pb study of intrusive rocks. Economic Geology 94, 1259–1276.</t>
  </si>
  <si>
    <t>Young, C.J., Groves, D.I., Morant, P., 2003. Sediment-hosted disseminated gold mineralization in the Palaeoproterozoic Ashburton Province, Western Australia: A new epizonal orogenic gold province related to Capricorn orogeny? In Eliopoulos, D.G., et al., editors, Mineral exploration and sustainable development. Proceedings of the 7th Biennial SGA Meeting, Athens, Greece, 24–28 August 2003, 835–838.</t>
  </si>
  <si>
    <t>Young, D.N., Edgoose, C.J., Blake, D.H., Shaw, R.D., 1995a. Mount Doreen, Northern Territory, 1:250 000 geological map series explanatory notes, SF 52-12. Northern Territory Geological Survey, Darwin.</t>
  </si>
  <si>
    <t>Young, D.N., Fanning, C.M., Shaw, R.D., Edgoose, C.J., Blake, D.H., Page, R.W., Camacho, A., 1995b. U-Pb zircon dating of tectonothermal events in the northern Arunta Inlier, central Australia. Precambrian Research 71, 45–68.</t>
  </si>
  <si>
    <t>YTC Resources Limited, 2008. Doradilla Project. Inferred Resources for 3KEL &amp; Midway Laterite Deposits. Unpublished YTC Resources Limited announcement to the Australian Securities Exchange, 3 March 2008.</t>
  </si>
  <si>
    <t>Yu, J., Morrissey, L.J., Hand, M., Payne, J.L. and Chen, Y.J., 2024. The Fe-Cu disconnect: Unraveling a composite iron oxide copper-gold deposit in the olympic Fe-Cu-Au province, gawler craton. Economic Geology 119, 189-199.</t>
  </si>
  <si>
    <t>Zamia Metals Limited, 2012. Anthony molybdenum resource update. Unpublished Zamia Metals Limited announcement to the Australian Securities Exchange, 15 March 2012, 5 p.</t>
  </si>
  <si>
    <t>Zegers, T.E., Barley, M.E., Groves, D.I., McNaughton, N.J., White, S.H., 2002. Oldest gold: deformation and hydrothermal alteration in the early Archean shear-zone-hosted Bamboo Creek deposit, Pilbara, Western Australia. Economic Geology 97, 757–773.</t>
  </si>
  <si>
    <t>Zenith Minerals Limited, 2021.  New gold project - investment. Unpublished Zenith Resources Limited announcement to the Australian Securities Exchange, 13 May 2021, 23 p.</t>
  </si>
  <si>
    <t>Zenith Minerals Limited, 2023. Maiden lithium Minerals Resouce, Split Rocks Project – Western Australia. ASX announcement 28 September 2023, 45 pp</t>
  </si>
  <si>
    <t>Zhukova, I.A., Stepanov, A.S., Jiang, S.Y., Murphy, D., Mavrogenes, J., Allen, C., Chen, W. and Bottrill, R., 2021. Complex REE systematics of carbonatites and weathering products from uniquely rich Mount Weld REE deposit, Western Australia. Ore Geology Reviews 139, 104539.</t>
  </si>
  <si>
    <t>Zi, J.,  Rasmussen, B., Muhling, J.R., Fletcher, I.R., Dunkley, D.J., Johnson, S.P., Thorne, A.M., Cutten, H.N., Korhonen, F.J.,  2015. In situ U-Pb geochronology of xenotime and monazite from the Abra deposit in the Capricorn Orogen: Dating hydrothermal mineralization and fluid events along a long-lived crustal structure. Precambrian Research 260, 91–112.</t>
  </si>
  <si>
    <t>Zukowski, W., 2010. Geology and mineralisation of the Endeavour 41 Gold Deposit, Cowal district, NSW, Australia. Unpublished Ph.D. thesis, University of Tasmania, 275 p.</t>
  </si>
  <si>
    <t>Zurkic, N., 1998. Fosterville gold deposits. Australasian Institute of Mining and Metallurgy Monograph 22, 507–510.</t>
  </si>
  <si>
    <t xml:space="preserve">Metamorphic - hydrothermal </t>
  </si>
  <si>
    <t>Greisen</t>
  </si>
  <si>
    <r>
      <t xml:space="preserve">Orogenic copper </t>
    </r>
    <r>
      <rPr>
        <sz val="9"/>
        <rFont val="Aptos Narrow"/>
        <family val="2"/>
      </rPr>
      <t xml:space="preserve">± </t>
    </r>
    <r>
      <rPr>
        <sz val="9"/>
        <rFont val="Times New Roman"/>
        <family val="1"/>
      </rPr>
      <t>gold</t>
    </r>
  </si>
  <si>
    <t>Orogenic copper ± gold</t>
  </si>
  <si>
    <t>Volcanogenic uranium-molybdenum</t>
  </si>
  <si>
    <t>Principal deposit environment</t>
  </si>
  <si>
    <t>Principal deposit group</t>
  </si>
  <si>
    <t>Principal deposit type</t>
  </si>
  <si>
    <t>Precursor contribution</t>
  </si>
  <si>
    <t>Precursor age (Ma)</t>
  </si>
  <si>
    <t>Precursorerror (Ma)</t>
  </si>
  <si>
    <t>Precursor age type</t>
  </si>
  <si>
    <t>Precursor age basis</t>
  </si>
  <si>
    <t>Precursor mineral dated</t>
  </si>
  <si>
    <t>Precursor age system</t>
  </si>
  <si>
    <t>Precursor radiometric age type</t>
  </si>
  <si>
    <t>Precursor age instrumentation</t>
  </si>
  <si>
    <t>Precursor age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</si>
</sst>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0000"/>
    <numFmt numFmtId="168" formatCode="0.000000"/>
    <numFmt numFmtId="169" formatCode="0.0000000"/>
  </numFmts>
  <fonts count="16" x14ac:knownFonts="1">
    <font>
      <sz val="11"/>
      <color theme="1"/>
      <name val="Calibri"/>
      <family val="2"/>
      <scheme val="minor"/>
    </font>
    <font>
      <sz val="9"/>
      <name val="Times New Roman"/>
      <family val="1"/>
    </font>
    <font>
      <vertAlign val="superscript"/>
      <sz val="9"/>
      <name val="Times New Roman"/>
      <family val="1"/>
    </font>
    <font>
      <vertAlign val="subscript"/>
      <sz val="9"/>
      <name val="Times New Roman"/>
      <family val="1"/>
    </font>
    <font>
      <sz val="9"/>
      <color theme="1"/>
      <name val="Times New Roman"/>
      <family val="1"/>
    </font>
    <font>
      <sz val="10"/>
      <color theme="1"/>
      <name val="Times New Roman"/>
      <family val="1"/>
    </font>
    <font>
      <sz val="9"/>
      <color rgb="FF000000"/>
      <name val="Times New Roman"/>
      <family val="1"/>
    </font>
    <font>
      <u/>
      <sz val="11"/>
      <color theme="10"/>
      <name val="Calibri"/>
      <family val="2"/>
      <scheme val="minor"/>
    </font>
    <font>
      <vertAlign val="superscript"/>
      <sz val="9"/>
      <color rgb="FF000000"/>
      <name val="Times New Roman"/>
      <family val="1"/>
    </font>
    <font>
      <vertAlign val="subscript"/>
      <sz val="9"/>
      <color rgb="FF000000"/>
      <name val="Times New Roman"/>
      <family val="1"/>
    </font>
    <font>
      <sz val="10"/>
      <color rgb="FF000000"/>
      <name val="Times New Roman"/>
      <family val="1"/>
    </font>
    <font>
      <sz val="9"/>
      <color rgb="FF2F2F2F"/>
      <name val="Times New Roman"/>
      <family val="1"/>
    </font>
    <font>
      <sz val="10"/>
      <name val="Times New Roman"/>
      <family val="1"/>
    </font>
    <font>
      <sz val="9"/>
      <color rgb="FF000000"/>
      <name val="Times New Roman"/>
    </font>
    <font>
      <vertAlign val="superscript"/>
      <sz val="9"/>
      <color rgb="FF000000"/>
      <name val="Times New Roman"/>
    </font>
    <font>
      <sz val="9"/>
      <name val="Aptos Narrow"/>
      <family val="2"/>
    </font>
  </fonts>
  <fills count="4">
    <fill>
      <patternFill patternType="none"/>
    </fill>
    <fill>
      <patternFill patternType="gray125"/>
    </fill>
    <fill>
      <patternFill patternType="solid">
        <fgColor rgb="FF92D050"/>
        <bgColor indexed="64"/>
      </patternFill>
    </fill>
    <fill>
      <patternFill patternType="solid">
        <fgColor rgb="FF00B05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53">
    <xf numFmtId="0" fontId="0" fillId="0" borderId="0" xfId="0"/>
    <xf numFmtId="0" fontId="5" fillId="0" borderId="0" xfId="0" applyFont="1"/>
    <xf numFmtId="0" fontId="5" fillId="2" borderId="0" xfId="0" applyFont="1" applyFill="1"/>
    <xf numFmtId="0" fontId="5" fillId="3" borderId="0" xfId="0" applyFont="1" applyFill="1"/>
    <xf numFmtId="0" fontId="1" fillId="0" borderId="0" xfId="0" applyFont="1" applyAlignment="1">
      <alignment horizontal="center" vertical="top" wrapText="1"/>
    </xf>
    <xf numFmtId="0" fontId="1" fillId="0" borderId="0" xfId="0" applyFont="1" applyAlignment="1">
      <alignment horizontal="left" vertical="top" wrapText="1"/>
    </xf>
    <xf numFmtId="2" fontId="1" fillId="0" borderId="0" xfId="0" applyNumberFormat="1" applyFont="1" applyAlignment="1">
      <alignment horizontal="center" vertical="top" wrapText="1"/>
    </xf>
    <xf numFmtId="164" fontId="1" fillId="0" borderId="0" xfId="0" applyNumberFormat="1" applyFont="1" applyAlignment="1">
      <alignment horizontal="center" vertical="top" wrapText="1"/>
    </xf>
    <xf numFmtId="1" fontId="1" fillId="0" borderId="0" xfId="0" applyNumberFormat="1" applyFont="1" applyAlignment="1">
      <alignment horizontal="center" vertical="top" wrapText="1"/>
    </xf>
    <xf numFmtId="165" fontId="1" fillId="0" borderId="0" xfId="0" applyNumberFormat="1" applyFont="1" applyAlignment="1">
      <alignment horizontal="center" vertical="top" wrapText="1"/>
    </xf>
    <xf numFmtId="166" fontId="1" fillId="0" borderId="0" xfId="0" applyNumberFormat="1" applyFont="1" applyAlignment="1">
      <alignment horizontal="center" vertical="top" wrapText="1"/>
    </xf>
    <xf numFmtId="0" fontId="1" fillId="0" borderId="0" xfId="0" applyFont="1" applyAlignment="1">
      <alignment vertical="top" wrapText="1"/>
    </xf>
    <xf numFmtId="1" fontId="1" fillId="0" borderId="0" xfId="0" applyNumberFormat="1" applyFont="1" applyAlignment="1">
      <alignment vertical="top" wrapText="1"/>
    </xf>
    <xf numFmtId="1" fontId="1" fillId="0" borderId="0" xfId="0" applyNumberFormat="1" applyFont="1" applyAlignment="1">
      <alignment horizontal="center" vertical="center" wrapText="1"/>
    </xf>
    <xf numFmtId="0" fontId="6" fillId="0" borderId="0" xfId="0" applyFont="1" applyAlignment="1">
      <alignment horizontal="left" vertical="top" wrapText="1"/>
    </xf>
    <xf numFmtId="164" fontId="1" fillId="0" borderId="0" xfId="0" applyNumberFormat="1" applyFont="1" applyAlignment="1">
      <alignment horizontal="left" vertical="top" wrapText="1"/>
    </xf>
    <xf numFmtId="167" fontId="1" fillId="0" borderId="0" xfId="0" applyNumberFormat="1" applyFont="1" applyAlignment="1">
      <alignment horizontal="center" vertical="top" wrapText="1"/>
    </xf>
    <xf numFmtId="168" fontId="1" fillId="0" borderId="0" xfId="0" applyNumberFormat="1" applyFont="1" applyAlignment="1">
      <alignment horizontal="center" vertical="top" wrapText="1"/>
    </xf>
    <xf numFmtId="0" fontId="4" fillId="0" borderId="0" xfId="0" applyFont="1" applyAlignment="1">
      <alignment horizontal="left" vertical="top" wrapText="1"/>
    </xf>
    <xf numFmtId="0" fontId="1" fillId="0" borderId="0" xfId="0" applyFont="1" applyAlignment="1">
      <alignment horizontal="center" wrapText="1"/>
    </xf>
    <xf numFmtId="169" fontId="1" fillId="0" borderId="0" xfId="0" applyNumberFormat="1" applyFont="1" applyAlignment="1">
      <alignment horizontal="center" vertical="top" wrapText="1"/>
    </xf>
    <xf numFmtId="1" fontId="1" fillId="0" borderId="0" xfId="0" applyNumberFormat="1" applyFont="1" applyAlignment="1">
      <alignment horizontal="left" vertical="top" wrapText="1"/>
    </xf>
    <xf numFmtId="165" fontId="1" fillId="0" borderId="0" xfId="0" applyNumberFormat="1" applyFont="1" applyAlignment="1">
      <alignment horizontal="left" vertical="top" wrapText="1"/>
    </xf>
    <xf numFmtId="0" fontId="1" fillId="0" borderId="0" xfId="0" applyFont="1" applyAlignment="1">
      <alignment horizontal="center" vertical="top"/>
    </xf>
    <xf numFmtId="2" fontId="6" fillId="0" borderId="0" xfId="0" applyNumberFormat="1" applyFont="1" applyAlignment="1">
      <alignment horizontal="center" vertical="top"/>
    </xf>
    <xf numFmtId="0" fontId="4" fillId="0" borderId="0" xfId="0" applyFont="1" applyAlignment="1">
      <alignment horizontal="center" vertical="top" wrapText="1"/>
    </xf>
    <xf numFmtId="1" fontId="6" fillId="0" borderId="0" xfId="0" applyNumberFormat="1" applyFont="1" applyAlignment="1">
      <alignment horizontal="center" vertical="top" wrapText="1"/>
    </xf>
    <xf numFmtId="165" fontId="6" fillId="0" borderId="0" xfId="0" applyNumberFormat="1" applyFont="1" applyAlignment="1">
      <alignment horizontal="center" vertical="top" wrapText="1"/>
    </xf>
    <xf numFmtId="164" fontId="6" fillId="0" borderId="0" xfId="0" applyNumberFormat="1" applyFont="1" applyAlignment="1">
      <alignment horizontal="left" vertical="top" wrapText="1"/>
    </xf>
    <xf numFmtId="0" fontId="6" fillId="0" borderId="0" xfId="0" applyFont="1" applyAlignment="1">
      <alignment horizontal="center" vertical="top" wrapText="1"/>
    </xf>
    <xf numFmtId="164" fontId="6" fillId="0" borderId="0" xfId="0" applyNumberFormat="1" applyFont="1" applyAlignment="1">
      <alignment horizontal="center" vertical="top" wrapText="1"/>
    </xf>
    <xf numFmtId="2" fontId="6" fillId="0" borderId="0" xfId="0" applyNumberFormat="1" applyFont="1" applyAlignment="1">
      <alignment horizontal="center" vertical="top" wrapText="1"/>
    </xf>
    <xf numFmtId="166" fontId="6" fillId="0" borderId="0" xfId="0" applyNumberFormat="1" applyFont="1" applyAlignment="1">
      <alignment horizontal="center" vertical="top" wrapText="1"/>
    </xf>
    <xf numFmtId="0" fontId="4" fillId="0" borderId="0" xfId="0" applyFont="1" applyAlignment="1">
      <alignment vertical="top" wrapText="1"/>
    </xf>
    <xf numFmtId="0" fontId="4" fillId="0" borderId="0" xfId="1" applyFont="1" applyFill="1" applyAlignment="1">
      <alignment horizontal="left" vertical="top" wrapText="1"/>
    </xf>
    <xf numFmtId="167" fontId="6" fillId="0" borderId="0" xfId="0" applyNumberFormat="1" applyFont="1" applyAlignment="1">
      <alignment horizontal="center" vertical="top" wrapText="1"/>
    </xf>
    <xf numFmtId="165" fontId="6" fillId="0" borderId="0" xfId="0" applyNumberFormat="1" applyFont="1" applyAlignment="1">
      <alignment horizontal="left" vertical="top" wrapText="1"/>
    </xf>
    <xf numFmtId="168" fontId="6" fillId="0" borderId="0" xfId="0" applyNumberFormat="1" applyFont="1" applyAlignment="1">
      <alignment horizontal="center" vertical="top" wrapText="1"/>
    </xf>
    <xf numFmtId="0" fontId="4" fillId="0" borderId="0" xfId="0" applyFont="1" applyAlignment="1">
      <alignment horizontal="center" vertical="top"/>
    </xf>
    <xf numFmtId="0" fontId="11" fillId="0" borderId="0" xfId="0" applyFont="1" applyAlignment="1">
      <alignment horizontal="center" vertical="top"/>
    </xf>
    <xf numFmtId="2" fontId="4" fillId="0" borderId="0" xfId="0" applyNumberFormat="1" applyFont="1" applyAlignment="1">
      <alignment horizontal="center" vertical="top" wrapText="1"/>
    </xf>
    <xf numFmtId="1" fontId="4" fillId="0" borderId="0" xfId="0" applyNumberFormat="1" applyFont="1" applyAlignment="1">
      <alignment horizontal="center" vertical="top" wrapText="1"/>
    </xf>
    <xf numFmtId="2" fontId="4" fillId="0" borderId="0" xfId="0" applyNumberFormat="1" applyFont="1" applyAlignment="1">
      <alignment horizontal="center" vertical="top"/>
    </xf>
    <xf numFmtId="0" fontId="11"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horizontal="center" vertical="center" wrapText="1"/>
    </xf>
    <xf numFmtId="0" fontId="11" fillId="0" borderId="0" xfId="0" applyFont="1" applyAlignment="1">
      <alignment horizontal="center"/>
    </xf>
    <xf numFmtId="0" fontId="6" fillId="0" borderId="0" xfId="0" applyFont="1" applyAlignment="1">
      <alignment horizontal="left" vertical="top"/>
    </xf>
    <xf numFmtId="0" fontId="5" fillId="0" borderId="0" xfId="0" applyFont="1" applyAlignment="1">
      <alignment vertical="top"/>
    </xf>
    <xf numFmtId="0" fontId="1" fillId="0" borderId="0" xfId="0" applyFont="1"/>
    <xf numFmtId="0" fontId="10" fillId="0" borderId="0" xfId="0" applyFont="1"/>
    <xf numFmtId="0" fontId="12" fillId="0" borderId="0" xfId="0" applyFont="1"/>
    <xf numFmtId="0" fontId="1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EB207C9-0BC0-49A2-9EB3-67ED0DC10BE3}"/>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https://asud.ga.gov.au/search-stratigraphic-units/results/258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T1122"/>
  <sheetViews>
    <sheetView tabSelected="1" zoomScale="140" zoomScaleNormal="140" workbookViewId="0">
      <pane xSplit="4" ySplit="1" topLeftCell="E2" activePane="bottomRight" state="frozen"/>
      <selection pane="topRight" activeCell="F1" sqref="F1"/>
      <selection pane="bottomLeft" activeCell="A2" sqref="A2"/>
      <selection pane="bottomRight" activeCell="A2" sqref="A2"/>
    </sheetView>
  </sheetViews>
  <sheetFormatPr defaultColWidth="9" defaultRowHeight="12" x14ac:dyDescent="0.25"/>
  <cols>
    <col min="1" max="1" width="20.28515625" style="5" customWidth="1"/>
    <col min="2" max="2" width="12.7109375" style="4" customWidth="1"/>
    <col min="3" max="3" width="15.7109375" style="7" customWidth="1"/>
    <col min="4" max="4" width="15.7109375" style="8" customWidth="1"/>
    <col min="5" max="7" width="12.42578125" style="4" customWidth="1"/>
    <col min="8" max="9" width="9.85546875" style="6" customWidth="1"/>
    <col min="10" max="14" width="20.28515625" style="4" customWidth="1"/>
    <col min="15" max="15" width="15.7109375" style="8" customWidth="1"/>
    <col min="16" max="16" width="10.7109375" style="4" customWidth="1"/>
    <col min="17" max="17" width="8.85546875" style="9" customWidth="1"/>
    <col min="18" max="18" width="6.5703125" style="9" customWidth="1"/>
    <col min="19" max="19" width="8.7109375" style="9" customWidth="1"/>
    <col min="20" max="20" width="12.7109375" style="9" customWidth="1"/>
    <col min="21" max="21" width="10.7109375" style="9" customWidth="1"/>
    <col min="22" max="22" width="8.7109375" style="9" customWidth="1"/>
    <col min="23" max="23" width="10.7109375" style="9" customWidth="1"/>
    <col min="24" max="24" width="12.7109375" style="9" customWidth="1"/>
    <col min="25" max="25" width="8.7109375" style="8" customWidth="1"/>
    <col min="26" max="26" width="12.7109375" style="4" customWidth="1"/>
    <col min="27" max="27" width="15.7109375" style="7" customWidth="1"/>
    <col min="28" max="28" width="15.7109375" style="8" customWidth="1"/>
    <col min="29" max="30" width="10.7109375" style="4" customWidth="1"/>
    <col min="31" max="31" width="8.85546875" style="9" customWidth="1"/>
    <col min="32" max="32" width="6.5703125" style="9" customWidth="1"/>
    <col min="33" max="33" width="8.7109375" style="9" customWidth="1"/>
    <col min="34" max="34" width="12.7109375" style="9" customWidth="1"/>
    <col min="35" max="35" width="10.7109375" style="9" customWidth="1"/>
    <col min="36" max="36" width="8.7109375" style="9" customWidth="1"/>
    <col min="37" max="37" width="10.7109375" style="9" customWidth="1"/>
    <col min="38" max="38" width="12.7109375" style="9" customWidth="1"/>
    <col min="39" max="39" width="8.7109375" style="8" customWidth="1"/>
    <col min="40" max="41" width="10.7109375" style="4" customWidth="1"/>
    <col min="42" max="42" width="12.7109375" style="4" customWidth="1"/>
    <col min="43" max="43" width="15.7109375" style="7" customWidth="1"/>
    <col min="44" max="44" width="15.7109375" style="8" customWidth="1"/>
    <col min="45" max="45" width="11.7109375" style="9" bestFit="1" customWidth="1"/>
    <col min="46" max="46" width="12.140625" style="9" bestFit="1" customWidth="1"/>
    <col min="47" max="47" width="8.7109375" style="9" customWidth="1"/>
    <col min="48" max="48" width="12.7109375" style="9" customWidth="1"/>
    <col min="49" max="49" width="10.7109375" style="9" customWidth="1"/>
    <col min="50" max="50" width="8.7109375" style="9" customWidth="1"/>
    <col min="51" max="51" width="10.7109375" style="9" customWidth="1"/>
    <col min="52" max="52" width="12.7109375" style="9" customWidth="1"/>
    <col min="53" max="53" width="8.7109375" style="8" customWidth="1"/>
    <col min="54" max="55" width="10.7109375" style="4" customWidth="1"/>
    <col min="56" max="56" width="12.7109375" style="4" customWidth="1"/>
    <col min="57" max="57" width="15.7109375" style="7" customWidth="1"/>
    <col min="58" max="58" width="15.7109375" style="8" customWidth="1"/>
    <col min="59" max="60" width="6.5703125" style="9" customWidth="1"/>
    <col min="61" max="61" width="8.7109375" style="9" customWidth="1"/>
    <col min="62" max="62" width="12.7109375" style="9" customWidth="1"/>
    <col min="63" max="63" width="10.7109375" style="9" customWidth="1"/>
    <col min="64" max="64" width="8.7109375" style="9" customWidth="1"/>
    <col min="65" max="65" width="10.7109375" style="9" customWidth="1"/>
    <col min="66" max="66" width="12.7109375" style="9" customWidth="1"/>
    <col min="67" max="67" width="8.7109375" style="8" customWidth="1"/>
    <col min="68" max="68" width="8.7109375" style="7" customWidth="1"/>
    <col min="69" max="72" width="8.7109375" style="6" customWidth="1"/>
    <col min="73" max="73" width="8.7109375" style="8" customWidth="1"/>
    <col min="74" max="99" width="8.7109375" style="6" customWidth="1"/>
    <col min="100" max="100" width="8.5703125" style="6" bestFit="1" customWidth="1"/>
    <col min="101" max="137" width="8.7109375" style="6" customWidth="1"/>
    <col min="138" max="141" width="8.7109375" style="10" customWidth="1"/>
    <col min="142" max="154" width="8.7109375" style="6" customWidth="1"/>
    <col min="155" max="155" width="8.7109375" style="8" customWidth="1"/>
    <col min="156" max="156" width="8.7109375" style="6" customWidth="1"/>
    <col min="157" max="157" width="8.7109375" style="10" customWidth="1"/>
    <col min="158" max="164" width="8.7109375" style="6" customWidth="1"/>
    <col min="165" max="165" width="12.28515625" style="6" bestFit="1" customWidth="1"/>
    <col min="166" max="179" width="8.7109375" style="6" customWidth="1"/>
    <col min="180" max="180" width="10.7109375" style="6" customWidth="1"/>
    <col min="181" max="209" width="8.7109375" style="6" customWidth="1"/>
    <col min="210" max="210" width="15" style="6" bestFit="1" customWidth="1"/>
    <col min="211" max="211" width="8.7109375" style="6" customWidth="1"/>
    <col min="212" max="214" width="18.28515625" style="8" customWidth="1"/>
    <col min="215" max="216" width="18.28515625" style="9" customWidth="1"/>
    <col min="217" max="217" width="18.28515625" style="8" customWidth="1"/>
    <col min="218" max="220" width="18.28515625" style="9" customWidth="1"/>
    <col min="221" max="221" width="18.28515625" style="8" customWidth="1"/>
    <col min="222" max="224" width="18.28515625" style="9" customWidth="1"/>
    <col min="225" max="225" width="18.28515625" style="8" customWidth="1"/>
    <col min="226" max="232" width="18.28515625" style="9" customWidth="1"/>
    <col min="233" max="233" width="18.28515625" style="8" customWidth="1"/>
    <col min="234" max="235" width="18.28515625" style="9" customWidth="1"/>
    <col min="236" max="245" width="18.28515625" style="8" customWidth="1"/>
    <col min="246" max="246" width="18.28515625" style="9" customWidth="1"/>
    <col min="247" max="247" width="18.28515625" style="8" customWidth="1"/>
    <col min="248" max="251" width="18.28515625" style="9" customWidth="1"/>
    <col min="252" max="252" width="18.28515625" style="8" customWidth="1"/>
    <col min="253" max="280" width="18.28515625" style="9" customWidth="1"/>
    <col min="281" max="281" width="15.28515625" style="7" customWidth="1"/>
    <col min="282" max="282" width="20.140625" style="7" customWidth="1"/>
    <col min="283" max="283" width="14.42578125" style="7" customWidth="1"/>
    <col min="284" max="292" width="10.7109375" style="7" customWidth="1"/>
    <col min="293" max="301" width="12.42578125" style="4" customWidth="1"/>
    <col min="302" max="305" width="25.7109375" style="5" customWidth="1"/>
    <col min="306" max="306" width="59.42578125" style="5" customWidth="1"/>
    <col min="307" max="16384" width="9" style="5"/>
  </cols>
  <sheetData>
    <row r="1" spans="1:306" ht="48" customHeight="1" x14ac:dyDescent="0.25">
      <c r="A1" s="5" t="s">
        <v>0</v>
      </c>
      <c r="B1" s="4" t="s">
        <v>10246</v>
      </c>
      <c r="C1" s="4" t="s">
        <v>10247</v>
      </c>
      <c r="D1" s="7" t="s">
        <v>10248</v>
      </c>
      <c r="E1" s="4" t="s">
        <v>4</v>
      </c>
      <c r="F1" s="4" t="s">
        <v>5</v>
      </c>
      <c r="G1" s="4" t="s">
        <v>6</v>
      </c>
      <c r="H1" s="6" t="s">
        <v>7</v>
      </c>
      <c r="I1" s="6" t="s">
        <v>8</v>
      </c>
      <c r="J1" s="4" t="s">
        <v>9</v>
      </c>
      <c r="K1" s="4" t="s">
        <v>10</v>
      </c>
      <c r="L1" s="4" t="s">
        <v>11</v>
      </c>
      <c r="M1" s="4" t="s">
        <v>12</v>
      </c>
      <c r="N1" s="4" t="s">
        <v>13</v>
      </c>
      <c r="O1" s="7" t="s">
        <v>370</v>
      </c>
      <c r="P1" s="4" t="s">
        <v>10249</v>
      </c>
      <c r="Q1" s="8" t="s">
        <v>10250</v>
      </c>
      <c r="R1" s="9" t="s">
        <v>10251</v>
      </c>
      <c r="S1" s="9" t="s">
        <v>10252</v>
      </c>
      <c r="T1" s="9" t="s">
        <v>10253</v>
      </c>
      <c r="U1" s="9" t="s">
        <v>10254</v>
      </c>
      <c r="V1" s="9" t="s">
        <v>10255</v>
      </c>
      <c r="W1" s="9" t="s">
        <v>10256</v>
      </c>
      <c r="X1" s="9" t="s">
        <v>10257</v>
      </c>
      <c r="Y1" s="8" t="s">
        <v>10258</v>
      </c>
      <c r="Z1" s="4" t="s">
        <v>1</v>
      </c>
      <c r="AA1" s="4" t="s">
        <v>2</v>
      </c>
      <c r="AB1" s="7" t="s">
        <v>3</v>
      </c>
      <c r="AC1" s="4" t="s">
        <v>14</v>
      </c>
      <c r="AD1" s="4" t="s">
        <v>15</v>
      </c>
      <c r="AE1" s="8" t="s">
        <v>16</v>
      </c>
      <c r="AF1" s="9" t="s">
        <v>17</v>
      </c>
      <c r="AG1" s="9" t="s">
        <v>18</v>
      </c>
      <c r="AH1" s="9" t="s">
        <v>19</v>
      </c>
      <c r="AI1" s="9" t="s">
        <v>20</v>
      </c>
      <c r="AJ1" s="9" t="s">
        <v>21</v>
      </c>
      <c r="AK1" s="9" t="s">
        <v>22</v>
      </c>
      <c r="AL1" s="9" t="s">
        <v>23</v>
      </c>
      <c r="AM1" s="8" t="s">
        <v>24</v>
      </c>
      <c r="AN1" s="4" t="s">
        <v>25</v>
      </c>
      <c r="AO1" s="4" t="s">
        <v>26</v>
      </c>
      <c r="AP1" s="4" t="s">
        <v>27</v>
      </c>
      <c r="AQ1" s="4" t="s">
        <v>28</v>
      </c>
      <c r="AR1" s="7" t="s">
        <v>29</v>
      </c>
      <c r="AS1" s="8" t="s">
        <v>30</v>
      </c>
      <c r="AT1" s="9" t="s">
        <v>31</v>
      </c>
      <c r="AU1" s="9" t="s">
        <v>32</v>
      </c>
      <c r="AV1" s="9" t="s">
        <v>33</v>
      </c>
      <c r="AW1" s="9" t="s">
        <v>34</v>
      </c>
      <c r="AX1" s="9" t="s">
        <v>35</v>
      </c>
      <c r="AY1" s="9" t="s">
        <v>36</v>
      </c>
      <c r="AZ1" s="9" t="s">
        <v>37</v>
      </c>
      <c r="BA1" s="8" t="s">
        <v>38</v>
      </c>
      <c r="BB1" s="4" t="s">
        <v>39</v>
      </c>
      <c r="BC1" s="4" t="s">
        <v>40</v>
      </c>
      <c r="BD1" s="4" t="s">
        <v>41</v>
      </c>
      <c r="BE1" s="4" t="s">
        <v>42</v>
      </c>
      <c r="BF1" s="7" t="s">
        <v>43</v>
      </c>
      <c r="BG1" s="8" t="s">
        <v>44</v>
      </c>
      <c r="BH1" s="9" t="s">
        <v>45</v>
      </c>
      <c r="BI1" s="9" t="s">
        <v>46</v>
      </c>
      <c r="BJ1" s="9" t="s">
        <v>47</v>
      </c>
      <c r="BK1" s="9" t="s">
        <v>48</v>
      </c>
      <c r="BL1" s="9" t="s">
        <v>49</v>
      </c>
      <c r="BM1" s="9" t="s">
        <v>50</v>
      </c>
      <c r="BN1" s="9" t="s">
        <v>51</v>
      </c>
      <c r="BO1" s="8" t="s">
        <v>52</v>
      </c>
      <c r="BP1" s="7" t="s">
        <v>53</v>
      </c>
      <c r="BQ1" s="6" t="s">
        <v>54</v>
      </c>
      <c r="BR1" s="6" t="s">
        <v>55</v>
      </c>
      <c r="BS1" s="6" t="s">
        <v>56</v>
      </c>
      <c r="BT1" s="6" t="s">
        <v>57</v>
      </c>
      <c r="BU1" s="8" t="s">
        <v>58</v>
      </c>
      <c r="BV1" s="6" t="s">
        <v>59</v>
      </c>
      <c r="BW1" s="6" t="s">
        <v>60</v>
      </c>
      <c r="BX1" s="6" t="s">
        <v>61</v>
      </c>
      <c r="BY1" s="6" t="s">
        <v>62</v>
      </c>
      <c r="BZ1" s="6" t="s">
        <v>63</v>
      </c>
      <c r="CA1" s="6" t="s">
        <v>64</v>
      </c>
      <c r="CB1" s="6" t="s">
        <v>65</v>
      </c>
      <c r="CC1" s="6" t="s">
        <v>66</v>
      </c>
      <c r="CD1" s="6" t="s">
        <v>67</v>
      </c>
      <c r="CE1" s="6" t="s">
        <v>68</v>
      </c>
      <c r="CF1" s="6" t="s">
        <v>69</v>
      </c>
      <c r="CG1" s="6" t="s">
        <v>70</v>
      </c>
      <c r="CH1" s="6" t="s">
        <v>71</v>
      </c>
      <c r="CI1" s="6" t="s">
        <v>72</v>
      </c>
      <c r="CJ1" s="6" t="s">
        <v>73</v>
      </c>
      <c r="CK1" s="6" t="s">
        <v>74</v>
      </c>
      <c r="CL1" s="6" t="s">
        <v>75</v>
      </c>
      <c r="CM1" s="6" t="s">
        <v>76</v>
      </c>
      <c r="CN1" s="6" t="s">
        <v>77</v>
      </c>
      <c r="CO1" s="4" t="s">
        <v>78</v>
      </c>
      <c r="CP1" s="6" t="s">
        <v>79</v>
      </c>
      <c r="CQ1" s="6" t="s">
        <v>80</v>
      </c>
      <c r="CR1" s="6" t="s">
        <v>81</v>
      </c>
      <c r="CS1" s="6" t="s">
        <v>82</v>
      </c>
      <c r="CT1" s="6" t="s">
        <v>83</v>
      </c>
      <c r="CU1" s="6" t="s">
        <v>84</v>
      </c>
      <c r="CV1" s="6" t="s">
        <v>85</v>
      </c>
      <c r="CW1" s="6" t="s">
        <v>86</v>
      </c>
      <c r="CX1" s="6" t="s">
        <v>87</v>
      </c>
      <c r="CY1" s="6" t="s">
        <v>88</v>
      </c>
      <c r="CZ1" s="6" t="s">
        <v>89</v>
      </c>
      <c r="DA1" s="4" t="s">
        <v>90</v>
      </c>
      <c r="DB1" s="6" t="s">
        <v>91</v>
      </c>
      <c r="DC1" s="6" t="s">
        <v>92</v>
      </c>
      <c r="DD1" s="6" t="s">
        <v>93</v>
      </c>
      <c r="DE1" s="6" t="s">
        <v>94</v>
      </c>
      <c r="DF1" s="6" t="s">
        <v>95</v>
      </c>
      <c r="DG1" s="6" t="s">
        <v>96</v>
      </c>
      <c r="DH1" s="6" t="s">
        <v>97</v>
      </c>
      <c r="DI1" s="6" t="s">
        <v>98</v>
      </c>
      <c r="DJ1" s="6" t="s">
        <v>99</v>
      </c>
      <c r="DK1" s="6" t="s">
        <v>100</v>
      </c>
      <c r="DL1" s="6" t="s">
        <v>101</v>
      </c>
      <c r="DM1" s="6" t="s">
        <v>102</v>
      </c>
      <c r="DN1" s="6" t="s">
        <v>103</v>
      </c>
      <c r="DO1" s="6" t="s">
        <v>104</v>
      </c>
      <c r="DP1" s="6" t="s">
        <v>105</v>
      </c>
      <c r="DQ1" s="6" t="s">
        <v>106</v>
      </c>
      <c r="DR1" s="6" t="s">
        <v>107</v>
      </c>
      <c r="DS1" s="6" t="s">
        <v>108</v>
      </c>
      <c r="DT1" s="6" t="s">
        <v>109</v>
      </c>
      <c r="DU1" s="6" t="s">
        <v>110</v>
      </c>
      <c r="DV1" s="6" t="s">
        <v>111</v>
      </c>
      <c r="DW1" s="6" t="s">
        <v>112</v>
      </c>
      <c r="DX1" s="6" t="s">
        <v>113</v>
      </c>
      <c r="DY1" s="6" t="s">
        <v>114</v>
      </c>
      <c r="DZ1" s="6" t="s">
        <v>115</v>
      </c>
      <c r="EA1" s="6" t="s">
        <v>116</v>
      </c>
      <c r="EB1" s="6" t="s">
        <v>117</v>
      </c>
      <c r="EC1" s="6" t="s">
        <v>118</v>
      </c>
      <c r="ED1" s="6" t="s">
        <v>119</v>
      </c>
      <c r="EE1" s="6" t="s">
        <v>120</v>
      </c>
      <c r="EF1" s="4" t="s">
        <v>121</v>
      </c>
      <c r="EG1" s="4" t="s">
        <v>122</v>
      </c>
      <c r="EH1" s="10" t="s">
        <v>123</v>
      </c>
      <c r="EI1" s="10" t="s">
        <v>124</v>
      </c>
      <c r="EJ1" s="10" t="s">
        <v>125</v>
      </c>
      <c r="EK1" s="10" t="s">
        <v>126</v>
      </c>
      <c r="EL1" s="6" t="s">
        <v>127</v>
      </c>
      <c r="EM1" s="6" t="s">
        <v>128</v>
      </c>
      <c r="EN1" s="6" t="s">
        <v>129</v>
      </c>
      <c r="EO1" s="6" t="s">
        <v>130</v>
      </c>
      <c r="EP1" s="6" t="s">
        <v>131</v>
      </c>
      <c r="EQ1" s="6" t="s">
        <v>132</v>
      </c>
      <c r="ER1" s="6" t="s">
        <v>133</v>
      </c>
      <c r="ES1" s="6" t="s">
        <v>134</v>
      </c>
      <c r="ET1" s="6" t="s">
        <v>135</v>
      </c>
      <c r="EU1" s="6" t="s">
        <v>136</v>
      </c>
      <c r="EV1" s="6" t="s">
        <v>137</v>
      </c>
      <c r="EW1" s="31" t="s">
        <v>138</v>
      </c>
      <c r="EX1" s="6" t="s">
        <v>139</v>
      </c>
      <c r="EY1" s="8" t="s">
        <v>140</v>
      </c>
      <c r="EZ1" s="6" t="s">
        <v>141</v>
      </c>
      <c r="FA1" s="10" t="s">
        <v>142</v>
      </c>
      <c r="FB1" s="6" t="s">
        <v>143</v>
      </c>
      <c r="FC1" s="6" t="s">
        <v>144</v>
      </c>
      <c r="FD1" s="4" t="s">
        <v>145</v>
      </c>
      <c r="FE1" s="6" t="s">
        <v>146</v>
      </c>
      <c r="FF1" s="6" t="s">
        <v>147</v>
      </c>
      <c r="FG1" s="6" t="s">
        <v>148</v>
      </c>
      <c r="FH1" s="6" t="s">
        <v>149</v>
      </c>
      <c r="FI1" s="6" t="s">
        <v>150</v>
      </c>
      <c r="FJ1" s="6" t="s">
        <v>151</v>
      </c>
      <c r="FK1" s="6" t="s">
        <v>152</v>
      </c>
      <c r="FL1" s="6" t="s">
        <v>153</v>
      </c>
      <c r="FM1" s="6" t="s">
        <v>154</v>
      </c>
      <c r="FN1" s="6" t="s">
        <v>155</v>
      </c>
      <c r="FO1" s="6" t="s">
        <v>156</v>
      </c>
      <c r="FP1" s="4" t="s">
        <v>157</v>
      </c>
      <c r="FQ1" s="6" t="s">
        <v>158</v>
      </c>
      <c r="FR1" s="6" t="s">
        <v>159</v>
      </c>
      <c r="FS1" s="6" t="s">
        <v>160</v>
      </c>
      <c r="FT1" s="6" t="s">
        <v>161</v>
      </c>
      <c r="FU1" s="6" t="s">
        <v>162</v>
      </c>
      <c r="FV1" s="6" t="s">
        <v>163</v>
      </c>
      <c r="FW1" s="6" t="s">
        <v>164</v>
      </c>
      <c r="FX1" s="6" t="s">
        <v>165</v>
      </c>
      <c r="FY1" s="6" t="s">
        <v>166</v>
      </c>
      <c r="FZ1" s="6" t="s">
        <v>167</v>
      </c>
      <c r="GA1" s="6" t="s">
        <v>168</v>
      </c>
      <c r="GB1" s="6" t="s">
        <v>169</v>
      </c>
      <c r="GC1" s="6" t="s">
        <v>170</v>
      </c>
      <c r="GD1" s="6" t="s">
        <v>171</v>
      </c>
      <c r="GE1" s="6" t="s">
        <v>172</v>
      </c>
      <c r="GF1" s="6" t="s">
        <v>173</v>
      </c>
      <c r="GG1" s="6" t="s">
        <v>174</v>
      </c>
      <c r="GH1" s="6" t="s">
        <v>175</v>
      </c>
      <c r="GI1" s="6" t="s">
        <v>176</v>
      </c>
      <c r="GJ1" s="6" t="s">
        <v>177</v>
      </c>
      <c r="GK1" s="6" t="s">
        <v>178</v>
      </c>
      <c r="GL1" s="6" t="s">
        <v>179</v>
      </c>
      <c r="GM1" s="6" t="s">
        <v>180</v>
      </c>
      <c r="GN1" s="6" t="s">
        <v>181</v>
      </c>
      <c r="GO1" s="6" t="s">
        <v>182</v>
      </c>
      <c r="GP1" s="6" t="s">
        <v>183</v>
      </c>
      <c r="GQ1" s="6" t="s">
        <v>184</v>
      </c>
      <c r="GR1" s="6" t="s">
        <v>185</v>
      </c>
      <c r="GS1" s="6" t="s">
        <v>186</v>
      </c>
      <c r="GT1" s="6" t="s">
        <v>187</v>
      </c>
      <c r="GU1" s="6" t="s">
        <v>188</v>
      </c>
      <c r="GV1" s="4" t="s">
        <v>189</v>
      </c>
      <c r="GW1" s="6" t="s">
        <v>190</v>
      </c>
      <c r="GX1" s="4" t="s">
        <v>191</v>
      </c>
      <c r="GY1" s="6" t="s">
        <v>192</v>
      </c>
      <c r="GZ1" s="6" t="s">
        <v>193</v>
      </c>
      <c r="HA1" s="6" t="s">
        <v>194</v>
      </c>
      <c r="HB1" s="6" t="s">
        <v>195</v>
      </c>
      <c r="HC1" s="6" t="s">
        <v>196</v>
      </c>
      <c r="HD1" s="8" t="s">
        <v>197</v>
      </c>
      <c r="HE1" s="8" t="s">
        <v>198</v>
      </c>
      <c r="HF1" s="8" t="s">
        <v>199</v>
      </c>
      <c r="HG1" s="8" t="s">
        <v>200</v>
      </c>
      <c r="HH1" s="8" t="s">
        <v>201</v>
      </c>
      <c r="HI1" s="8" t="s">
        <v>202</v>
      </c>
      <c r="HJ1" s="8" t="s">
        <v>203</v>
      </c>
      <c r="HK1" s="8" t="s">
        <v>204</v>
      </c>
      <c r="HL1" s="8" t="s">
        <v>205</v>
      </c>
      <c r="HM1" s="8" t="s">
        <v>206</v>
      </c>
      <c r="HN1" s="8" t="s">
        <v>207</v>
      </c>
      <c r="HO1" s="8" t="s">
        <v>208</v>
      </c>
      <c r="HP1" s="8" t="s">
        <v>209</v>
      </c>
      <c r="HQ1" s="8" t="s">
        <v>210</v>
      </c>
      <c r="HR1" s="8" t="s">
        <v>211</v>
      </c>
      <c r="HS1" s="8" t="s">
        <v>212</v>
      </c>
      <c r="HT1" s="8" t="s">
        <v>213</v>
      </c>
      <c r="HU1" s="8" t="s">
        <v>214</v>
      </c>
      <c r="HV1" s="8" t="s">
        <v>215</v>
      </c>
      <c r="HW1" s="8" t="s">
        <v>216</v>
      </c>
      <c r="HX1" s="8" t="s">
        <v>217</v>
      </c>
      <c r="HY1" s="8" t="s">
        <v>218</v>
      </c>
      <c r="HZ1" s="8" t="s">
        <v>219</v>
      </c>
      <c r="IA1" s="8" t="s">
        <v>220</v>
      </c>
      <c r="IB1" s="8" t="s">
        <v>221</v>
      </c>
      <c r="IC1" s="8" t="s">
        <v>222</v>
      </c>
      <c r="ID1" s="8" t="s">
        <v>223</v>
      </c>
      <c r="IE1" s="8" t="s">
        <v>224</v>
      </c>
      <c r="IF1" s="8" t="s">
        <v>225</v>
      </c>
      <c r="IG1" s="8" t="s">
        <v>226</v>
      </c>
      <c r="IH1" s="8" t="s">
        <v>227</v>
      </c>
      <c r="II1" s="8" t="s">
        <v>228</v>
      </c>
      <c r="IJ1" s="8" t="s">
        <v>229</v>
      </c>
      <c r="IK1" s="8" t="s">
        <v>230</v>
      </c>
      <c r="IL1" s="8" t="s">
        <v>231</v>
      </c>
      <c r="IM1" s="8" t="s">
        <v>232</v>
      </c>
      <c r="IN1" s="8" t="s">
        <v>233</v>
      </c>
      <c r="IO1" s="8" t="s">
        <v>234</v>
      </c>
      <c r="IP1" s="8" t="s">
        <v>235</v>
      </c>
      <c r="IQ1" s="8" t="s">
        <v>236</v>
      </c>
      <c r="IR1" s="8" t="s">
        <v>237</v>
      </c>
      <c r="IS1" s="8" t="s">
        <v>238</v>
      </c>
      <c r="IT1" s="8" t="s">
        <v>239</v>
      </c>
      <c r="IU1" s="8" t="s">
        <v>240</v>
      </c>
      <c r="IV1" s="8" t="s">
        <v>241</v>
      </c>
      <c r="IW1" s="8" t="s">
        <v>242</v>
      </c>
      <c r="IX1" s="8" t="s">
        <v>243</v>
      </c>
      <c r="IY1" s="8" t="s">
        <v>244</v>
      </c>
      <c r="IZ1" s="8" t="s">
        <v>245</v>
      </c>
      <c r="JA1" s="8" t="s">
        <v>246</v>
      </c>
      <c r="JB1" s="8" t="s">
        <v>247</v>
      </c>
      <c r="JC1" s="8" t="s">
        <v>248</v>
      </c>
      <c r="JD1" s="8" t="s">
        <v>249</v>
      </c>
      <c r="JE1" s="8" t="s">
        <v>250</v>
      </c>
      <c r="JF1" s="4" t="s">
        <v>251</v>
      </c>
      <c r="JG1" s="4" t="s">
        <v>252</v>
      </c>
      <c r="JH1" s="4" t="s">
        <v>253</v>
      </c>
      <c r="JI1" s="4" t="s">
        <v>254</v>
      </c>
      <c r="JJ1" s="4" t="s">
        <v>255</v>
      </c>
      <c r="JK1" s="4" t="s">
        <v>256</v>
      </c>
      <c r="JL1" s="4" t="s">
        <v>257</v>
      </c>
      <c r="JM1" s="4" t="s">
        <v>258</v>
      </c>
      <c r="JN1" s="4" t="s">
        <v>259</v>
      </c>
      <c r="JO1" s="4" t="s">
        <v>260</v>
      </c>
      <c r="JP1" s="4" t="s">
        <v>261</v>
      </c>
      <c r="JQ1" s="4" t="s">
        <v>262</v>
      </c>
      <c r="JR1" s="4" t="s">
        <v>263</v>
      </c>
      <c r="JS1" s="4" t="s">
        <v>264</v>
      </c>
      <c r="JT1" s="4" t="s">
        <v>265</v>
      </c>
      <c r="JU1" s="7" t="s">
        <v>266</v>
      </c>
      <c r="JV1" s="7" t="s">
        <v>267</v>
      </c>
      <c r="JW1" s="7" t="s">
        <v>268</v>
      </c>
      <c r="JX1" s="7" t="s">
        <v>269</v>
      </c>
      <c r="JY1" s="7" t="s">
        <v>270</v>
      </c>
      <c r="JZ1" s="7" t="s">
        <v>271</v>
      </c>
      <c r="KA1" s="7" t="s">
        <v>272</v>
      </c>
      <c r="KB1" s="7" t="s">
        <v>273</v>
      </c>
      <c r="KC1" s="7" t="s">
        <v>274</v>
      </c>
      <c r="KD1" s="7" t="s">
        <v>275</v>
      </c>
      <c r="KE1" s="7" t="s">
        <v>276</v>
      </c>
      <c r="KF1" s="7" t="s">
        <v>277</v>
      </c>
      <c r="KG1" s="4" t="s">
        <v>278</v>
      </c>
      <c r="KH1" s="4" t="s">
        <v>279</v>
      </c>
      <c r="KI1" s="4" t="s">
        <v>280</v>
      </c>
      <c r="KJ1" s="4" t="s">
        <v>281</v>
      </c>
      <c r="KK1" s="4" t="s">
        <v>282</v>
      </c>
      <c r="KL1" s="4" t="s">
        <v>283</v>
      </c>
      <c r="KM1" s="4" t="s">
        <v>284</v>
      </c>
      <c r="KN1" s="4" t="s">
        <v>285</v>
      </c>
      <c r="KO1" s="4" t="s">
        <v>286</v>
      </c>
      <c r="KP1" s="5" t="s">
        <v>287</v>
      </c>
      <c r="KQ1" s="5" t="s">
        <v>288</v>
      </c>
      <c r="KR1" s="5" t="s">
        <v>289</v>
      </c>
      <c r="KS1" s="5" t="s">
        <v>290</v>
      </c>
      <c r="KT1" s="5" t="s">
        <v>291</v>
      </c>
    </row>
    <row r="2" spans="1:306" ht="48" x14ac:dyDescent="0.25">
      <c r="A2" s="5" t="s">
        <v>1276</v>
      </c>
      <c r="B2" s="4" t="s">
        <v>577</v>
      </c>
      <c r="C2" s="7" t="s">
        <v>1277</v>
      </c>
      <c r="D2" s="8" t="s">
        <v>1278</v>
      </c>
      <c r="E2" s="38">
        <v>922841</v>
      </c>
      <c r="G2" s="4" t="s">
        <v>530</v>
      </c>
      <c r="H2" s="6">
        <v>137.11813893412301</v>
      </c>
      <c r="I2" s="6">
        <v>-17.4164861110937</v>
      </c>
      <c r="J2" s="4" t="s">
        <v>1279</v>
      </c>
      <c r="K2" s="4" t="s">
        <v>481</v>
      </c>
      <c r="L2" s="4" t="s">
        <v>943</v>
      </c>
      <c r="Q2" s="8"/>
      <c r="R2" s="8"/>
      <c r="Z2" s="4" t="s">
        <v>577</v>
      </c>
      <c r="AA2" s="7" t="s">
        <v>1277</v>
      </c>
      <c r="AB2" s="8" t="s">
        <v>1278</v>
      </c>
      <c r="AC2" s="4" t="s">
        <v>301</v>
      </c>
      <c r="AE2" s="8">
        <f t="shared" ref="AE2:AE9" si="0">(113+100.5)/2</f>
        <v>106.75</v>
      </c>
      <c r="AF2" s="8">
        <f t="shared" ref="AF2:AF9" si="1">(113-100.5)/2</f>
        <v>6.25</v>
      </c>
      <c r="AG2" s="9" t="s">
        <v>379</v>
      </c>
      <c r="AH2" s="9" t="s">
        <v>372</v>
      </c>
      <c r="AJ2" s="9" t="s">
        <v>1280</v>
      </c>
      <c r="AM2" s="8">
        <v>3</v>
      </c>
      <c r="BP2" s="7">
        <v>15</v>
      </c>
      <c r="CP2" s="10">
        <v>4.0000000000000001E-3</v>
      </c>
      <c r="CQ2" s="8">
        <f>10000*CP2/1.2699</f>
        <v>31.498543192377351</v>
      </c>
      <c r="DK2" s="10">
        <v>0.03</v>
      </c>
      <c r="DL2" s="10">
        <f>1.1713*0.12/1.2284</f>
        <v>0.1144220123738196</v>
      </c>
      <c r="DM2" s="10">
        <f>1.1703*0.016/1.2082</f>
        <v>1.5498096341665287E-2</v>
      </c>
      <c r="DN2" s="10">
        <v>6.6000000000000003E-2</v>
      </c>
      <c r="DO2" s="10">
        <v>1.2999999999999999E-2</v>
      </c>
      <c r="DP2" s="10">
        <v>3.0000000000000001E-3</v>
      </c>
      <c r="DQ2" s="10">
        <v>7.0000000000000001E-3</v>
      </c>
      <c r="DR2" s="10">
        <v>6.9999999999999999E-4</v>
      </c>
      <c r="DS2" s="10">
        <v>2E-3</v>
      </c>
      <c r="DT2" s="10">
        <v>2.0000000000000001E-4</v>
      </c>
      <c r="DU2" s="10">
        <v>4.0000000000000002E-4</v>
      </c>
      <c r="DV2" s="10">
        <v>2.0000000000000001E-4</v>
      </c>
      <c r="DW2" s="16">
        <v>4.0000000000000003E-5</v>
      </c>
      <c r="DX2" s="16">
        <v>4.0000000000000003E-5</v>
      </c>
      <c r="DY2" s="9">
        <f>SUM(DK2:DX2)</f>
        <v>0.25250010871548484</v>
      </c>
      <c r="DZ2" s="31">
        <f>GP2/BP2*100</f>
        <v>0.50900021743096979</v>
      </c>
      <c r="FE2" s="35">
        <f>BP2*CP2/100</f>
        <v>5.9999999999999995E-4</v>
      </c>
      <c r="FF2" s="31">
        <v>3.97</v>
      </c>
      <c r="GA2" s="32">
        <f>BP2*DK2/100</f>
        <v>4.4999999999999997E-3</v>
      </c>
      <c r="GB2" s="32">
        <f>BP2*DL2/100</f>
        <v>1.7163301856072941E-2</v>
      </c>
      <c r="GC2" s="32">
        <f>BP2*DM2/100</f>
        <v>2.324714451249793E-3</v>
      </c>
      <c r="GD2" s="32">
        <f>BP2*DN2/100</f>
        <v>9.8999999999999991E-3</v>
      </c>
      <c r="GE2" s="32">
        <f>BP2*DO2/100</f>
        <v>1.9499999999999997E-3</v>
      </c>
      <c r="GF2" s="35">
        <f>BP2*DP2/100</f>
        <v>4.4999999999999999E-4</v>
      </c>
      <c r="GG2" s="32">
        <f>BP2*DQ2/100</f>
        <v>1.0499999999999999E-3</v>
      </c>
      <c r="GH2" s="35">
        <f>BP2*DR2/100</f>
        <v>1.05E-4</v>
      </c>
      <c r="GI2" s="35">
        <f>BP2*DS2/100</f>
        <v>2.9999999999999997E-4</v>
      </c>
      <c r="GJ2" s="35">
        <f>BP2*DT2/100</f>
        <v>3.0000000000000001E-5</v>
      </c>
      <c r="GK2" s="35">
        <f>BP2*DU2/100</f>
        <v>6.0000000000000002E-5</v>
      </c>
      <c r="GL2" s="35">
        <f>BP2*DV2/100</f>
        <v>3.0000000000000001E-5</v>
      </c>
      <c r="GM2" s="35">
        <f>BP2*DW2/100</f>
        <v>6.0000000000000002E-6</v>
      </c>
      <c r="GN2" s="35">
        <f>BP2*DX2/100</f>
        <v>6.0000000000000002E-6</v>
      </c>
      <c r="GO2" s="32">
        <f>SUM(GA2:GN2)</f>
        <v>3.7875016307322734E-2</v>
      </c>
      <c r="GP2" s="32">
        <f>SUM(GA2:GO2)+FE2</f>
        <v>7.6350032614645472E-2</v>
      </c>
      <c r="GY2" s="6" t="s">
        <v>338</v>
      </c>
      <c r="GZ2" s="6" t="s">
        <v>583</v>
      </c>
      <c r="HB2" s="6" t="s">
        <v>338</v>
      </c>
      <c r="HD2" s="8" t="s">
        <v>1281</v>
      </c>
      <c r="HE2" s="8">
        <v>13380</v>
      </c>
      <c r="HF2" s="8" t="s">
        <v>1282</v>
      </c>
      <c r="HG2" s="9" t="s">
        <v>1283</v>
      </c>
      <c r="KP2" s="5" t="s">
        <v>1284</v>
      </c>
      <c r="KQ2" s="5" t="s">
        <v>1284</v>
      </c>
      <c r="KR2" s="5" t="s">
        <v>1284</v>
      </c>
      <c r="KS2" s="5" t="s">
        <v>1284</v>
      </c>
      <c r="KT2" s="5" t="s">
        <v>1285</v>
      </c>
    </row>
    <row r="3" spans="1:306" ht="48" x14ac:dyDescent="0.2">
      <c r="A3" s="5" t="s">
        <v>7786</v>
      </c>
      <c r="B3" s="4" t="s">
        <v>577</v>
      </c>
      <c r="C3" s="7" t="s">
        <v>1277</v>
      </c>
      <c r="D3" s="8" t="s">
        <v>1278</v>
      </c>
      <c r="E3" s="44">
        <v>922836</v>
      </c>
      <c r="G3" s="4" t="s">
        <v>530</v>
      </c>
      <c r="H3" s="6">
        <v>136.973029493242</v>
      </c>
      <c r="I3" s="6">
        <v>-17.486865197819899</v>
      </c>
      <c r="J3" s="4" t="s">
        <v>1279</v>
      </c>
      <c r="K3" s="4" t="s">
        <v>481</v>
      </c>
      <c r="L3" s="4" t="s">
        <v>943</v>
      </c>
      <c r="Q3" s="8"/>
      <c r="R3" s="8"/>
      <c r="Z3" s="4" t="s">
        <v>577</v>
      </c>
      <c r="AA3" s="7" t="s">
        <v>1277</v>
      </c>
      <c r="AB3" s="8" t="s">
        <v>1278</v>
      </c>
      <c r="AC3" s="4" t="s">
        <v>301</v>
      </c>
      <c r="AE3" s="8">
        <f t="shared" si="0"/>
        <v>106.75</v>
      </c>
      <c r="AF3" s="8">
        <f t="shared" si="1"/>
        <v>6.25</v>
      </c>
      <c r="AG3" s="9" t="s">
        <v>379</v>
      </c>
      <c r="AH3" s="9" t="s">
        <v>372</v>
      </c>
      <c r="AJ3" s="9" t="s">
        <v>1280</v>
      </c>
      <c r="AM3" s="8">
        <v>3</v>
      </c>
      <c r="BP3" s="7">
        <v>25</v>
      </c>
      <c r="CP3" s="10">
        <v>4.0000000000000001E-3</v>
      </c>
      <c r="CQ3" s="8">
        <f>10000*CP3/1.2699</f>
        <v>31.498543192377351</v>
      </c>
      <c r="DK3" s="10">
        <v>0.02</v>
      </c>
      <c r="DL3" s="10">
        <f>1.1713*0.071/1.2284</f>
        <v>6.7699690654509925E-2</v>
      </c>
      <c r="DM3" s="10">
        <f>1.1703*0.011/1.2082</f>
        <v>1.0654941234894882E-2</v>
      </c>
      <c r="DN3" s="10">
        <v>0.05</v>
      </c>
      <c r="DO3" s="10">
        <v>0.01</v>
      </c>
      <c r="DP3" s="10">
        <v>2E-3</v>
      </c>
      <c r="DQ3" s="10">
        <v>6.0000000000000001E-3</v>
      </c>
      <c r="DR3" s="10">
        <v>5.9999999999999995E-4</v>
      </c>
      <c r="DS3" s="10">
        <v>2E-3</v>
      </c>
      <c r="DT3" s="10">
        <v>2.0000000000000001E-4</v>
      </c>
      <c r="DU3" s="10">
        <v>2.9999999999999997E-4</v>
      </c>
      <c r="DV3" s="10">
        <v>2.0000000000000001E-4</v>
      </c>
      <c r="DW3" s="16">
        <v>3.0000000000000001E-5</v>
      </c>
      <c r="DX3" s="16">
        <v>2.0000000000000002E-5</v>
      </c>
      <c r="DY3" s="9">
        <f>SUM(DK3:DX3)</f>
        <v>0.16970463188940482</v>
      </c>
      <c r="DZ3" s="31">
        <f>GP3/BP3*100</f>
        <v>0.34340926377880965</v>
      </c>
      <c r="FE3" s="35">
        <f>BP3*CP3/100</f>
        <v>1E-3</v>
      </c>
      <c r="FF3" s="31">
        <v>3.97</v>
      </c>
      <c r="GA3" s="32">
        <f>BP3*DK3/100</f>
        <v>5.0000000000000001E-3</v>
      </c>
      <c r="GB3" s="32">
        <f>BP3*DL3/100</f>
        <v>1.6924922663627481E-2</v>
      </c>
      <c r="GC3" s="32">
        <f>BP3*DM3/100</f>
        <v>2.6637353087237202E-3</v>
      </c>
      <c r="GD3" s="32">
        <f>BP3*DN3/100</f>
        <v>1.2500000000000001E-2</v>
      </c>
      <c r="GE3" s="32">
        <f>BP3*DO3/100</f>
        <v>2.5000000000000001E-3</v>
      </c>
      <c r="GF3" s="35">
        <f>BP3*DP3/100</f>
        <v>5.0000000000000001E-4</v>
      </c>
      <c r="GG3" s="32">
        <f>BP3*DQ3/100</f>
        <v>1.5E-3</v>
      </c>
      <c r="GH3" s="35">
        <f>BP3*DR3/100</f>
        <v>1.4999999999999999E-4</v>
      </c>
      <c r="GI3" s="35">
        <f>BP3*DS3/100</f>
        <v>5.0000000000000001E-4</v>
      </c>
      <c r="GJ3" s="35">
        <f>BP3*DT3/100</f>
        <v>5.0000000000000002E-5</v>
      </c>
      <c r="GK3" s="35">
        <f>BP3*DU3/100</f>
        <v>7.4999999999999993E-5</v>
      </c>
      <c r="GL3" s="35">
        <f>BP3*DV3/100</f>
        <v>5.0000000000000002E-5</v>
      </c>
      <c r="GM3" s="35">
        <f>BP3*DW3/100</f>
        <v>7.5000000000000002E-6</v>
      </c>
      <c r="GN3" s="35">
        <f>BP3*DX3/100</f>
        <v>5.0000000000000004E-6</v>
      </c>
      <c r="GO3" s="32">
        <f>SUM(GA3:GN3)</f>
        <v>4.2426157972351206E-2</v>
      </c>
      <c r="GP3" s="32">
        <f>SUM(GA3:GO3)+FE3</f>
        <v>8.5852315944702412E-2</v>
      </c>
      <c r="GY3" s="6" t="s">
        <v>338</v>
      </c>
      <c r="GZ3" s="6" t="s">
        <v>583</v>
      </c>
      <c r="HB3" s="6" t="s">
        <v>338</v>
      </c>
      <c r="HD3" s="8" t="s">
        <v>1281</v>
      </c>
      <c r="HE3" s="8">
        <v>13380</v>
      </c>
      <c r="HF3" s="8" t="s">
        <v>1282</v>
      </c>
      <c r="HG3" s="9" t="s">
        <v>1283</v>
      </c>
      <c r="KP3" s="5" t="s">
        <v>1284</v>
      </c>
      <c r="KQ3" s="5" t="s">
        <v>1284</v>
      </c>
      <c r="KR3" s="5" t="s">
        <v>1284</v>
      </c>
      <c r="KS3" s="5" t="s">
        <v>1284</v>
      </c>
      <c r="KT3" s="5" t="s">
        <v>1285</v>
      </c>
    </row>
    <row r="4" spans="1:306" ht="36" x14ac:dyDescent="0.25">
      <c r="A4" s="5" t="s">
        <v>1286</v>
      </c>
      <c r="B4" s="4" t="s">
        <v>577</v>
      </c>
      <c r="C4" s="7" t="s">
        <v>1277</v>
      </c>
      <c r="D4" s="8" t="s">
        <v>1287</v>
      </c>
      <c r="E4" s="38">
        <v>922840</v>
      </c>
      <c r="G4" s="4" t="s">
        <v>530</v>
      </c>
      <c r="H4" s="6">
        <v>137.11813893412301</v>
      </c>
      <c r="I4" s="6">
        <v>-17.4164861110937</v>
      </c>
      <c r="J4" s="4" t="s">
        <v>1279</v>
      </c>
      <c r="K4" s="4" t="s">
        <v>481</v>
      </c>
      <c r="L4" s="4" t="s">
        <v>943</v>
      </c>
      <c r="Q4" s="8"/>
      <c r="R4" s="8"/>
      <c r="Z4" s="4" t="s">
        <v>577</v>
      </c>
      <c r="AA4" s="7" t="s">
        <v>1277</v>
      </c>
      <c r="AB4" s="8" t="s">
        <v>1287</v>
      </c>
      <c r="AC4" s="4" t="s">
        <v>370</v>
      </c>
      <c r="AD4" s="4" t="s">
        <v>371</v>
      </c>
      <c r="AE4" s="8">
        <f t="shared" si="0"/>
        <v>106.75</v>
      </c>
      <c r="AF4" s="8">
        <f t="shared" si="1"/>
        <v>6.25</v>
      </c>
      <c r="AG4" s="9" t="s">
        <v>379</v>
      </c>
      <c r="AH4" s="9" t="s">
        <v>372</v>
      </c>
      <c r="AJ4" s="9" t="s">
        <v>1280</v>
      </c>
      <c r="AM4" s="8">
        <v>3</v>
      </c>
      <c r="AN4" s="4" t="s">
        <v>381</v>
      </c>
      <c r="AO4" s="4" t="s">
        <v>375</v>
      </c>
      <c r="AP4" s="4" t="s">
        <v>383</v>
      </c>
      <c r="AQ4" s="7" t="s">
        <v>384</v>
      </c>
      <c r="AR4" s="8" t="s">
        <v>1288</v>
      </c>
      <c r="AS4" s="7">
        <v>0</v>
      </c>
      <c r="AT4" s="7">
        <v>0</v>
      </c>
      <c r="AU4" s="9" t="s">
        <v>303</v>
      </c>
      <c r="AV4" s="9" t="s">
        <v>406</v>
      </c>
      <c r="BA4" s="8">
        <v>5</v>
      </c>
      <c r="BP4" s="7">
        <v>100</v>
      </c>
      <c r="CG4" s="6">
        <v>0.12</v>
      </c>
      <c r="CM4" s="8">
        <v>30</v>
      </c>
      <c r="DZ4" s="31"/>
      <c r="EV4" s="8">
        <f t="shared" ref="EV4:EV9" si="2">1000*BP4*CG4/100</f>
        <v>120</v>
      </c>
      <c r="FB4" s="7">
        <f>BP4*CM4/1000</f>
        <v>3</v>
      </c>
      <c r="GP4" s="32"/>
      <c r="GY4" s="6" t="s">
        <v>338</v>
      </c>
      <c r="GZ4" s="6" t="s">
        <v>1289</v>
      </c>
      <c r="HB4" s="6" t="s">
        <v>946</v>
      </c>
      <c r="HC4" s="6" t="s">
        <v>1290</v>
      </c>
      <c r="HD4" s="8" t="s">
        <v>1281</v>
      </c>
      <c r="HE4" s="8">
        <v>13380</v>
      </c>
      <c r="HF4" s="8" t="s">
        <v>1282</v>
      </c>
      <c r="HG4" s="9" t="s">
        <v>1283</v>
      </c>
      <c r="KP4" s="5" t="s">
        <v>1284</v>
      </c>
      <c r="KQ4" s="5" t="s">
        <v>1284</v>
      </c>
      <c r="KR4" s="5" t="s">
        <v>1284</v>
      </c>
      <c r="KS4" s="5" t="s">
        <v>1284</v>
      </c>
      <c r="KT4" s="5" t="s">
        <v>1291</v>
      </c>
    </row>
    <row r="5" spans="1:306" ht="36" x14ac:dyDescent="0.25">
      <c r="A5" s="5" t="s">
        <v>1292</v>
      </c>
      <c r="B5" s="4" t="s">
        <v>577</v>
      </c>
      <c r="C5" s="7" t="s">
        <v>1277</v>
      </c>
      <c r="D5" s="8" t="s">
        <v>1287</v>
      </c>
      <c r="E5" s="38">
        <v>922838</v>
      </c>
      <c r="G5" s="4" t="s">
        <v>530</v>
      </c>
      <c r="H5" s="6">
        <v>137.08107792196</v>
      </c>
      <c r="I5" s="6">
        <v>-17.467694075077301</v>
      </c>
      <c r="J5" s="4" t="s">
        <v>1279</v>
      </c>
      <c r="K5" s="4" t="s">
        <v>481</v>
      </c>
      <c r="L5" s="4" t="s">
        <v>943</v>
      </c>
      <c r="Q5" s="8"/>
      <c r="R5" s="8"/>
      <c r="Z5" s="4" t="s">
        <v>577</v>
      </c>
      <c r="AA5" s="7" t="s">
        <v>1277</v>
      </c>
      <c r="AB5" s="8" t="s">
        <v>1287</v>
      </c>
      <c r="AC5" s="4" t="s">
        <v>370</v>
      </c>
      <c r="AD5" s="4" t="s">
        <v>371</v>
      </c>
      <c r="AE5" s="8">
        <f t="shared" si="0"/>
        <v>106.75</v>
      </c>
      <c r="AF5" s="8">
        <f t="shared" si="1"/>
        <v>6.25</v>
      </c>
      <c r="AG5" s="9" t="s">
        <v>379</v>
      </c>
      <c r="AH5" s="9" t="s">
        <v>372</v>
      </c>
      <c r="AJ5" s="9" t="s">
        <v>1280</v>
      </c>
      <c r="AM5" s="8">
        <v>3</v>
      </c>
      <c r="AN5" s="4" t="s">
        <v>381</v>
      </c>
      <c r="AO5" s="4" t="s">
        <v>375</v>
      </c>
      <c r="AP5" s="4" t="s">
        <v>383</v>
      </c>
      <c r="AQ5" s="7" t="s">
        <v>384</v>
      </c>
      <c r="AR5" s="8" t="s">
        <v>1288</v>
      </c>
      <c r="AS5" s="7">
        <v>0</v>
      </c>
      <c r="AT5" s="7">
        <v>0</v>
      </c>
      <c r="AU5" s="9" t="s">
        <v>303</v>
      </c>
      <c r="AV5" s="9" t="s">
        <v>406</v>
      </c>
      <c r="BA5" s="8">
        <v>5</v>
      </c>
      <c r="BP5" s="7">
        <v>60</v>
      </c>
      <c r="CG5" s="6">
        <v>0.12</v>
      </c>
      <c r="CM5" s="8">
        <v>40</v>
      </c>
      <c r="DZ5" s="31"/>
      <c r="EV5" s="8">
        <f t="shared" si="2"/>
        <v>72</v>
      </c>
      <c r="FB5" s="7">
        <f>BP5*CM5/1000</f>
        <v>2.4</v>
      </c>
      <c r="GP5" s="32"/>
      <c r="GY5" s="6" t="s">
        <v>338</v>
      </c>
      <c r="GZ5" s="6" t="s">
        <v>1289</v>
      </c>
      <c r="HB5" s="6" t="s">
        <v>946</v>
      </c>
      <c r="HC5" s="6" t="s">
        <v>1290</v>
      </c>
      <c r="HD5" s="8" t="s">
        <v>1281</v>
      </c>
      <c r="HE5" s="8">
        <v>13380</v>
      </c>
      <c r="HF5" s="8" t="s">
        <v>1282</v>
      </c>
      <c r="HG5" s="9" t="s">
        <v>1283</v>
      </c>
      <c r="KP5" s="5" t="s">
        <v>1284</v>
      </c>
      <c r="KQ5" s="5" t="s">
        <v>1284</v>
      </c>
      <c r="KR5" s="5" t="s">
        <v>1284</v>
      </c>
      <c r="KS5" s="5" t="s">
        <v>1284</v>
      </c>
      <c r="KT5" s="5" t="s">
        <v>1291</v>
      </c>
    </row>
    <row r="6" spans="1:306" ht="72" x14ac:dyDescent="0.25">
      <c r="A6" s="5" t="s">
        <v>4868</v>
      </c>
      <c r="B6" s="4" t="s">
        <v>577</v>
      </c>
      <c r="C6" s="7" t="s">
        <v>1277</v>
      </c>
      <c r="D6" s="8" t="s">
        <v>1287</v>
      </c>
      <c r="E6" s="4">
        <v>627649</v>
      </c>
      <c r="G6" s="4" t="s">
        <v>479</v>
      </c>
      <c r="H6" s="6">
        <f>142+(30+30*(2.68/4.4))/60</f>
        <v>142.80454545454546</v>
      </c>
      <c r="I6" s="6">
        <f>-(20+(30*(4.28/4.4)/60))</f>
        <v>-20.486363636363635</v>
      </c>
      <c r="J6" s="4" t="s">
        <v>4869</v>
      </c>
      <c r="K6" s="4" t="s">
        <v>481</v>
      </c>
      <c r="L6" s="4" t="s">
        <v>942</v>
      </c>
      <c r="M6" s="4" t="s">
        <v>1328</v>
      </c>
      <c r="Q6" s="7"/>
      <c r="R6" s="7"/>
      <c r="Z6" s="4" t="s">
        <v>577</v>
      </c>
      <c r="AA6" s="7" t="s">
        <v>1277</v>
      </c>
      <c r="AB6" s="8" t="s">
        <v>1287</v>
      </c>
      <c r="AC6" s="4" t="s">
        <v>301</v>
      </c>
      <c r="AD6" s="4" t="s">
        <v>375</v>
      </c>
      <c r="AE6" s="7">
        <f t="shared" si="0"/>
        <v>106.75</v>
      </c>
      <c r="AF6" s="7">
        <f t="shared" si="1"/>
        <v>6.25</v>
      </c>
      <c r="AG6" s="9" t="s">
        <v>379</v>
      </c>
      <c r="AH6" s="9" t="s">
        <v>372</v>
      </c>
      <c r="AJ6" s="9" t="s">
        <v>555</v>
      </c>
      <c r="AM6" s="8">
        <v>4</v>
      </c>
      <c r="AN6" s="4" t="s">
        <v>381</v>
      </c>
      <c r="AO6" s="4" t="s">
        <v>382</v>
      </c>
      <c r="AP6" s="4" t="s">
        <v>383</v>
      </c>
      <c r="AQ6" s="7" t="s">
        <v>384</v>
      </c>
      <c r="AR6" s="8" t="s">
        <v>1288</v>
      </c>
      <c r="AS6" s="7">
        <v>0</v>
      </c>
      <c r="AT6" s="7">
        <v>0</v>
      </c>
      <c r="AU6" s="9" t="s">
        <v>303</v>
      </c>
      <c r="AV6" s="9" t="s">
        <v>406</v>
      </c>
      <c r="BA6" s="8">
        <v>5</v>
      </c>
      <c r="BP6" s="7">
        <v>560</v>
      </c>
      <c r="CG6" s="6">
        <v>0.48</v>
      </c>
      <c r="CL6" s="10">
        <v>2.7699999999999999E-2</v>
      </c>
      <c r="CT6" s="10">
        <v>2.3400000000000001E-2</v>
      </c>
      <c r="DZ6" s="31"/>
      <c r="ET6" s="8"/>
      <c r="EV6" s="8">
        <f t="shared" si="2"/>
        <v>2688</v>
      </c>
      <c r="FA6" s="10">
        <f>BP6*CL6/100</f>
        <v>0.15511999999999998</v>
      </c>
      <c r="FB6" s="8"/>
      <c r="FI6" s="6">
        <f>1000*BP6*CT6/100</f>
        <v>131.04</v>
      </c>
      <c r="GP6" s="32"/>
      <c r="GY6" s="6" t="s">
        <v>338</v>
      </c>
      <c r="GZ6" s="6" t="s">
        <v>1289</v>
      </c>
      <c r="HA6" s="6" t="s">
        <v>763</v>
      </c>
      <c r="HB6" s="6" t="s">
        <v>928</v>
      </c>
      <c r="HC6" s="6" t="s">
        <v>4870</v>
      </c>
      <c r="HD6" s="8" t="s">
        <v>4871</v>
      </c>
      <c r="HE6" s="8">
        <v>18375</v>
      </c>
      <c r="HF6" s="8" t="s">
        <v>4872</v>
      </c>
      <c r="HG6" s="9" t="s">
        <v>4873</v>
      </c>
      <c r="JX6" s="7" t="s">
        <v>320</v>
      </c>
      <c r="KP6" s="5" t="s">
        <v>4874</v>
      </c>
      <c r="KQ6" s="5" t="s">
        <v>4875</v>
      </c>
      <c r="KR6" s="5" t="s">
        <v>4875</v>
      </c>
      <c r="KS6" s="5" t="s">
        <v>4874</v>
      </c>
      <c r="KT6" s="5" t="s">
        <v>4876</v>
      </c>
    </row>
    <row r="7" spans="1:306" ht="72" x14ac:dyDescent="0.25">
      <c r="A7" s="5" t="s">
        <v>4984</v>
      </c>
      <c r="B7" s="4" t="s">
        <v>577</v>
      </c>
      <c r="C7" s="7" t="s">
        <v>1277</v>
      </c>
      <c r="D7" s="8" t="s">
        <v>1287</v>
      </c>
      <c r="E7" s="4">
        <v>628386</v>
      </c>
      <c r="G7" s="4" t="s">
        <v>479</v>
      </c>
      <c r="H7" s="6">
        <f>141+(30+30*(2.65/4.4))/60</f>
        <v>141.80113636363637</v>
      </c>
      <c r="I7" s="6">
        <f>-(20+(30*(2.65/4.4)/60))</f>
        <v>-20.301136363636363</v>
      </c>
      <c r="J7" s="4" t="s">
        <v>4869</v>
      </c>
      <c r="K7" s="4" t="s">
        <v>481</v>
      </c>
      <c r="L7" s="4" t="s">
        <v>942</v>
      </c>
      <c r="M7" s="4" t="s">
        <v>1328</v>
      </c>
      <c r="Q7" s="7"/>
      <c r="R7" s="7"/>
      <c r="Z7" s="4" t="s">
        <v>577</v>
      </c>
      <c r="AA7" s="7" t="s">
        <v>1277</v>
      </c>
      <c r="AB7" s="8" t="s">
        <v>1287</v>
      </c>
      <c r="AC7" s="4" t="s">
        <v>301</v>
      </c>
      <c r="AD7" s="4" t="s">
        <v>375</v>
      </c>
      <c r="AE7" s="7">
        <f t="shared" si="0"/>
        <v>106.75</v>
      </c>
      <c r="AF7" s="7">
        <f t="shared" si="1"/>
        <v>6.25</v>
      </c>
      <c r="AG7" s="9" t="s">
        <v>379</v>
      </c>
      <c r="AH7" s="9" t="s">
        <v>372</v>
      </c>
      <c r="AJ7" s="9" t="s">
        <v>555</v>
      </c>
      <c r="AM7" s="8">
        <v>4</v>
      </c>
      <c r="AN7" s="4" t="s">
        <v>381</v>
      </c>
      <c r="AO7" s="4" t="s">
        <v>382</v>
      </c>
      <c r="AP7" s="4" t="s">
        <v>383</v>
      </c>
      <c r="AQ7" s="7" t="s">
        <v>384</v>
      </c>
      <c r="AR7" s="8" t="s">
        <v>1288</v>
      </c>
      <c r="AS7" s="7">
        <v>0</v>
      </c>
      <c r="AT7" s="7">
        <v>0</v>
      </c>
      <c r="AU7" s="9" t="s">
        <v>303</v>
      </c>
      <c r="AV7" s="9" t="s">
        <v>406</v>
      </c>
      <c r="BA7" s="8">
        <v>5</v>
      </c>
      <c r="BP7" s="7">
        <v>76</v>
      </c>
      <c r="CE7" s="9"/>
      <c r="CG7" s="9">
        <v>0.34499999999999997</v>
      </c>
      <c r="CL7" s="10">
        <v>2.4899999999999999E-2</v>
      </c>
      <c r="CM7" s="9"/>
      <c r="CT7" s="10">
        <v>3.6900000000000002E-2</v>
      </c>
      <c r="DZ7" s="31"/>
      <c r="ET7" s="8"/>
      <c r="EV7" s="8">
        <f t="shared" si="2"/>
        <v>262.2</v>
      </c>
      <c r="FA7" s="10">
        <f>BP7*CL7/100</f>
        <v>1.8924E-2</v>
      </c>
      <c r="FB7" s="8"/>
      <c r="FI7" s="6">
        <f>1000*BP7*CT7/100</f>
        <v>28.044</v>
      </c>
      <c r="GP7" s="32"/>
      <c r="GY7" s="6" t="s">
        <v>338</v>
      </c>
      <c r="GZ7" s="6" t="s">
        <v>4985</v>
      </c>
      <c r="HB7" s="6" t="s">
        <v>928</v>
      </c>
      <c r="HC7" s="6" t="s">
        <v>4870</v>
      </c>
      <c r="HD7" s="8" t="s">
        <v>4871</v>
      </c>
      <c r="HE7" s="8">
        <v>18375</v>
      </c>
      <c r="HF7" s="8" t="s">
        <v>4872</v>
      </c>
      <c r="HG7" s="9" t="s">
        <v>4873</v>
      </c>
      <c r="JX7" s="7" t="s">
        <v>320</v>
      </c>
      <c r="KP7" s="5" t="s">
        <v>4874</v>
      </c>
      <c r="KQ7" s="5" t="s">
        <v>4875</v>
      </c>
      <c r="KR7" s="5" t="s">
        <v>4875</v>
      </c>
      <c r="KS7" s="5" t="s">
        <v>4874</v>
      </c>
      <c r="KT7" s="5" t="s">
        <v>4876</v>
      </c>
    </row>
    <row r="8" spans="1:306" ht="72" x14ac:dyDescent="0.25">
      <c r="A8" s="5" t="s">
        <v>7007</v>
      </c>
      <c r="B8" s="4" t="s">
        <v>577</v>
      </c>
      <c r="C8" s="7" t="s">
        <v>1277</v>
      </c>
      <c r="D8" s="8" t="s">
        <v>1287</v>
      </c>
      <c r="E8" s="4">
        <v>628385</v>
      </c>
      <c r="G8" s="4" t="s">
        <v>479</v>
      </c>
      <c r="H8" s="6">
        <v>142.21199999999999</v>
      </c>
      <c r="I8" s="6">
        <v>-20.21</v>
      </c>
      <c r="J8" s="4" t="s">
        <v>4869</v>
      </c>
      <c r="K8" s="4" t="s">
        <v>481</v>
      </c>
      <c r="L8" s="4" t="s">
        <v>942</v>
      </c>
      <c r="M8" s="4" t="s">
        <v>1328</v>
      </c>
      <c r="Q8" s="7"/>
      <c r="R8" s="7"/>
      <c r="Z8" s="4" t="s">
        <v>577</v>
      </c>
      <c r="AA8" s="7" t="s">
        <v>1277</v>
      </c>
      <c r="AB8" s="8" t="s">
        <v>1287</v>
      </c>
      <c r="AC8" s="4" t="s">
        <v>301</v>
      </c>
      <c r="AD8" s="4" t="s">
        <v>375</v>
      </c>
      <c r="AE8" s="7">
        <f t="shared" si="0"/>
        <v>106.75</v>
      </c>
      <c r="AF8" s="7">
        <f t="shared" si="1"/>
        <v>6.25</v>
      </c>
      <c r="AG8" s="9" t="s">
        <v>379</v>
      </c>
      <c r="AH8" s="9" t="s">
        <v>372</v>
      </c>
      <c r="AJ8" s="9" t="s">
        <v>555</v>
      </c>
      <c r="AM8" s="8">
        <v>4</v>
      </c>
      <c r="AN8" s="4" t="s">
        <v>381</v>
      </c>
      <c r="AO8" s="4" t="s">
        <v>382</v>
      </c>
      <c r="AP8" s="4" t="s">
        <v>383</v>
      </c>
      <c r="AQ8" s="7" t="s">
        <v>384</v>
      </c>
      <c r="AR8" s="8" t="s">
        <v>1288</v>
      </c>
      <c r="AS8" s="7">
        <v>0</v>
      </c>
      <c r="AT8" s="7">
        <v>0</v>
      </c>
      <c r="AU8" s="9" t="s">
        <v>303</v>
      </c>
      <c r="AV8" s="9" t="s">
        <v>406</v>
      </c>
      <c r="BA8" s="8">
        <v>5</v>
      </c>
      <c r="BP8" s="7">
        <v>1202</v>
      </c>
      <c r="CE8" s="9"/>
      <c r="CG8" s="9">
        <v>0.312</v>
      </c>
      <c r="CL8" s="10">
        <v>1.5100000000000001E-2</v>
      </c>
      <c r="CM8" s="9"/>
      <c r="CT8" s="10">
        <v>2.5899999999999999E-2</v>
      </c>
      <c r="DZ8" s="31"/>
      <c r="ET8" s="8"/>
      <c r="EV8" s="8">
        <f t="shared" si="2"/>
        <v>3750.24</v>
      </c>
      <c r="FA8" s="10">
        <f>BP8*CL8/100</f>
        <v>0.18150200000000002</v>
      </c>
      <c r="FB8" s="8"/>
      <c r="FI8" s="6">
        <f>1000*BP8*CT8/100</f>
        <v>311.31799999999998</v>
      </c>
      <c r="GP8" s="32"/>
      <c r="GY8" s="6" t="s">
        <v>338</v>
      </c>
      <c r="GZ8" s="6" t="s">
        <v>1289</v>
      </c>
      <c r="HA8" s="6" t="s">
        <v>763</v>
      </c>
      <c r="HB8" s="6" t="s">
        <v>928</v>
      </c>
      <c r="HC8" s="6" t="s">
        <v>946</v>
      </c>
      <c r="HD8" s="8" t="s">
        <v>4871</v>
      </c>
      <c r="HE8" s="8">
        <v>18375</v>
      </c>
      <c r="HF8" s="8" t="s">
        <v>4872</v>
      </c>
      <c r="HG8" s="9" t="s">
        <v>4873</v>
      </c>
      <c r="JX8" s="7" t="s">
        <v>320</v>
      </c>
      <c r="KP8" s="5" t="s">
        <v>4874</v>
      </c>
      <c r="KQ8" s="5" t="s">
        <v>4875</v>
      </c>
      <c r="KR8" s="5" t="s">
        <v>4875</v>
      </c>
      <c r="KS8" s="5" t="s">
        <v>4874</v>
      </c>
      <c r="KT8" s="5" t="s">
        <v>4876</v>
      </c>
    </row>
    <row r="9" spans="1:306" ht="36" x14ac:dyDescent="0.2">
      <c r="A9" s="5" t="s">
        <v>7787</v>
      </c>
      <c r="B9" s="4" t="s">
        <v>383</v>
      </c>
      <c r="C9" s="7" t="s">
        <v>384</v>
      </c>
      <c r="D9" s="8" t="s">
        <v>1288</v>
      </c>
      <c r="E9" s="44">
        <v>922835</v>
      </c>
      <c r="G9" s="4" t="s">
        <v>530</v>
      </c>
      <c r="H9" s="6">
        <v>136.973029493242</v>
      </c>
      <c r="I9" s="6">
        <v>-17.486865197819899</v>
      </c>
      <c r="J9" s="4" t="s">
        <v>1279</v>
      </c>
      <c r="K9" s="4" t="s">
        <v>481</v>
      </c>
      <c r="L9" s="4" t="s">
        <v>943</v>
      </c>
      <c r="Q9" s="8"/>
      <c r="R9" s="8"/>
      <c r="Z9" s="4" t="s">
        <v>577</v>
      </c>
      <c r="AA9" s="7" t="s">
        <v>1277</v>
      </c>
      <c r="AB9" s="8" t="s">
        <v>1287</v>
      </c>
      <c r="AC9" s="4" t="s">
        <v>370</v>
      </c>
      <c r="AD9" s="4" t="s">
        <v>371</v>
      </c>
      <c r="AE9" s="8">
        <f t="shared" si="0"/>
        <v>106.75</v>
      </c>
      <c r="AF9" s="8">
        <f t="shared" si="1"/>
        <v>6.25</v>
      </c>
      <c r="AG9" s="9" t="s">
        <v>379</v>
      </c>
      <c r="AH9" s="9" t="s">
        <v>372</v>
      </c>
      <c r="AJ9" s="9" t="s">
        <v>1280</v>
      </c>
      <c r="AM9" s="8">
        <v>3</v>
      </c>
      <c r="AN9" s="4" t="s">
        <v>381</v>
      </c>
      <c r="AO9" s="4" t="s">
        <v>375</v>
      </c>
      <c r="AP9" s="4" t="s">
        <v>383</v>
      </c>
      <c r="AQ9" s="7" t="s">
        <v>384</v>
      </c>
      <c r="AR9" s="8" t="s">
        <v>1288</v>
      </c>
      <c r="AS9" s="7">
        <v>0</v>
      </c>
      <c r="AT9" s="7">
        <v>0</v>
      </c>
      <c r="AU9" s="9" t="s">
        <v>303</v>
      </c>
      <c r="AV9" s="9" t="s">
        <v>406</v>
      </c>
      <c r="BA9" s="8">
        <v>5</v>
      </c>
      <c r="BP9" s="7">
        <v>40</v>
      </c>
      <c r="CG9" s="6">
        <v>0.13</v>
      </c>
      <c r="CM9" s="8">
        <v>25</v>
      </c>
      <c r="DZ9" s="31"/>
      <c r="EV9" s="8">
        <f t="shared" si="2"/>
        <v>52</v>
      </c>
      <c r="FB9" s="7">
        <f>BP9*CM9/1000</f>
        <v>1</v>
      </c>
      <c r="GP9" s="32"/>
      <c r="GY9" s="6" t="s">
        <v>338</v>
      </c>
      <c r="GZ9" s="6" t="s">
        <v>1289</v>
      </c>
      <c r="HB9" s="6" t="s">
        <v>946</v>
      </c>
      <c r="HC9" s="6" t="s">
        <v>1290</v>
      </c>
      <c r="HD9" s="8" t="s">
        <v>1281</v>
      </c>
      <c r="HE9" s="8">
        <v>13380</v>
      </c>
      <c r="HF9" s="8" t="s">
        <v>1282</v>
      </c>
      <c r="HG9" s="9" t="s">
        <v>1283</v>
      </c>
      <c r="KP9" s="5" t="s">
        <v>1284</v>
      </c>
      <c r="KQ9" s="5" t="s">
        <v>1284</v>
      </c>
      <c r="KR9" s="5" t="s">
        <v>1284</v>
      </c>
      <c r="KS9" s="5" t="s">
        <v>1284</v>
      </c>
      <c r="KT9" s="5" t="s">
        <v>1291</v>
      </c>
    </row>
    <row r="10" spans="1:306" ht="72" x14ac:dyDescent="0.25">
      <c r="A10" s="5" t="s">
        <v>1930</v>
      </c>
      <c r="B10" s="4" t="s">
        <v>1904</v>
      </c>
      <c r="C10" s="7" t="s">
        <v>1904</v>
      </c>
      <c r="D10" s="8" t="s">
        <v>1933</v>
      </c>
      <c r="E10" s="4">
        <v>569294</v>
      </c>
      <c r="G10" s="4" t="s">
        <v>593</v>
      </c>
      <c r="H10" s="6">
        <v>136.46722199999999</v>
      </c>
      <c r="I10" s="6">
        <v>-33.537855</v>
      </c>
      <c r="J10" s="4" t="s">
        <v>1932</v>
      </c>
      <c r="K10" s="4" t="s">
        <v>595</v>
      </c>
      <c r="L10" s="4" t="s">
        <v>596</v>
      </c>
      <c r="M10" s="4" t="s">
        <v>1838</v>
      </c>
      <c r="Q10" s="8"/>
      <c r="R10" s="8"/>
      <c r="Z10" s="4" t="s">
        <v>577</v>
      </c>
      <c r="AA10" s="7" t="s">
        <v>1277</v>
      </c>
      <c r="AB10" s="8" t="s">
        <v>1931</v>
      </c>
      <c r="AC10" s="4" t="s">
        <v>370</v>
      </c>
      <c r="AD10" s="4" t="s">
        <v>371</v>
      </c>
      <c r="AE10" s="8">
        <f>(1876+1730)/2</f>
        <v>1803</v>
      </c>
      <c r="AF10" s="8">
        <f>(1876-1730)/2</f>
        <v>73</v>
      </c>
      <c r="AG10" s="9" t="s">
        <v>379</v>
      </c>
      <c r="AH10" s="9" t="s">
        <v>372</v>
      </c>
      <c r="AM10" s="8">
        <v>4</v>
      </c>
      <c r="AN10" s="4" t="s">
        <v>301</v>
      </c>
      <c r="AO10" s="4" t="s">
        <v>302</v>
      </c>
      <c r="AP10" s="4" t="s">
        <v>1904</v>
      </c>
      <c r="AQ10" s="7" t="s">
        <v>1904</v>
      </c>
      <c r="AR10" s="8" t="s">
        <v>1933</v>
      </c>
      <c r="AS10" s="8">
        <v>1710</v>
      </c>
      <c r="AT10" s="8">
        <v>20</v>
      </c>
      <c r="AU10" s="9" t="s">
        <v>379</v>
      </c>
      <c r="AV10" s="9" t="s">
        <v>1906</v>
      </c>
      <c r="BA10" s="8">
        <v>4</v>
      </c>
      <c r="BB10" s="4" t="s">
        <v>381</v>
      </c>
      <c r="BC10" s="4" t="s">
        <v>382</v>
      </c>
      <c r="BD10" s="4" t="s">
        <v>383</v>
      </c>
      <c r="BE10" s="7" t="s">
        <v>384</v>
      </c>
      <c r="BF10" s="8" t="s">
        <v>1934</v>
      </c>
      <c r="BG10" s="7">
        <v>0</v>
      </c>
      <c r="BH10" s="7">
        <v>0</v>
      </c>
      <c r="BI10" s="9" t="s">
        <v>303</v>
      </c>
      <c r="BJ10" s="9" t="s">
        <v>406</v>
      </c>
      <c r="BO10" s="8">
        <v>5</v>
      </c>
      <c r="BP10" s="7">
        <v>2.23</v>
      </c>
      <c r="BY10" s="7"/>
      <c r="DZ10" s="31"/>
      <c r="EB10" s="10"/>
      <c r="ED10" s="7">
        <v>12.3</v>
      </c>
      <c r="EO10" s="8"/>
      <c r="GP10" s="32"/>
      <c r="GT10" s="8">
        <f>1000*BP10*ED10/100</f>
        <v>274.29000000000002</v>
      </c>
      <c r="GY10" s="8" t="s">
        <v>338</v>
      </c>
      <c r="GZ10" s="8" t="s">
        <v>1935</v>
      </c>
      <c r="HA10" s="8"/>
      <c r="HB10" s="8"/>
      <c r="HC10" s="8"/>
      <c r="HD10" s="8" t="s">
        <v>1936</v>
      </c>
      <c r="HE10" s="8">
        <v>78896</v>
      </c>
      <c r="HF10" s="8" t="s">
        <v>1937</v>
      </c>
      <c r="HG10" s="9" t="s">
        <v>538</v>
      </c>
      <c r="KG10" s="4" t="s">
        <v>323</v>
      </c>
      <c r="KM10" s="4" t="s">
        <v>1192</v>
      </c>
      <c r="KN10" s="4" t="s">
        <v>1192</v>
      </c>
      <c r="KP10" s="5" t="s">
        <v>358</v>
      </c>
      <c r="KQ10" s="5" t="s">
        <v>1938</v>
      </c>
      <c r="KR10" s="5" t="s">
        <v>1939</v>
      </c>
      <c r="KS10" s="5" t="s">
        <v>1940</v>
      </c>
      <c r="KT10" s="5" t="s">
        <v>1941</v>
      </c>
    </row>
    <row r="11" spans="1:306" ht="72" x14ac:dyDescent="0.25">
      <c r="A11" s="5" t="s">
        <v>4672</v>
      </c>
      <c r="B11" s="4" t="s">
        <v>1904</v>
      </c>
      <c r="C11" s="7" t="s">
        <v>1904</v>
      </c>
      <c r="D11" s="8" t="s">
        <v>1933</v>
      </c>
      <c r="E11" s="4">
        <v>569267</v>
      </c>
      <c r="G11" s="4" t="s">
        <v>593</v>
      </c>
      <c r="H11" s="6">
        <v>135.910731</v>
      </c>
      <c r="I11" s="6">
        <v>-34.400221000000002</v>
      </c>
      <c r="J11" s="4" t="s">
        <v>4673</v>
      </c>
      <c r="K11" s="4" t="s">
        <v>595</v>
      </c>
      <c r="L11" s="4" t="s">
        <v>596</v>
      </c>
      <c r="M11" s="4" t="s">
        <v>1838</v>
      </c>
      <c r="Q11" s="8"/>
      <c r="R11" s="8"/>
      <c r="Z11" s="4" t="s">
        <v>577</v>
      </c>
      <c r="AA11" s="7" t="s">
        <v>1277</v>
      </c>
      <c r="AB11" s="8" t="s">
        <v>1931</v>
      </c>
      <c r="AC11" s="4" t="s">
        <v>370</v>
      </c>
      <c r="AD11" s="4" t="s">
        <v>371</v>
      </c>
      <c r="AE11" s="8">
        <f>(1876+1730)/2</f>
        <v>1803</v>
      </c>
      <c r="AF11" s="8">
        <f>(1876-1730)/2</f>
        <v>73</v>
      </c>
      <c r="AG11" s="9" t="s">
        <v>379</v>
      </c>
      <c r="AH11" s="9" t="s">
        <v>372</v>
      </c>
      <c r="AM11" s="8">
        <v>4</v>
      </c>
      <c r="AN11" s="4" t="s">
        <v>301</v>
      </c>
      <c r="AO11" s="4" t="s">
        <v>302</v>
      </c>
      <c r="AP11" s="4" t="s">
        <v>1904</v>
      </c>
      <c r="AQ11" s="7" t="s">
        <v>1904</v>
      </c>
      <c r="AR11" s="8" t="s">
        <v>1933</v>
      </c>
      <c r="AS11" s="8">
        <v>1710</v>
      </c>
      <c r="AT11" s="8">
        <v>20</v>
      </c>
      <c r="AU11" s="9" t="s">
        <v>379</v>
      </c>
      <c r="AV11" s="9" t="s">
        <v>1906</v>
      </c>
      <c r="BA11" s="8">
        <v>4</v>
      </c>
      <c r="BB11" s="4" t="s">
        <v>381</v>
      </c>
      <c r="BC11" s="4" t="s">
        <v>382</v>
      </c>
      <c r="BD11" s="4" t="s">
        <v>383</v>
      </c>
      <c r="BE11" s="7" t="s">
        <v>384</v>
      </c>
      <c r="BF11" s="8" t="s">
        <v>1934</v>
      </c>
      <c r="BG11" s="7">
        <v>0</v>
      </c>
      <c r="BH11" s="7">
        <v>0</v>
      </c>
      <c r="BI11" s="9" t="s">
        <v>303</v>
      </c>
      <c r="BJ11" s="9" t="s">
        <v>406</v>
      </c>
      <c r="BO11" s="8">
        <v>5</v>
      </c>
      <c r="BP11" s="7">
        <v>3.23</v>
      </c>
      <c r="BY11" s="7"/>
      <c r="DZ11" s="31"/>
      <c r="EB11" s="10"/>
      <c r="ED11" s="7">
        <v>11.2</v>
      </c>
      <c r="EO11" s="8"/>
      <c r="GP11" s="32"/>
      <c r="GT11" s="8">
        <f>1000*BP11*ED11/100</f>
        <v>361.76</v>
      </c>
      <c r="GY11" s="8" t="s">
        <v>338</v>
      </c>
      <c r="GZ11" s="8" t="s">
        <v>1935</v>
      </c>
      <c r="HA11" s="8"/>
      <c r="HB11" s="8"/>
      <c r="HC11" s="8"/>
      <c r="HD11" s="8" t="s">
        <v>1936</v>
      </c>
      <c r="HE11" s="8">
        <v>78896</v>
      </c>
      <c r="HF11" s="8" t="s">
        <v>4674</v>
      </c>
      <c r="HG11" s="9" t="s">
        <v>538</v>
      </c>
      <c r="KG11" s="4" t="s">
        <v>323</v>
      </c>
      <c r="KM11" s="4" t="s">
        <v>702</v>
      </c>
      <c r="KN11" s="4" t="s">
        <v>888</v>
      </c>
      <c r="KP11" s="5" t="s">
        <v>358</v>
      </c>
      <c r="KQ11" s="5" t="s">
        <v>1938</v>
      </c>
      <c r="KR11" s="5" t="s">
        <v>1939</v>
      </c>
      <c r="KS11" s="5" t="s">
        <v>1940</v>
      </c>
      <c r="KT11" s="5" t="s">
        <v>1941</v>
      </c>
    </row>
    <row r="12" spans="1:306" ht="72" x14ac:dyDescent="0.25">
      <c r="A12" s="5" t="s">
        <v>4673</v>
      </c>
      <c r="B12" s="4" t="s">
        <v>1904</v>
      </c>
      <c r="C12" s="7" t="s">
        <v>1904</v>
      </c>
      <c r="D12" s="8" t="s">
        <v>1933</v>
      </c>
      <c r="E12" s="4">
        <v>573729</v>
      </c>
      <c r="G12" s="4" t="s">
        <v>593</v>
      </c>
      <c r="H12" s="6">
        <v>135.907229</v>
      </c>
      <c r="I12" s="6">
        <v>-34.427399999999999</v>
      </c>
      <c r="J12" s="4" t="s">
        <v>4673</v>
      </c>
      <c r="K12" s="4" t="s">
        <v>595</v>
      </c>
      <c r="L12" s="4" t="s">
        <v>596</v>
      </c>
      <c r="M12" s="4" t="s">
        <v>1838</v>
      </c>
      <c r="Q12" s="8"/>
      <c r="R12" s="8"/>
      <c r="Z12" s="4" t="s">
        <v>577</v>
      </c>
      <c r="AA12" s="7" t="s">
        <v>1277</v>
      </c>
      <c r="AB12" s="8" t="s">
        <v>1931</v>
      </c>
      <c r="AC12" s="4" t="s">
        <v>370</v>
      </c>
      <c r="AD12" s="4" t="s">
        <v>371</v>
      </c>
      <c r="AE12" s="8">
        <f>(1876+1730)/2</f>
        <v>1803</v>
      </c>
      <c r="AF12" s="8">
        <f>(1876-1730)/2</f>
        <v>73</v>
      </c>
      <c r="AG12" s="9" t="s">
        <v>379</v>
      </c>
      <c r="AH12" s="9" t="s">
        <v>372</v>
      </c>
      <c r="AM12" s="8">
        <v>4</v>
      </c>
      <c r="AN12" s="4" t="s">
        <v>301</v>
      </c>
      <c r="AO12" s="4" t="s">
        <v>302</v>
      </c>
      <c r="AP12" s="4" t="s">
        <v>1904</v>
      </c>
      <c r="AQ12" s="7" t="s">
        <v>1904</v>
      </c>
      <c r="AR12" s="8" t="s">
        <v>1933</v>
      </c>
      <c r="AS12" s="8">
        <v>1710</v>
      </c>
      <c r="AT12" s="8">
        <v>20</v>
      </c>
      <c r="AU12" s="9" t="s">
        <v>379</v>
      </c>
      <c r="AV12" s="9" t="s">
        <v>1906</v>
      </c>
      <c r="BA12" s="8">
        <v>4</v>
      </c>
      <c r="BB12" s="4" t="s">
        <v>381</v>
      </c>
      <c r="BC12" s="4" t="s">
        <v>382</v>
      </c>
      <c r="BD12" s="4" t="s">
        <v>383</v>
      </c>
      <c r="BE12" s="7" t="s">
        <v>384</v>
      </c>
      <c r="BF12" s="8" t="s">
        <v>1934</v>
      </c>
      <c r="BG12" s="7">
        <v>0</v>
      </c>
      <c r="BH12" s="7">
        <v>0</v>
      </c>
      <c r="BI12" s="9" t="s">
        <v>303</v>
      </c>
      <c r="BJ12" s="9" t="s">
        <v>406</v>
      </c>
      <c r="BO12" s="8">
        <v>5</v>
      </c>
      <c r="BP12" s="7">
        <v>3.06</v>
      </c>
      <c r="BY12" s="7"/>
      <c r="DZ12" s="31"/>
      <c r="EB12" s="10"/>
      <c r="ED12" s="7">
        <v>7.2</v>
      </c>
      <c r="EO12" s="8"/>
      <c r="GP12" s="32"/>
      <c r="GT12" s="8">
        <f>1000*BP12*ED12/100</f>
        <v>220.32</v>
      </c>
      <c r="GY12" s="8" t="s">
        <v>338</v>
      </c>
      <c r="GZ12" s="8" t="s">
        <v>1935</v>
      </c>
      <c r="HA12" s="8"/>
      <c r="HB12" s="8"/>
      <c r="HC12" s="8"/>
      <c r="HD12" s="8" t="s">
        <v>1936</v>
      </c>
      <c r="HE12" s="8">
        <v>78896</v>
      </c>
      <c r="HF12" s="8" t="s">
        <v>4700</v>
      </c>
      <c r="HG12" s="9" t="s">
        <v>538</v>
      </c>
      <c r="KG12" s="4" t="s">
        <v>323</v>
      </c>
      <c r="KM12" s="4" t="s">
        <v>702</v>
      </c>
      <c r="KN12" s="4" t="s">
        <v>888</v>
      </c>
      <c r="KP12" s="5" t="s">
        <v>358</v>
      </c>
      <c r="KQ12" s="5" t="s">
        <v>1938</v>
      </c>
      <c r="KR12" s="5" t="s">
        <v>1939</v>
      </c>
      <c r="KS12" s="5" t="s">
        <v>1940</v>
      </c>
      <c r="KT12" s="5" t="s">
        <v>4701</v>
      </c>
    </row>
    <row r="13" spans="1:306" ht="84" x14ac:dyDescent="0.25">
      <c r="A13" s="5" t="s">
        <v>6354</v>
      </c>
      <c r="B13" s="4" t="s">
        <v>1904</v>
      </c>
      <c r="C13" s="7" t="s">
        <v>1904</v>
      </c>
      <c r="D13" s="8" t="s">
        <v>1933</v>
      </c>
      <c r="E13" s="4">
        <v>600497</v>
      </c>
      <c r="G13" s="4" t="s">
        <v>593</v>
      </c>
      <c r="H13" s="6">
        <v>135.51643100000001</v>
      </c>
      <c r="I13" s="6">
        <v>-33.805405999999998</v>
      </c>
      <c r="J13" s="4" t="s">
        <v>6354</v>
      </c>
      <c r="K13" s="4" t="s">
        <v>595</v>
      </c>
      <c r="L13" s="4" t="s">
        <v>596</v>
      </c>
      <c r="M13" s="4" t="s">
        <v>6355</v>
      </c>
      <c r="Q13" s="8"/>
      <c r="R13" s="8"/>
      <c r="Z13" s="4" t="s">
        <v>577</v>
      </c>
      <c r="AA13" s="7" t="s">
        <v>1277</v>
      </c>
      <c r="AB13" s="8" t="s">
        <v>1931</v>
      </c>
      <c r="AC13" s="4" t="s">
        <v>370</v>
      </c>
      <c r="AD13" s="4" t="s">
        <v>371</v>
      </c>
      <c r="AE13" s="8">
        <v>2470</v>
      </c>
      <c r="AF13" s="8">
        <v>60</v>
      </c>
      <c r="AG13" s="9" t="s">
        <v>379</v>
      </c>
      <c r="AH13" s="9" t="s">
        <v>372</v>
      </c>
      <c r="AM13" s="8">
        <v>4</v>
      </c>
      <c r="AN13" s="4" t="s">
        <v>301</v>
      </c>
      <c r="AO13" s="4" t="s">
        <v>382</v>
      </c>
      <c r="AP13" s="4" t="s">
        <v>1904</v>
      </c>
      <c r="AQ13" s="7" t="s">
        <v>1904</v>
      </c>
      <c r="AR13" s="8" t="s">
        <v>1933</v>
      </c>
      <c r="AS13" s="8">
        <v>2426</v>
      </c>
      <c r="AT13" s="8">
        <v>8</v>
      </c>
      <c r="AU13" s="9" t="s">
        <v>379</v>
      </c>
      <c r="AV13" s="9" t="s">
        <v>1906</v>
      </c>
      <c r="BA13" s="8">
        <v>4</v>
      </c>
      <c r="BB13" s="4" t="s">
        <v>381</v>
      </c>
      <c r="BC13" s="4" t="s">
        <v>375</v>
      </c>
      <c r="BD13" s="4" t="s">
        <v>383</v>
      </c>
      <c r="BE13" s="7" t="s">
        <v>384</v>
      </c>
      <c r="BF13" s="8" t="s">
        <v>1934</v>
      </c>
      <c r="BG13" s="7">
        <v>0</v>
      </c>
      <c r="BH13" s="7">
        <v>0</v>
      </c>
      <c r="BI13" s="9" t="s">
        <v>303</v>
      </c>
      <c r="BJ13" s="9" t="s">
        <v>406</v>
      </c>
      <c r="BO13" s="8">
        <v>5</v>
      </c>
      <c r="BP13" s="7">
        <v>6.31</v>
      </c>
      <c r="BY13" s="7"/>
      <c r="DZ13" s="31"/>
      <c r="EB13" s="10"/>
      <c r="ED13" s="7">
        <v>4.7</v>
      </c>
      <c r="EO13" s="8"/>
      <c r="GP13" s="32"/>
      <c r="GT13" s="7">
        <f>BP13*ED13/100</f>
        <v>0.29657</v>
      </c>
      <c r="GY13" s="8" t="s">
        <v>338</v>
      </c>
      <c r="GZ13" s="8" t="s">
        <v>1935</v>
      </c>
      <c r="HA13" s="8"/>
      <c r="HB13" s="8"/>
      <c r="HC13" s="8"/>
      <c r="HD13" s="8" t="s">
        <v>5177</v>
      </c>
      <c r="HE13" s="8">
        <v>27899</v>
      </c>
      <c r="HF13" s="8" t="s">
        <v>6356</v>
      </c>
      <c r="HG13" s="9" t="s">
        <v>538</v>
      </c>
      <c r="IB13" s="8" t="s">
        <v>6357</v>
      </c>
      <c r="IC13" s="8">
        <v>27899</v>
      </c>
      <c r="ID13" s="8" t="s">
        <v>6358</v>
      </c>
      <c r="IE13" s="8" t="s">
        <v>538</v>
      </c>
      <c r="IF13" s="8" t="s">
        <v>445</v>
      </c>
      <c r="JX13" s="7" t="s">
        <v>322</v>
      </c>
      <c r="KG13" s="4" t="s">
        <v>323</v>
      </c>
      <c r="KM13" s="4" t="s">
        <v>4655</v>
      </c>
      <c r="KN13" s="4" t="s">
        <v>4655</v>
      </c>
      <c r="KP13" s="5" t="s">
        <v>358</v>
      </c>
      <c r="KQ13" s="5" t="s">
        <v>6359</v>
      </c>
      <c r="KR13" s="18" t="s">
        <v>6360</v>
      </c>
      <c r="KS13" s="5" t="s">
        <v>1940</v>
      </c>
      <c r="KT13" s="5" t="s">
        <v>6361</v>
      </c>
    </row>
    <row r="14" spans="1:306" ht="72" x14ac:dyDescent="0.25">
      <c r="A14" s="5" t="s">
        <v>7171</v>
      </c>
      <c r="B14" s="4" t="s">
        <v>1904</v>
      </c>
      <c r="C14" s="7" t="s">
        <v>1904</v>
      </c>
      <c r="D14" s="8" t="s">
        <v>1933</v>
      </c>
      <c r="E14" s="4">
        <v>600482</v>
      </c>
      <c r="G14" s="4" t="s">
        <v>593</v>
      </c>
      <c r="H14" s="6">
        <v>136.43600000000001</v>
      </c>
      <c r="I14" s="6">
        <v>-33.957999999999998</v>
      </c>
      <c r="J14" s="4" t="s">
        <v>7171</v>
      </c>
      <c r="K14" s="4" t="s">
        <v>595</v>
      </c>
      <c r="L14" s="4" t="s">
        <v>596</v>
      </c>
      <c r="M14" s="4" t="s">
        <v>1838</v>
      </c>
      <c r="Q14" s="8"/>
      <c r="R14" s="8"/>
      <c r="Z14" s="4" t="s">
        <v>577</v>
      </c>
      <c r="AA14" s="7" t="s">
        <v>1277</v>
      </c>
      <c r="AB14" s="8" t="s">
        <v>1931</v>
      </c>
      <c r="AC14" s="4" t="s">
        <v>370</v>
      </c>
      <c r="AD14" s="4" t="s">
        <v>371</v>
      </c>
      <c r="AE14" s="8">
        <f>(1876+1730)/2</f>
        <v>1803</v>
      </c>
      <c r="AF14" s="8">
        <f>(1876-1730)/2</f>
        <v>73</v>
      </c>
      <c r="AG14" s="9" t="s">
        <v>379</v>
      </c>
      <c r="AH14" s="9" t="s">
        <v>372</v>
      </c>
      <c r="AM14" s="8">
        <v>4</v>
      </c>
      <c r="AN14" s="4" t="s">
        <v>301</v>
      </c>
      <c r="AO14" s="4" t="s">
        <v>302</v>
      </c>
      <c r="AP14" s="4" t="s">
        <v>1904</v>
      </c>
      <c r="AQ14" s="7" t="s">
        <v>1904</v>
      </c>
      <c r="AR14" s="8" t="s">
        <v>1933</v>
      </c>
      <c r="AS14" s="8">
        <v>1710</v>
      </c>
      <c r="AT14" s="8">
        <v>20</v>
      </c>
      <c r="AU14" s="9" t="s">
        <v>379</v>
      </c>
      <c r="AV14" s="9" t="s">
        <v>1906</v>
      </c>
      <c r="BA14" s="8">
        <v>4</v>
      </c>
      <c r="BB14" s="4" t="s">
        <v>381</v>
      </c>
      <c r="BC14" s="4" t="s">
        <v>382</v>
      </c>
      <c r="BD14" s="4" t="s">
        <v>383</v>
      </c>
      <c r="BE14" s="7" t="s">
        <v>384</v>
      </c>
      <c r="BF14" s="8" t="s">
        <v>1934</v>
      </c>
      <c r="BG14" s="7">
        <v>0</v>
      </c>
      <c r="BH14" s="7">
        <v>0</v>
      </c>
      <c r="BI14" s="9" t="s">
        <v>303</v>
      </c>
      <c r="BJ14" s="9" t="s">
        <v>406</v>
      </c>
      <c r="BO14" s="8">
        <v>5</v>
      </c>
      <c r="BP14" s="7">
        <v>60.8</v>
      </c>
      <c r="BY14" s="7"/>
      <c r="DZ14" s="31"/>
      <c r="EB14" s="10"/>
      <c r="ED14" s="7">
        <v>7.8</v>
      </c>
      <c r="EO14" s="8"/>
      <c r="GP14" s="32"/>
      <c r="GT14" s="8">
        <f>1000*BP14*ED14/100</f>
        <v>4742.3999999999996</v>
      </c>
      <c r="GY14" s="8" t="s">
        <v>338</v>
      </c>
      <c r="GZ14" s="8" t="s">
        <v>1935</v>
      </c>
      <c r="HA14" s="8"/>
      <c r="HB14" s="8"/>
      <c r="HC14" s="8"/>
      <c r="HD14" s="8" t="s">
        <v>1936</v>
      </c>
      <c r="HE14" s="8">
        <v>78896</v>
      </c>
      <c r="HF14" s="8" t="s">
        <v>7172</v>
      </c>
      <c r="HG14" s="9" t="s">
        <v>538</v>
      </c>
      <c r="KG14" s="4" t="s">
        <v>323</v>
      </c>
      <c r="KM14" s="4" t="s">
        <v>702</v>
      </c>
      <c r="KN14" s="4" t="s">
        <v>888</v>
      </c>
      <c r="KP14" s="5" t="s">
        <v>358</v>
      </c>
      <c r="KQ14" s="5" t="s">
        <v>1938</v>
      </c>
      <c r="KR14" s="5" t="s">
        <v>1939</v>
      </c>
      <c r="KS14" s="5" t="s">
        <v>1940</v>
      </c>
      <c r="KT14" s="5" t="s">
        <v>1941</v>
      </c>
    </row>
    <row r="15" spans="1:306" ht="72" x14ac:dyDescent="0.25">
      <c r="A15" s="5" t="s">
        <v>7754</v>
      </c>
      <c r="B15" s="4" t="s">
        <v>1904</v>
      </c>
      <c r="C15" s="7" t="s">
        <v>1904</v>
      </c>
      <c r="D15" s="8" t="s">
        <v>1933</v>
      </c>
      <c r="E15" s="4">
        <v>569297</v>
      </c>
      <c r="G15" s="4" t="s">
        <v>593</v>
      </c>
      <c r="H15" s="6">
        <v>135.70345900000001</v>
      </c>
      <c r="I15" s="6">
        <v>-34.799273999999997</v>
      </c>
      <c r="J15" s="4" t="s">
        <v>7755</v>
      </c>
      <c r="K15" s="4" t="s">
        <v>595</v>
      </c>
      <c r="L15" s="4" t="s">
        <v>596</v>
      </c>
      <c r="M15" s="4" t="s">
        <v>1838</v>
      </c>
      <c r="Q15" s="8"/>
      <c r="R15" s="8"/>
      <c r="Z15" s="4" t="s">
        <v>577</v>
      </c>
      <c r="AA15" s="7" t="s">
        <v>1277</v>
      </c>
      <c r="AB15" s="8" t="s">
        <v>1931</v>
      </c>
      <c r="AC15" s="4" t="s">
        <v>370</v>
      </c>
      <c r="AD15" s="4" t="s">
        <v>371</v>
      </c>
      <c r="AE15" s="8">
        <f>(1876+1730)/2</f>
        <v>1803</v>
      </c>
      <c r="AF15" s="8">
        <f>(1876-1730)/2</f>
        <v>73</v>
      </c>
      <c r="AG15" s="9" t="s">
        <v>379</v>
      </c>
      <c r="AH15" s="9" t="s">
        <v>372</v>
      </c>
      <c r="AM15" s="8">
        <v>4</v>
      </c>
      <c r="AN15" s="4" t="s">
        <v>301</v>
      </c>
      <c r="AO15" s="4" t="s">
        <v>302</v>
      </c>
      <c r="AP15" s="4" t="s">
        <v>1904</v>
      </c>
      <c r="AQ15" s="7" t="s">
        <v>1904</v>
      </c>
      <c r="AR15" s="8" t="s">
        <v>1933</v>
      </c>
      <c r="AS15" s="8">
        <v>1710</v>
      </c>
      <c r="AT15" s="8">
        <v>20</v>
      </c>
      <c r="AU15" s="9" t="s">
        <v>379</v>
      </c>
      <c r="AV15" s="9" t="s">
        <v>1906</v>
      </c>
      <c r="BA15" s="8">
        <v>4</v>
      </c>
      <c r="BB15" s="4" t="s">
        <v>381</v>
      </c>
      <c r="BC15" s="4" t="s">
        <v>382</v>
      </c>
      <c r="BD15" s="4" t="s">
        <v>383</v>
      </c>
      <c r="BE15" s="7" t="s">
        <v>384</v>
      </c>
      <c r="BF15" s="8" t="s">
        <v>1934</v>
      </c>
      <c r="BG15" s="7">
        <v>0</v>
      </c>
      <c r="BH15" s="7">
        <v>0</v>
      </c>
      <c r="BI15" s="9" t="s">
        <v>303</v>
      </c>
      <c r="BJ15" s="9" t="s">
        <v>406</v>
      </c>
      <c r="BO15" s="8">
        <v>5</v>
      </c>
      <c r="BP15" s="7">
        <v>4.54</v>
      </c>
      <c r="BY15" s="7"/>
      <c r="DZ15" s="31"/>
      <c r="EB15" s="10"/>
      <c r="ED15" s="7">
        <v>11.6</v>
      </c>
      <c r="EO15" s="8"/>
      <c r="GP15" s="32"/>
      <c r="GT15" s="8">
        <f>1000*BP15*ED15/100</f>
        <v>526.64</v>
      </c>
      <c r="GY15" s="8" t="s">
        <v>338</v>
      </c>
      <c r="GZ15" s="8" t="s">
        <v>1935</v>
      </c>
      <c r="HA15" s="8"/>
      <c r="HB15" s="8"/>
      <c r="HC15" s="8"/>
      <c r="HD15" s="8" t="s">
        <v>1936</v>
      </c>
      <c r="HE15" s="8">
        <v>78896</v>
      </c>
      <c r="HF15" s="8" t="s">
        <v>7756</v>
      </c>
      <c r="HG15" s="9" t="s">
        <v>538</v>
      </c>
      <c r="KG15" s="4" t="s">
        <v>323</v>
      </c>
      <c r="KM15" s="4" t="s">
        <v>1192</v>
      </c>
      <c r="KN15" s="4" t="s">
        <v>4655</v>
      </c>
      <c r="KP15" s="5" t="s">
        <v>358</v>
      </c>
      <c r="KQ15" s="5" t="s">
        <v>1938</v>
      </c>
      <c r="KR15" s="5" t="s">
        <v>1939</v>
      </c>
      <c r="KS15" s="5" t="s">
        <v>1940</v>
      </c>
      <c r="KT15" s="5" t="s">
        <v>4701</v>
      </c>
    </row>
    <row r="16" spans="1:306" ht="72" x14ac:dyDescent="0.25">
      <c r="A16" s="5" t="s">
        <v>8066</v>
      </c>
      <c r="B16" s="4" t="s">
        <v>1904</v>
      </c>
      <c r="C16" s="7" t="s">
        <v>1904</v>
      </c>
      <c r="D16" s="8" t="s">
        <v>1933</v>
      </c>
      <c r="E16" s="4">
        <v>573727</v>
      </c>
      <c r="G16" s="4" t="s">
        <v>593</v>
      </c>
      <c r="H16" s="6">
        <v>136.44400400000001</v>
      </c>
      <c r="I16" s="6">
        <v>-33.296880000000002</v>
      </c>
      <c r="J16" s="4" t="s">
        <v>8066</v>
      </c>
      <c r="K16" s="4" t="s">
        <v>595</v>
      </c>
      <c r="L16" s="4" t="s">
        <v>596</v>
      </c>
      <c r="M16" s="4" t="s">
        <v>1838</v>
      </c>
      <c r="Q16" s="8"/>
      <c r="R16" s="8"/>
      <c r="Z16" s="4" t="s">
        <v>577</v>
      </c>
      <c r="AA16" s="7" t="s">
        <v>1277</v>
      </c>
      <c r="AB16" s="8" t="s">
        <v>1931</v>
      </c>
      <c r="AC16" s="4" t="s">
        <v>370</v>
      </c>
      <c r="AD16" s="4" t="s">
        <v>371</v>
      </c>
      <c r="AE16" s="8">
        <f>(1876+1730)/2</f>
        <v>1803</v>
      </c>
      <c r="AF16" s="8">
        <f>(1876-1730)/2</f>
        <v>73</v>
      </c>
      <c r="AG16" s="9" t="s">
        <v>379</v>
      </c>
      <c r="AH16" s="9" t="s">
        <v>372</v>
      </c>
      <c r="AM16" s="8">
        <v>4</v>
      </c>
      <c r="AN16" s="4" t="s">
        <v>301</v>
      </c>
      <c r="AO16" s="4" t="s">
        <v>302</v>
      </c>
      <c r="AP16" s="4" t="s">
        <v>1904</v>
      </c>
      <c r="AQ16" s="7" t="s">
        <v>1904</v>
      </c>
      <c r="AR16" s="8" t="s">
        <v>1933</v>
      </c>
      <c r="AS16" s="8">
        <v>1710</v>
      </c>
      <c r="AT16" s="8">
        <v>20</v>
      </c>
      <c r="AU16" s="9" t="s">
        <v>379</v>
      </c>
      <c r="AV16" s="9" t="s">
        <v>1906</v>
      </c>
      <c r="BA16" s="8">
        <v>4</v>
      </c>
      <c r="BB16" s="4" t="s">
        <v>381</v>
      </c>
      <c r="BC16" s="4" t="s">
        <v>382</v>
      </c>
      <c r="BD16" s="4" t="s">
        <v>383</v>
      </c>
      <c r="BE16" s="7" t="s">
        <v>384</v>
      </c>
      <c r="BF16" s="8" t="s">
        <v>1934</v>
      </c>
      <c r="BG16" s="7">
        <v>0</v>
      </c>
      <c r="BH16" s="7">
        <v>0</v>
      </c>
      <c r="BI16" s="9" t="s">
        <v>303</v>
      </c>
      <c r="BJ16" s="9" t="s">
        <v>406</v>
      </c>
      <c r="BO16" s="8">
        <v>5</v>
      </c>
      <c r="BP16" s="7">
        <v>6.38</v>
      </c>
      <c r="BY16" s="7"/>
      <c r="DZ16" s="31"/>
      <c r="EB16" s="10"/>
      <c r="ED16" s="7">
        <v>8.8000000000000007</v>
      </c>
      <c r="EO16" s="8"/>
      <c r="GP16" s="32"/>
      <c r="GT16" s="8">
        <f>1000*BP16*ED16/100</f>
        <v>561.44000000000005</v>
      </c>
      <c r="GY16" s="8" t="s">
        <v>338</v>
      </c>
      <c r="GZ16" s="8" t="s">
        <v>1935</v>
      </c>
      <c r="HA16" s="8"/>
      <c r="HB16" s="8"/>
      <c r="HC16" s="8"/>
      <c r="HD16" s="8" t="s">
        <v>1936</v>
      </c>
      <c r="HE16" s="8">
        <v>78896</v>
      </c>
      <c r="HF16" s="8" t="s">
        <v>8067</v>
      </c>
      <c r="HG16" s="9" t="s">
        <v>538</v>
      </c>
      <c r="IB16" s="8" t="s">
        <v>8068</v>
      </c>
      <c r="IC16" s="8">
        <v>25953</v>
      </c>
      <c r="ID16" s="8" t="s">
        <v>8069</v>
      </c>
      <c r="IE16" s="8" t="s">
        <v>538</v>
      </c>
      <c r="IF16" s="8" t="s">
        <v>445</v>
      </c>
      <c r="KG16" s="4" t="s">
        <v>323</v>
      </c>
      <c r="KM16" s="4" t="s">
        <v>702</v>
      </c>
      <c r="KN16" s="4" t="s">
        <v>888</v>
      </c>
      <c r="KP16" s="5" t="s">
        <v>358</v>
      </c>
      <c r="KQ16" s="5" t="s">
        <v>1938</v>
      </c>
      <c r="KR16" s="5" t="s">
        <v>1939</v>
      </c>
      <c r="KS16" s="5" t="s">
        <v>1940</v>
      </c>
      <c r="KT16" s="5" t="s">
        <v>1941</v>
      </c>
    </row>
    <row r="17" spans="1:306" ht="120" x14ac:dyDescent="0.25">
      <c r="A17" s="5" t="s">
        <v>2311</v>
      </c>
      <c r="B17" s="4" t="s">
        <v>577</v>
      </c>
      <c r="C17" s="7" t="s">
        <v>578</v>
      </c>
      <c r="D17" s="8" t="s">
        <v>2312</v>
      </c>
      <c r="E17" s="38">
        <v>334189</v>
      </c>
      <c r="G17" s="4" t="s">
        <v>479</v>
      </c>
      <c r="H17" s="6">
        <f>138+((4/4.95)*10)/60</f>
        <v>138.13468013468014</v>
      </c>
      <c r="I17" s="6">
        <f>-(18+(30+(3.4/5.25)*10)/60)</f>
        <v>-18.607936507936508</v>
      </c>
      <c r="J17" s="4" t="s">
        <v>2313</v>
      </c>
      <c r="K17" s="4" t="s">
        <v>481</v>
      </c>
      <c r="L17" s="4" t="s">
        <v>651</v>
      </c>
      <c r="M17" s="4" t="s">
        <v>2314</v>
      </c>
      <c r="Q17" s="8"/>
      <c r="R17" s="8"/>
      <c r="U17" s="4"/>
      <c r="V17" s="4"/>
      <c r="W17" s="4"/>
      <c r="X17" s="4"/>
      <c r="Z17" s="4" t="s">
        <v>577</v>
      </c>
      <c r="AA17" s="7" t="s">
        <v>578</v>
      </c>
      <c r="AB17" s="8" t="s">
        <v>2312</v>
      </c>
      <c r="AC17" s="4" t="s">
        <v>301</v>
      </c>
      <c r="AD17" s="4" t="s">
        <v>375</v>
      </c>
      <c r="AE17" s="8">
        <v>1408</v>
      </c>
      <c r="AF17" s="8">
        <v>86</v>
      </c>
      <c r="AG17" s="9" t="s">
        <v>379</v>
      </c>
      <c r="AH17" s="9" t="s">
        <v>460</v>
      </c>
      <c r="AI17" s="4"/>
      <c r="AJ17" s="4"/>
      <c r="AK17" s="4"/>
      <c r="AL17" s="4"/>
      <c r="AM17" s="8">
        <v>2</v>
      </c>
      <c r="AN17" s="4" t="s">
        <v>381</v>
      </c>
      <c r="AO17" s="4" t="s">
        <v>402</v>
      </c>
      <c r="AP17" s="4" t="s">
        <v>383</v>
      </c>
      <c r="AQ17" s="7" t="s">
        <v>384</v>
      </c>
      <c r="AR17" s="8" t="s">
        <v>385</v>
      </c>
      <c r="AS17" s="7">
        <v>0</v>
      </c>
      <c r="AT17" s="7">
        <v>0</v>
      </c>
      <c r="AU17" s="9" t="s">
        <v>303</v>
      </c>
      <c r="AV17" s="9" t="s">
        <v>406</v>
      </c>
      <c r="BA17" s="8">
        <v>5</v>
      </c>
      <c r="BP17" s="7">
        <v>236</v>
      </c>
      <c r="CJ17" s="7">
        <v>53.2</v>
      </c>
      <c r="DZ17" s="31"/>
      <c r="EY17" s="8">
        <f t="shared" ref="EY17:EY23" si="3">BP17*CJ17/100</f>
        <v>125.55200000000001</v>
      </c>
      <c r="GP17" s="32"/>
      <c r="GY17" s="6" t="s">
        <v>309</v>
      </c>
      <c r="HD17" s="8" t="s">
        <v>2315</v>
      </c>
      <c r="HE17" s="8">
        <v>18529</v>
      </c>
      <c r="HF17" s="8" t="s">
        <v>2316</v>
      </c>
      <c r="HG17" s="9" t="s">
        <v>349</v>
      </c>
      <c r="KP17" s="5" t="s">
        <v>2317</v>
      </c>
      <c r="KQ17" s="5" t="s">
        <v>2318</v>
      </c>
      <c r="KR17" s="5" t="s">
        <v>2319</v>
      </c>
      <c r="KS17" s="5" t="s">
        <v>2317</v>
      </c>
      <c r="KT17" s="5" t="s">
        <v>2320</v>
      </c>
    </row>
    <row r="18" spans="1:306" ht="120" x14ac:dyDescent="0.25">
      <c r="A18" s="5" t="s">
        <v>2321</v>
      </c>
      <c r="B18" s="4" t="s">
        <v>577</v>
      </c>
      <c r="C18" s="7" t="s">
        <v>578</v>
      </c>
      <c r="D18" s="8" t="s">
        <v>2312</v>
      </c>
      <c r="E18" s="38">
        <v>569272</v>
      </c>
      <c r="G18" s="4" t="s">
        <v>479</v>
      </c>
      <c r="H18" s="6">
        <f>138+(20+(1.6/4.95)*10)/60</f>
        <v>138.3872053872054</v>
      </c>
      <c r="I18" s="6">
        <f>-(18+(30+(1.2/5.25)*10)/60)</f>
        <v>-18.538095238095238</v>
      </c>
      <c r="J18" s="4" t="s">
        <v>2313</v>
      </c>
      <c r="K18" s="4" t="s">
        <v>481</v>
      </c>
      <c r="L18" s="4" t="s">
        <v>651</v>
      </c>
      <c r="M18" s="4" t="s">
        <v>2314</v>
      </c>
      <c r="Q18" s="8"/>
      <c r="R18" s="8"/>
      <c r="U18" s="4"/>
      <c r="V18" s="4"/>
      <c r="W18" s="4"/>
      <c r="X18" s="4"/>
      <c r="Z18" s="4" t="s">
        <v>577</v>
      </c>
      <c r="AA18" s="7" t="s">
        <v>578</v>
      </c>
      <c r="AB18" s="8" t="s">
        <v>2312</v>
      </c>
      <c r="AC18" s="4" t="s">
        <v>301</v>
      </c>
      <c r="AD18" s="4" t="s">
        <v>375</v>
      </c>
      <c r="AE18" s="8">
        <v>1408</v>
      </c>
      <c r="AF18" s="8">
        <v>86</v>
      </c>
      <c r="AG18" s="9" t="s">
        <v>379</v>
      </c>
      <c r="AH18" s="9" t="s">
        <v>460</v>
      </c>
      <c r="AI18" s="4"/>
      <c r="AJ18" s="4"/>
      <c r="AK18" s="4"/>
      <c r="AL18" s="4"/>
      <c r="AM18" s="8">
        <v>2</v>
      </c>
      <c r="AN18" s="4" t="s">
        <v>381</v>
      </c>
      <c r="AO18" s="4" t="s">
        <v>402</v>
      </c>
      <c r="AP18" s="4" t="s">
        <v>383</v>
      </c>
      <c r="AQ18" s="7" t="s">
        <v>384</v>
      </c>
      <c r="AR18" s="8" t="s">
        <v>385</v>
      </c>
      <c r="AS18" s="7">
        <v>0</v>
      </c>
      <c r="AT18" s="7">
        <v>0</v>
      </c>
      <c r="AU18" s="9" t="s">
        <v>303</v>
      </c>
      <c r="AV18" s="9" t="s">
        <v>406</v>
      </c>
      <c r="BA18" s="8">
        <v>5</v>
      </c>
      <c r="BP18" s="7">
        <v>6.1</v>
      </c>
      <c r="CJ18" s="7">
        <v>39.9</v>
      </c>
      <c r="DZ18" s="31"/>
      <c r="EY18" s="7">
        <f t="shared" si="3"/>
        <v>2.4339</v>
      </c>
      <c r="GP18" s="32"/>
      <c r="GY18" s="6" t="s">
        <v>309</v>
      </c>
      <c r="HD18" s="8" t="s">
        <v>2315</v>
      </c>
      <c r="HE18" s="8">
        <v>18529</v>
      </c>
      <c r="HF18" s="8" t="s">
        <v>2316</v>
      </c>
      <c r="HG18" s="9" t="s">
        <v>349</v>
      </c>
      <c r="KP18" s="5" t="s">
        <v>2317</v>
      </c>
      <c r="KQ18" s="5" t="s">
        <v>2318</v>
      </c>
      <c r="KR18" s="5" t="s">
        <v>2319</v>
      </c>
      <c r="KS18" s="5" t="s">
        <v>2317</v>
      </c>
      <c r="KT18" s="5" t="s">
        <v>2320</v>
      </c>
    </row>
    <row r="19" spans="1:306" ht="120" x14ac:dyDescent="0.25">
      <c r="A19" s="5" t="s">
        <v>2322</v>
      </c>
      <c r="B19" s="4" t="s">
        <v>577</v>
      </c>
      <c r="C19" s="7" t="s">
        <v>578</v>
      </c>
      <c r="D19" s="8" t="s">
        <v>2312</v>
      </c>
      <c r="G19" s="4" t="s">
        <v>479</v>
      </c>
      <c r="H19" s="6">
        <f>138+(20+(0.9/4.95)*10)/60</f>
        <v>138.36363636363637</v>
      </c>
      <c r="I19" s="6">
        <f>-(18+(10+(2.9/5.25)*10)/60)</f>
        <v>-18.25873015873016</v>
      </c>
      <c r="J19" s="4" t="s">
        <v>2313</v>
      </c>
      <c r="K19" s="4" t="s">
        <v>481</v>
      </c>
      <c r="L19" s="4" t="s">
        <v>651</v>
      </c>
      <c r="M19" s="4" t="s">
        <v>2314</v>
      </c>
      <c r="Q19" s="8"/>
      <c r="R19" s="8"/>
      <c r="U19" s="4"/>
      <c r="V19" s="4"/>
      <c r="W19" s="4"/>
      <c r="X19" s="4"/>
      <c r="Z19" s="4" t="s">
        <v>577</v>
      </c>
      <c r="AA19" s="7" t="s">
        <v>578</v>
      </c>
      <c r="AB19" s="8" t="s">
        <v>2312</v>
      </c>
      <c r="AC19" s="4" t="s">
        <v>301</v>
      </c>
      <c r="AD19" s="4" t="s">
        <v>375</v>
      </c>
      <c r="AE19" s="8">
        <v>1408</v>
      </c>
      <c r="AF19" s="8">
        <v>86</v>
      </c>
      <c r="AG19" s="9" t="s">
        <v>379</v>
      </c>
      <c r="AH19" s="9" t="s">
        <v>460</v>
      </c>
      <c r="AI19" s="4"/>
      <c r="AJ19" s="4"/>
      <c r="AK19" s="4"/>
      <c r="AL19" s="4"/>
      <c r="AM19" s="8">
        <v>2</v>
      </c>
      <c r="AN19" s="4" t="s">
        <v>381</v>
      </c>
      <c r="AO19" s="4" t="s">
        <v>402</v>
      </c>
      <c r="AP19" s="4" t="s">
        <v>383</v>
      </c>
      <c r="AQ19" s="7" t="s">
        <v>384</v>
      </c>
      <c r="AR19" s="8" t="s">
        <v>385</v>
      </c>
      <c r="AS19" s="7">
        <v>0</v>
      </c>
      <c r="AT19" s="7">
        <v>0</v>
      </c>
      <c r="AU19" s="9" t="s">
        <v>303</v>
      </c>
      <c r="AV19" s="9" t="s">
        <v>406</v>
      </c>
      <c r="BA19" s="8">
        <v>5</v>
      </c>
      <c r="BP19" s="7">
        <v>21</v>
      </c>
      <c r="CJ19" s="7">
        <v>42.2</v>
      </c>
      <c r="DZ19" s="31"/>
      <c r="EY19" s="7">
        <f t="shared" si="3"/>
        <v>8.8620000000000001</v>
      </c>
      <c r="GP19" s="32"/>
      <c r="GY19" s="6" t="s">
        <v>309</v>
      </c>
      <c r="HD19" s="8" t="s">
        <v>2315</v>
      </c>
      <c r="HE19" s="8">
        <v>18529</v>
      </c>
      <c r="HF19" s="8" t="s">
        <v>2316</v>
      </c>
      <c r="HG19" s="9" t="s">
        <v>349</v>
      </c>
      <c r="KP19" s="5" t="s">
        <v>2317</v>
      </c>
      <c r="KQ19" s="5" t="s">
        <v>2318</v>
      </c>
      <c r="KR19" s="5" t="s">
        <v>2319</v>
      </c>
      <c r="KS19" s="5" t="s">
        <v>2317</v>
      </c>
      <c r="KT19" s="5" t="s">
        <v>2320</v>
      </c>
    </row>
    <row r="20" spans="1:306" s="14" customFormat="1" ht="120" x14ac:dyDescent="0.25">
      <c r="A20" s="5" t="s">
        <v>2323</v>
      </c>
      <c r="B20" s="4" t="s">
        <v>577</v>
      </c>
      <c r="C20" s="7" t="s">
        <v>578</v>
      </c>
      <c r="D20" s="8" t="s">
        <v>2312</v>
      </c>
      <c r="E20" s="4"/>
      <c r="F20" s="4"/>
      <c r="G20" s="4" t="s">
        <v>479</v>
      </c>
      <c r="H20" s="6">
        <f>138+(10+(1.9/4.95)*10)/60</f>
        <v>138.23063973063972</v>
      </c>
      <c r="I20" s="6">
        <f>-(18+(30+(0.55/5.25)*10)/60)</f>
        <v>-18.517460317460319</v>
      </c>
      <c r="J20" s="4" t="s">
        <v>2313</v>
      </c>
      <c r="K20" s="4" t="s">
        <v>481</v>
      </c>
      <c r="L20" s="4" t="s">
        <v>651</v>
      </c>
      <c r="M20" s="4" t="s">
        <v>2314</v>
      </c>
      <c r="N20" s="4"/>
      <c r="O20" s="8"/>
      <c r="P20" s="4"/>
      <c r="Q20" s="8"/>
      <c r="R20" s="8"/>
      <c r="S20" s="9"/>
      <c r="T20" s="9"/>
      <c r="U20" s="4"/>
      <c r="V20" s="4"/>
      <c r="W20" s="4"/>
      <c r="X20" s="4"/>
      <c r="Y20" s="8"/>
      <c r="Z20" s="4" t="s">
        <v>577</v>
      </c>
      <c r="AA20" s="7" t="s">
        <v>578</v>
      </c>
      <c r="AB20" s="8" t="s">
        <v>2312</v>
      </c>
      <c r="AC20" s="4" t="s">
        <v>301</v>
      </c>
      <c r="AD20" s="4" t="s">
        <v>375</v>
      </c>
      <c r="AE20" s="8">
        <v>1408</v>
      </c>
      <c r="AF20" s="8">
        <v>86</v>
      </c>
      <c r="AG20" s="9" t="s">
        <v>379</v>
      </c>
      <c r="AH20" s="9" t="s">
        <v>460</v>
      </c>
      <c r="AI20" s="4"/>
      <c r="AJ20" s="4"/>
      <c r="AK20" s="4"/>
      <c r="AL20" s="4"/>
      <c r="AM20" s="8">
        <v>2</v>
      </c>
      <c r="AN20" s="4" t="s">
        <v>381</v>
      </c>
      <c r="AO20" s="4" t="s">
        <v>402</v>
      </c>
      <c r="AP20" s="4" t="s">
        <v>383</v>
      </c>
      <c r="AQ20" s="7" t="s">
        <v>384</v>
      </c>
      <c r="AR20" s="8" t="s">
        <v>385</v>
      </c>
      <c r="AS20" s="7">
        <v>0</v>
      </c>
      <c r="AT20" s="7">
        <v>0</v>
      </c>
      <c r="AU20" s="9" t="s">
        <v>303</v>
      </c>
      <c r="AV20" s="9" t="s">
        <v>406</v>
      </c>
      <c r="AW20" s="9"/>
      <c r="AX20" s="9"/>
      <c r="AY20" s="9"/>
      <c r="AZ20" s="9"/>
      <c r="BA20" s="8">
        <v>5</v>
      </c>
      <c r="BB20" s="4"/>
      <c r="BC20" s="4"/>
      <c r="BD20" s="4"/>
      <c r="BE20" s="7"/>
      <c r="BF20" s="8"/>
      <c r="BG20" s="9"/>
      <c r="BH20" s="9"/>
      <c r="BI20" s="9"/>
      <c r="BJ20" s="9"/>
      <c r="BK20" s="9"/>
      <c r="BL20" s="9"/>
      <c r="BM20" s="9"/>
      <c r="BN20" s="9"/>
      <c r="BO20" s="8"/>
      <c r="BP20" s="7">
        <v>44</v>
      </c>
      <c r="BQ20" s="6"/>
      <c r="BR20" s="6"/>
      <c r="BS20" s="6"/>
      <c r="BT20" s="6"/>
      <c r="BU20" s="8"/>
      <c r="BV20" s="6"/>
      <c r="BW20" s="6"/>
      <c r="BX20" s="6"/>
      <c r="BY20" s="6"/>
      <c r="BZ20" s="6"/>
      <c r="CA20" s="6"/>
      <c r="CB20" s="6"/>
      <c r="CC20" s="6"/>
      <c r="CD20" s="6"/>
      <c r="CE20" s="6"/>
      <c r="CF20" s="6"/>
      <c r="CG20" s="6"/>
      <c r="CH20" s="6"/>
      <c r="CI20" s="6"/>
      <c r="CJ20" s="7">
        <v>46.3</v>
      </c>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31"/>
      <c r="EA20" s="6"/>
      <c r="EB20" s="6"/>
      <c r="EC20" s="6"/>
      <c r="ED20" s="6"/>
      <c r="EE20" s="6"/>
      <c r="EF20" s="6"/>
      <c r="EG20" s="6"/>
      <c r="EH20" s="10"/>
      <c r="EI20" s="10"/>
      <c r="EJ20" s="10"/>
      <c r="EK20" s="10"/>
      <c r="EL20" s="6"/>
      <c r="EM20" s="6"/>
      <c r="EN20" s="6"/>
      <c r="EO20" s="6"/>
      <c r="EP20" s="6"/>
      <c r="EQ20" s="6"/>
      <c r="ER20" s="6"/>
      <c r="ES20" s="6"/>
      <c r="ET20" s="6"/>
      <c r="EU20" s="6"/>
      <c r="EV20" s="6"/>
      <c r="EW20" s="6"/>
      <c r="EX20" s="6"/>
      <c r="EY20" s="7">
        <f t="shared" si="3"/>
        <v>20.372</v>
      </c>
      <c r="EZ20" s="6"/>
      <c r="FA20" s="10"/>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32"/>
      <c r="GQ20" s="6"/>
      <c r="GR20" s="6"/>
      <c r="GS20" s="6"/>
      <c r="GT20" s="6"/>
      <c r="GU20" s="6"/>
      <c r="GV20" s="6"/>
      <c r="GW20" s="6"/>
      <c r="GX20" s="6"/>
      <c r="GY20" s="6" t="s">
        <v>309</v>
      </c>
      <c r="GZ20" s="6"/>
      <c r="HA20" s="6"/>
      <c r="HB20" s="6"/>
      <c r="HC20" s="6"/>
      <c r="HD20" s="8" t="s">
        <v>2315</v>
      </c>
      <c r="HE20" s="8">
        <v>18529</v>
      </c>
      <c r="HF20" s="8" t="s">
        <v>2316</v>
      </c>
      <c r="HG20" s="9" t="s">
        <v>349</v>
      </c>
      <c r="HH20" s="9"/>
      <c r="HI20" s="8"/>
      <c r="HJ20" s="9"/>
      <c r="HK20" s="9"/>
      <c r="HL20" s="9"/>
      <c r="HM20" s="8"/>
      <c r="HN20" s="9"/>
      <c r="HO20" s="9"/>
      <c r="HP20" s="9"/>
      <c r="HQ20" s="8"/>
      <c r="HR20" s="9"/>
      <c r="HS20" s="9"/>
      <c r="HT20" s="9"/>
      <c r="HU20" s="9"/>
      <c r="HV20" s="9"/>
      <c r="HW20" s="9"/>
      <c r="HX20" s="9"/>
      <c r="HY20" s="8"/>
      <c r="HZ20" s="9"/>
      <c r="IA20" s="9"/>
      <c r="IB20" s="8"/>
      <c r="IC20" s="8"/>
      <c r="ID20" s="8"/>
      <c r="IE20" s="8"/>
      <c r="IF20" s="8"/>
      <c r="IG20" s="8"/>
      <c r="IH20" s="8"/>
      <c r="II20" s="8"/>
      <c r="IJ20" s="8"/>
      <c r="IK20" s="8"/>
      <c r="IL20" s="9"/>
      <c r="IM20" s="8"/>
      <c r="IN20" s="9"/>
      <c r="IO20" s="9"/>
      <c r="IP20" s="9"/>
      <c r="IQ20" s="9"/>
      <c r="IR20" s="8"/>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7"/>
      <c r="JV20" s="7"/>
      <c r="JW20" s="7"/>
      <c r="JX20" s="7"/>
      <c r="JY20" s="7"/>
      <c r="JZ20" s="7"/>
      <c r="KA20" s="7"/>
      <c r="KB20" s="7"/>
      <c r="KC20" s="7"/>
      <c r="KD20" s="7"/>
      <c r="KE20" s="7"/>
      <c r="KF20" s="7"/>
      <c r="KG20" s="4"/>
      <c r="KH20" s="4"/>
      <c r="KI20" s="4"/>
      <c r="KJ20" s="4"/>
      <c r="KK20" s="4"/>
      <c r="KL20" s="4"/>
      <c r="KM20" s="4"/>
      <c r="KN20" s="4"/>
      <c r="KO20" s="4"/>
      <c r="KP20" s="5" t="s">
        <v>2317</v>
      </c>
      <c r="KQ20" s="5" t="s">
        <v>2318</v>
      </c>
      <c r="KR20" s="5" t="s">
        <v>2319</v>
      </c>
      <c r="KS20" s="5" t="s">
        <v>2317</v>
      </c>
      <c r="KT20" s="5" t="s">
        <v>2320</v>
      </c>
    </row>
    <row r="21" spans="1:306" ht="60" x14ac:dyDescent="0.25">
      <c r="A21" s="5" t="s">
        <v>6965</v>
      </c>
      <c r="B21" s="4" t="s">
        <v>577</v>
      </c>
      <c r="C21" s="7" t="s">
        <v>578</v>
      </c>
      <c r="D21" s="8" t="s">
        <v>2312</v>
      </c>
      <c r="E21" s="4">
        <v>333821</v>
      </c>
      <c r="G21" s="4" t="s">
        <v>530</v>
      </c>
      <c r="H21" s="6">
        <v>135.0907</v>
      </c>
      <c r="I21" s="6">
        <v>-15.1487</v>
      </c>
      <c r="J21" s="4" t="s">
        <v>6966</v>
      </c>
      <c r="K21" s="4" t="s">
        <v>481</v>
      </c>
      <c r="L21" s="4" t="s">
        <v>651</v>
      </c>
      <c r="M21" s="4" t="s">
        <v>6967</v>
      </c>
      <c r="Q21" s="8"/>
      <c r="R21" s="8"/>
      <c r="U21" s="4"/>
      <c r="V21" s="4"/>
      <c r="W21" s="4"/>
      <c r="X21" s="4"/>
      <c r="Z21" s="4" t="s">
        <v>577</v>
      </c>
      <c r="AA21" s="7" t="s">
        <v>578</v>
      </c>
      <c r="AB21" s="8" t="s">
        <v>2312</v>
      </c>
      <c r="AC21" s="4" t="s">
        <v>301</v>
      </c>
      <c r="AD21" s="4" t="s">
        <v>302</v>
      </c>
      <c r="AE21" s="8">
        <v>1408</v>
      </c>
      <c r="AF21" s="8">
        <v>86</v>
      </c>
      <c r="AG21" s="9" t="s">
        <v>379</v>
      </c>
      <c r="AH21" s="9" t="s">
        <v>460</v>
      </c>
      <c r="AI21" s="4"/>
      <c r="AJ21" s="4"/>
      <c r="AK21" s="4"/>
      <c r="AL21" s="4"/>
      <c r="AM21" s="8">
        <v>2</v>
      </c>
      <c r="AS21" s="7"/>
      <c r="AT21" s="7"/>
      <c r="BG21" s="7"/>
      <c r="BH21" s="7"/>
      <c r="BP21" s="7">
        <v>629.70000000000005</v>
      </c>
      <c r="BQ21" s="8"/>
      <c r="CJ21" s="7">
        <v>40.299999999999997</v>
      </c>
      <c r="DZ21" s="31"/>
      <c r="EE21" s="7"/>
      <c r="EF21" s="7"/>
      <c r="EG21" s="7"/>
      <c r="EO21" s="8"/>
      <c r="EP21" s="8"/>
      <c r="EY21" s="8">
        <f t="shared" si="3"/>
        <v>253.76910000000001</v>
      </c>
      <c r="FA21" s="9"/>
      <c r="FG21" s="9"/>
      <c r="GP21" s="32"/>
      <c r="GT21" s="8"/>
      <c r="GW21" s="8"/>
      <c r="GY21" s="8" t="s">
        <v>338</v>
      </c>
      <c r="GZ21" s="8"/>
      <c r="HA21" s="8"/>
      <c r="HB21" s="8"/>
      <c r="HC21" s="8"/>
      <c r="HD21" s="8" t="s">
        <v>6968</v>
      </c>
      <c r="HE21" s="8">
        <v>40033</v>
      </c>
      <c r="HF21" s="9" t="s">
        <v>6969</v>
      </c>
      <c r="HG21" s="9" t="s">
        <v>349</v>
      </c>
      <c r="IB21" s="4"/>
      <c r="ID21" s="4"/>
      <c r="IE21" s="4"/>
      <c r="IF21" s="4"/>
      <c r="IW21" s="8"/>
      <c r="JB21" s="8"/>
      <c r="JX21" s="7" t="s">
        <v>355</v>
      </c>
      <c r="JY21" s="7" t="s">
        <v>470</v>
      </c>
      <c r="JZ21" s="7" t="s">
        <v>390</v>
      </c>
      <c r="KG21" s="4" t="s">
        <v>323</v>
      </c>
      <c r="KM21" s="4" t="s">
        <v>471</v>
      </c>
      <c r="KN21" s="4" t="s">
        <v>471</v>
      </c>
      <c r="KP21" s="5" t="s">
        <v>358</v>
      </c>
      <c r="KQ21" s="5" t="s">
        <v>6970</v>
      </c>
      <c r="KR21" s="5" t="s">
        <v>1826</v>
      </c>
      <c r="KS21" s="5" t="s">
        <v>6971</v>
      </c>
      <c r="KT21" s="14" t="s">
        <v>6972</v>
      </c>
    </row>
    <row r="22" spans="1:306" ht="60" x14ac:dyDescent="0.25">
      <c r="A22" s="5" t="s">
        <v>6973</v>
      </c>
      <c r="B22" s="4" t="s">
        <v>577</v>
      </c>
      <c r="C22" s="7" t="s">
        <v>578</v>
      </c>
      <c r="D22" s="8" t="s">
        <v>2312</v>
      </c>
      <c r="E22" s="4">
        <v>335864</v>
      </c>
      <c r="G22" s="4" t="s">
        <v>530</v>
      </c>
      <c r="H22" s="6">
        <v>133.9179</v>
      </c>
      <c r="I22" s="6">
        <v>-15.1624</v>
      </c>
      <c r="J22" s="4" t="s">
        <v>6974</v>
      </c>
      <c r="K22" s="4" t="s">
        <v>481</v>
      </c>
      <c r="L22" s="4" t="s">
        <v>651</v>
      </c>
      <c r="M22" s="4" t="s">
        <v>6967</v>
      </c>
      <c r="Q22" s="8"/>
      <c r="R22" s="8"/>
      <c r="U22" s="4"/>
      <c r="V22" s="4"/>
      <c r="W22" s="4"/>
      <c r="X22" s="4"/>
      <c r="Z22" s="4" t="s">
        <v>577</v>
      </c>
      <c r="AA22" s="7" t="s">
        <v>578</v>
      </c>
      <c r="AB22" s="8" t="s">
        <v>2312</v>
      </c>
      <c r="AC22" s="4" t="s">
        <v>301</v>
      </c>
      <c r="AD22" s="4" t="s">
        <v>302</v>
      </c>
      <c r="AE22" s="8">
        <v>1408</v>
      </c>
      <c r="AF22" s="8">
        <v>86</v>
      </c>
      <c r="AG22" s="9" t="s">
        <v>379</v>
      </c>
      <c r="AH22" s="9" t="s">
        <v>460</v>
      </c>
      <c r="AI22" s="4"/>
      <c r="AJ22" s="4"/>
      <c r="AK22" s="4"/>
      <c r="AL22" s="4"/>
      <c r="AM22" s="8">
        <v>2</v>
      </c>
      <c r="AS22" s="7"/>
      <c r="AT22" s="7"/>
      <c r="BG22" s="7"/>
      <c r="BH22" s="7"/>
      <c r="BP22" s="7">
        <v>488</v>
      </c>
      <c r="BQ22" s="8"/>
      <c r="CJ22" s="7">
        <v>41.7</v>
      </c>
      <c r="DZ22" s="31"/>
      <c r="EE22" s="7"/>
      <c r="EF22" s="7"/>
      <c r="EG22" s="7"/>
      <c r="EO22" s="8"/>
      <c r="EP22" s="8"/>
      <c r="EY22" s="8">
        <f t="shared" si="3"/>
        <v>203.49600000000001</v>
      </c>
      <c r="FA22" s="9"/>
      <c r="FG22" s="9"/>
      <c r="GP22" s="32"/>
      <c r="GT22" s="8"/>
      <c r="GW22" s="8"/>
      <c r="GY22" s="8" t="s">
        <v>338</v>
      </c>
      <c r="GZ22" s="8"/>
      <c r="HA22" s="8"/>
      <c r="HB22" s="8"/>
      <c r="HC22" s="8"/>
      <c r="HD22" s="8" t="s">
        <v>6968</v>
      </c>
      <c r="HE22" s="8">
        <v>40033</v>
      </c>
      <c r="HF22" s="9" t="s">
        <v>6969</v>
      </c>
      <c r="HG22" s="9" t="s">
        <v>349</v>
      </c>
      <c r="IB22" s="4"/>
      <c r="ID22" s="4"/>
      <c r="IE22" s="4"/>
      <c r="IF22" s="4"/>
      <c r="IW22" s="8"/>
      <c r="JB22" s="8"/>
      <c r="JX22" s="7" t="s">
        <v>355</v>
      </c>
      <c r="JY22" s="7" t="s">
        <v>470</v>
      </c>
      <c r="JZ22" s="7" t="s">
        <v>390</v>
      </c>
      <c r="KG22" s="4" t="s">
        <v>323</v>
      </c>
      <c r="KM22" s="4" t="s">
        <v>471</v>
      </c>
      <c r="KN22" s="4" t="s">
        <v>471</v>
      </c>
      <c r="KP22" s="5" t="s">
        <v>358</v>
      </c>
      <c r="KQ22" s="5" t="s">
        <v>6859</v>
      </c>
      <c r="KR22" s="5" t="s">
        <v>1826</v>
      </c>
      <c r="KS22" s="5" t="s">
        <v>586</v>
      </c>
      <c r="KT22" s="5" t="s">
        <v>6972</v>
      </c>
    </row>
    <row r="23" spans="1:306" ht="72" x14ac:dyDescent="0.25">
      <c r="A23" s="5" t="s">
        <v>6975</v>
      </c>
      <c r="B23" s="4" t="s">
        <v>577</v>
      </c>
      <c r="C23" s="7" t="s">
        <v>578</v>
      </c>
      <c r="D23" s="8" t="s">
        <v>2312</v>
      </c>
      <c r="E23" s="4">
        <v>806672</v>
      </c>
      <c r="G23" s="4" t="s">
        <v>530</v>
      </c>
      <c r="H23" s="6">
        <v>134.31</v>
      </c>
      <c r="I23" s="6">
        <v>-14.74</v>
      </c>
      <c r="J23" s="4" t="s">
        <v>6976</v>
      </c>
      <c r="K23" s="4" t="s">
        <v>481</v>
      </c>
      <c r="L23" s="4" t="s">
        <v>651</v>
      </c>
      <c r="M23" s="4" t="s">
        <v>6967</v>
      </c>
      <c r="Q23" s="8"/>
      <c r="R23" s="8"/>
      <c r="U23" s="4"/>
      <c r="V23" s="4"/>
      <c r="W23" s="4"/>
      <c r="X23" s="4"/>
      <c r="Z23" s="4" t="s">
        <v>577</v>
      </c>
      <c r="AA23" s="7" t="s">
        <v>578</v>
      </c>
      <c r="AB23" s="8" t="s">
        <v>2312</v>
      </c>
      <c r="AC23" s="4" t="s">
        <v>301</v>
      </c>
      <c r="AD23" s="4" t="s">
        <v>302</v>
      </c>
      <c r="AE23" s="8">
        <v>1408</v>
      </c>
      <c r="AF23" s="8">
        <v>86</v>
      </c>
      <c r="AG23" s="9" t="s">
        <v>379</v>
      </c>
      <c r="AH23" s="9" t="s">
        <v>460</v>
      </c>
      <c r="AI23" s="4"/>
      <c r="AJ23" s="4"/>
      <c r="AK23" s="4"/>
      <c r="AL23" s="4"/>
      <c r="AM23" s="8">
        <v>2</v>
      </c>
      <c r="BP23" s="7">
        <v>529.29999999999995</v>
      </c>
      <c r="CJ23" s="7">
        <v>42.9</v>
      </c>
      <c r="DZ23" s="31"/>
      <c r="EY23" s="8">
        <f t="shared" si="3"/>
        <v>227.06969999999998</v>
      </c>
      <c r="GP23" s="32"/>
      <c r="GY23" s="6" t="s">
        <v>338</v>
      </c>
      <c r="HD23" s="8" t="s">
        <v>6968</v>
      </c>
      <c r="HE23" s="8">
        <v>40033</v>
      </c>
      <c r="HF23" s="9" t="s">
        <v>6969</v>
      </c>
      <c r="HG23" s="9" t="s">
        <v>349</v>
      </c>
      <c r="IW23" s="8"/>
      <c r="JB23" s="8"/>
      <c r="KM23" s="4" t="s">
        <v>471</v>
      </c>
      <c r="KN23" s="4" t="s">
        <v>471</v>
      </c>
      <c r="KP23" s="5" t="s">
        <v>1826</v>
      </c>
      <c r="KQ23" s="5" t="s">
        <v>6977</v>
      </c>
      <c r="KR23" s="5" t="s">
        <v>1826</v>
      </c>
      <c r="KS23" s="5" t="s">
        <v>6978</v>
      </c>
      <c r="KT23" s="14" t="s">
        <v>6979</v>
      </c>
    </row>
    <row r="24" spans="1:306" ht="60" x14ac:dyDescent="0.25">
      <c r="A24" s="5" t="s">
        <v>7129</v>
      </c>
      <c r="B24" s="4" t="s">
        <v>577</v>
      </c>
      <c r="C24" s="7" t="s">
        <v>578</v>
      </c>
      <c r="D24" s="8" t="s">
        <v>2312</v>
      </c>
      <c r="G24" s="4" t="s">
        <v>530</v>
      </c>
      <c r="K24" s="4" t="s">
        <v>481</v>
      </c>
      <c r="L24" s="4" t="s">
        <v>651</v>
      </c>
      <c r="M24" s="4" t="s">
        <v>6967</v>
      </c>
      <c r="Q24" s="8"/>
      <c r="R24" s="8"/>
      <c r="U24" s="4"/>
      <c r="V24" s="4"/>
      <c r="W24" s="4"/>
      <c r="X24" s="4"/>
      <c r="Z24" s="4" t="s">
        <v>577</v>
      </c>
      <c r="AA24" s="7" t="s">
        <v>578</v>
      </c>
      <c r="AB24" s="8" t="s">
        <v>2312</v>
      </c>
      <c r="AC24" s="4" t="s">
        <v>301</v>
      </c>
      <c r="AE24" s="8">
        <v>1408</v>
      </c>
      <c r="AF24" s="8">
        <v>86</v>
      </c>
      <c r="AG24" s="9" t="s">
        <v>379</v>
      </c>
      <c r="AH24" s="9" t="s">
        <v>460</v>
      </c>
      <c r="AI24" s="4"/>
      <c r="AJ24" s="4"/>
      <c r="AK24" s="4"/>
      <c r="AL24" s="4"/>
      <c r="AM24" s="8">
        <v>2</v>
      </c>
      <c r="DZ24" s="31"/>
      <c r="GP24" s="32"/>
      <c r="GY24" s="6" t="s">
        <v>407</v>
      </c>
      <c r="HD24" s="8" t="s">
        <v>6968</v>
      </c>
      <c r="HE24" s="8">
        <v>40033</v>
      </c>
      <c r="HF24" s="9" t="s">
        <v>6969</v>
      </c>
      <c r="HG24" s="9" t="s">
        <v>349</v>
      </c>
      <c r="KQ24" s="5" t="s">
        <v>1826</v>
      </c>
      <c r="KR24" s="5" t="s">
        <v>1826</v>
      </c>
      <c r="KT24" s="14" t="s">
        <v>7130</v>
      </c>
    </row>
    <row r="25" spans="1:306" ht="120" x14ac:dyDescent="0.25">
      <c r="A25" s="5" t="s">
        <v>2315</v>
      </c>
      <c r="B25" s="4" t="s">
        <v>577</v>
      </c>
      <c r="C25" s="7" t="s">
        <v>578</v>
      </c>
      <c r="D25" s="8" t="s">
        <v>2312</v>
      </c>
      <c r="G25" s="4" t="s">
        <v>7662</v>
      </c>
      <c r="K25" s="4" t="s">
        <v>481</v>
      </c>
      <c r="L25" s="4" t="s">
        <v>651</v>
      </c>
      <c r="M25" s="4" t="s">
        <v>2314</v>
      </c>
      <c r="Q25" s="8"/>
      <c r="R25" s="8"/>
      <c r="U25" s="4"/>
      <c r="V25" s="4"/>
      <c r="W25" s="4"/>
      <c r="X25" s="4"/>
      <c r="Z25" s="4" t="s">
        <v>577</v>
      </c>
      <c r="AA25" s="7" t="s">
        <v>578</v>
      </c>
      <c r="AB25" s="8" t="s">
        <v>2312</v>
      </c>
      <c r="AC25" s="4" t="s">
        <v>301</v>
      </c>
      <c r="AE25" s="8">
        <v>1408</v>
      </c>
      <c r="AF25" s="8">
        <v>86</v>
      </c>
      <c r="AG25" s="9" t="s">
        <v>379</v>
      </c>
      <c r="AH25" s="9" t="s">
        <v>460</v>
      </c>
      <c r="AI25" s="4"/>
      <c r="AJ25" s="4"/>
      <c r="AK25" s="4"/>
      <c r="AL25" s="4"/>
      <c r="AM25" s="8">
        <v>2</v>
      </c>
      <c r="DZ25" s="31"/>
      <c r="GP25" s="32"/>
      <c r="GY25" s="6" t="s">
        <v>407</v>
      </c>
      <c r="HD25" s="8" t="s">
        <v>2315</v>
      </c>
      <c r="HE25" s="8">
        <v>18529</v>
      </c>
      <c r="HF25" s="8" t="s">
        <v>7663</v>
      </c>
      <c r="HG25" s="9" t="s">
        <v>349</v>
      </c>
      <c r="KQ25" s="5" t="s">
        <v>2318</v>
      </c>
      <c r="KR25" s="5" t="s">
        <v>2319</v>
      </c>
      <c r="KT25" s="5" t="s">
        <v>2320</v>
      </c>
    </row>
    <row r="26" spans="1:306" ht="84" x14ac:dyDescent="0.25">
      <c r="A26" s="5" t="s">
        <v>576</v>
      </c>
      <c r="B26" s="4" t="s">
        <v>577</v>
      </c>
      <c r="C26" s="7" t="s">
        <v>578</v>
      </c>
      <c r="D26" s="8" t="s">
        <v>579</v>
      </c>
      <c r="E26" s="4">
        <v>335850</v>
      </c>
      <c r="G26" s="4" t="s">
        <v>530</v>
      </c>
      <c r="H26" s="6">
        <v>136.83000000000001</v>
      </c>
      <c r="I26" s="6">
        <v>-19.09</v>
      </c>
      <c r="J26" s="4" t="s">
        <v>576</v>
      </c>
      <c r="K26" s="4" t="s">
        <v>481</v>
      </c>
      <c r="L26" s="4" t="s">
        <v>580</v>
      </c>
      <c r="M26" s="4" t="s">
        <v>581</v>
      </c>
      <c r="Q26" s="8"/>
      <c r="R26" s="8"/>
      <c r="U26" s="4"/>
      <c r="V26" s="4"/>
      <c r="W26" s="4"/>
      <c r="X26" s="4"/>
      <c r="Z26" s="4" t="s">
        <v>577</v>
      </c>
      <c r="AA26" s="7" t="s">
        <v>578</v>
      </c>
      <c r="AB26" s="8" t="s">
        <v>579</v>
      </c>
      <c r="AC26" s="4" t="s">
        <v>301</v>
      </c>
      <c r="AD26" s="4" t="s">
        <v>375</v>
      </c>
      <c r="AE26" s="8">
        <v>501</v>
      </c>
      <c r="AF26" s="8">
        <v>4</v>
      </c>
      <c r="AG26" s="9" t="s">
        <v>303</v>
      </c>
      <c r="AH26" s="9" t="s">
        <v>372</v>
      </c>
      <c r="AI26" s="4"/>
      <c r="AJ26" s="4"/>
      <c r="AK26" s="4"/>
      <c r="AL26" s="4"/>
      <c r="AM26" s="8">
        <v>5</v>
      </c>
      <c r="AN26" s="8" t="s">
        <v>381</v>
      </c>
      <c r="AO26" s="4" t="s">
        <v>402</v>
      </c>
      <c r="AP26" s="4" t="s">
        <v>383</v>
      </c>
      <c r="AQ26" s="4" t="s">
        <v>384</v>
      </c>
      <c r="AR26" s="7" t="s">
        <v>582</v>
      </c>
      <c r="AS26" s="7">
        <v>0</v>
      </c>
      <c r="AT26" s="7">
        <v>0</v>
      </c>
      <c r="AU26" s="9" t="s">
        <v>303</v>
      </c>
      <c r="AV26" s="9" t="s">
        <v>406</v>
      </c>
      <c r="BA26" s="8">
        <v>5</v>
      </c>
      <c r="BG26" s="7"/>
      <c r="BH26" s="7"/>
      <c r="BP26" s="7">
        <v>15</v>
      </c>
      <c r="BQ26" s="8"/>
      <c r="CC26" s="8">
        <v>10</v>
      </c>
      <c r="DZ26" s="31"/>
      <c r="EO26" s="8"/>
      <c r="EP26" s="8"/>
      <c r="ES26" s="7">
        <v>1.5</v>
      </c>
      <c r="FA26" s="9"/>
      <c r="GP26" s="32"/>
      <c r="GT26" s="8"/>
      <c r="GW26" s="8"/>
      <c r="GY26" s="8" t="s">
        <v>309</v>
      </c>
      <c r="GZ26" s="8" t="s">
        <v>435</v>
      </c>
      <c r="HA26" s="8"/>
      <c r="HB26" s="8"/>
      <c r="HC26" s="8" t="s">
        <v>583</v>
      </c>
      <c r="HD26" s="8" t="s">
        <v>584</v>
      </c>
      <c r="HE26" s="8">
        <v>69133</v>
      </c>
      <c r="HF26" s="8" t="s">
        <v>585</v>
      </c>
      <c r="HG26" s="9" t="s">
        <v>418</v>
      </c>
      <c r="IB26" s="4"/>
      <c r="ID26" s="4"/>
      <c r="IE26" s="4"/>
      <c r="IF26" s="4"/>
      <c r="IW26" s="8"/>
      <c r="JB26" s="8"/>
      <c r="KM26" s="4" t="s">
        <v>471</v>
      </c>
      <c r="KN26" s="4" t="s">
        <v>471</v>
      </c>
      <c r="KP26" s="5" t="s">
        <v>586</v>
      </c>
      <c r="KQ26" s="5" t="s">
        <v>587</v>
      </c>
      <c r="KR26" s="5" t="s">
        <v>588</v>
      </c>
      <c r="KS26" s="5" t="s">
        <v>586</v>
      </c>
      <c r="KT26" s="5" t="s">
        <v>589</v>
      </c>
    </row>
    <row r="27" spans="1:306" ht="84" x14ac:dyDescent="0.25">
      <c r="A27" s="5" t="s">
        <v>604</v>
      </c>
      <c r="B27" s="4" t="s">
        <v>577</v>
      </c>
      <c r="C27" s="7" t="s">
        <v>578</v>
      </c>
      <c r="D27" s="8" t="s">
        <v>579</v>
      </c>
      <c r="E27" s="4">
        <v>335477</v>
      </c>
      <c r="G27" s="4" t="s">
        <v>530</v>
      </c>
      <c r="H27" s="6">
        <v>136.44</v>
      </c>
      <c r="I27" s="6">
        <v>-19.190000000000001</v>
      </c>
      <c r="J27" s="4" t="s">
        <v>576</v>
      </c>
      <c r="K27" s="4" t="s">
        <v>481</v>
      </c>
      <c r="L27" s="4" t="s">
        <v>580</v>
      </c>
      <c r="M27" s="4" t="s">
        <v>581</v>
      </c>
      <c r="Q27" s="8"/>
      <c r="R27" s="8"/>
      <c r="U27" s="4"/>
      <c r="V27" s="4"/>
      <c r="W27" s="4"/>
      <c r="X27" s="4"/>
      <c r="Z27" s="4" t="s">
        <v>577</v>
      </c>
      <c r="AA27" s="7" t="s">
        <v>578</v>
      </c>
      <c r="AB27" s="8" t="s">
        <v>579</v>
      </c>
      <c r="AC27" s="4" t="s">
        <v>301</v>
      </c>
      <c r="AD27" s="4" t="s">
        <v>375</v>
      </c>
      <c r="AE27" s="8">
        <v>501</v>
      </c>
      <c r="AF27" s="8">
        <v>4</v>
      </c>
      <c r="AG27" s="9" t="s">
        <v>303</v>
      </c>
      <c r="AH27" s="9" t="s">
        <v>372</v>
      </c>
      <c r="AI27" s="4"/>
      <c r="AJ27" s="4"/>
      <c r="AK27" s="4"/>
      <c r="AL27" s="4"/>
      <c r="AM27" s="8">
        <v>5</v>
      </c>
      <c r="AN27" s="8" t="s">
        <v>381</v>
      </c>
      <c r="AO27" s="4" t="s">
        <v>402</v>
      </c>
      <c r="AP27" s="4" t="s">
        <v>383</v>
      </c>
      <c r="AQ27" s="4" t="s">
        <v>384</v>
      </c>
      <c r="AR27" s="7" t="s">
        <v>582</v>
      </c>
      <c r="AS27" s="7">
        <v>0</v>
      </c>
      <c r="AT27" s="7">
        <v>0</v>
      </c>
      <c r="AU27" s="9" t="s">
        <v>303</v>
      </c>
      <c r="AV27" s="9" t="s">
        <v>406</v>
      </c>
      <c r="BA27" s="8">
        <v>5</v>
      </c>
      <c r="BG27" s="7"/>
      <c r="BH27" s="7"/>
      <c r="BP27" s="7">
        <v>5.0999999999999996</v>
      </c>
      <c r="BQ27" s="7"/>
      <c r="CC27" s="8">
        <v>20</v>
      </c>
      <c r="DZ27" s="31"/>
      <c r="EO27" s="8"/>
      <c r="EP27" s="8"/>
      <c r="ES27" s="7">
        <v>1</v>
      </c>
      <c r="FA27" s="9"/>
      <c r="GP27" s="32"/>
      <c r="GT27" s="8"/>
      <c r="GW27" s="8"/>
      <c r="GY27" s="8" t="s">
        <v>309</v>
      </c>
      <c r="GZ27" s="8" t="s">
        <v>435</v>
      </c>
      <c r="HA27" s="8"/>
      <c r="HB27" s="8"/>
      <c r="HC27" s="8" t="s">
        <v>583</v>
      </c>
      <c r="HD27" s="8" t="s">
        <v>584</v>
      </c>
      <c r="HE27" s="8">
        <v>69133</v>
      </c>
      <c r="HF27" s="8" t="s">
        <v>585</v>
      </c>
      <c r="HG27" s="9" t="s">
        <v>418</v>
      </c>
      <c r="IB27" s="4"/>
      <c r="ID27" s="4"/>
      <c r="IE27" s="4"/>
      <c r="IF27" s="4"/>
      <c r="IW27" s="8"/>
      <c r="JB27" s="8"/>
      <c r="KM27" s="4" t="s">
        <v>471</v>
      </c>
      <c r="KN27" s="4" t="s">
        <v>471</v>
      </c>
      <c r="KP27" s="5" t="s">
        <v>586</v>
      </c>
      <c r="KQ27" s="5" t="s">
        <v>587</v>
      </c>
      <c r="KR27" s="5" t="s">
        <v>588</v>
      </c>
      <c r="KS27" s="5" t="s">
        <v>586</v>
      </c>
      <c r="KT27" s="5" t="s">
        <v>589</v>
      </c>
    </row>
    <row r="28" spans="1:306" ht="72" x14ac:dyDescent="0.25">
      <c r="A28" s="5" t="s">
        <v>615</v>
      </c>
      <c r="B28" s="4" t="s">
        <v>577</v>
      </c>
      <c r="C28" s="7" t="s">
        <v>578</v>
      </c>
      <c r="D28" s="8" t="s">
        <v>579</v>
      </c>
      <c r="E28" s="4">
        <v>576407</v>
      </c>
      <c r="G28" s="4" t="s">
        <v>530</v>
      </c>
      <c r="H28" s="6">
        <v>135.1</v>
      </c>
      <c r="I28" s="6">
        <v>-21.48</v>
      </c>
      <c r="J28" s="4" t="s">
        <v>616</v>
      </c>
      <c r="K28" s="4" t="s">
        <v>481</v>
      </c>
      <c r="L28" s="4" t="s">
        <v>580</v>
      </c>
      <c r="M28" s="4" t="s">
        <v>581</v>
      </c>
      <c r="Q28" s="8"/>
      <c r="R28" s="8"/>
      <c r="U28" s="4"/>
      <c r="V28" s="4"/>
      <c r="W28" s="4"/>
      <c r="X28" s="4"/>
      <c r="Z28" s="4" t="s">
        <v>577</v>
      </c>
      <c r="AA28" s="7" t="s">
        <v>578</v>
      </c>
      <c r="AB28" s="8" t="s">
        <v>579</v>
      </c>
      <c r="AC28" s="4" t="s">
        <v>301</v>
      </c>
      <c r="AD28" s="4" t="s">
        <v>375</v>
      </c>
      <c r="AE28" s="8">
        <v>501</v>
      </c>
      <c r="AF28" s="8">
        <v>4</v>
      </c>
      <c r="AG28" s="9" t="s">
        <v>303</v>
      </c>
      <c r="AH28" s="9" t="s">
        <v>372</v>
      </c>
      <c r="AI28" s="4"/>
      <c r="AJ28" s="4"/>
      <c r="AK28" s="4"/>
      <c r="AL28" s="4"/>
      <c r="AM28" s="8">
        <v>5</v>
      </c>
      <c r="AN28" s="8" t="s">
        <v>381</v>
      </c>
      <c r="AO28" s="4" t="s">
        <v>402</v>
      </c>
      <c r="AP28" s="4" t="s">
        <v>383</v>
      </c>
      <c r="AQ28" s="4" t="s">
        <v>384</v>
      </c>
      <c r="AR28" s="7" t="s">
        <v>582</v>
      </c>
      <c r="AS28" s="7">
        <v>0</v>
      </c>
      <c r="AT28" s="7">
        <v>0</v>
      </c>
      <c r="AU28" s="9" t="s">
        <v>303</v>
      </c>
      <c r="AV28" s="9" t="s">
        <v>406</v>
      </c>
      <c r="BA28" s="8">
        <v>5</v>
      </c>
      <c r="BG28" s="7"/>
      <c r="BH28" s="7"/>
      <c r="BP28" s="7">
        <v>1145</v>
      </c>
      <c r="BQ28" s="8"/>
      <c r="CC28" s="8">
        <v>14</v>
      </c>
      <c r="DZ28" s="31"/>
      <c r="EO28" s="8"/>
      <c r="EP28" s="8"/>
      <c r="ES28" s="8">
        <v>160</v>
      </c>
      <c r="FA28" s="9"/>
      <c r="GP28" s="32"/>
      <c r="GT28" s="8"/>
      <c r="GW28" s="8"/>
      <c r="GY28" s="8" t="s">
        <v>309</v>
      </c>
      <c r="GZ28" s="8" t="s">
        <v>435</v>
      </c>
      <c r="HA28" s="8"/>
      <c r="HB28" s="8"/>
      <c r="HC28" s="8" t="s">
        <v>583</v>
      </c>
      <c r="HD28" s="8" t="s">
        <v>617</v>
      </c>
      <c r="HE28" s="8">
        <v>645</v>
      </c>
      <c r="HF28" s="8" t="s">
        <v>618</v>
      </c>
      <c r="HG28" s="9" t="s">
        <v>418</v>
      </c>
      <c r="IB28" s="4"/>
      <c r="ID28" s="4"/>
      <c r="IE28" s="4"/>
      <c r="IF28" s="4"/>
      <c r="IW28" s="8"/>
      <c r="JB28" s="8"/>
      <c r="KM28" s="4" t="s">
        <v>471</v>
      </c>
      <c r="KN28" s="4" t="s">
        <v>471</v>
      </c>
      <c r="KP28" s="5" t="s">
        <v>619</v>
      </c>
      <c r="KQ28" s="5" t="s">
        <v>620</v>
      </c>
      <c r="KR28" s="5" t="s">
        <v>588</v>
      </c>
      <c r="KS28" s="5" t="s">
        <v>619</v>
      </c>
      <c r="KT28" s="5" t="s">
        <v>621</v>
      </c>
    </row>
    <row r="29" spans="1:306" ht="72" x14ac:dyDescent="0.25">
      <c r="A29" s="5" t="s">
        <v>622</v>
      </c>
      <c r="B29" s="4" t="s">
        <v>577</v>
      </c>
      <c r="C29" s="7" t="s">
        <v>578</v>
      </c>
      <c r="D29" s="8" t="s">
        <v>579</v>
      </c>
      <c r="E29" s="4">
        <v>593199</v>
      </c>
      <c r="G29" s="4" t="s">
        <v>530</v>
      </c>
      <c r="H29" s="6">
        <v>135.81</v>
      </c>
      <c r="I29" s="6">
        <v>-21.77</v>
      </c>
      <c r="J29" s="4" t="s">
        <v>616</v>
      </c>
      <c r="K29" s="4" t="s">
        <v>481</v>
      </c>
      <c r="L29" s="4" t="s">
        <v>580</v>
      </c>
      <c r="M29" s="4" t="s">
        <v>581</v>
      </c>
      <c r="Q29" s="8"/>
      <c r="R29" s="8"/>
      <c r="U29" s="4"/>
      <c r="V29" s="4"/>
      <c r="W29" s="4"/>
      <c r="X29" s="4"/>
      <c r="Z29" s="4" t="s">
        <v>577</v>
      </c>
      <c r="AA29" s="7" t="s">
        <v>578</v>
      </c>
      <c r="AB29" s="8" t="s">
        <v>579</v>
      </c>
      <c r="AC29" s="4" t="s">
        <v>301</v>
      </c>
      <c r="AD29" s="4" t="s">
        <v>375</v>
      </c>
      <c r="AE29" s="8">
        <v>501</v>
      </c>
      <c r="AF29" s="8">
        <v>4</v>
      </c>
      <c r="AG29" s="9" t="s">
        <v>303</v>
      </c>
      <c r="AH29" s="9" t="s">
        <v>372</v>
      </c>
      <c r="AI29" s="4"/>
      <c r="AJ29" s="4"/>
      <c r="AK29" s="4"/>
      <c r="AL29" s="4"/>
      <c r="AM29" s="8">
        <v>5</v>
      </c>
      <c r="AN29" s="8" t="s">
        <v>381</v>
      </c>
      <c r="AO29" s="4" t="s">
        <v>402</v>
      </c>
      <c r="AP29" s="4" t="s">
        <v>383</v>
      </c>
      <c r="AQ29" s="4" t="s">
        <v>384</v>
      </c>
      <c r="AR29" s="7" t="s">
        <v>582</v>
      </c>
      <c r="AS29" s="7">
        <v>0</v>
      </c>
      <c r="AT29" s="7">
        <v>0</v>
      </c>
      <c r="AU29" s="9" t="s">
        <v>303</v>
      </c>
      <c r="AV29" s="9" t="s">
        <v>406</v>
      </c>
      <c r="BA29" s="8">
        <v>5</v>
      </c>
      <c r="BG29" s="7"/>
      <c r="BH29" s="7"/>
      <c r="BP29" s="7">
        <v>70</v>
      </c>
      <c r="BQ29" s="8"/>
      <c r="CC29" s="8">
        <v>13</v>
      </c>
      <c r="DZ29" s="31"/>
      <c r="EO29" s="8"/>
      <c r="EP29" s="8"/>
      <c r="ES29" s="8">
        <v>9</v>
      </c>
      <c r="FA29" s="9"/>
      <c r="GP29" s="32"/>
      <c r="GT29" s="8"/>
      <c r="GW29" s="8"/>
      <c r="GY29" s="8" t="s">
        <v>309</v>
      </c>
      <c r="GZ29" s="8" t="s">
        <v>435</v>
      </c>
      <c r="HA29" s="8"/>
      <c r="HB29" s="8"/>
      <c r="HC29" s="8" t="s">
        <v>583</v>
      </c>
      <c r="HD29" s="8" t="s">
        <v>617</v>
      </c>
      <c r="HE29" s="8">
        <v>645</v>
      </c>
      <c r="HF29" s="8" t="s">
        <v>618</v>
      </c>
      <c r="HG29" s="9" t="s">
        <v>418</v>
      </c>
      <c r="IB29" s="4"/>
      <c r="ID29" s="4"/>
      <c r="IE29" s="4"/>
      <c r="IF29" s="4"/>
      <c r="IW29" s="8"/>
      <c r="JB29" s="8"/>
      <c r="KM29" s="4" t="s">
        <v>471</v>
      </c>
      <c r="KN29" s="4" t="s">
        <v>471</v>
      </c>
      <c r="KP29" s="5" t="s">
        <v>619</v>
      </c>
      <c r="KQ29" s="5" t="s">
        <v>620</v>
      </c>
      <c r="KR29" s="5" t="s">
        <v>588</v>
      </c>
      <c r="KS29" s="5" t="s">
        <v>620</v>
      </c>
      <c r="KT29" s="5" t="s">
        <v>621</v>
      </c>
    </row>
    <row r="30" spans="1:306" ht="156" x14ac:dyDescent="0.25">
      <c r="A30" s="5" t="s">
        <v>818</v>
      </c>
      <c r="B30" s="4" t="s">
        <v>577</v>
      </c>
      <c r="C30" s="7" t="s">
        <v>578</v>
      </c>
      <c r="D30" s="8" t="s">
        <v>579</v>
      </c>
      <c r="E30" s="4">
        <v>334483</v>
      </c>
      <c r="G30" s="4" t="s">
        <v>479</v>
      </c>
      <c r="H30" s="6">
        <v>139.29</v>
      </c>
      <c r="I30" s="6">
        <v>-21.69</v>
      </c>
      <c r="J30" s="4" t="s">
        <v>818</v>
      </c>
      <c r="K30" s="4" t="s">
        <v>481</v>
      </c>
      <c r="L30" s="4" t="s">
        <v>580</v>
      </c>
      <c r="M30" s="4" t="s">
        <v>581</v>
      </c>
      <c r="Q30" s="8"/>
      <c r="R30" s="8"/>
      <c r="S30" s="8"/>
      <c r="T30" s="4"/>
      <c r="Z30" s="4" t="s">
        <v>577</v>
      </c>
      <c r="AA30" s="7" t="s">
        <v>578</v>
      </c>
      <c r="AB30" s="8" t="s">
        <v>579</v>
      </c>
      <c r="AC30" s="4" t="s">
        <v>301</v>
      </c>
      <c r="AD30" s="4" t="s">
        <v>375</v>
      </c>
      <c r="AE30" s="8">
        <v>501</v>
      </c>
      <c r="AF30" s="8">
        <v>4</v>
      </c>
      <c r="AG30" s="8" t="s">
        <v>303</v>
      </c>
      <c r="AH30" s="4" t="s">
        <v>372</v>
      </c>
      <c r="AM30" s="8">
        <v>5</v>
      </c>
      <c r="AN30" s="8" t="s">
        <v>381</v>
      </c>
      <c r="AO30" s="4" t="s">
        <v>402</v>
      </c>
      <c r="AP30" s="4" t="s">
        <v>383</v>
      </c>
      <c r="AQ30" s="4" t="s">
        <v>384</v>
      </c>
      <c r="AR30" s="7" t="s">
        <v>582</v>
      </c>
      <c r="AS30" s="7">
        <v>0</v>
      </c>
      <c r="AT30" s="7">
        <v>0</v>
      </c>
      <c r="AU30" s="9" t="s">
        <v>303</v>
      </c>
      <c r="AV30" s="9" t="s">
        <v>406</v>
      </c>
      <c r="BA30" s="8">
        <v>5</v>
      </c>
      <c r="BP30" s="7">
        <v>16.2</v>
      </c>
      <c r="CC30" s="7">
        <v>27.8</v>
      </c>
      <c r="DZ30" s="31"/>
      <c r="ES30" s="6">
        <v>4.5</v>
      </c>
      <c r="GP30" s="32"/>
      <c r="GY30" s="6" t="s">
        <v>309</v>
      </c>
      <c r="GZ30" s="6" t="s">
        <v>435</v>
      </c>
      <c r="HC30" s="6" t="s">
        <v>583</v>
      </c>
      <c r="HD30" s="6" t="s">
        <v>819</v>
      </c>
      <c r="HE30" s="8">
        <v>1389</v>
      </c>
      <c r="HF30" s="9" t="s">
        <v>820</v>
      </c>
      <c r="HG30" s="8" t="s">
        <v>418</v>
      </c>
      <c r="KM30" s="4" t="s">
        <v>471</v>
      </c>
      <c r="KN30" s="4" t="s">
        <v>471</v>
      </c>
      <c r="KO30" s="4" t="s">
        <v>350</v>
      </c>
      <c r="KP30" s="5" t="s">
        <v>821</v>
      </c>
      <c r="KQ30" s="5" t="s">
        <v>822</v>
      </c>
      <c r="KR30" s="5" t="s">
        <v>588</v>
      </c>
      <c r="KS30" s="5" t="s">
        <v>821</v>
      </c>
      <c r="KT30" s="5" t="s">
        <v>823</v>
      </c>
    </row>
    <row r="31" spans="1:306" ht="72" x14ac:dyDescent="0.25">
      <c r="A31" s="5" t="s">
        <v>1041</v>
      </c>
      <c r="B31" s="4" t="s">
        <v>577</v>
      </c>
      <c r="C31" s="7" t="s">
        <v>578</v>
      </c>
      <c r="D31" s="8" t="s">
        <v>579</v>
      </c>
      <c r="E31" s="4">
        <v>335279</v>
      </c>
      <c r="G31" s="4" t="s">
        <v>479</v>
      </c>
      <c r="H31" s="6">
        <v>138.46</v>
      </c>
      <c r="I31" s="6">
        <v>-18.690000000000001</v>
      </c>
      <c r="J31" s="4" t="s">
        <v>1042</v>
      </c>
      <c r="K31" s="4" t="s">
        <v>481</v>
      </c>
      <c r="L31" s="4" t="s">
        <v>580</v>
      </c>
      <c r="M31" s="4" t="s">
        <v>581</v>
      </c>
      <c r="Q31" s="8"/>
      <c r="R31" s="8"/>
      <c r="U31" s="4"/>
      <c r="V31" s="4"/>
      <c r="W31" s="4"/>
      <c r="X31" s="4"/>
      <c r="Z31" s="4" t="s">
        <v>577</v>
      </c>
      <c r="AA31" s="7" t="s">
        <v>578</v>
      </c>
      <c r="AB31" s="8" t="s">
        <v>579</v>
      </c>
      <c r="AC31" s="4" t="s">
        <v>301</v>
      </c>
      <c r="AD31" s="4" t="s">
        <v>375</v>
      </c>
      <c r="AE31" s="8">
        <v>507</v>
      </c>
      <c r="AF31" s="8">
        <v>2</v>
      </c>
      <c r="AG31" s="9" t="s">
        <v>303</v>
      </c>
      <c r="AH31" s="9" t="s">
        <v>372</v>
      </c>
      <c r="AI31" s="4"/>
      <c r="AJ31" s="4"/>
      <c r="AK31" s="4"/>
      <c r="AL31" s="4"/>
      <c r="AM31" s="8">
        <v>5</v>
      </c>
      <c r="AN31" s="8" t="s">
        <v>381</v>
      </c>
      <c r="AO31" s="4" t="s">
        <v>402</v>
      </c>
      <c r="AP31" s="4" t="s">
        <v>383</v>
      </c>
      <c r="AQ31" s="4" t="s">
        <v>384</v>
      </c>
      <c r="AR31" s="7" t="s">
        <v>582</v>
      </c>
      <c r="AS31" s="7">
        <v>0</v>
      </c>
      <c r="AT31" s="7">
        <v>0</v>
      </c>
      <c r="AU31" s="9" t="s">
        <v>303</v>
      </c>
      <c r="AV31" s="9" t="s">
        <v>406</v>
      </c>
      <c r="BA31" s="8">
        <v>5</v>
      </c>
      <c r="BP31" s="7">
        <v>38</v>
      </c>
      <c r="CC31" s="7">
        <v>16.8</v>
      </c>
      <c r="DZ31" s="31"/>
      <c r="ES31" s="6">
        <v>6.38</v>
      </c>
      <c r="GP31" s="32"/>
      <c r="GY31" s="6" t="s">
        <v>309</v>
      </c>
      <c r="GZ31" s="6" t="s">
        <v>435</v>
      </c>
      <c r="HC31" s="6" t="s">
        <v>583</v>
      </c>
      <c r="HD31" s="8" t="s">
        <v>1043</v>
      </c>
      <c r="HE31" s="8">
        <v>2321</v>
      </c>
      <c r="HF31" s="8" t="s">
        <v>1044</v>
      </c>
      <c r="HG31" s="9" t="s">
        <v>418</v>
      </c>
      <c r="KM31" s="4" t="s">
        <v>471</v>
      </c>
      <c r="KN31" s="4" t="s">
        <v>471</v>
      </c>
      <c r="KO31" s="4" t="s">
        <v>350</v>
      </c>
      <c r="KP31" s="5" t="s">
        <v>1045</v>
      </c>
      <c r="KQ31" s="5" t="s">
        <v>1045</v>
      </c>
      <c r="KR31" s="5" t="s">
        <v>588</v>
      </c>
      <c r="KS31" s="5" t="s">
        <v>1045</v>
      </c>
      <c r="KT31" s="5" t="s">
        <v>589</v>
      </c>
    </row>
    <row r="32" spans="1:306" ht="84" x14ac:dyDescent="0.25">
      <c r="A32" s="5" t="s">
        <v>1777</v>
      </c>
      <c r="B32" s="4" t="s">
        <v>577</v>
      </c>
      <c r="C32" s="7" t="s">
        <v>578</v>
      </c>
      <c r="D32" s="8" t="s">
        <v>579</v>
      </c>
      <c r="E32" s="4">
        <v>560635</v>
      </c>
      <c r="G32" s="4" t="s">
        <v>530</v>
      </c>
      <c r="H32" s="6">
        <v>136.36000000000001</v>
      </c>
      <c r="I32" s="6">
        <v>-19.21</v>
      </c>
      <c r="J32" s="4" t="s">
        <v>576</v>
      </c>
      <c r="K32" s="4" t="s">
        <v>481</v>
      </c>
      <c r="L32" s="4" t="s">
        <v>580</v>
      </c>
      <c r="M32" s="4" t="s">
        <v>581</v>
      </c>
      <c r="Q32" s="8"/>
      <c r="R32" s="8"/>
      <c r="U32" s="4"/>
      <c r="V32" s="4"/>
      <c r="W32" s="4"/>
      <c r="X32" s="4"/>
      <c r="Z32" s="4" t="s">
        <v>577</v>
      </c>
      <c r="AA32" s="7" t="s">
        <v>578</v>
      </c>
      <c r="AB32" s="8" t="s">
        <v>579</v>
      </c>
      <c r="AC32" s="4" t="s">
        <v>301</v>
      </c>
      <c r="AD32" s="4" t="s">
        <v>375</v>
      </c>
      <c r="AE32" s="8">
        <v>501</v>
      </c>
      <c r="AF32" s="8">
        <v>4</v>
      </c>
      <c r="AG32" s="9" t="s">
        <v>303</v>
      </c>
      <c r="AH32" s="9" t="s">
        <v>372</v>
      </c>
      <c r="AI32" s="4"/>
      <c r="AJ32" s="4"/>
      <c r="AK32" s="4"/>
      <c r="AL32" s="4"/>
      <c r="AM32" s="8">
        <v>5</v>
      </c>
      <c r="AN32" s="8" t="s">
        <v>381</v>
      </c>
      <c r="AO32" s="4" t="s">
        <v>402</v>
      </c>
      <c r="AP32" s="4" t="s">
        <v>383</v>
      </c>
      <c r="AQ32" s="4" t="s">
        <v>384</v>
      </c>
      <c r="AR32" s="7" t="s">
        <v>582</v>
      </c>
      <c r="AS32" s="7">
        <v>0</v>
      </c>
      <c r="AT32" s="7">
        <v>0</v>
      </c>
      <c r="AU32" s="9" t="s">
        <v>303</v>
      </c>
      <c r="AV32" s="9" t="s">
        <v>406</v>
      </c>
      <c r="BA32" s="8">
        <v>5</v>
      </c>
      <c r="BG32" s="7"/>
      <c r="BH32" s="7"/>
      <c r="BP32" s="7">
        <v>7.9</v>
      </c>
      <c r="BQ32" s="7"/>
      <c r="CC32" s="8">
        <v>20</v>
      </c>
      <c r="DZ32" s="31"/>
      <c r="EO32" s="8"/>
      <c r="EP32" s="8"/>
      <c r="ES32" s="7">
        <v>1.6</v>
      </c>
      <c r="FA32" s="9"/>
      <c r="GP32" s="32"/>
      <c r="GT32" s="8"/>
      <c r="GW32" s="8"/>
      <c r="GY32" s="8" t="s">
        <v>309</v>
      </c>
      <c r="GZ32" s="8" t="s">
        <v>435</v>
      </c>
      <c r="HA32" s="8"/>
      <c r="HB32" s="8"/>
      <c r="HC32" s="8" t="s">
        <v>583</v>
      </c>
      <c r="HD32" s="8" t="s">
        <v>584</v>
      </c>
      <c r="HE32" s="8">
        <v>69133</v>
      </c>
      <c r="HF32" s="8" t="s">
        <v>585</v>
      </c>
      <c r="HG32" s="9" t="s">
        <v>418</v>
      </c>
      <c r="IB32" s="4"/>
      <c r="ID32" s="4"/>
      <c r="IE32" s="4"/>
      <c r="IF32" s="4"/>
      <c r="IW32" s="8"/>
      <c r="JB32" s="8"/>
      <c r="KM32" s="4" t="s">
        <v>471</v>
      </c>
      <c r="KN32" s="4" t="s">
        <v>471</v>
      </c>
      <c r="KP32" s="5" t="s">
        <v>586</v>
      </c>
      <c r="KQ32" s="5" t="s">
        <v>587</v>
      </c>
      <c r="KR32" s="5" t="s">
        <v>588</v>
      </c>
      <c r="KS32" s="5" t="s">
        <v>586</v>
      </c>
      <c r="KT32" s="5" t="s">
        <v>589</v>
      </c>
    </row>
    <row r="33" spans="1:306" ht="120" x14ac:dyDescent="0.25">
      <c r="A33" s="5" t="s">
        <v>2848</v>
      </c>
      <c r="B33" s="4" t="s">
        <v>577</v>
      </c>
      <c r="C33" s="4" t="s">
        <v>578</v>
      </c>
      <c r="D33" s="7" t="s">
        <v>579</v>
      </c>
      <c r="E33" s="4">
        <v>333685</v>
      </c>
      <c r="G33" s="4" t="s">
        <v>479</v>
      </c>
      <c r="H33" s="4">
        <v>138.94999999999999</v>
      </c>
      <c r="I33" s="6">
        <v>-19.7</v>
      </c>
      <c r="J33" s="6" t="s">
        <v>2849</v>
      </c>
      <c r="K33" s="4" t="s">
        <v>481</v>
      </c>
      <c r="L33" s="4" t="s">
        <v>580</v>
      </c>
      <c r="M33" s="4" t="s">
        <v>581</v>
      </c>
      <c r="O33" s="7"/>
      <c r="Q33" s="8"/>
      <c r="R33" s="8"/>
      <c r="S33" s="8"/>
      <c r="T33" s="4"/>
      <c r="Z33" s="4" t="s">
        <v>577</v>
      </c>
      <c r="AA33" s="4" t="s">
        <v>578</v>
      </c>
      <c r="AB33" s="7" t="s">
        <v>579</v>
      </c>
      <c r="AC33" s="4" t="s">
        <v>301</v>
      </c>
      <c r="AD33" s="4" t="s">
        <v>375</v>
      </c>
      <c r="AE33" s="8">
        <v>501</v>
      </c>
      <c r="AF33" s="8">
        <v>4</v>
      </c>
      <c r="AG33" s="8" t="s">
        <v>303</v>
      </c>
      <c r="AH33" s="4" t="s">
        <v>372</v>
      </c>
      <c r="AM33" s="8">
        <v>5</v>
      </c>
      <c r="AN33" s="8" t="s">
        <v>381</v>
      </c>
      <c r="AO33" s="4" t="s">
        <v>402</v>
      </c>
      <c r="AP33" s="4" t="s">
        <v>383</v>
      </c>
      <c r="AQ33" s="4" t="s">
        <v>384</v>
      </c>
      <c r="AR33" s="7" t="s">
        <v>582</v>
      </c>
      <c r="AS33" s="7">
        <v>0</v>
      </c>
      <c r="AT33" s="7">
        <v>0</v>
      </c>
      <c r="AU33" s="9" t="s">
        <v>303</v>
      </c>
      <c r="AV33" s="9" t="s">
        <v>406</v>
      </c>
      <c r="BA33" s="8">
        <v>5</v>
      </c>
      <c r="BB33" s="8"/>
      <c r="BE33" s="4"/>
      <c r="BF33" s="7"/>
      <c r="BG33" s="8"/>
      <c r="BO33" s="9"/>
      <c r="BP33" s="7">
        <v>305</v>
      </c>
      <c r="BU33" s="6"/>
      <c r="BV33" s="8"/>
      <c r="CC33" s="8">
        <v>15</v>
      </c>
      <c r="DZ33" s="31"/>
      <c r="EH33" s="6"/>
      <c r="EL33" s="10"/>
      <c r="ES33" s="6">
        <v>45.75</v>
      </c>
      <c r="EY33" s="6"/>
      <c r="FA33" s="6"/>
      <c r="GP33" s="32"/>
      <c r="GY33" s="6" t="s">
        <v>338</v>
      </c>
      <c r="GZ33" s="6" t="s">
        <v>435</v>
      </c>
      <c r="HC33" s="6" t="s">
        <v>583</v>
      </c>
      <c r="HD33" s="6" t="s">
        <v>2850</v>
      </c>
      <c r="HE33" s="8">
        <v>1389</v>
      </c>
      <c r="HF33" s="8" t="s">
        <v>2851</v>
      </c>
      <c r="HG33" s="8" t="s">
        <v>418</v>
      </c>
      <c r="HI33" s="9"/>
      <c r="HJ33" s="8"/>
      <c r="HM33" s="9"/>
      <c r="HN33" s="8"/>
      <c r="HY33" s="9"/>
      <c r="IB33" s="9"/>
      <c r="IL33" s="8"/>
      <c r="IN33" s="8"/>
      <c r="IR33" s="9"/>
      <c r="JU33" s="9"/>
      <c r="KG33" s="7"/>
      <c r="KM33" s="4" t="s">
        <v>471</v>
      </c>
      <c r="KN33" s="4" t="s">
        <v>471</v>
      </c>
      <c r="KO33" s="4" t="s">
        <v>350</v>
      </c>
      <c r="KP33" s="5" t="s">
        <v>619</v>
      </c>
      <c r="KQ33" s="5" t="s">
        <v>2852</v>
      </c>
      <c r="KR33" s="5" t="s">
        <v>588</v>
      </c>
      <c r="KS33" s="5" t="s">
        <v>619</v>
      </c>
      <c r="KT33" s="5" t="s">
        <v>621</v>
      </c>
    </row>
    <row r="34" spans="1:306" ht="84" x14ac:dyDescent="0.25">
      <c r="A34" s="5" t="s">
        <v>3416</v>
      </c>
      <c r="B34" s="4" t="s">
        <v>577</v>
      </c>
      <c r="C34" s="7" t="s">
        <v>578</v>
      </c>
      <c r="D34" s="8" t="s">
        <v>579</v>
      </c>
      <c r="E34" s="4">
        <v>560636</v>
      </c>
      <c r="G34" s="4" t="s">
        <v>530</v>
      </c>
      <c r="H34" s="6">
        <v>131</v>
      </c>
      <c r="I34" s="6">
        <v>-13.04</v>
      </c>
      <c r="J34" s="4" t="s">
        <v>3416</v>
      </c>
      <c r="K34" s="4" t="s">
        <v>481</v>
      </c>
      <c r="L34" s="4" t="s">
        <v>532</v>
      </c>
      <c r="Q34" s="8"/>
      <c r="R34" s="8"/>
      <c r="U34" s="4"/>
      <c r="V34" s="4"/>
      <c r="W34" s="4"/>
      <c r="X34" s="4"/>
      <c r="Z34" s="4" t="s">
        <v>577</v>
      </c>
      <c r="AA34" s="7" t="s">
        <v>578</v>
      </c>
      <c r="AB34" s="8" t="s">
        <v>579</v>
      </c>
      <c r="AC34" s="4" t="s">
        <v>301</v>
      </c>
      <c r="AD34" s="4" t="s">
        <v>375</v>
      </c>
      <c r="AE34" s="8">
        <v>1740</v>
      </c>
      <c r="AF34" s="8">
        <v>40</v>
      </c>
      <c r="AG34" s="9" t="s">
        <v>303</v>
      </c>
      <c r="AH34" s="9" t="s">
        <v>372</v>
      </c>
      <c r="AI34" s="4"/>
      <c r="AJ34" s="4"/>
      <c r="AK34" s="4"/>
      <c r="AL34" s="4"/>
      <c r="AM34" s="8">
        <v>3</v>
      </c>
      <c r="AN34" s="8" t="s">
        <v>381</v>
      </c>
      <c r="AO34" s="4" t="s">
        <v>402</v>
      </c>
      <c r="AP34" s="4" t="s">
        <v>383</v>
      </c>
      <c r="AQ34" s="4" t="s">
        <v>384</v>
      </c>
      <c r="AR34" s="7" t="s">
        <v>582</v>
      </c>
      <c r="AS34" s="7">
        <v>0</v>
      </c>
      <c r="AT34" s="7">
        <v>0</v>
      </c>
      <c r="AU34" s="9" t="s">
        <v>303</v>
      </c>
      <c r="AV34" s="9" t="s">
        <v>406</v>
      </c>
      <c r="BA34" s="8">
        <v>5</v>
      </c>
      <c r="BG34" s="7"/>
      <c r="BH34" s="7"/>
      <c r="BP34" s="7">
        <v>1.31</v>
      </c>
      <c r="CC34" s="7">
        <v>12.5</v>
      </c>
      <c r="DZ34" s="31"/>
      <c r="EO34" s="8"/>
      <c r="EP34" s="8"/>
      <c r="ES34" s="6">
        <v>0.16</v>
      </c>
      <c r="FA34" s="9"/>
      <c r="GP34" s="32"/>
      <c r="GT34" s="8"/>
      <c r="GW34" s="8"/>
      <c r="GY34" s="8" t="s">
        <v>309</v>
      </c>
      <c r="GZ34" s="8" t="s">
        <v>435</v>
      </c>
      <c r="HA34" s="8"/>
      <c r="HB34" s="8"/>
      <c r="HC34" s="8" t="s">
        <v>583</v>
      </c>
      <c r="HD34" s="8" t="s">
        <v>3417</v>
      </c>
      <c r="HE34" s="8">
        <v>37623</v>
      </c>
      <c r="HF34" s="8" t="s">
        <v>3418</v>
      </c>
      <c r="HG34" s="9" t="s">
        <v>538</v>
      </c>
      <c r="IB34" s="4"/>
      <c r="ID34" s="4"/>
      <c r="IE34" s="4"/>
      <c r="IF34" s="4"/>
      <c r="IW34" s="8"/>
      <c r="JB34" s="8"/>
      <c r="KM34" s="4" t="s">
        <v>391</v>
      </c>
      <c r="KN34" s="4" t="s">
        <v>391</v>
      </c>
      <c r="KP34" s="5" t="s">
        <v>586</v>
      </c>
      <c r="KQ34" s="5" t="s">
        <v>3419</v>
      </c>
      <c r="KR34" s="5" t="s">
        <v>588</v>
      </c>
      <c r="KS34" s="5" t="s">
        <v>3419</v>
      </c>
      <c r="KT34" s="5" t="s">
        <v>3420</v>
      </c>
    </row>
    <row r="35" spans="1:306" ht="72" x14ac:dyDescent="0.25">
      <c r="A35" s="5" t="s">
        <v>1042</v>
      </c>
      <c r="B35" s="4" t="s">
        <v>577</v>
      </c>
      <c r="C35" s="7" t="s">
        <v>578</v>
      </c>
      <c r="D35" s="8" t="s">
        <v>579</v>
      </c>
      <c r="E35" s="4">
        <v>468267</v>
      </c>
      <c r="G35" s="4" t="s">
        <v>530</v>
      </c>
      <c r="H35" s="6">
        <v>137.97</v>
      </c>
      <c r="I35" s="6">
        <v>-18.600000000000001</v>
      </c>
      <c r="J35" s="4" t="s">
        <v>1042</v>
      </c>
      <c r="K35" s="4" t="s">
        <v>481</v>
      </c>
      <c r="L35" s="4" t="s">
        <v>580</v>
      </c>
      <c r="M35" s="4" t="s">
        <v>581</v>
      </c>
      <c r="Q35" s="8"/>
      <c r="R35" s="8"/>
      <c r="U35" s="4"/>
      <c r="V35" s="4"/>
      <c r="W35" s="4"/>
      <c r="X35" s="4"/>
      <c r="Z35" s="4" t="s">
        <v>577</v>
      </c>
      <c r="AA35" s="7" t="s">
        <v>578</v>
      </c>
      <c r="AB35" s="8" t="s">
        <v>579</v>
      </c>
      <c r="AC35" s="4" t="s">
        <v>301</v>
      </c>
      <c r="AD35" s="4" t="s">
        <v>375</v>
      </c>
      <c r="AE35" s="8">
        <v>507</v>
      </c>
      <c r="AF35" s="8">
        <v>2</v>
      </c>
      <c r="AG35" s="9" t="s">
        <v>303</v>
      </c>
      <c r="AH35" s="9" t="s">
        <v>372</v>
      </c>
      <c r="AI35" s="4"/>
      <c r="AJ35" s="4"/>
      <c r="AK35" s="4"/>
      <c r="AL35" s="4"/>
      <c r="AM35" s="8">
        <v>5</v>
      </c>
      <c r="AN35" s="8" t="s">
        <v>381</v>
      </c>
      <c r="AO35" s="4" t="s">
        <v>402</v>
      </c>
      <c r="AP35" s="4" t="s">
        <v>383</v>
      </c>
      <c r="AQ35" s="4" t="s">
        <v>384</v>
      </c>
      <c r="AR35" s="7" t="s">
        <v>582</v>
      </c>
      <c r="AS35" s="7">
        <v>0</v>
      </c>
      <c r="AT35" s="7">
        <v>0</v>
      </c>
      <c r="AU35" s="9" t="s">
        <v>303</v>
      </c>
      <c r="AV35" s="9" t="s">
        <v>406</v>
      </c>
      <c r="BA35" s="8">
        <v>5</v>
      </c>
      <c r="BG35" s="7"/>
      <c r="BH35" s="7"/>
      <c r="BP35" s="7">
        <v>53</v>
      </c>
      <c r="BQ35" s="8"/>
      <c r="CC35" s="8">
        <v>16</v>
      </c>
      <c r="DZ35" s="31"/>
      <c r="EO35" s="8"/>
      <c r="EP35" s="8"/>
      <c r="ES35" s="7">
        <v>8.5</v>
      </c>
      <c r="FA35" s="9"/>
      <c r="GP35" s="32"/>
      <c r="GT35" s="8"/>
      <c r="GW35" s="8"/>
      <c r="GY35" s="8" t="s">
        <v>309</v>
      </c>
      <c r="GZ35" s="8" t="s">
        <v>435</v>
      </c>
      <c r="HA35" s="8"/>
      <c r="HB35" s="8"/>
      <c r="HC35" s="8" t="s">
        <v>583</v>
      </c>
      <c r="HD35" s="8" t="s">
        <v>1043</v>
      </c>
      <c r="HE35" s="8">
        <v>2321</v>
      </c>
      <c r="HF35" s="8" t="s">
        <v>1044</v>
      </c>
      <c r="HG35" s="9" t="s">
        <v>418</v>
      </c>
      <c r="IB35" s="4"/>
      <c r="ID35" s="4"/>
      <c r="IE35" s="4"/>
      <c r="IF35" s="4"/>
      <c r="IW35" s="8"/>
      <c r="JB35" s="8"/>
      <c r="KM35" s="4" t="s">
        <v>471</v>
      </c>
      <c r="KN35" s="4" t="s">
        <v>471</v>
      </c>
      <c r="KP35" s="5" t="s">
        <v>619</v>
      </c>
      <c r="KQ35" s="5" t="s">
        <v>620</v>
      </c>
      <c r="KR35" s="5" t="s">
        <v>588</v>
      </c>
      <c r="KS35" s="5" t="s">
        <v>619</v>
      </c>
      <c r="KT35" s="5" t="s">
        <v>621</v>
      </c>
    </row>
    <row r="36" spans="1:306" ht="120" x14ac:dyDescent="0.25">
      <c r="A36" s="5" t="s">
        <v>4702</v>
      </c>
      <c r="B36" s="4" t="s">
        <v>577</v>
      </c>
      <c r="C36" s="4" t="s">
        <v>578</v>
      </c>
      <c r="D36" s="7" t="s">
        <v>579</v>
      </c>
      <c r="E36" s="4">
        <v>538160</v>
      </c>
      <c r="G36" s="4" t="s">
        <v>479</v>
      </c>
      <c r="H36" s="4">
        <v>139.97999999999999</v>
      </c>
      <c r="I36" s="6">
        <v>-21.95</v>
      </c>
      <c r="J36" s="6" t="s">
        <v>616</v>
      </c>
      <c r="K36" s="4" t="s">
        <v>481</v>
      </c>
      <c r="L36" s="4" t="s">
        <v>580</v>
      </c>
      <c r="M36" s="4" t="s">
        <v>581</v>
      </c>
      <c r="O36" s="7"/>
      <c r="Q36" s="8"/>
      <c r="R36" s="8"/>
      <c r="S36" s="8"/>
      <c r="T36" s="4"/>
      <c r="Z36" s="4" t="s">
        <v>577</v>
      </c>
      <c r="AA36" s="4" t="s">
        <v>578</v>
      </c>
      <c r="AB36" s="7" t="s">
        <v>579</v>
      </c>
      <c r="AC36" s="4" t="s">
        <v>301</v>
      </c>
      <c r="AD36" s="4" t="s">
        <v>375</v>
      </c>
      <c r="AE36" s="8">
        <v>501</v>
      </c>
      <c r="AF36" s="8">
        <v>4</v>
      </c>
      <c r="AG36" s="8" t="s">
        <v>303</v>
      </c>
      <c r="AH36" s="4" t="s">
        <v>372</v>
      </c>
      <c r="AM36" s="8">
        <v>5</v>
      </c>
      <c r="AN36" s="8" t="s">
        <v>381</v>
      </c>
      <c r="AO36" s="4" t="s">
        <v>402</v>
      </c>
      <c r="AP36" s="4" t="s">
        <v>383</v>
      </c>
      <c r="AQ36" s="4" t="s">
        <v>384</v>
      </c>
      <c r="AR36" s="7" t="s">
        <v>582</v>
      </c>
      <c r="AS36" s="7">
        <v>0</v>
      </c>
      <c r="AT36" s="7">
        <v>0</v>
      </c>
      <c r="AU36" s="9" t="s">
        <v>303</v>
      </c>
      <c r="AV36" s="9" t="s">
        <v>406</v>
      </c>
      <c r="BA36" s="8">
        <v>5</v>
      </c>
      <c r="BB36" s="8"/>
      <c r="BE36" s="4"/>
      <c r="BF36" s="7"/>
      <c r="BG36" s="8"/>
      <c r="BO36" s="9"/>
      <c r="BP36" s="7">
        <v>8.3000000000000007</v>
      </c>
      <c r="BU36" s="6"/>
      <c r="BV36" s="8"/>
      <c r="CC36" s="7">
        <v>27.3</v>
      </c>
      <c r="DZ36" s="31"/>
      <c r="EH36" s="6"/>
      <c r="EL36" s="10"/>
      <c r="ES36" s="6">
        <v>2.27</v>
      </c>
      <c r="EY36" s="6"/>
      <c r="FA36" s="6"/>
      <c r="GP36" s="32"/>
      <c r="GY36" s="6" t="s">
        <v>309</v>
      </c>
      <c r="GZ36" s="6" t="s">
        <v>435</v>
      </c>
      <c r="HC36" s="6" t="s">
        <v>583</v>
      </c>
      <c r="HD36" s="6" t="s">
        <v>2850</v>
      </c>
      <c r="HE36" s="8">
        <v>1389</v>
      </c>
      <c r="HF36" s="8" t="s">
        <v>2851</v>
      </c>
      <c r="HG36" s="8" t="s">
        <v>418</v>
      </c>
      <c r="HH36" s="9" t="s">
        <v>4703</v>
      </c>
      <c r="HJ36" s="9" t="s">
        <v>4704</v>
      </c>
      <c r="HK36" s="9" t="s">
        <v>418</v>
      </c>
      <c r="HM36" s="9"/>
      <c r="HN36" s="8"/>
      <c r="HY36" s="9"/>
      <c r="IB36" s="9"/>
      <c r="IL36" s="8"/>
      <c r="IN36" s="8"/>
      <c r="IR36" s="9"/>
      <c r="JU36" s="9"/>
      <c r="KG36" s="7"/>
      <c r="KM36" s="4" t="s">
        <v>471</v>
      </c>
      <c r="KN36" s="4" t="s">
        <v>471</v>
      </c>
      <c r="KO36" s="4" t="s">
        <v>350</v>
      </c>
      <c r="KP36" s="5" t="s">
        <v>619</v>
      </c>
      <c r="KQ36" s="5" t="s">
        <v>619</v>
      </c>
      <c r="KR36" s="5" t="s">
        <v>588</v>
      </c>
      <c r="KS36" s="5" t="s">
        <v>619</v>
      </c>
      <c r="KT36" s="5" t="s">
        <v>718</v>
      </c>
    </row>
    <row r="37" spans="1:306" ht="120" x14ac:dyDescent="0.25">
      <c r="A37" s="5" t="s">
        <v>4865</v>
      </c>
      <c r="B37" s="4" t="s">
        <v>577</v>
      </c>
      <c r="C37" s="7" t="s">
        <v>578</v>
      </c>
      <c r="D37" s="8" t="s">
        <v>579</v>
      </c>
      <c r="E37" s="4">
        <v>333990</v>
      </c>
      <c r="G37" s="4" t="s">
        <v>479</v>
      </c>
      <c r="H37" s="6">
        <v>138.66999999999999</v>
      </c>
      <c r="I37" s="6">
        <v>-20.350000000000001</v>
      </c>
      <c r="J37" s="4" t="s">
        <v>4865</v>
      </c>
      <c r="K37" s="4" t="s">
        <v>481</v>
      </c>
      <c r="L37" s="4" t="s">
        <v>580</v>
      </c>
      <c r="M37" s="4" t="s">
        <v>581</v>
      </c>
      <c r="Q37" s="8"/>
      <c r="R37" s="8"/>
      <c r="S37" s="8"/>
      <c r="T37" s="4"/>
      <c r="Z37" s="4" t="s">
        <v>577</v>
      </c>
      <c r="AA37" s="7" t="s">
        <v>578</v>
      </c>
      <c r="AB37" s="8" t="s">
        <v>579</v>
      </c>
      <c r="AC37" s="4" t="s">
        <v>301</v>
      </c>
      <c r="AD37" s="4" t="s">
        <v>375</v>
      </c>
      <c r="AE37" s="8">
        <v>507</v>
      </c>
      <c r="AF37" s="8">
        <v>2</v>
      </c>
      <c r="AG37" s="8" t="s">
        <v>303</v>
      </c>
      <c r="AH37" s="4" t="s">
        <v>372</v>
      </c>
      <c r="AM37" s="8">
        <v>5</v>
      </c>
      <c r="AN37" s="8" t="s">
        <v>381</v>
      </c>
      <c r="AO37" s="4" t="s">
        <v>402</v>
      </c>
      <c r="AP37" s="4" t="s">
        <v>383</v>
      </c>
      <c r="AQ37" s="4" t="s">
        <v>384</v>
      </c>
      <c r="AR37" s="7" t="s">
        <v>582</v>
      </c>
      <c r="AS37" s="7">
        <v>0</v>
      </c>
      <c r="AT37" s="7">
        <v>0</v>
      </c>
      <c r="AU37" s="9" t="s">
        <v>303</v>
      </c>
      <c r="AV37" s="9" t="s">
        <v>406</v>
      </c>
      <c r="BA37" s="8">
        <v>5</v>
      </c>
      <c r="BP37" s="7">
        <v>191</v>
      </c>
      <c r="CC37" s="7">
        <v>14.9</v>
      </c>
      <c r="DZ37" s="31"/>
      <c r="ES37" s="6">
        <v>28.46</v>
      </c>
      <c r="GP37" s="32"/>
      <c r="GY37" s="6" t="s">
        <v>309</v>
      </c>
      <c r="GZ37" s="6" t="s">
        <v>435</v>
      </c>
      <c r="HC37" s="6" t="s">
        <v>583</v>
      </c>
      <c r="HD37" s="6" t="s">
        <v>2850</v>
      </c>
      <c r="HE37" s="8">
        <v>1389</v>
      </c>
      <c r="HF37" s="8" t="s">
        <v>2851</v>
      </c>
      <c r="HG37" s="8" t="s">
        <v>418</v>
      </c>
      <c r="KM37" s="4" t="s">
        <v>471</v>
      </c>
      <c r="KN37" s="4" t="s">
        <v>471</v>
      </c>
      <c r="KO37" s="4" t="s">
        <v>350</v>
      </c>
      <c r="KP37" s="5" t="s">
        <v>1045</v>
      </c>
      <c r="KQ37" s="5" t="s">
        <v>4866</v>
      </c>
      <c r="KR37" s="5" t="s">
        <v>588</v>
      </c>
      <c r="KS37" s="5" t="s">
        <v>1045</v>
      </c>
      <c r="KT37" s="5" t="s">
        <v>4867</v>
      </c>
    </row>
    <row r="38" spans="1:306" ht="72" x14ac:dyDescent="0.25">
      <c r="A38" s="5" t="s">
        <v>5709</v>
      </c>
      <c r="B38" s="4" t="s">
        <v>577</v>
      </c>
      <c r="C38" s="7" t="s">
        <v>578</v>
      </c>
      <c r="D38" s="8" t="s">
        <v>579</v>
      </c>
      <c r="E38" s="4">
        <v>336124</v>
      </c>
      <c r="G38" s="4" t="s">
        <v>479</v>
      </c>
      <c r="H38" s="6">
        <v>138.6</v>
      </c>
      <c r="I38" s="6">
        <v>-18.61</v>
      </c>
      <c r="J38" s="4" t="s">
        <v>1042</v>
      </c>
      <c r="K38" s="4" t="s">
        <v>481</v>
      </c>
      <c r="L38" s="4" t="s">
        <v>580</v>
      </c>
      <c r="M38" s="4" t="s">
        <v>581</v>
      </c>
      <c r="Q38" s="8"/>
      <c r="R38" s="8"/>
      <c r="U38" s="4"/>
      <c r="V38" s="4"/>
      <c r="W38" s="4"/>
      <c r="X38" s="4"/>
      <c r="Z38" s="4" t="s">
        <v>577</v>
      </c>
      <c r="AA38" s="7" t="s">
        <v>578</v>
      </c>
      <c r="AB38" s="8" t="s">
        <v>579</v>
      </c>
      <c r="AC38" s="4" t="s">
        <v>301</v>
      </c>
      <c r="AD38" s="4" t="s">
        <v>375</v>
      </c>
      <c r="AE38" s="8">
        <v>507</v>
      </c>
      <c r="AF38" s="8">
        <v>2</v>
      </c>
      <c r="AG38" s="9" t="s">
        <v>303</v>
      </c>
      <c r="AH38" s="9" t="s">
        <v>372</v>
      </c>
      <c r="AI38" s="4"/>
      <c r="AJ38" s="4"/>
      <c r="AK38" s="4"/>
      <c r="AL38" s="4"/>
      <c r="AM38" s="8">
        <v>5</v>
      </c>
      <c r="AN38" s="8" t="s">
        <v>381</v>
      </c>
      <c r="AO38" s="4" t="s">
        <v>402</v>
      </c>
      <c r="AP38" s="4" t="s">
        <v>383</v>
      </c>
      <c r="AQ38" s="4" t="s">
        <v>384</v>
      </c>
      <c r="AR38" s="7" t="s">
        <v>582</v>
      </c>
      <c r="AS38" s="7">
        <v>0</v>
      </c>
      <c r="AT38" s="7">
        <v>0</v>
      </c>
      <c r="AU38" s="9" t="s">
        <v>303</v>
      </c>
      <c r="AV38" s="9" t="s">
        <v>406</v>
      </c>
      <c r="BA38" s="8">
        <v>5</v>
      </c>
      <c r="BP38" s="7">
        <v>20</v>
      </c>
      <c r="CC38" s="7">
        <v>15.3</v>
      </c>
      <c r="DZ38" s="31"/>
      <c r="ES38" s="6">
        <v>3.06</v>
      </c>
      <c r="GP38" s="32"/>
      <c r="GY38" s="6" t="s">
        <v>309</v>
      </c>
      <c r="GZ38" s="6" t="s">
        <v>435</v>
      </c>
      <c r="HC38" s="6" t="s">
        <v>583</v>
      </c>
      <c r="HD38" s="8" t="s">
        <v>1043</v>
      </c>
      <c r="HE38" s="8">
        <v>2321</v>
      </c>
      <c r="HF38" s="8" t="s">
        <v>1044</v>
      </c>
      <c r="HG38" s="9" t="s">
        <v>418</v>
      </c>
      <c r="KM38" s="4" t="s">
        <v>471</v>
      </c>
      <c r="KN38" s="4" t="s">
        <v>471</v>
      </c>
      <c r="KO38" s="4" t="s">
        <v>350</v>
      </c>
      <c r="KP38" s="5" t="s">
        <v>1045</v>
      </c>
      <c r="KQ38" s="5" t="s">
        <v>1045</v>
      </c>
      <c r="KR38" s="5" t="s">
        <v>588</v>
      </c>
      <c r="KS38" s="5" t="s">
        <v>1045</v>
      </c>
      <c r="KT38" s="5" t="s">
        <v>589</v>
      </c>
    </row>
    <row r="39" spans="1:306" ht="72" x14ac:dyDescent="0.25">
      <c r="A39" s="5" t="s">
        <v>5860</v>
      </c>
      <c r="B39" s="4" t="s">
        <v>577</v>
      </c>
      <c r="C39" s="7" t="s">
        <v>578</v>
      </c>
      <c r="D39" s="8" t="s">
        <v>579</v>
      </c>
      <c r="E39" s="4">
        <v>334387</v>
      </c>
      <c r="G39" s="4" t="s">
        <v>479</v>
      </c>
      <c r="H39" s="6">
        <v>138.31</v>
      </c>
      <c r="I39" s="6">
        <v>-18.649999999999999</v>
      </c>
      <c r="J39" s="4" t="s">
        <v>1042</v>
      </c>
      <c r="K39" s="4" t="s">
        <v>481</v>
      </c>
      <c r="L39" s="4" t="s">
        <v>580</v>
      </c>
      <c r="M39" s="4" t="s">
        <v>581</v>
      </c>
      <c r="Q39" s="8"/>
      <c r="R39" s="8"/>
      <c r="U39" s="4"/>
      <c r="V39" s="4"/>
      <c r="W39" s="4"/>
      <c r="X39" s="4"/>
      <c r="Z39" s="4" t="s">
        <v>577</v>
      </c>
      <c r="AA39" s="7" t="s">
        <v>578</v>
      </c>
      <c r="AB39" s="8" t="s">
        <v>579</v>
      </c>
      <c r="AC39" s="4" t="s">
        <v>301</v>
      </c>
      <c r="AD39" s="4" t="s">
        <v>375</v>
      </c>
      <c r="AE39" s="8">
        <v>507</v>
      </c>
      <c r="AF39" s="8">
        <v>2</v>
      </c>
      <c r="AG39" s="9" t="s">
        <v>303</v>
      </c>
      <c r="AH39" s="9" t="s">
        <v>372</v>
      </c>
      <c r="AI39" s="4"/>
      <c r="AJ39" s="4"/>
      <c r="AK39" s="4"/>
      <c r="AL39" s="4"/>
      <c r="AM39" s="8">
        <v>5</v>
      </c>
      <c r="AN39" s="8" t="s">
        <v>381</v>
      </c>
      <c r="AO39" s="4" t="s">
        <v>402</v>
      </c>
      <c r="AP39" s="4" t="s">
        <v>383</v>
      </c>
      <c r="AQ39" s="4" t="s">
        <v>384</v>
      </c>
      <c r="AR39" s="7" t="s">
        <v>582</v>
      </c>
      <c r="AS39" s="7">
        <v>0</v>
      </c>
      <c r="AT39" s="7">
        <v>0</v>
      </c>
      <c r="AU39" s="9" t="s">
        <v>303</v>
      </c>
      <c r="AV39" s="9" t="s">
        <v>406</v>
      </c>
      <c r="BA39" s="8">
        <v>5</v>
      </c>
      <c r="BP39" s="7">
        <v>15</v>
      </c>
      <c r="CC39" s="7">
        <v>17.399999999999999</v>
      </c>
      <c r="DZ39" s="31"/>
      <c r="ES39" s="6">
        <v>2.61</v>
      </c>
      <c r="GP39" s="32"/>
      <c r="GY39" s="6" t="s">
        <v>309</v>
      </c>
      <c r="GZ39" s="6" t="s">
        <v>435</v>
      </c>
      <c r="HC39" s="6" t="s">
        <v>583</v>
      </c>
      <c r="HD39" s="8" t="s">
        <v>1043</v>
      </c>
      <c r="HE39" s="8">
        <v>2321</v>
      </c>
      <c r="HF39" s="8" t="s">
        <v>1044</v>
      </c>
      <c r="HG39" s="9" t="s">
        <v>418</v>
      </c>
      <c r="KM39" s="4" t="s">
        <v>471</v>
      </c>
      <c r="KN39" s="4" t="s">
        <v>471</v>
      </c>
      <c r="KO39" s="4" t="s">
        <v>350</v>
      </c>
      <c r="KP39" s="5" t="s">
        <v>1045</v>
      </c>
      <c r="KQ39" s="5" t="s">
        <v>1045</v>
      </c>
      <c r="KR39" s="5" t="s">
        <v>588</v>
      </c>
      <c r="KS39" s="5" t="s">
        <v>1045</v>
      </c>
      <c r="KT39" s="5" t="s">
        <v>4867</v>
      </c>
    </row>
    <row r="40" spans="1:306" ht="120" x14ac:dyDescent="0.25">
      <c r="A40" s="5" t="s">
        <v>6532</v>
      </c>
      <c r="B40" s="4" t="s">
        <v>577</v>
      </c>
      <c r="C40" s="4" t="s">
        <v>578</v>
      </c>
      <c r="D40" s="7" t="s">
        <v>579</v>
      </c>
      <c r="E40" s="4">
        <v>333310</v>
      </c>
      <c r="G40" s="4" t="s">
        <v>479</v>
      </c>
      <c r="H40" s="4">
        <v>139.12</v>
      </c>
      <c r="I40" s="6">
        <v>-19.57</v>
      </c>
      <c r="J40" s="6" t="s">
        <v>6533</v>
      </c>
      <c r="K40" s="4" t="s">
        <v>481</v>
      </c>
      <c r="L40" s="4" t="s">
        <v>580</v>
      </c>
      <c r="M40" s="4" t="s">
        <v>581</v>
      </c>
      <c r="O40" s="7"/>
      <c r="Q40" s="8"/>
      <c r="R40" s="8"/>
      <c r="S40" s="8"/>
      <c r="T40" s="4"/>
      <c r="Z40" s="4" t="s">
        <v>577</v>
      </c>
      <c r="AA40" s="4" t="s">
        <v>578</v>
      </c>
      <c r="AB40" s="7" t="s">
        <v>579</v>
      </c>
      <c r="AC40" s="4" t="s">
        <v>301</v>
      </c>
      <c r="AD40" s="4" t="s">
        <v>375</v>
      </c>
      <c r="AE40" s="8">
        <v>507</v>
      </c>
      <c r="AF40" s="8">
        <v>2</v>
      </c>
      <c r="AG40" s="8" t="s">
        <v>303</v>
      </c>
      <c r="AH40" s="4" t="s">
        <v>372</v>
      </c>
      <c r="AM40" s="8">
        <v>5</v>
      </c>
      <c r="AN40" s="8" t="s">
        <v>381</v>
      </c>
      <c r="AO40" s="4" t="s">
        <v>402</v>
      </c>
      <c r="AP40" s="4" t="s">
        <v>383</v>
      </c>
      <c r="AQ40" s="4" t="s">
        <v>384</v>
      </c>
      <c r="AR40" s="7" t="s">
        <v>582</v>
      </c>
      <c r="AS40" s="7">
        <v>0</v>
      </c>
      <c r="AT40" s="7">
        <v>0</v>
      </c>
      <c r="AU40" s="9" t="s">
        <v>303</v>
      </c>
      <c r="AV40" s="9" t="s">
        <v>406</v>
      </c>
      <c r="BA40" s="8">
        <v>5</v>
      </c>
      <c r="BB40" s="8"/>
      <c r="BE40" s="4"/>
      <c r="BF40" s="7"/>
      <c r="BG40" s="8"/>
      <c r="BO40" s="9"/>
      <c r="BP40" s="7">
        <v>264</v>
      </c>
      <c r="BU40" s="6"/>
      <c r="BV40" s="8"/>
      <c r="CC40" s="7">
        <v>13</v>
      </c>
      <c r="DZ40" s="31"/>
      <c r="EH40" s="6"/>
      <c r="EL40" s="10"/>
      <c r="ES40" s="6">
        <f>CC40/100*BP40</f>
        <v>34.32</v>
      </c>
      <c r="EY40" s="6"/>
      <c r="FA40" s="6"/>
      <c r="GP40" s="32"/>
      <c r="GY40" s="6" t="s">
        <v>309</v>
      </c>
      <c r="GZ40" s="6" t="s">
        <v>435</v>
      </c>
      <c r="HC40" s="6" t="s">
        <v>583</v>
      </c>
      <c r="HD40" s="6" t="s">
        <v>2850</v>
      </c>
      <c r="HE40" s="8">
        <v>1389</v>
      </c>
      <c r="HF40" s="8" t="s">
        <v>2851</v>
      </c>
      <c r="HG40" s="8" t="s">
        <v>418</v>
      </c>
      <c r="HI40" s="9"/>
      <c r="HJ40" s="8"/>
      <c r="HM40" s="9"/>
      <c r="HN40" s="8"/>
      <c r="HY40" s="9"/>
      <c r="IB40" s="9"/>
      <c r="IL40" s="8"/>
      <c r="IN40" s="8"/>
      <c r="IR40" s="9"/>
      <c r="JU40" s="9"/>
      <c r="KG40" s="7"/>
      <c r="KM40" s="4" t="s">
        <v>471</v>
      </c>
      <c r="KN40" s="4" t="s">
        <v>471</v>
      </c>
      <c r="KO40" s="4" t="s">
        <v>350</v>
      </c>
      <c r="KP40" s="5" t="s">
        <v>619</v>
      </c>
      <c r="KQ40" s="5" t="s">
        <v>2852</v>
      </c>
      <c r="KR40" s="5" t="s">
        <v>588</v>
      </c>
      <c r="KS40" s="5" t="s">
        <v>6534</v>
      </c>
      <c r="KT40" s="5" t="s">
        <v>718</v>
      </c>
    </row>
    <row r="41" spans="1:306" ht="120" x14ac:dyDescent="0.25">
      <c r="A41" s="5" t="s">
        <v>6535</v>
      </c>
      <c r="B41" s="4" t="s">
        <v>577</v>
      </c>
      <c r="C41" s="4" t="s">
        <v>578</v>
      </c>
      <c r="D41" s="7" t="s">
        <v>579</v>
      </c>
      <c r="E41" s="4">
        <v>333869</v>
      </c>
      <c r="G41" s="4" t="s">
        <v>479</v>
      </c>
      <c r="H41" s="4">
        <v>139.07</v>
      </c>
      <c r="I41" s="6">
        <v>-19.77</v>
      </c>
      <c r="J41" s="6" t="s">
        <v>6533</v>
      </c>
      <c r="K41" s="4" t="s">
        <v>481</v>
      </c>
      <c r="L41" s="4" t="s">
        <v>580</v>
      </c>
      <c r="M41" s="4" t="s">
        <v>581</v>
      </c>
      <c r="O41" s="7"/>
      <c r="Q41" s="8"/>
      <c r="R41" s="8"/>
      <c r="S41" s="8"/>
      <c r="T41" s="4"/>
      <c r="Z41" s="4" t="s">
        <v>577</v>
      </c>
      <c r="AA41" s="4" t="s">
        <v>578</v>
      </c>
      <c r="AB41" s="7" t="s">
        <v>579</v>
      </c>
      <c r="AC41" s="4" t="s">
        <v>301</v>
      </c>
      <c r="AD41" s="4" t="s">
        <v>375</v>
      </c>
      <c r="AE41" s="8">
        <v>507</v>
      </c>
      <c r="AF41" s="8">
        <v>2</v>
      </c>
      <c r="AG41" s="8" t="s">
        <v>303</v>
      </c>
      <c r="AH41" s="4" t="s">
        <v>372</v>
      </c>
      <c r="AM41" s="8">
        <v>5</v>
      </c>
      <c r="AN41" s="8" t="s">
        <v>381</v>
      </c>
      <c r="AO41" s="4" t="s">
        <v>402</v>
      </c>
      <c r="AP41" s="4" t="s">
        <v>383</v>
      </c>
      <c r="AQ41" s="4" t="s">
        <v>384</v>
      </c>
      <c r="AR41" s="7" t="s">
        <v>582</v>
      </c>
      <c r="AS41" s="7">
        <v>0</v>
      </c>
      <c r="AT41" s="7">
        <v>0</v>
      </c>
      <c r="AU41" s="9" t="s">
        <v>303</v>
      </c>
      <c r="AV41" s="9" t="s">
        <v>406</v>
      </c>
      <c r="BA41" s="8">
        <v>5</v>
      </c>
      <c r="BB41" s="8"/>
      <c r="BE41" s="4"/>
      <c r="BF41" s="7"/>
      <c r="BG41" s="8"/>
      <c r="BO41" s="9"/>
      <c r="BP41" s="7">
        <v>436.5</v>
      </c>
      <c r="BU41" s="6"/>
      <c r="BV41" s="8"/>
      <c r="CC41" s="7">
        <v>9.4</v>
      </c>
      <c r="DZ41" s="31"/>
      <c r="EH41" s="6"/>
      <c r="EL41" s="10"/>
      <c r="ES41" s="6">
        <f>CC41/100*BP41</f>
        <v>41.030999999999999</v>
      </c>
      <c r="EY41" s="6"/>
      <c r="FA41" s="6"/>
      <c r="GP41" s="32"/>
      <c r="GY41" s="6" t="s">
        <v>309</v>
      </c>
      <c r="GZ41" s="6" t="s">
        <v>435</v>
      </c>
      <c r="HC41" s="6" t="s">
        <v>583</v>
      </c>
      <c r="HD41" s="6" t="s">
        <v>2850</v>
      </c>
      <c r="HE41" s="8">
        <v>1389</v>
      </c>
      <c r="HF41" s="8" t="s">
        <v>2851</v>
      </c>
      <c r="HG41" s="8" t="s">
        <v>418</v>
      </c>
      <c r="HI41" s="9"/>
      <c r="HJ41" s="8"/>
      <c r="HM41" s="9"/>
      <c r="HN41" s="8"/>
      <c r="HY41" s="9"/>
      <c r="IB41" s="9"/>
      <c r="IL41" s="8"/>
      <c r="IN41" s="8"/>
      <c r="IR41" s="9"/>
      <c r="JU41" s="9"/>
      <c r="KG41" s="7"/>
      <c r="KM41" s="4" t="s">
        <v>471</v>
      </c>
      <c r="KN41" s="4" t="s">
        <v>471</v>
      </c>
      <c r="KO41" s="4" t="s">
        <v>350</v>
      </c>
      <c r="KP41" s="5" t="s">
        <v>619</v>
      </c>
      <c r="KQ41" s="5" t="s">
        <v>2852</v>
      </c>
      <c r="KR41" s="5" t="s">
        <v>588</v>
      </c>
      <c r="KS41" s="5" t="s">
        <v>6536</v>
      </c>
      <c r="KT41" s="5" t="s">
        <v>718</v>
      </c>
    </row>
    <row r="42" spans="1:306" ht="72" x14ac:dyDescent="0.25">
      <c r="A42" s="5" t="s">
        <v>6614</v>
      </c>
      <c r="B42" s="4" t="s">
        <v>577</v>
      </c>
      <c r="C42" s="7" t="s">
        <v>578</v>
      </c>
      <c r="D42" s="8" t="s">
        <v>579</v>
      </c>
      <c r="E42" s="4">
        <v>333607</v>
      </c>
      <c r="G42" s="4" t="s">
        <v>479</v>
      </c>
      <c r="H42" s="6">
        <v>138.6</v>
      </c>
      <c r="I42" s="6">
        <v>-18.68</v>
      </c>
      <c r="J42" s="4" t="s">
        <v>1042</v>
      </c>
      <c r="K42" s="4" t="s">
        <v>481</v>
      </c>
      <c r="L42" s="4" t="s">
        <v>580</v>
      </c>
      <c r="M42" s="4" t="s">
        <v>581</v>
      </c>
      <c r="Q42" s="8"/>
      <c r="R42" s="8"/>
      <c r="U42" s="4"/>
      <c r="V42" s="4"/>
      <c r="W42" s="4"/>
      <c r="X42" s="4"/>
      <c r="Z42" s="4" t="s">
        <v>577</v>
      </c>
      <c r="AA42" s="7" t="s">
        <v>578</v>
      </c>
      <c r="AB42" s="8" t="s">
        <v>579</v>
      </c>
      <c r="AC42" s="4" t="s">
        <v>301</v>
      </c>
      <c r="AD42" s="4" t="s">
        <v>375</v>
      </c>
      <c r="AE42" s="8">
        <v>507</v>
      </c>
      <c r="AF42" s="8">
        <v>2</v>
      </c>
      <c r="AG42" s="9" t="s">
        <v>303</v>
      </c>
      <c r="AH42" s="9" t="s">
        <v>372</v>
      </c>
      <c r="AI42" s="4"/>
      <c r="AJ42" s="4"/>
      <c r="AK42" s="4"/>
      <c r="AL42" s="4"/>
      <c r="AM42" s="8">
        <v>5</v>
      </c>
      <c r="AN42" s="8" t="s">
        <v>381</v>
      </c>
      <c r="AO42" s="4" t="s">
        <v>402</v>
      </c>
      <c r="AP42" s="4" t="s">
        <v>383</v>
      </c>
      <c r="AQ42" s="4" t="s">
        <v>384</v>
      </c>
      <c r="AR42" s="7" t="s">
        <v>582</v>
      </c>
      <c r="AS42" s="7">
        <v>0</v>
      </c>
      <c r="AT42" s="7">
        <v>0</v>
      </c>
      <c r="AU42" s="9" t="s">
        <v>303</v>
      </c>
      <c r="AV42" s="9" t="s">
        <v>406</v>
      </c>
      <c r="BA42" s="8">
        <v>5</v>
      </c>
      <c r="BP42" s="7">
        <v>46</v>
      </c>
      <c r="CC42" s="7">
        <v>16</v>
      </c>
      <c r="DZ42" s="31"/>
      <c r="ES42" s="6">
        <v>7.36</v>
      </c>
      <c r="GP42" s="32"/>
      <c r="GY42" s="6" t="s">
        <v>309</v>
      </c>
      <c r="GZ42" s="6" t="s">
        <v>435</v>
      </c>
      <c r="HC42" s="6" t="s">
        <v>583</v>
      </c>
      <c r="HD42" s="8" t="s">
        <v>1043</v>
      </c>
      <c r="HE42" s="8">
        <v>2321</v>
      </c>
      <c r="HF42" s="8" t="s">
        <v>1044</v>
      </c>
      <c r="HG42" s="9" t="s">
        <v>418</v>
      </c>
      <c r="KM42" s="4" t="s">
        <v>471</v>
      </c>
      <c r="KN42" s="4" t="s">
        <v>471</v>
      </c>
      <c r="KO42" s="4" t="s">
        <v>350</v>
      </c>
      <c r="KP42" s="5" t="s">
        <v>1045</v>
      </c>
      <c r="KQ42" s="5" t="s">
        <v>1045</v>
      </c>
      <c r="KR42" s="5" t="s">
        <v>588</v>
      </c>
      <c r="KS42" s="5" t="s">
        <v>1045</v>
      </c>
      <c r="KT42" s="5" t="s">
        <v>4867</v>
      </c>
    </row>
    <row r="43" spans="1:306" ht="120" x14ac:dyDescent="0.25">
      <c r="A43" s="5" t="s">
        <v>6629</v>
      </c>
      <c r="B43" s="4" t="s">
        <v>577</v>
      </c>
      <c r="C43" s="4" t="s">
        <v>578</v>
      </c>
      <c r="D43" s="7" t="s">
        <v>579</v>
      </c>
      <c r="E43" s="4">
        <v>335848</v>
      </c>
      <c r="G43" s="4" t="s">
        <v>479</v>
      </c>
      <c r="H43" s="4">
        <v>139.97</v>
      </c>
      <c r="I43" s="6">
        <v>-21.9</v>
      </c>
      <c r="J43" s="6" t="s">
        <v>6630</v>
      </c>
      <c r="K43" s="4" t="s">
        <v>481</v>
      </c>
      <c r="L43" s="4" t="s">
        <v>580</v>
      </c>
      <c r="M43" s="4" t="s">
        <v>581</v>
      </c>
      <c r="O43" s="7"/>
      <c r="Q43" s="8"/>
      <c r="R43" s="8"/>
      <c r="S43" s="8"/>
      <c r="T43" s="4"/>
      <c r="Z43" s="4" t="s">
        <v>577</v>
      </c>
      <c r="AA43" s="4" t="s">
        <v>578</v>
      </c>
      <c r="AB43" s="7" t="s">
        <v>579</v>
      </c>
      <c r="AC43" s="4" t="s">
        <v>301</v>
      </c>
      <c r="AD43" s="4" t="s">
        <v>375</v>
      </c>
      <c r="AE43" s="8">
        <v>501</v>
      </c>
      <c r="AF43" s="8">
        <v>4</v>
      </c>
      <c r="AG43" s="8" t="s">
        <v>303</v>
      </c>
      <c r="AH43" s="4" t="s">
        <v>372</v>
      </c>
      <c r="AM43" s="8">
        <v>5</v>
      </c>
      <c r="AN43" s="8" t="s">
        <v>381</v>
      </c>
      <c r="AO43" s="4" t="s">
        <v>402</v>
      </c>
      <c r="AP43" s="4" t="s">
        <v>383</v>
      </c>
      <c r="AQ43" s="4" t="s">
        <v>384</v>
      </c>
      <c r="AR43" s="7" t="s">
        <v>582</v>
      </c>
      <c r="AS43" s="7">
        <v>0</v>
      </c>
      <c r="AT43" s="7">
        <v>0</v>
      </c>
      <c r="AU43" s="9" t="s">
        <v>303</v>
      </c>
      <c r="AV43" s="9" t="s">
        <v>406</v>
      </c>
      <c r="BA43" s="8">
        <v>5</v>
      </c>
      <c r="BB43" s="8"/>
      <c r="BE43" s="4"/>
      <c r="BF43" s="7"/>
      <c r="BG43" s="8"/>
      <c r="BO43" s="9"/>
      <c r="BP43" s="7">
        <v>1419</v>
      </c>
      <c r="BU43" s="6"/>
      <c r="BV43" s="8"/>
      <c r="CC43" s="7">
        <v>17.5</v>
      </c>
      <c r="DZ43" s="31"/>
      <c r="EH43" s="6"/>
      <c r="EL43" s="10"/>
      <c r="ES43" s="6">
        <v>248.63</v>
      </c>
      <c r="EY43" s="6"/>
      <c r="FA43" s="6"/>
      <c r="GP43" s="32"/>
      <c r="GY43" s="6" t="s">
        <v>309</v>
      </c>
      <c r="GZ43" s="6" t="s">
        <v>435</v>
      </c>
      <c r="HC43" s="6" t="s">
        <v>583</v>
      </c>
      <c r="HD43" s="6" t="s">
        <v>2850</v>
      </c>
      <c r="HE43" s="8">
        <v>1389</v>
      </c>
      <c r="HF43" s="8" t="s">
        <v>2851</v>
      </c>
      <c r="HG43" s="8" t="s">
        <v>418</v>
      </c>
      <c r="HI43" s="9"/>
      <c r="HJ43" s="8"/>
      <c r="HM43" s="9"/>
      <c r="HN43" s="8"/>
      <c r="HY43" s="9"/>
      <c r="IB43" s="9"/>
      <c r="IL43" s="8"/>
      <c r="IN43" s="8"/>
      <c r="IR43" s="9"/>
      <c r="JU43" s="9"/>
      <c r="KG43" s="7"/>
      <c r="KM43" s="4" t="s">
        <v>471</v>
      </c>
      <c r="KN43" s="4" t="s">
        <v>471</v>
      </c>
      <c r="KO43" s="4" t="s">
        <v>350</v>
      </c>
      <c r="KP43" s="5" t="s">
        <v>619</v>
      </c>
      <c r="KQ43" s="5" t="s">
        <v>6631</v>
      </c>
      <c r="KR43" s="5" t="s">
        <v>588</v>
      </c>
      <c r="KS43" s="5" t="s">
        <v>6632</v>
      </c>
      <c r="KT43" s="5" t="s">
        <v>6633</v>
      </c>
    </row>
    <row r="44" spans="1:306" ht="120" x14ac:dyDescent="0.25">
      <c r="A44" s="5" t="s">
        <v>6781</v>
      </c>
      <c r="B44" s="4" t="s">
        <v>577</v>
      </c>
      <c r="C44" s="7" t="s">
        <v>578</v>
      </c>
      <c r="D44" s="8" t="s">
        <v>579</v>
      </c>
      <c r="E44" s="4">
        <v>335392</v>
      </c>
      <c r="G44" s="4" t="s">
        <v>479</v>
      </c>
      <c r="H44" s="6">
        <v>139.05000000000001</v>
      </c>
      <c r="I44" s="6">
        <v>-21.98</v>
      </c>
      <c r="J44" s="4" t="s">
        <v>818</v>
      </c>
      <c r="K44" s="4" t="s">
        <v>481</v>
      </c>
      <c r="L44" s="4" t="s">
        <v>580</v>
      </c>
      <c r="M44" s="4" t="s">
        <v>581</v>
      </c>
      <c r="Q44" s="8"/>
      <c r="R44" s="8"/>
      <c r="S44" s="8"/>
      <c r="T44" s="4"/>
      <c r="Z44" s="4" t="s">
        <v>577</v>
      </c>
      <c r="AA44" s="7" t="s">
        <v>578</v>
      </c>
      <c r="AB44" s="8" t="s">
        <v>579</v>
      </c>
      <c r="AC44" s="4" t="s">
        <v>301</v>
      </c>
      <c r="AD44" s="4" t="s">
        <v>375</v>
      </c>
      <c r="AE44" s="8">
        <v>501</v>
      </c>
      <c r="AF44" s="8">
        <v>4</v>
      </c>
      <c r="AG44" s="8" t="s">
        <v>303</v>
      </c>
      <c r="AH44" s="4" t="s">
        <v>372</v>
      </c>
      <c r="AM44" s="8">
        <v>5</v>
      </c>
      <c r="AN44" s="8" t="s">
        <v>381</v>
      </c>
      <c r="AO44" s="4" t="s">
        <v>402</v>
      </c>
      <c r="AP44" s="4" t="s">
        <v>383</v>
      </c>
      <c r="AQ44" s="4" t="s">
        <v>384</v>
      </c>
      <c r="AR44" s="7" t="s">
        <v>582</v>
      </c>
      <c r="AS44" s="7">
        <v>0</v>
      </c>
      <c r="AT44" s="7">
        <v>0</v>
      </c>
      <c r="AU44" s="9" t="s">
        <v>303</v>
      </c>
      <c r="AV44" s="9" t="s">
        <v>406</v>
      </c>
      <c r="BA44" s="8">
        <v>5</v>
      </c>
      <c r="BP44" s="7">
        <v>30</v>
      </c>
      <c r="CC44" s="7">
        <v>17</v>
      </c>
      <c r="DZ44" s="31"/>
      <c r="ES44" s="6">
        <v>5.0999999999999996</v>
      </c>
      <c r="GP44" s="32"/>
      <c r="GY44" s="6" t="s">
        <v>309</v>
      </c>
      <c r="GZ44" s="6" t="s">
        <v>435</v>
      </c>
      <c r="HC44" s="6" t="s">
        <v>583</v>
      </c>
      <c r="HD44" s="6" t="s">
        <v>2850</v>
      </c>
      <c r="HE44" s="8">
        <v>1389</v>
      </c>
      <c r="HF44" s="8" t="s">
        <v>2851</v>
      </c>
      <c r="HG44" s="8" t="s">
        <v>418</v>
      </c>
      <c r="KM44" s="4" t="s">
        <v>471</v>
      </c>
      <c r="KN44" s="4" t="s">
        <v>471</v>
      </c>
      <c r="KO44" s="4" t="s">
        <v>350</v>
      </c>
      <c r="KP44" s="5" t="s">
        <v>1045</v>
      </c>
      <c r="KQ44" s="5" t="s">
        <v>1045</v>
      </c>
      <c r="KR44" s="5" t="s">
        <v>588</v>
      </c>
      <c r="KS44" s="5" t="s">
        <v>1045</v>
      </c>
      <c r="KT44" s="5" t="s">
        <v>589</v>
      </c>
    </row>
    <row r="45" spans="1:306" ht="72" x14ac:dyDescent="0.25">
      <c r="A45" s="5" t="s">
        <v>6917</v>
      </c>
      <c r="B45" s="4" t="s">
        <v>577</v>
      </c>
      <c r="C45" s="7" t="s">
        <v>578</v>
      </c>
      <c r="D45" s="8" t="s">
        <v>579</v>
      </c>
      <c r="E45" s="4">
        <v>335476</v>
      </c>
      <c r="G45" s="4" t="s">
        <v>479</v>
      </c>
      <c r="H45" s="6">
        <v>138.54</v>
      </c>
      <c r="I45" s="6">
        <v>-18.84</v>
      </c>
      <c r="J45" s="4" t="s">
        <v>1042</v>
      </c>
      <c r="K45" s="4" t="s">
        <v>481</v>
      </c>
      <c r="L45" s="4" t="s">
        <v>580</v>
      </c>
      <c r="M45" s="4" t="s">
        <v>581</v>
      </c>
      <c r="Q45" s="8"/>
      <c r="R45" s="8"/>
      <c r="U45" s="4"/>
      <c r="V45" s="4"/>
      <c r="W45" s="4"/>
      <c r="X45" s="4"/>
      <c r="Z45" s="4" t="s">
        <v>577</v>
      </c>
      <c r="AA45" s="7" t="s">
        <v>578</v>
      </c>
      <c r="AB45" s="8" t="s">
        <v>579</v>
      </c>
      <c r="AC45" s="4" t="s">
        <v>301</v>
      </c>
      <c r="AD45" s="4" t="s">
        <v>375</v>
      </c>
      <c r="AE45" s="8">
        <v>507</v>
      </c>
      <c r="AF45" s="8">
        <v>2</v>
      </c>
      <c r="AG45" s="9" t="s">
        <v>303</v>
      </c>
      <c r="AH45" s="9" t="s">
        <v>372</v>
      </c>
      <c r="AI45" s="4"/>
      <c r="AJ45" s="4"/>
      <c r="AK45" s="4"/>
      <c r="AL45" s="4"/>
      <c r="AM45" s="8">
        <v>5</v>
      </c>
      <c r="AN45" s="8" t="s">
        <v>381</v>
      </c>
      <c r="AO45" s="4" t="s">
        <v>402</v>
      </c>
      <c r="AP45" s="4" t="s">
        <v>383</v>
      </c>
      <c r="AQ45" s="4" t="s">
        <v>384</v>
      </c>
      <c r="AR45" s="7" t="s">
        <v>582</v>
      </c>
      <c r="AS45" s="7">
        <v>0</v>
      </c>
      <c r="AT45" s="7">
        <v>0</v>
      </c>
      <c r="AU45" s="9" t="s">
        <v>303</v>
      </c>
      <c r="AV45" s="9" t="s">
        <v>406</v>
      </c>
      <c r="BA45" s="8">
        <v>5</v>
      </c>
      <c r="BP45" s="7">
        <v>11</v>
      </c>
      <c r="CC45" s="7">
        <v>14.4</v>
      </c>
      <c r="DZ45" s="31"/>
      <c r="ES45" s="6">
        <v>1.58</v>
      </c>
      <c r="GP45" s="32"/>
      <c r="GY45" s="6" t="s">
        <v>309</v>
      </c>
      <c r="GZ45" s="6" t="s">
        <v>435</v>
      </c>
      <c r="HC45" s="6" t="s">
        <v>583</v>
      </c>
      <c r="HD45" s="8" t="s">
        <v>1043</v>
      </c>
      <c r="HE45" s="8">
        <v>2321</v>
      </c>
      <c r="HF45" s="8" t="s">
        <v>1044</v>
      </c>
      <c r="HG45" s="9" t="s">
        <v>418</v>
      </c>
      <c r="KM45" s="4" t="s">
        <v>471</v>
      </c>
      <c r="KN45" s="4" t="s">
        <v>471</v>
      </c>
      <c r="KO45" s="4" t="s">
        <v>350</v>
      </c>
      <c r="KP45" s="5" t="s">
        <v>1045</v>
      </c>
      <c r="KQ45" s="5" t="s">
        <v>1045</v>
      </c>
      <c r="KR45" s="5" t="s">
        <v>588</v>
      </c>
      <c r="KS45" s="5" t="s">
        <v>1045</v>
      </c>
      <c r="KT45" s="5" t="s">
        <v>4867</v>
      </c>
    </row>
    <row r="46" spans="1:306" ht="120" x14ac:dyDescent="0.25">
      <c r="A46" s="5" t="s">
        <v>7128</v>
      </c>
      <c r="B46" s="4" t="s">
        <v>577</v>
      </c>
      <c r="C46" s="7" t="s">
        <v>578</v>
      </c>
      <c r="D46" s="8" t="s">
        <v>579</v>
      </c>
      <c r="E46" s="4">
        <v>335139</v>
      </c>
      <c r="G46" s="4" t="s">
        <v>479</v>
      </c>
      <c r="H46" s="6">
        <v>138.94999999999999</v>
      </c>
      <c r="I46" s="6">
        <v>-20.37</v>
      </c>
      <c r="J46" s="4" t="s">
        <v>4865</v>
      </c>
      <c r="K46" s="4" t="s">
        <v>481</v>
      </c>
      <c r="L46" s="4" t="s">
        <v>580</v>
      </c>
      <c r="M46" s="4" t="s">
        <v>581</v>
      </c>
      <c r="Q46" s="8"/>
      <c r="R46" s="8"/>
      <c r="S46" s="8"/>
      <c r="T46" s="4"/>
      <c r="Z46" s="4" t="s">
        <v>577</v>
      </c>
      <c r="AA46" s="7" t="s">
        <v>578</v>
      </c>
      <c r="AB46" s="8" t="s">
        <v>579</v>
      </c>
      <c r="AC46" s="4" t="s">
        <v>301</v>
      </c>
      <c r="AD46" s="4" t="s">
        <v>375</v>
      </c>
      <c r="AE46" s="8">
        <v>507</v>
      </c>
      <c r="AF46" s="8">
        <v>2</v>
      </c>
      <c r="AG46" s="8" t="s">
        <v>303</v>
      </c>
      <c r="AH46" s="4" t="s">
        <v>372</v>
      </c>
      <c r="AM46" s="8">
        <v>5</v>
      </c>
      <c r="AN46" s="8" t="s">
        <v>381</v>
      </c>
      <c r="AO46" s="4" t="s">
        <v>402</v>
      </c>
      <c r="AP46" s="4" t="s">
        <v>383</v>
      </c>
      <c r="AQ46" s="4" t="s">
        <v>384</v>
      </c>
      <c r="AR46" s="7" t="s">
        <v>582</v>
      </c>
      <c r="AS46" s="7">
        <v>0</v>
      </c>
      <c r="AT46" s="7">
        <v>0</v>
      </c>
      <c r="AU46" s="9" t="s">
        <v>303</v>
      </c>
      <c r="AV46" s="9" t="s">
        <v>406</v>
      </c>
      <c r="BA46" s="8">
        <v>5</v>
      </c>
      <c r="BP46" s="7">
        <v>175</v>
      </c>
      <c r="CC46" s="7">
        <v>16.5</v>
      </c>
      <c r="DZ46" s="31"/>
      <c r="ES46" s="6">
        <v>28.88</v>
      </c>
      <c r="GP46" s="32"/>
      <c r="GY46" s="6" t="s">
        <v>309</v>
      </c>
      <c r="GZ46" s="6" t="s">
        <v>435</v>
      </c>
      <c r="HC46" s="6" t="s">
        <v>583</v>
      </c>
      <c r="HD46" s="6" t="s">
        <v>2850</v>
      </c>
      <c r="HE46" s="8">
        <v>1389</v>
      </c>
      <c r="HF46" s="8" t="s">
        <v>2851</v>
      </c>
      <c r="HG46" s="8" t="s">
        <v>418</v>
      </c>
      <c r="KM46" s="4" t="s">
        <v>471</v>
      </c>
      <c r="KN46" s="4" t="s">
        <v>471</v>
      </c>
      <c r="KO46" s="4" t="s">
        <v>350</v>
      </c>
      <c r="KP46" s="5" t="s">
        <v>1045</v>
      </c>
      <c r="KQ46" s="5" t="s">
        <v>4866</v>
      </c>
      <c r="KR46" s="5" t="s">
        <v>588</v>
      </c>
      <c r="KS46" s="5" t="s">
        <v>1045</v>
      </c>
      <c r="KT46" s="5" t="s">
        <v>4867</v>
      </c>
    </row>
    <row r="47" spans="1:306" ht="120" customHeight="1" x14ac:dyDescent="0.25">
      <c r="A47" s="5" t="s">
        <v>8196</v>
      </c>
      <c r="B47" s="4" t="s">
        <v>577</v>
      </c>
      <c r="C47" s="7" t="s">
        <v>578</v>
      </c>
      <c r="D47" s="8" t="s">
        <v>579</v>
      </c>
      <c r="E47" s="4">
        <v>333311</v>
      </c>
      <c r="G47" s="4" t="s">
        <v>530</v>
      </c>
      <c r="H47" s="6">
        <v>136.49</v>
      </c>
      <c r="I47" s="6">
        <v>-20.010000000000002</v>
      </c>
      <c r="J47" s="4" t="s">
        <v>8197</v>
      </c>
      <c r="K47" s="4" t="s">
        <v>481</v>
      </c>
      <c r="L47" s="4" t="s">
        <v>580</v>
      </c>
      <c r="M47" s="4" t="s">
        <v>581</v>
      </c>
      <c r="Q47" s="8"/>
      <c r="R47" s="8"/>
      <c r="U47" s="4"/>
      <c r="V47" s="4"/>
      <c r="W47" s="4"/>
      <c r="X47" s="4"/>
      <c r="Z47" s="4" t="s">
        <v>577</v>
      </c>
      <c r="AA47" s="7" t="s">
        <v>578</v>
      </c>
      <c r="AB47" s="8" t="s">
        <v>579</v>
      </c>
      <c r="AC47" s="4" t="s">
        <v>301</v>
      </c>
      <c r="AD47" s="4" t="s">
        <v>375</v>
      </c>
      <c r="AE47" s="8">
        <v>507</v>
      </c>
      <c r="AF47" s="8">
        <v>2</v>
      </c>
      <c r="AG47" s="9" t="s">
        <v>303</v>
      </c>
      <c r="AH47" s="9" t="s">
        <v>372</v>
      </c>
      <c r="AI47" s="4"/>
      <c r="AJ47" s="4"/>
      <c r="AK47" s="4"/>
      <c r="AL47" s="4"/>
      <c r="AM47" s="8">
        <v>5</v>
      </c>
      <c r="AN47" s="8" t="s">
        <v>381</v>
      </c>
      <c r="AO47" s="4" t="s">
        <v>402</v>
      </c>
      <c r="AP47" s="4" t="s">
        <v>383</v>
      </c>
      <c r="AQ47" s="4" t="s">
        <v>384</v>
      </c>
      <c r="AR47" s="7" t="s">
        <v>582</v>
      </c>
      <c r="AS47" s="7">
        <v>0</v>
      </c>
      <c r="AT47" s="7">
        <v>0</v>
      </c>
      <c r="AU47" s="9" t="s">
        <v>303</v>
      </c>
      <c r="AV47" s="9" t="s">
        <v>406</v>
      </c>
      <c r="BA47" s="8">
        <v>5</v>
      </c>
      <c r="BG47" s="7"/>
      <c r="BH47" s="7"/>
      <c r="BP47" s="7">
        <v>842</v>
      </c>
      <c r="BQ47" s="8"/>
      <c r="CC47" s="8">
        <v>18</v>
      </c>
      <c r="CR47" s="9"/>
      <c r="DZ47" s="31"/>
      <c r="EO47" s="8"/>
      <c r="EP47" s="8"/>
      <c r="ES47" s="8">
        <v>152</v>
      </c>
      <c r="FA47" s="9"/>
      <c r="GP47" s="32"/>
      <c r="GT47" s="8"/>
      <c r="GW47" s="8"/>
      <c r="GY47" s="8" t="s">
        <v>309</v>
      </c>
      <c r="GZ47" s="8" t="s">
        <v>435</v>
      </c>
      <c r="HA47" s="8"/>
      <c r="HB47" s="8"/>
      <c r="HC47" s="8" t="s">
        <v>583</v>
      </c>
      <c r="HD47" s="8" t="s">
        <v>584</v>
      </c>
      <c r="HE47" s="8">
        <v>69133</v>
      </c>
      <c r="HF47" s="8" t="s">
        <v>585</v>
      </c>
      <c r="HG47" s="9" t="s">
        <v>418</v>
      </c>
      <c r="IB47" s="4"/>
      <c r="ID47" s="4"/>
      <c r="IE47" s="4"/>
      <c r="IF47" s="4"/>
      <c r="IW47" s="8"/>
      <c r="JB47" s="8"/>
      <c r="KM47" s="4" t="s">
        <v>471</v>
      </c>
      <c r="KN47" s="4" t="s">
        <v>471</v>
      </c>
      <c r="KP47" s="5" t="s">
        <v>586</v>
      </c>
      <c r="KQ47" s="5" t="s">
        <v>620</v>
      </c>
      <c r="KR47" s="5" t="s">
        <v>588</v>
      </c>
      <c r="KS47" s="5" t="s">
        <v>620</v>
      </c>
      <c r="KT47" s="5" t="s">
        <v>621</v>
      </c>
    </row>
    <row r="48" spans="1:306" ht="36" x14ac:dyDescent="0.25">
      <c r="A48" s="5" t="s">
        <v>3631</v>
      </c>
      <c r="B48" s="4" t="s">
        <v>577</v>
      </c>
      <c r="C48" s="7" t="s">
        <v>578</v>
      </c>
      <c r="D48" s="8" t="s">
        <v>3634</v>
      </c>
      <c r="E48" s="4">
        <v>568352</v>
      </c>
      <c r="G48" s="4" t="s">
        <v>593</v>
      </c>
      <c r="H48" s="6">
        <v>140.6189</v>
      </c>
      <c r="I48" s="6">
        <v>-32.414999999999999</v>
      </c>
      <c r="J48" s="4" t="s">
        <v>3635</v>
      </c>
      <c r="K48" s="4" t="s">
        <v>595</v>
      </c>
      <c r="L48" s="4" t="s">
        <v>689</v>
      </c>
      <c r="Q48" s="8"/>
      <c r="R48" s="8"/>
      <c r="Z48" s="4" t="s">
        <v>577</v>
      </c>
      <c r="AA48" s="7" t="s">
        <v>578</v>
      </c>
      <c r="AB48" s="8" t="s">
        <v>3634</v>
      </c>
      <c r="AC48" s="4" t="s">
        <v>301</v>
      </c>
      <c r="AD48" s="4" t="s">
        <v>302</v>
      </c>
      <c r="AE48" s="8">
        <v>659</v>
      </c>
      <c r="AF48" s="8">
        <v>6</v>
      </c>
      <c r="AG48" s="9" t="s">
        <v>379</v>
      </c>
      <c r="AH48" s="9" t="s">
        <v>460</v>
      </c>
      <c r="AI48" s="9" t="s">
        <v>373</v>
      </c>
      <c r="AJ48" s="9" t="s">
        <v>306</v>
      </c>
      <c r="AK48" s="9" t="s">
        <v>307</v>
      </c>
      <c r="AL48" s="9" t="s">
        <v>337</v>
      </c>
      <c r="AM48" s="8">
        <v>3</v>
      </c>
      <c r="BP48" s="7">
        <v>304</v>
      </c>
      <c r="CJ48" s="8">
        <v>24</v>
      </c>
      <c r="DZ48" s="31"/>
      <c r="EB48" s="10"/>
      <c r="EY48" s="7">
        <f>BP48*CJ48/100</f>
        <v>72.959999999999994</v>
      </c>
      <c r="FA48" s="6"/>
      <c r="GP48" s="32"/>
      <c r="GY48" s="6" t="s">
        <v>338</v>
      </c>
      <c r="GZ48" s="6" t="s">
        <v>534</v>
      </c>
      <c r="HC48" s="6" t="s">
        <v>535</v>
      </c>
      <c r="HD48" s="9" t="s">
        <v>3636</v>
      </c>
      <c r="HE48" s="8">
        <v>2480</v>
      </c>
      <c r="HF48" s="9" t="s">
        <v>3637</v>
      </c>
      <c r="HG48" s="9" t="s">
        <v>876</v>
      </c>
      <c r="HY48" s="9"/>
      <c r="IM48" s="9"/>
      <c r="JX48" s="7" t="s">
        <v>353</v>
      </c>
      <c r="KM48" s="4" t="s">
        <v>391</v>
      </c>
      <c r="KN48" s="4" t="s">
        <v>391</v>
      </c>
      <c r="KP48" s="5" t="s">
        <v>358</v>
      </c>
      <c r="KQ48" s="5" t="s">
        <v>3638</v>
      </c>
      <c r="KR48" s="5" t="s">
        <v>3638</v>
      </c>
      <c r="KS48" s="5" t="s">
        <v>1797</v>
      </c>
      <c r="KT48" s="5" t="s">
        <v>3639</v>
      </c>
    </row>
    <row r="49" spans="1:306" ht="96" x14ac:dyDescent="0.25">
      <c r="A49" s="5" t="s">
        <v>4098</v>
      </c>
      <c r="B49" s="4" t="s">
        <v>577</v>
      </c>
      <c r="C49" s="7" t="s">
        <v>578</v>
      </c>
      <c r="D49" s="8" t="s">
        <v>3634</v>
      </c>
      <c r="G49" s="4" t="s">
        <v>593</v>
      </c>
      <c r="K49" s="4" t="s">
        <v>595</v>
      </c>
      <c r="L49" s="4" t="s">
        <v>689</v>
      </c>
      <c r="Q49" s="8"/>
      <c r="R49" s="8"/>
      <c r="Z49" s="4" t="s">
        <v>577</v>
      </c>
      <c r="AA49" s="7" t="s">
        <v>578</v>
      </c>
      <c r="AB49" s="8" t="s">
        <v>3634</v>
      </c>
      <c r="AC49" s="4" t="s">
        <v>301</v>
      </c>
      <c r="AD49" s="4" t="s">
        <v>302</v>
      </c>
      <c r="AE49" s="8">
        <v>659</v>
      </c>
      <c r="AF49" s="8">
        <v>6</v>
      </c>
      <c r="AG49" s="9" t="s">
        <v>379</v>
      </c>
      <c r="AH49" s="9" t="s">
        <v>460</v>
      </c>
      <c r="AI49" s="9" t="s">
        <v>373</v>
      </c>
      <c r="AJ49" s="9" t="s">
        <v>306</v>
      </c>
      <c r="AK49" s="9" t="s">
        <v>307</v>
      </c>
      <c r="AL49" s="9" t="s">
        <v>337</v>
      </c>
      <c r="AM49" s="8">
        <v>3</v>
      </c>
      <c r="DZ49" s="31"/>
      <c r="EB49" s="10"/>
      <c r="EY49" s="6"/>
      <c r="FA49" s="6"/>
      <c r="GP49" s="32"/>
      <c r="GY49" s="6" t="s">
        <v>407</v>
      </c>
      <c r="HD49" s="8" t="s">
        <v>4099</v>
      </c>
      <c r="HE49" s="8">
        <v>23375</v>
      </c>
      <c r="HF49" s="8" t="s">
        <v>4100</v>
      </c>
      <c r="HG49" s="9" t="s">
        <v>876</v>
      </c>
      <c r="HH49" s="9" t="s">
        <v>3636</v>
      </c>
      <c r="HI49" s="8">
        <v>2480</v>
      </c>
      <c r="HJ49" s="9" t="s">
        <v>3637</v>
      </c>
      <c r="HK49" s="9" t="s">
        <v>876</v>
      </c>
      <c r="HL49" s="8" t="s">
        <v>4101</v>
      </c>
      <c r="HM49" s="8">
        <v>26617</v>
      </c>
      <c r="HN49" s="8" t="s">
        <v>4102</v>
      </c>
      <c r="HO49" s="9" t="s">
        <v>876</v>
      </c>
      <c r="HP49" s="9" t="s">
        <v>4103</v>
      </c>
      <c r="HQ49" s="8">
        <v>27223</v>
      </c>
      <c r="HR49" s="9" t="s">
        <v>4104</v>
      </c>
      <c r="HS49" s="9" t="s">
        <v>876</v>
      </c>
      <c r="HY49" s="9"/>
      <c r="IM49" s="9"/>
      <c r="JX49" s="7" t="s">
        <v>353</v>
      </c>
      <c r="JY49" s="7" t="s">
        <v>321</v>
      </c>
      <c r="JZ49" s="7" t="s">
        <v>355</v>
      </c>
      <c r="KG49" s="4" t="s">
        <v>323</v>
      </c>
      <c r="KM49" s="4" t="s">
        <v>471</v>
      </c>
      <c r="KN49" s="4" t="s">
        <v>391</v>
      </c>
      <c r="KQ49" s="5" t="s">
        <v>4105</v>
      </c>
      <c r="KR49" s="5" t="s">
        <v>4105</v>
      </c>
      <c r="KT49" s="5" t="s">
        <v>4106</v>
      </c>
    </row>
    <row r="50" spans="1:306" ht="36" x14ac:dyDescent="0.25">
      <c r="A50" s="5" t="s">
        <v>4206</v>
      </c>
      <c r="B50" s="4" t="s">
        <v>577</v>
      </c>
      <c r="C50" s="7" t="s">
        <v>578</v>
      </c>
      <c r="D50" s="8" t="s">
        <v>3634</v>
      </c>
      <c r="E50" s="4">
        <v>567434</v>
      </c>
      <c r="G50" s="4" t="s">
        <v>593</v>
      </c>
      <c r="H50" s="6">
        <v>139.70131000000001</v>
      </c>
      <c r="I50" s="6">
        <v>-33.060195999999998</v>
      </c>
      <c r="J50" s="4" t="s">
        <v>3635</v>
      </c>
      <c r="K50" s="4" t="s">
        <v>595</v>
      </c>
      <c r="L50" s="4" t="s">
        <v>689</v>
      </c>
      <c r="Q50" s="8"/>
      <c r="R50" s="8"/>
      <c r="Z50" s="4" t="s">
        <v>577</v>
      </c>
      <c r="AA50" s="7" t="s">
        <v>578</v>
      </c>
      <c r="AB50" s="8" t="s">
        <v>3634</v>
      </c>
      <c r="AC50" s="4" t="s">
        <v>301</v>
      </c>
      <c r="AD50" s="4" t="s">
        <v>302</v>
      </c>
      <c r="AE50" s="8">
        <v>659</v>
      </c>
      <c r="AF50" s="8">
        <v>6</v>
      </c>
      <c r="AG50" s="9" t="s">
        <v>379</v>
      </c>
      <c r="AH50" s="9" t="s">
        <v>460</v>
      </c>
      <c r="AI50" s="9" t="s">
        <v>373</v>
      </c>
      <c r="AJ50" s="9" t="s">
        <v>306</v>
      </c>
      <c r="AK50" s="9" t="s">
        <v>307</v>
      </c>
      <c r="AL50" s="9" t="s">
        <v>337</v>
      </c>
      <c r="AM50" s="8">
        <v>3</v>
      </c>
      <c r="BP50" s="7">
        <v>1187</v>
      </c>
      <c r="CJ50" s="8">
        <v>21</v>
      </c>
      <c r="DZ50" s="31"/>
      <c r="EB50" s="10"/>
      <c r="EY50" s="8">
        <f t="shared" ref="EY50:EY56" si="4">BP50*CJ50/100</f>
        <v>249.27</v>
      </c>
      <c r="GP50" s="32"/>
      <c r="GY50" s="6" t="s">
        <v>338</v>
      </c>
      <c r="GZ50" s="6" t="s">
        <v>386</v>
      </c>
      <c r="HD50" s="9" t="s">
        <v>3636</v>
      </c>
      <c r="HE50" s="8">
        <v>2480</v>
      </c>
      <c r="HF50" s="9" t="s">
        <v>3637</v>
      </c>
      <c r="HG50" s="9" t="s">
        <v>876</v>
      </c>
      <c r="JX50" s="7" t="s">
        <v>353</v>
      </c>
      <c r="KM50" s="4" t="s">
        <v>391</v>
      </c>
      <c r="KN50" s="4" t="s">
        <v>391</v>
      </c>
      <c r="KP50" s="5" t="s">
        <v>358</v>
      </c>
      <c r="KQ50" s="5" t="s">
        <v>3638</v>
      </c>
      <c r="KR50" s="5" t="s">
        <v>4207</v>
      </c>
      <c r="KS50" s="5" t="s">
        <v>1797</v>
      </c>
      <c r="KT50" s="5" t="s">
        <v>3639</v>
      </c>
    </row>
    <row r="51" spans="1:306" ht="36" x14ac:dyDescent="0.25">
      <c r="A51" s="5" t="s">
        <v>4968</v>
      </c>
      <c r="B51" s="4" t="s">
        <v>577</v>
      </c>
      <c r="C51" s="7" t="s">
        <v>578</v>
      </c>
      <c r="D51" s="8" t="s">
        <v>3634</v>
      </c>
      <c r="E51" s="4">
        <v>549410</v>
      </c>
      <c r="G51" s="4" t="s">
        <v>593</v>
      </c>
      <c r="H51" s="6">
        <v>140.63399999999999</v>
      </c>
      <c r="I51" s="6">
        <v>-32.411000000000001</v>
      </c>
      <c r="J51" s="4" t="s">
        <v>3635</v>
      </c>
      <c r="K51" s="4" t="s">
        <v>595</v>
      </c>
      <c r="L51" s="4" t="s">
        <v>689</v>
      </c>
      <c r="Q51" s="8"/>
      <c r="R51" s="8"/>
      <c r="Z51" s="4" t="s">
        <v>577</v>
      </c>
      <c r="AA51" s="7" t="s">
        <v>578</v>
      </c>
      <c r="AB51" s="8" t="s">
        <v>3634</v>
      </c>
      <c r="AC51" s="4" t="s">
        <v>301</v>
      </c>
      <c r="AD51" s="4" t="s">
        <v>302</v>
      </c>
      <c r="AE51" s="8">
        <v>659</v>
      </c>
      <c r="AF51" s="8">
        <v>6</v>
      </c>
      <c r="AG51" s="9" t="s">
        <v>379</v>
      </c>
      <c r="AH51" s="9" t="s">
        <v>460</v>
      </c>
      <c r="AI51" s="9" t="s">
        <v>373</v>
      </c>
      <c r="AJ51" s="9" t="s">
        <v>306</v>
      </c>
      <c r="AK51" s="9" t="s">
        <v>307</v>
      </c>
      <c r="AL51" s="9" t="s">
        <v>337</v>
      </c>
      <c r="AM51" s="8">
        <v>3</v>
      </c>
      <c r="BP51" s="7">
        <v>147</v>
      </c>
      <c r="CJ51" s="7">
        <v>30.1</v>
      </c>
      <c r="DZ51" s="31"/>
      <c r="EB51" s="10"/>
      <c r="EY51" s="7">
        <f t="shared" si="4"/>
        <v>44.247</v>
      </c>
      <c r="FA51" s="6"/>
      <c r="GP51" s="32"/>
      <c r="GY51" s="6" t="s">
        <v>338</v>
      </c>
      <c r="GZ51" s="6" t="s">
        <v>386</v>
      </c>
      <c r="HD51" s="9" t="s">
        <v>3636</v>
      </c>
      <c r="HE51" s="8">
        <v>2480</v>
      </c>
      <c r="HF51" s="9" t="s">
        <v>3637</v>
      </c>
      <c r="HG51" s="9" t="s">
        <v>876</v>
      </c>
      <c r="HY51" s="9"/>
      <c r="IM51" s="9"/>
      <c r="JX51" s="7" t="s">
        <v>353</v>
      </c>
      <c r="KM51" s="4" t="s">
        <v>391</v>
      </c>
      <c r="KN51" s="4" t="s">
        <v>391</v>
      </c>
      <c r="KP51" s="5" t="s">
        <v>1797</v>
      </c>
      <c r="KQ51" s="5" t="s">
        <v>3638</v>
      </c>
      <c r="KR51" s="5" t="s">
        <v>4207</v>
      </c>
      <c r="KS51" s="5" t="s">
        <v>1797</v>
      </c>
      <c r="KT51" s="5" t="s">
        <v>3639</v>
      </c>
    </row>
    <row r="52" spans="1:306" ht="36" x14ac:dyDescent="0.25">
      <c r="A52" s="5" t="s">
        <v>6095</v>
      </c>
      <c r="B52" s="4" t="s">
        <v>577</v>
      </c>
      <c r="C52" s="7" t="s">
        <v>578</v>
      </c>
      <c r="D52" s="8" t="s">
        <v>3634</v>
      </c>
      <c r="E52" s="4">
        <v>551287</v>
      </c>
      <c r="G52" s="4" t="s">
        <v>593</v>
      </c>
      <c r="H52" s="6">
        <v>140.8904</v>
      </c>
      <c r="I52" s="6">
        <v>-32.452100000000002</v>
      </c>
      <c r="J52" s="4" t="s">
        <v>3635</v>
      </c>
      <c r="K52" s="4" t="s">
        <v>595</v>
      </c>
      <c r="L52" s="4" t="s">
        <v>689</v>
      </c>
      <c r="Q52" s="8"/>
      <c r="R52" s="8"/>
      <c r="Z52" s="4" t="s">
        <v>577</v>
      </c>
      <c r="AA52" s="7" t="s">
        <v>578</v>
      </c>
      <c r="AB52" s="8" t="s">
        <v>3634</v>
      </c>
      <c r="AC52" s="4" t="s">
        <v>301</v>
      </c>
      <c r="AD52" s="4" t="s">
        <v>302</v>
      </c>
      <c r="AE52" s="8">
        <v>659</v>
      </c>
      <c r="AF52" s="8">
        <v>6</v>
      </c>
      <c r="AG52" s="9" t="s">
        <v>379</v>
      </c>
      <c r="AH52" s="9" t="s">
        <v>460</v>
      </c>
      <c r="AI52" s="9" t="s">
        <v>373</v>
      </c>
      <c r="AJ52" s="9" t="s">
        <v>306</v>
      </c>
      <c r="AK52" s="9" t="s">
        <v>307</v>
      </c>
      <c r="AL52" s="9" t="s">
        <v>337</v>
      </c>
      <c r="AM52" s="8">
        <v>3</v>
      </c>
      <c r="BP52" s="7">
        <v>1550</v>
      </c>
      <c r="CJ52" s="7">
        <v>18.7</v>
      </c>
      <c r="DZ52" s="31"/>
      <c r="EB52" s="10"/>
      <c r="EY52" s="8">
        <f t="shared" si="4"/>
        <v>289.85000000000002</v>
      </c>
      <c r="FA52" s="6"/>
      <c r="GP52" s="32"/>
      <c r="GY52" s="6" t="s">
        <v>338</v>
      </c>
      <c r="GZ52" s="6" t="s">
        <v>386</v>
      </c>
      <c r="HD52" s="9" t="s">
        <v>3636</v>
      </c>
      <c r="HE52" s="8">
        <v>2480</v>
      </c>
      <c r="HF52" s="9" t="s">
        <v>3637</v>
      </c>
      <c r="HG52" s="9" t="s">
        <v>876</v>
      </c>
      <c r="HY52" s="9"/>
      <c r="IM52" s="9"/>
      <c r="JX52" s="7" t="s">
        <v>353</v>
      </c>
      <c r="KM52" s="4" t="s">
        <v>391</v>
      </c>
      <c r="KN52" s="4" t="s">
        <v>391</v>
      </c>
      <c r="KP52" s="5" t="s">
        <v>358</v>
      </c>
      <c r="KQ52" s="5" t="s">
        <v>3638</v>
      </c>
      <c r="KR52" s="5" t="s">
        <v>4207</v>
      </c>
      <c r="KS52" s="5" t="s">
        <v>6096</v>
      </c>
      <c r="KT52" s="5" t="s">
        <v>3639</v>
      </c>
    </row>
    <row r="53" spans="1:306" ht="72" x14ac:dyDescent="0.25">
      <c r="A53" s="5" t="s">
        <v>6235</v>
      </c>
      <c r="B53" s="4" t="s">
        <v>577</v>
      </c>
      <c r="C53" s="7" t="s">
        <v>578</v>
      </c>
      <c r="D53" s="8" t="s">
        <v>3634</v>
      </c>
      <c r="E53" s="4">
        <v>700664</v>
      </c>
      <c r="G53" s="4" t="s">
        <v>593</v>
      </c>
      <c r="H53" s="6">
        <v>140.572077329</v>
      </c>
      <c r="I53" s="6">
        <v>-32.526650015000001</v>
      </c>
      <c r="J53" s="4" t="s">
        <v>3635</v>
      </c>
      <c r="K53" s="4" t="s">
        <v>595</v>
      </c>
      <c r="L53" s="4" t="s">
        <v>689</v>
      </c>
      <c r="Q53" s="8"/>
      <c r="R53" s="8"/>
      <c r="Z53" s="4" t="s">
        <v>577</v>
      </c>
      <c r="AA53" s="7" t="s">
        <v>578</v>
      </c>
      <c r="AB53" s="8" t="s">
        <v>3634</v>
      </c>
      <c r="AC53" s="4" t="s">
        <v>301</v>
      </c>
      <c r="AD53" s="4" t="s">
        <v>302</v>
      </c>
      <c r="AE53" s="8">
        <v>659</v>
      </c>
      <c r="AF53" s="8">
        <v>6</v>
      </c>
      <c r="AG53" s="9" t="s">
        <v>379</v>
      </c>
      <c r="AH53" s="9" t="s">
        <v>460</v>
      </c>
      <c r="AI53" s="9" t="s">
        <v>373</v>
      </c>
      <c r="AJ53" s="9" t="s">
        <v>306</v>
      </c>
      <c r="AK53" s="9" t="s">
        <v>307</v>
      </c>
      <c r="AL53" s="9" t="s">
        <v>337</v>
      </c>
      <c r="AM53" s="8">
        <v>3</v>
      </c>
      <c r="BP53" s="7">
        <v>70.7</v>
      </c>
      <c r="CJ53" s="7">
        <f>14.4*68.5/100</f>
        <v>9.863999999999999</v>
      </c>
      <c r="DZ53" s="31"/>
      <c r="EB53" s="10"/>
      <c r="EY53" s="7">
        <f t="shared" si="4"/>
        <v>6.9738479999999994</v>
      </c>
      <c r="FA53" s="6"/>
      <c r="GP53" s="32"/>
      <c r="GY53" s="6" t="s">
        <v>338</v>
      </c>
      <c r="GZ53" s="6" t="s">
        <v>386</v>
      </c>
      <c r="HD53" s="9" t="s">
        <v>3636</v>
      </c>
      <c r="HE53" s="8">
        <v>2480</v>
      </c>
      <c r="HF53" s="9" t="s">
        <v>3637</v>
      </c>
      <c r="HG53" s="9" t="s">
        <v>876</v>
      </c>
      <c r="HY53" s="9"/>
      <c r="IM53" s="9"/>
      <c r="JX53" s="7" t="s">
        <v>353</v>
      </c>
      <c r="KM53" s="4" t="s">
        <v>391</v>
      </c>
      <c r="KN53" s="4" t="s">
        <v>391</v>
      </c>
      <c r="KP53" s="5" t="s">
        <v>6236</v>
      </c>
      <c r="KQ53" s="5" t="s">
        <v>3638</v>
      </c>
      <c r="KR53" s="5" t="s">
        <v>4207</v>
      </c>
      <c r="KS53" s="5" t="s">
        <v>6236</v>
      </c>
      <c r="KT53" s="5" t="s">
        <v>6237</v>
      </c>
    </row>
    <row r="54" spans="1:306" ht="36" x14ac:dyDescent="0.25">
      <c r="A54" s="5" t="s">
        <v>6391</v>
      </c>
      <c r="B54" s="4" t="s">
        <v>577</v>
      </c>
      <c r="C54" s="7" t="s">
        <v>578</v>
      </c>
      <c r="D54" s="8" t="s">
        <v>3634</v>
      </c>
      <c r="E54" s="4">
        <v>576112</v>
      </c>
      <c r="G54" s="4" t="s">
        <v>593</v>
      </c>
      <c r="H54" s="6">
        <v>140.3913</v>
      </c>
      <c r="I54" s="6">
        <v>-32.313000000000002</v>
      </c>
      <c r="J54" s="4" t="s">
        <v>3635</v>
      </c>
      <c r="K54" s="4" t="s">
        <v>595</v>
      </c>
      <c r="L54" s="4" t="s">
        <v>689</v>
      </c>
      <c r="Q54" s="8"/>
      <c r="R54" s="8"/>
      <c r="Z54" s="4" t="s">
        <v>577</v>
      </c>
      <c r="AA54" s="7" t="s">
        <v>578</v>
      </c>
      <c r="AB54" s="8" t="s">
        <v>3634</v>
      </c>
      <c r="AC54" s="4" t="s">
        <v>301</v>
      </c>
      <c r="AD54" s="4" t="s">
        <v>302</v>
      </c>
      <c r="AE54" s="8">
        <v>659</v>
      </c>
      <c r="AF54" s="8">
        <v>6</v>
      </c>
      <c r="AG54" s="9" t="s">
        <v>379</v>
      </c>
      <c r="AH54" s="9" t="s">
        <v>460</v>
      </c>
      <c r="AI54" s="9" t="s">
        <v>373</v>
      </c>
      <c r="AJ54" s="9" t="s">
        <v>306</v>
      </c>
      <c r="AK54" s="9" t="s">
        <v>307</v>
      </c>
      <c r="AL54" s="9" t="s">
        <v>337</v>
      </c>
      <c r="AM54" s="8">
        <v>3</v>
      </c>
      <c r="BP54" s="7">
        <v>510</v>
      </c>
      <c r="CJ54" s="7">
        <v>26.4</v>
      </c>
      <c r="DZ54" s="31"/>
      <c r="EB54" s="10"/>
      <c r="EY54" s="8">
        <f t="shared" si="4"/>
        <v>134.63999999999999</v>
      </c>
      <c r="GP54" s="32"/>
      <c r="GY54" s="6" t="s">
        <v>338</v>
      </c>
      <c r="GZ54" s="6" t="s">
        <v>386</v>
      </c>
      <c r="HD54" s="9" t="s">
        <v>3636</v>
      </c>
      <c r="HE54" s="8">
        <v>2480</v>
      </c>
      <c r="HF54" s="9" t="s">
        <v>3637</v>
      </c>
      <c r="HG54" s="9" t="s">
        <v>876</v>
      </c>
      <c r="JX54" s="7" t="s">
        <v>353</v>
      </c>
      <c r="KM54" s="4" t="s">
        <v>391</v>
      </c>
      <c r="KN54" s="4" t="s">
        <v>391</v>
      </c>
      <c r="KP54" s="5" t="s">
        <v>358</v>
      </c>
      <c r="KQ54" s="5" t="s">
        <v>3638</v>
      </c>
      <c r="KR54" s="5" t="s">
        <v>4207</v>
      </c>
      <c r="KS54" s="5" t="s">
        <v>1797</v>
      </c>
      <c r="KT54" s="5" t="s">
        <v>6392</v>
      </c>
    </row>
    <row r="55" spans="1:306" ht="72" x14ac:dyDescent="0.25">
      <c r="A55" s="5" t="s">
        <v>6830</v>
      </c>
      <c r="B55" s="4" t="s">
        <v>577</v>
      </c>
      <c r="C55" s="7" t="s">
        <v>578</v>
      </c>
      <c r="D55" s="8" t="s">
        <v>3634</v>
      </c>
      <c r="E55" s="4">
        <v>334215</v>
      </c>
      <c r="G55" s="4" t="s">
        <v>593</v>
      </c>
      <c r="H55" s="6">
        <v>139.7123</v>
      </c>
      <c r="I55" s="6">
        <v>-32.956600000000002</v>
      </c>
      <c r="J55" s="4" t="s">
        <v>3635</v>
      </c>
      <c r="K55" s="4" t="s">
        <v>595</v>
      </c>
      <c r="L55" s="4" t="s">
        <v>689</v>
      </c>
      <c r="Q55" s="8"/>
      <c r="R55" s="8"/>
      <c r="Z55" s="4" t="s">
        <v>577</v>
      </c>
      <c r="AA55" s="7" t="s">
        <v>578</v>
      </c>
      <c r="AB55" s="8" t="s">
        <v>3634</v>
      </c>
      <c r="AC55" s="4" t="s">
        <v>301</v>
      </c>
      <c r="AD55" s="4" t="s">
        <v>302</v>
      </c>
      <c r="AE55" s="8">
        <v>659</v>
      </c>
      <c r="AF55" s="8">
        <v>6</v>
      </c>
      <c r="AG55" s="9" t="s">
        <v>379</v>
      </c>
      <c r="AH55" s="9" t="s">
        <v>460</v>
      </c>
      <c r="AI55" s="9" t="s">
        <v>373</v>
      </c>
      <c r="AJ55" s="9" t="s">
        <v>306</v>
      </c>
      <c r="AK55" s="9" t="s">
        <v>307</v>
      </c>
      <c r="AL55" s="9" t="s">
        <v>337</v>
      </c>
      <c r="AM55" s="8">
        <v>3</v>
      </c>
      <c r="BP55" s="7">
        <v>3245</v>
      </c>
      <c r="CJ55" s="6">
        <v>18.059999999999999</v>
      </c>
      <c r="DZ55" s="31"/>
      <c r="EB55" s="10"/>
      <c r="EY55" s="7">
        <f t="shared" si="4"/>
        <v>586.04700000000003</v>
      </c>
      <c r="FA55" s="6"/>
      <c r="GP55" s="32"/>
      <c r="GY55" s="6" t="s">
        <v>338</v>
      </c>
      <c r="GZ55" s="6" t="s">
        <v>386</v>
      </c>
      <c r="HD55" s="8" t="s">
        <v>4099</v>
      </c>
      <c r="HE55" s="8">
        <v>23375</v>
      </c>
      <c r="HF55" s="8" t="s">
        <v>4100</v>
      </c>
      <c r="HG55" s="9" t="s">
        <v>876</v>
      </c>
      <c r="HH55" s="9" t="s">
        <v>3636</v>
      </c>
      <c r="HI55" s="8">
        <v>2480</v>
      </c>
      <c r="HJ55" s="9" t="s">
        <v>3637</v>
      </c>
      <c r="HK55" s="9" t="s">
        <v>876</v>
      </c>
      <c r="HL55" s="9" t="s">
        <v>4103</v>
      </c>
      <c r="HM55" s="8">
        <v>27223</v>
      </c>
      <c r="HN55" s="9" t="s">
        <v>4104</v>
      </c>
      <c r="HO55" s="9" t="s">
        <v>876</v>
      </c>
      <c r="HY55" s="9"/>
      <c r="IM55" s="9"/>
      <c r="JX55" s="7" t="s">
        <v>353</v>
      </c>
      <c r="JY55" s="7" t="s">
        <v>354</v>
      </c>
      <c r="JZ55" s="7" t="s">
        <v>355</v>
      </c>
      <c r="KM55" s="4" t="s">
        <v>391</v>
      </c>
      <c r="KN55" s="4" t="s">
        <v>391</v>
      </c>
      <c r="KP55" s="5" t="s">
        <v>358</v>
      </c>
      <c r="KQ55" s="5" t="s">
        <v>6831</v>
      </c>
      <c r="KR55" s="5" t="s">
        <v>4207</v>
      </c>
      <c r="KS55" s="5" t="s">
        <v>6096</v>
      </c>
      <c r="KT55" s="5" t="s">
        <v>6832</v>
      </c>
    </row>
    <row r="56" spans="1:306" ht="72" x14ac:dyDescent="0.25">
      <c r="A56" s="5" t="s">
        <v>6833</v>
      </c>
      <c r="B56" s="4" t="s">
        <v>577</v>
      </c>
      <c r="C56" s="7" t="s">
        <v>578</v>
      </c>
      <c r="D56" s="8" t="s">
        <v>3634</v>
      </c>
      <c r="E56" s="4">
        <v>700664</v>
      </c>
      <c r="G56" s="4" t="s">
        <v>593</v>
      </c>
      <c r="H56" s="6">
        <v>140.62855952699999</v>
      </c>
      <c r="I56" s="6">
        <v>-32.424593903999998</v>
      </c>
      <c r="J56" s="4" t="s">
        <v>3635</v>
      </c>
      <c r="K56" s="4" t="s">
        <v>595</v>
      </c>
      <c r="L56" s="4" t="s">
        <v>689</v>
      </c>
      <c r="Q56" s="8"/>
      <c r="R56" s="8"/>
      <c r="Z56" s="4" t="s">
        <v>577</v>
      </c>
      <c r="AA56" s="7" t="s">
        <v>578</v>
      </c>
      <c r="AB56" s="8" t="s">
        <v>3634</v>
      </c>
      <c r="AC56" s="4" t="s">
        <v>301</v>
      </c>
      <c r="AD56" s="4" t="s">
        <v>302</v>
      </c>
      <c r="AE56" s="8">
        <v>659</v>
      </c>
      <c r="AF56" s="8">
        <v>6</v>
      </c>
      <c r="AG56" s="9" t="s">
        <v>379</v>
      </c>
      <c r="AH56" s="9" t="s">
        <v>460</v>
      </c>
      <c r="AI56" s="9" t="s">
        <v>373</v>
      </c>
      <c r="AJ56" s="9" t="s">
        <v>306</v>
      </c>
      <c r="AK56" s="9" t="s">
        <v>307</v>
      </c>
      <c r="AL56" s="9" t="s">
        <v>337</v>
      </c>
      <c r="AM56" s="8">
        <v>3</v>
      </c>
      <c r="BP56" s="7">
        <v>472.1</v>
      </c>
      <c r="CJ56" s="7">
        <f>19.7*69.8/100</f>
        <v>13.750599999999999</v>
      </c>
      <c r="DZ56" s="31"/>
      <c r="EB56" s="10"/>
      <c r="EY56" s="7">
        <f t="shared" si="4"/>
        <v>64.916582599999998</v>
      </c>
      <c r="FA56" s="6"/>
      <c r="GP56" s="32"/>
      <c r="GY56" s="6" t="s">
        <v>338</v>
      </c>
      <c r="GZ56" s="6" t="s">
        <v>386</v>
      </c>
      <c r="HD56" s="9" t="s">
        <v>3636</v>
      </c>
      <c r="HE56" s="8">
        <v>2480</v>
      </c>
      <c r="HF56" s="9" t="s">
        <v>3637</v>
      </c>
      <c r="HG56" s="9" t="s">
        <v>876</v>
      </c>
      <c r="HY56" s="9"/>
      <c r="IM56" s="9"/>
      <c r="JX56" s="7" t="s">
        <v>353</v>
      </c>
      <c r="KM56" s="4" t="s">
        <v>391</v>
      </c>
      <c r="KN56" s="4" t="s">
        <v>391</v>
      </c>
      <c r="KP56" s="5" t="s">
        <v>6236</v>
      </c>
      <c r="KQ56" s="5" t="s">
        <v>3638</v>
      </c>
      <c r="KR56" s="5" t="s">
        <v>4207</v>
      </c>
      <c r="KS56" s="5" t="s">
        <v>6236</v>
      </c>
      <c r="KT56" s="5" t="s">
        <v>6237</v>
      </c>
    </row>
    <row r="57" spans="1:306" ht="132" x14ac:dyDescent="0.2">
      <c r="A57" s="5" t="s">
        <v>2364</v>
      </c>
      <c r="B57" s="4" t="s">
        <v>577</v>
      </c>
      <c r="C57" s="7" t="s">
        <v>578</v>
      </c>
      <c r="D57" s="8" t="s">
        <v>2365</v>
      </c>
      <c r="E57" s="44">
        <v>859642</v>
      </c>
      <c r="G57" s="4" t="s">
        <v>593</v>
      </c>
      <c r="H57" s="6">
        <f>138.25+0.25*(3.25/4.35)</f>
        <v>138.43678160919541</v>
      </c>
      <c r="I57" s="6">
        <f>-(30.5+0.25*(1.4/5.05))</f>
        <v>-30.56930693069307</v>
      </c>
      <c r="K57" s="4" t="s">
        <v>595</v>
      </c>
      <c r="L57" s="4" t="s">
        <v>689</v>
      </c>
      <c r="Q57" s="8"/>
      <c r="R57" s="8"/>
      <c r="Z57" s="4" t="s">
        <v>577</v>
      </c>
      <c r="AA57" s="7" t="s">
        <v>578</v>
      </c>
      <c r="AB57" s="8" t="s">
        <v>2365</v>
      </c>
      <c r="AC57" s="4" t="s">
        <v>301</v>
      </c>
      <c r="AD57" s="4" t="s">
        <v>302</v>
      </c>
      <c r="AE57" s="8">
        <v>788</v>
      </c>
      <c r="AF57" s="8">
        <v>7</v>
      </c>
      <c r="AG57" s="9" t="s">
        <v>379</v>
      </c>
      <c r="AH57" s="9" t="s">
        <v>372</v>
      </c>
      <c r="AI57" s="9" t="s">
        <v>373</v>
      </c>
      <c r="AJ57" s="9" t="s">
        <v>306</v>
      </c>
      <c r="AK57" s="9" t="s">
        <v>307</v>
      </c>
      <c r="AL57" s="9" t="s">
        <v>337</v>
      </c>
      <c r="AM57" s="8">
        <v>4</v>
      </c>
      <c r="BP57" s="7">
        <f>5+8</f>
        <v>13</v>
      </c>
      <c r="CA57" s="7">
        <f>42*(24.305/(24.305+15.999))</f>
        <v>25.327759031361651</v>
      </c>
      <c r="DZ57" s="31"/>
      <c r="EB57" s="10"/>
      <c r="EQ57" s="6">
        <f t="shared" ref="EQ57:EQ65" si="5">BP57*CA57/100</f>
        <v>3.2926086740770146</v>
      </c>
      <c r="GP57" s="32"/>
      <c r="GY57" s="6" t="s">
        <v>309</v>
      </c>
      <c r="GZ57" s="6" t="s">
        <v>2366</v>
      </c>
      <c r="HD57" s="8" t="s">
        <v>1848</v>
      </c>
      <c r="HE57" s="8">
        <v>25481</v>
      </c>
      <c r="HF57" s="8" t="s">
        <v>1849</v>
      </c>
      <c r="HG57" s="9" t="s">
        <v>876</v>
      </c>
      <c r="KG57" s="4" t="s">
        <v>323</v>
      </c>
      <c r="KP57" s="5" t="s">
        <v>2367</v>
      </c>
      <c r="KQ57" s="5" t="s">
        <v>2368</v>
      </c>
      <c r="KR57" s="5" t="s">
        <v>1854</v>
      </c>
      <c r="KS57" s="5" t="s">
        <v>2367</v>
      </c>
      <c r="KT57" s="5" t="s">
        <v>2369</v>
      </c>
    </row>
    <row r="58" spans="1:306" ht="132" x14ac:dyDescent="0.25">
      <c r="A58" s="5" t="s">
        <v>5680</v>
      </c>
      <c r="B58" s="4" t="s">
        <v>577</v>
      </c>
      <c r="C58" s="7" t="s">
        <v>578</v>
      </c>
      <c r="D58" s="8" t="s">
        <v>2365</v>
      </c>
      <c r="E58" s="4">
        <v>335155</v>
      </c>
      <c r="G58" s="4" t="s">
        <v>593</v>
      </c>
      <c r="H58" s="6">
        <v>138.3019787991</v>
      </c>
      <c r="I58" s="6">
        <v>-30.488967555599999</v>
      </c>
      <c r="K58" s="4" t="s">
        <v>595</v>
      </c>
      <c r="L58" s="4" t="s">
        <v>689</v>
      </c>
      <c r="Q58" s="8"/>
      <c r="R58" s="8"/>
      <c r="Z58" s="4" t="s">
        <v>577</v>
      </c>
      <c r="AA58" s="7" t="s">
        <v>578</v>
      </c>
      <c r="AB58" s="8" t="s">
        <v>2365</v>
      </c>
      <c r="AC58" s="4" t="s">
        <v>301</v>
      </c>
      <c r="AD58" s="4" t="s">
        <v>302</v>
      </c>
      <c r="AE58" s="8">
        <v>788</v>
      </c>
      <c r="AF58" s="8">
        <v>7</v>
      </c>
      <c r="AG58" s="9" t="s">
        <v>379</v>
      </c>
      <c r="AH58" s="9" t="s">
        <v>372</v>
      </c>
      <c r="AI58" s="9" t="s">
        <v>373</v>
      </c>
      <c r="AJ58" s="9" t="s">
        <v>306</v>
      </c>
      <c r="AK58" s="9" t="s">
        <v>307</v>
      </c>
      <c r="AL58" s="9" t="s">
        <v>337</v>
      </c>
      <c r="AM58" s="8">
        <v>4</v>
      </c>
      <c r="BP58" s="7">
        <f>10+20+18.3+42+53</f>
        <v>143.30000000000001</v>
      </c>
      <c r="CA58" s="7">
        <f>42.9*(24.305/(24.305+15.999))</f>
        <v>25.870496724890828</v>
      </c>
      <c r="DZ58" s="31"/>
      <c r="EB58" s="10"/>
      <c r="EQ58" s="6">
        <f t="shared" si="5"/>
        <v>37.07242180676856</v>
      </c>
      <c r="GP58" s="32"/>
      <c r="GY58" s="6" t="s">
        <v>309</v>
      </c>
      <c r="GZ58" s="6" t="s">
        <v>2366</v>
      </c>
      <c r="HD58" s="8" t="s">
        <v>1848</v>
      </c>
      <c r="HE58" s="8">
        <v>25481</v>
      </c>
      <c r="HF58" s="8" t="s">
        <v>1849</v>
      </c>
      <c r="HG58" s="9" t="s">
        <v>876</v>
      </c>
      <c r="KG58" s="4" t="s">
        <v>323</v>
      </c>
      <c r="KP58" s="5" t="s">
        <v>2367</v>
      </c>
      <c r="KQ58" s="5" t="s">
        <v>2368</v>
      </c>
      <c r="KR58" s="5" t="s">
        <v>1854</v>
      </c>
      <c r="KS58" s="5" t="s">
        <v>2367</v>
      </c>
      <c r="KT58" s="5" t="s">
        <v>2369</v>
      </c>
    </row>
    <row r="59" spans="1:306" ht="132" x14ac:dyDescent="0.25">
      <c r="A59" s="5" t="s">
        <v>5882</v>
      </c>
      <c r="B59" s="4" t="s">
        <v>577</v>
      </c>
      <c r="C59" s="7" t="s">
        <v>578</v>
      </c>
      <c r="D59" s="8" t="s">
        <v>2365</v>
      </c>
      <c r="E59" s="4">
        <v>333737</v>
      </c>
      <c r="G59" s="4" t="s">
        <v>593</v>
      </c>
      <c r="H59" s="6">
        <v>138.212368</v>
      </c>
      <c r="I59" s="6">
        <v>-30.398049</v>
      </c>
      <c r="K59" s="4" t="s">
        <v>595</v>
      </c>
      <c r="L59" s="4" t="s">
        <v>689</v>
      </c>
      <c r="Q59" s="8"/>
      <c r="R59" s="8"/>
      <c r="Z59" s="4" t="s">
        <v>577</v>
      </c>
      <c r="AA59" s="7" t="s">
        <v>578</v>
      </c>
      <c r="AB59" s="8" t="s">
        <v>2365</v>
      </c>
      <c r="AC59" s="4" t="s">
        <v>301</v>
      </c>
      <c r="AD59" s="4" t="s">
        <v>302</v>
      </c>
      <c r="AE59" s="8">
        <v>788</v>
      </c>
      <c r="AF59" s="8">
        <v>7</v>
      </c>
      <c r="AG59" s="9" t="s">
        <v>379</v>
      </c>
      <c r="AH59" s="9" t="s">
        <v>372</v>
      </c>
      <c r="AI59" s="9" t="s">
        <v>373</v>
      </c>
      <c r="AJ59" s="9" t="s">
        <v>306</v>
      </c>
      <c r="AK59" s="9" t="s">
        <v>307</v>
      </c>
      <c r="AL59" s="9" t="s">
        <v>337</v>
      </c>
      <c r="AM59" s="8">
        <v>4</v>
      </c>
      <c r="BP59" s="7">
        <v>42</v>
      </c>
      <c r="CA59" s="7">
        <f>42.5*(24.305/(24.305+15.999))</f>
        <v>25.629279972211194</v>
      </c>
      <c r="DZ59" s="31"/>
      <c r="EB59" s="10"/>
      <c r="EQ59" s="6">
        <f t="shared" si="5"/>
        <v>10.764297588328702</v>
      </c>
      <c r="GP59" s="32"/>
      <c r="GY59" s="6" t="s">
        <v>309</v>
      </c>
      <c r="GZ59" s="6" t="s">
        <v>2366</v>
      </c>
      <c r="HD59" s="8" t="s">
        <v>1848</v>
      </c>
      <c r="HE59" s="8">
        <v>25481</v>
      </c>
      <c r="HF59" s="8" t="s">
        <v>1849</v>
      </c>
      <c r="HG59" s="9" t="s">
        <v>876</v>
      </c>
      <c r="KG59" s="4" t="s">
        <v>323</v>
      </c>
      <c r="KP59" s="5" t="s">
        <v>2367</v>
      </c>
      <c r="KQ59" s="5" t="s">
        <v>2368</v>
      </c>
      <c r="KR59" s="5" t="s">
        <v>1854</v>
      </c>
      <c r="KS59" s="5" t="s">
        <v>2367</v>
      </c>
      <c r="KT59" s="5" t="s">
        <v>2369</v>
      </c>
    </row>
    <row r="60" spans="1:306" ht="132" x14ac:dyDescent="0.25">
      <c r="A60" s="5" t="s">
        <v>6117</v>
      </c>
      <c r="B60" s="4" t="s">
        <v>577</v>
      </c>
      <c r="C60" s="7" t="s">
        <v>578</v>
      </c>
      <c r="D60" s="8" t="s">
        <v>2365</v>
      </c>
      <c r="E60" s="4">
        <v>335265</v>
      </c>
      <c r="G60" s="4" t="s">
        <v>593</v>
      </c>
      <c r="H60" s="6">
        <v>138.22579999999999</v>
      </c>
      <c r="I60" s="6">
        <v>-30.416871</v>
      </c>
      <c r="K60" s="4" t="s">
        <v>595</v>
      </c>
      <c r="L60" s="4" t="s">
        <v>689</v>
      </c>
      <c r="Q60" s="8"/>
      <c r="R60" s="8"/>
      <c r="Z60" s="4" t="s">
        <v>577</v>
      </c>
      <c r="AA60" s="7" t="s">
        <v>578</v>
      </c>
      <c r="AB60" s="8" t="s">
        <v>2365</v>
      </c>
      <c r="AC60" s="4" t="s">
        <v>301</v>
      </c>
      <c r="AD60" s="4" t="s">
        <v>302</v>
      </c>
      <c r="AE60" s="8">
        <v>788</v>
      </c>
      <c r="AF60" s="8">
        <v>7</v>
      </c>
      <c r="AG60" s="9" t="s">
        <v>379</v>
      </c>
      <c r="AH60" s="9" t="s">
        <v>372</v>
      </c>
      <c r="AI60" s="9" t="s">
        <v>373</v>
      </c>
      <c r="AJ60" s="9" t="s">
        <v>306</v>
      </c>
      <c r="AK60" s="9" t="s">
        <v>307</v>
      </c>
      <c r="AL60" s="9" t="s">
        <v>337</v>
      </c>
      <c r="AM60" s="8">
        <v>4</v>
      </c>
      <c r="BP60" s="7">
        <f>1+5+5+0.11374</f>
        <v>11.11374</v>
      </c>
      <c r="CA60" s="7">
        <f>42.9*(24.305/(24.305+15.999))</f>
        <v>25.870496724890828</v>
      </c>
      <c r="DZ60" s="31"/>
      <c r="EB60" s="10"/>
      <c r="EQ60" s="6">
        <f t="shared" si="5"/>
        <v>2.875179742712882</v>
      </c>
      <c r="GP60" s="32"/>
      <c r="GY60" s="6" t="s">
        <v>309</v>
      </c>
      <c r="GZ60" s="6" t="s">
        <v>2366</v>
      </c>
      <c r="HD60" s="8" t="s">
        <v>1848</v>
      </c>
      <c r="HE60" s="8">
        <v>25481</v>
      </c>
      <c r="HF60" s="8" t="s">
        <v>1849</v>
      </c>
      <c r="HG60" s="9" t="s">
        <v>876</v>
      </c>
      <c r="KG60" s="4" t="s">
        <v>323</v>
      </c>
      <c r="KP60" s="5" t="s">
        <v>2367</v>
      </c>
      <c r="KQ60" s="5" t="s">
        <v>2368</v>
      </c>
      <c r="KR60" s="5" t="s">
        <v>1854</v>
      </c>
      <c r="KS60" s="5" t="s">
        <v>2367</v>
      </c>
      <c r="KT60" s="5" t="s">
        <v>6118</v>
      </c>
    </row>
    <row r="61" spans="1:306" ht="132" x14ac:dyDescent="0.25">
      <c r="A61" s="5" t="s">
        <v>6745</v>
      </c>
      <c r="B61" s="4" t="s">
        <v>577</v>
      </c>
      <c r="C61" s="7" t="s">
        <v>578</v>
      </c>
      <c r="D61" s="8" t="s">
        <v>2365</v>
      </c>
      <c r="E61" s="4">
        <v>335416</v>
      </c>
      <c r="G61" s="4" t="s">
        <v>593</v>
      </c>
      <c r="H61" s="6">
        <v>138.113572</v>
      </c>
      <c r="I61" s="6">
        <v>-30.309394000000001</v>
      </c>
      <c r="K61" s="4" t="s">
        <v>595</v>
      </c>
      <c r="L61" s="4" t="s">
        <v>689</v>
      </c>
      <c r="Q61" s="8"/>
      <c r="R61" s="8"/>
      <c r="Z61" s="4" t="s">
        <v>577</v>
      </c>
      <c r="AA61" s="7" t="s">
        <v>578</v>
      </c>
      <c r="AB61" s="8" t="s">
        <v>2365</v>
      </c>
      <c r="AC61" s="4" t="s">
        <v>301</v>
      </c>
      <c r="AD61" s="4" t="s">
        <v>302</v>
      </c>
      <c r="AE61" s="8">
        <v>788</v>
      </c>
      <c r="AF61" s="8">
        <v>7</v>
      </c>
      <c r="AG61" s="9" t="s">
        <v>379</v>
      </c>
      <c r="AH61" s="9" t="s">
        <v>372</v>
      </c>
      <c r="AI61" s="9" t="s">
        <v>373</v>
      </c>
      <c r="AJ61" s="9" t="s">
        <v>306</v>
      </c>
      <c r="AK61" s="9" t="s">
        <v>307</v>
      </c>
      <c r="AL61" s="9" t="s">
        <v>337</v>
      </c>
      <c r="AM61" s="8">
        <v>4</v>
      </c>
      <c r="BP61" s="7">
        <f>10+10</f>
        <v>20</v>
      </c>
      <c r="CA61" s="7">
        <f>42.7*(24.305/(24.305+15.999))</f>
        <v>25.749888348551014</v>
      </c>
      <c r="DZ61" s="31"/>
      <c r="EB61" s="10"/>
      <c r="EQ61" s="6">
        <f t="shared" si="5"/>
        <v>5.1499776697102027</v>
      </c>
      <c r="GP61" s="32"/>
      <c r="GY61" s="6" t="s">
        <v>309</v>
      </c>
      <c r="GZ61" s="6" t="s">
        <v>2366</v>
      </c>
      <c r="HD61" s="8" t="s">
        <v>1848</v>
      </c>
      <c r="HE61" s="8">
        <v>25481</v>
      </c>
      <c r="HF61" s="8" t="s">
        <v>1849</v>
      </c>
      <c r="HG61" s="9" t="s">
        <v>876</v>
      </c>
      <c r="KG61" s="4" t="s">
        <v>323</v>
      </c>
      <c r="KP61" s="5" t="s">
        <v>2367</v>
      </c>
      <c r="KQ61" s="5" t="s">
        <v>2368</v>
      </c>
      <c r="KR61" s="5" t="s">
        <v>1854</v>
      </c>
      <c r="KS61" s="5" t="s">
        <v>2367</v>
      </c>
      <c r="KT61" s="5" t="s">
        <v>2369</v>
      </c>
    </row>
    <row r="62" spans="1:306" ht="132" x14ac:dyDescent="0.25">
      <c r="A62" s="5" t="s">
        <v>7115</v>
      </c>
      <c r="B62" s="4" t="s">
        <v>577</v>
      </c>
      <c r="C62" s="7" t="s">
        <v>578</v>
      </c>
      <c r="D62" s="8" t="s">
        <v>2365</v>
      </c>
      <c r="E62" s="4">
        <v>334883</v>
      </c>
      <c r="G62" s="4" t="s">
        <v>593</v>
      </c>
      <c r="H62" s="6">
        <v>137.659797</v>
      </c>
      <c r="I62" s="6">
        <v>-29.894158000000001</v>
      </c>
      <c r="K62" s="4" t="s">
        <v>595</v>
      </c>
      <c r="L62" s="4" t="s">
        <v>689</v>
      </c>
      <c r="Q62" s="8"/>
      <c r="R62" s="8"/>
      <c r="Z62" s="4" t="s">
        <v>577</v>
      </c>
      <c r="AA62" s="7" t="s">
        <v>578</v>
      </c>
      <c r="AB62" s="8" t="s">
        <v>2365</v>
      </c>
      <c r="AC62" s="4" t="s">
        <v>301</v>
      </c>
      <c r="AD62" s="4" t="s">
        <v>302</v>
      </c>
      <c r="AE62" s="8">
        <v>788</v>
      </c>
      <c r="AF62" s="8">
        <v>7</v>
      </c>
      <c r="AG62" s="9" t="s">
        <v>379</v>
      </c>
      <c r="AH62" s="9" t="s">
        <v>372</v>
      </c>
      <c r="AI62" s="9" t="s">
        <v>373</v>
      </c>
      <c r="AJ62" s="9" t="s">
        <v>306</v>
      </c>
      <c r="AK62" s="9" t="s">
        <v>307</v>
      </c>
      <c r="AL62" s="9" t="s">
        <v>337</v>
      </c>
      <c r="AM62" s="8">
        <v>4</v>
      </c>
      <c r="BP62" s="7">
        <v>36</v>
      </c>
      <c r="CA62" s="7">
        <f>44.3*(24.305/(24.305+15.999))</f>
        <v>26.714755359269549</v>
      </c>
      <c r="DZ62" s="31"/>
      <c r="EB62" s="10"/>
      <c r="EQ62" s="6">
        <f t="shared" si="5"/>
        <v>9.6173119293370384</v>
      </c>
      <c r="GP62" s="32"/>
      <c r="GY62" s="6" t="s">
        <v>309</v>
      </c>
      <c r="GZ62" s="6" t="s">
        <v>2366</v>
      </c>
      <c r="HD62" s="8" t="s">
        <v>1848</v>
      </c>
      <c r="HE62" s="8">
        <v>25481</v>
      </c>
      <c r="HF62" s="8" t="s">
        <v>1849</v>
      </c>
      <c r="HG62" s="9" t="s">
        <v>876</v>
      </c>
      <c r="KG62" s="4" t="s">
        <v>323</v>
      </c>
      <c r="KP62" s="5" t="s">
        <v>2367</v>
      </c>
      <c r="KQ62" s="5" t="s">
        <v>2368</v>
      </c>
      <c r="KR62" s="5" t="s">
        <v>1854</v>
      </c>
      <c r="KS62" s="5" t="s">
        <v>2367</v>
      </c>
      <c r="KT62" s="5" t="s">
        <v>7116</v>
      </c>
    </row>
    <row r="63" spans="1:306" ht="132" x14ac:dyDescent="0.25">
      <c r="A63" s="5" t="s">
        <v>7520</v>
      </c>
      <c r="B63" s="4" t="s">
        <v>577</v>
      </c>
      <c r="C63" s="7" t="s">
        <v>578</v>
      </c>
      <c r="D63" s="8" t="s">
        <v>2365</v>
      </c>
      <c r="E63" s="4">
        <v>333965</v>
      </c>
      <c r="G63" s="4" t="s">
        <v>593</v>
      </c>
      <c r="H63" s="6">
        <v>138.024146</v>
      </c>
      <c r="I63" s="6">
        <v>-30.224602000000001</v>
      </c>
      <c r="K63" s="4" t="s">
        <v>595</v>
      </c>
      <c r="L63" s="4" t="s">
        <v>689</v>
      </c>
      <c r="Q63" s="8"/>
      <c r="R63" s="8"/>
      <c r="Z63" s="4" t="s">
        <v>577</v>
      </c>
      <c r="AA63" s="7" t="s">
        <v>578</v>
      </c>
      <c r="AB63" s="8" t="s">
        <v>2365</v>
      </c>
      <c r="AC63" s="4" t="s">
        <v>301</v>
      </c>
      <c r="AD63" s="4" t="s">
        <v>302</v>
      </c>
      <c r="AE63" s="8">
        <v>788</v>
      </c>
      <c r="AF63" s="8">
        <v>7</v>
      </c>
      <c r="AG63" s="9" t="s">
        <v>379</v>
      </c>
      <c r="AH63" s="9" t="s">
        <v>372</v>
      </c>
      <c r="AI63" s="9" t="s">
        <v>373</v>
      </c>
      <c r="AJ63" s="9" t="s">
        <v>306</v>
      </c>
      <c r="AK63" s="9" t="s">
        <v>307</v>
      </c>
      <c r="AL63" s="9" t="s">
        <v>337</v>
      </c>
      <c r="AM63" s="8">
        <v>4</v>
      </c>
      <c r="BP63" s="7">
        <f>4+5+20</f>
        <v>29</v>
      </c>
      <c r="CA63" s="7">
        <f>42.8*(24.305/(24.305+15.999))</f>
        <v>25.810192536720919</v>
      </c>
      <c r="DZ63" s="31"/>
      <c r="EB63" s="10"/>
      <c r="EQ63" s="6">
        <f t="shared" si="5"/>
        <v>7.4849558356490657</v>
      </c>
      <c r="GP63" s="32"/>
      <c r="GY63" s="6" t="s">
        <v>309</v>
      </c>
      <c r="GZ63" s="6" t="s">
        <v>2366</v>
      </c>
      <c r="HD63" s="8" t="s">
        <v>1848</v>
      </c>
      <c r="HE63" s="8">
        <v>25481</v>
      </c>
      <c r="HF63" s="8" t="s">
        <v>1849</v>
      </c>
      <c r="HG63" s="9" t="s">
        <v>876</v>
      </c>
      <c r="KG63" s="4" t="s">
        <v>323</v>
      </c>
      <c r="KP63" s="5" t="s">
        <v>2367</v>
      </c>
      <c r="KQ63" s="5" t="s">
        <v>2368</v>
      </c>
      <c r="KR63" s="5" t="s">
        <v>1854</v>
      </c>
      <c r="KS63" s="5" t="s">
        <v>2367</v>
      </c>
      <c r="KT63" s="5" t="s">
        <v>2369</v>
      </c>
    </row>
    <row r="64" spans="1:306" ht="132" x14ac:dyDescent="0.25">
      <c r="A64" s="5" t="s">
        <v>7956</v>
      </c>
      <c r="B64" s="4" t="s">
        <v>577</v>
      </c>
      <c r="C64" s="7" t="s">
        <v>578</v>
      </c>
      <c r="D64" s="8" t="s">
        <v>2365</v>
      </c>
      <c r="E64" s="4">
        <v>336083</v>
      </c>
      <c r="G64" s="4" t="s">
        <v>593</v>
      </c>
      <c r="H64" s="6">
        <v>138.269665</v>
      </c>
      <c r="I64" s="6">
        <v>-30.460118000000001</v>
      </c>
      <c r="K64" s="4" t="s">
        <v>595</v>
      </c>
      <c r="L64" s="4" t="s">
        <v>689</v>
      </c>
      <c r="Q64" s="8"/>
      <c r="R64" s="8"/>
      <c r="Z64" s="4" t="s">
        <v>577</v>
      </c>
      <c r="AA64" s="7" t="s">
        <v>578</v>
      </c>
      <c r="AB64" s="8" t="s">
        <v>2365</v>
      </c>
      <c r="AC64" s="4" t="s">
        <v>301</v>
      </c>
      <c r="AD64" s="4" t="s">
        <v>302</v>
      </c>
      <c r="AE64" s="8">
        <v>788</v>
      </c>
      <c r="AF64" s="8">
        <v>7</v>
      </c>
      <c r="AG64" s="9" t="s">
        <v>379</v>
      </c>
      <c r="AH64" s="9" t="s">
        <v>372</v>
      </c>
      <c r="AI64" s="9" t="s">
        <v>373</v>
      </c>
      <c r="AJ64" s="9" t="s">
        <v>306</v>
      </c>
      <c r="AK64" s="9" t="s">
        <v>307</v>
      </c>
      <c r="AL64" s="9" t="s">
        <v>337</v>
      </c>
      <c r="AM64" s="8">
        <v>4</v>
      </c>
      <c r="BP64" s="7">
        <v>67</v>
      </c>
      <c r="CA64" s="7">
        <f>44.3*(24.305/(24.305+15.999))</f>
        <v>26.714755359269549</v>
      </c>
      <c r="DZ64" s="31"/>
      <c r="EB64" s="10"/>
      <c r="EQ64" s="6">
        <f t="shared" si="5"/>
        <v>17.898886090710597</v>
      </c>
      <c r="GP64" s="32"/>
      <c r="GY64" s="6" t="s">
        <v>309</v>
      </c>
      <c r="GZ64" s="6" t="s">
        <v>2366</v>
      </c>
      <c r="HD64" s="8" t="s">
        <v>1848</v>
      </c>
      <c r="HE64" s="8">
        <v>25481</v>
      </c>
      <c r="HF64" s="8" t="s">
        <v>1849</v>
      </c>
      <c r="HG64" s="9" t="s">
        <v>876</v>
      </c>
      <c r="KG64" s="4" t="s">
        <v>323</v>
      </c>
      <c r="KP64" s="5" t="s">
        <v>2367</v>
      </c>
      <c r="KQ64" s="5" t="s">
        <v>2368</v>
      </c>
      <c r="KR64" s="5" t="s">
        <v>1854</v>
      </c>
      <c r="KS64" s="5" t="s">
        <v>2367</v>
      </c>
      <c r="KT64" s="5" t="s">
        <v>2369</v>
      </c>
    </row>
    <row r="65" spans="1:306" ht="132" x14ac:dyDescent="0.25">
      <c r="A65" s="5" t="s">
        <v>8160</v>
      </c>
      <c r="B65" s="4" t="s">
        <v>577</v>
      </c>
      <c r="C65" s="7" t="s">
        <v>578</v>
      </c>
      <c r="D65" s="8" t="s">
        <v>2365</v>
      </c>
      <c r="E65" s="4">
        <v>335678</v>
      </c>
      <c r="G65" s="4" t="s">
        <v>593</v>
      </c>
      <c r="H65" s="6">
        <v>137.98265527219999</v>
      </c>
      <c r="I65" s="6">
        <v>-29.999719362299999</v>
      </c>
      <c r="K65" s="4" t="s">
        <v>595</v>
      </c>
      <c r="L65" s="4" t="s">
        <v>689</v>
      </c>
      <c r="Q65" s="8"/>
      <c r="R65" s="8"/>
      <c r="Z65" s="4" t="s">
        <v>577</v>
      </c>
      <c r="AA65" s="7" t="s">
        <v>578</v>
      </c>
      <c r="AB65" s="8" t="s">
        <v>2365</v>
      </c>
      <c r="AC65" s="4" t="s">
        <v>301</v>
      </c>
      <c r="AD65" s="4" t="s">
        <v>302</v>
      </c>
      <c r="AE65" s="8">
        <v>788</v>
      </c>
      <c r="AF65" s="8">
        <v>7</v>
      </c>
      <c r="AG65" s="9" t="s">
        <v>379</v>
      </c>
      <c r="AH65" s="9" t="s">
        <v>372</v>
      </c>
      <c r="AI65" s="9" t="s">
        <v>373</v>
      </c>
      <c r="AJ65" s="9" t="s">
        <v>306</v>
      </c>
      <c r="AK65" s="9" t="s">
        <v>307</v>
      </c>
      <c r="AL65" s="9" t="s">
        <v>337</v>
      </c>
      <c r="AM65" s="8">
        <v>4</v>
      </c>
      <c r="BP65" s="7">
        <f>23.7+94+99</f>
        <v>216.7</v>
      </c>
      <c r="CA65" s="7">
        <f>40*(24.305/(24.305+15.999))</f>
        <v>24.121675267963475</v>
      </c>
      <c r="DZ65" s="31"/>
      <c r="EB65" s="10"/>
      <c r="EQ65" s="6">
        <f t="shared" si="5"/>
        <v>52.271670305676842</v>
      </c>
      <c r="GP65" s="32"/>
      <c r="GY65" s="6" t="s">
        <v>309</v>
      </c>
      <c r="GZ65" s="6" t="s">
        <v>2366</v>
      </c>
      <c r="HD65" s="8" t="s">
        <v>1848</v>
      </c>
      <c r="HE65" s="8">
        <v>25481</v>
      </c>
      <c r="HF65" s="8" t="s">
        <v>1849</v>
      </c>
      <c r="HG65" s="9" t="s">
        <v>876</v>
      </c>
      <c r="KG65" s="4" t="s">
        <v>323</v>
      </c>
      <c r="KP65" s="5" t="s">
        <v>2367</v>
      </c>
      <c r="KQ65" s="5" t="s">
        <v>2368</v>
      </c>
      <c r="KR65" s="5" t="s">
        <v>1854</v>
      </c>
      <c r="KS65" s="5" t="s">
        <v>2367</v>
      </c>
      <c r="KT65" s="5" t="s">
        <v>2369</v>
      </c>
    </row>
    <row r="66" spans="1:306" ht="96" x14ac:dyDescent="0.25">
      <c r="A66" s="5" t="s">
        <v>744</v>
      </c>
      <c r="B66" s="4" t="s">
        <v>577</v>
      </c>
      <c r="C66" s="7" t="s">
        <v>578</v>
      </c>
      <c r="D66" s="8" t="s">
        <v>745</v>
      </c>
      <c r="E66" s="38">
        <v>336118</v>
      </c>
      <c r="G66" s="4" t="s">
        <v>330</v>
      </c>
      <c r="H66" s="40">
        <v>120.59633700000001</v>
      </c>
      <c r="I66" s="40">
        <v>-22.089582</v>
      </c>
      <c r="J66" s="4" t="s">
        <v>746</v>
      </c>
      <c r="K66" s="4" t="s">
        <v>331</v>
      </c>
      <c r="L66" s="4" t="s">
        <v>368</v>
      </c>
      <c r="M66" s="4" t="s">
        <v>747</v>
      </c>
      <c r="Q66" s="8"/>
      <c r="Z66" s="4" t="s">
        <v>577</v>
      </c>
      <c r="AA66" s="7" t="s">
        <v>578</v>
      </c>
      <c r="AB66" s="8" t="s">
        <v>745</v>
      </c>
      <c r="AC66" s="4" t="s">
        <v>301</v>
      </c>
      <c r="AD66" s="4" t="s">
        <v>382</v>
      </c>
      <c r="AE66" s="8">
        <v>1093</v>
      </c>
      <c r="AG66" s="9" t="s">
        <v>379</v>
      </c>
      <c r="AH66" s="9" t="s">
        <v>380</v>
      </c>
      <c r="AM66" s="8">
        <v>3</v>
      </c>
      <c r="AN66" s="4" t="s">
        <v>381</v>
      </c>
      <c r="AO66" s="4" t="s">
        <v>382</v>
      </c>
      <c r="AP66" s="4" t="s">
        <v>383</v>
      </c>
      <c r="AQ66" s="7" t="s">
        <v>384</v>
      </c>
      <c r="AR66" s="7" t="s">
        <v>748</v>
      </c>
      <c r="AS66" s="7">
        <v>0</v>
      </c>
      <c r="AT66" s="7">
        <v>0</v>
      </c>
      <c r="AU66" s="9" t="s">
        <v>303</v>
      </c>
      <c r="AV66" s="9" t="s">
        <v>406</v>
      </c>
      <c r="BA66" s="8">
        <v>5</v>
      </c>
      <c r="BP66" s="7">
        <f>4.7+1.2</f>
        <v>5.9</v>
      </c>
      <c r="CI66" s="8">
        <f>(4.7*18+1.2*23)/(4.7+1.2)</f>
        <v>19.016949152542374</v>
      </c>
      <c r="CJ66" s="8"/>
      <c r="DZ66" s="31"/>
      <c r="EX66" s="6">
        <f t="shared" ref="EX66:EX76" si="6">BP66*CI66/100</f>
        <v>1.1220000000000001</v>
      </c>
      <c r="GP66" s="32"/>
      <c r="GY66" s="6" t="s">
        <v>338</v>
      </c>
      <c r="GZ66" s="6" t="s">
        <v>749</v>
      </c>
      <c r="HC66" s="6" t="s">
        <v>750</v>
      </c>
      <c r="HD66" s="8" t="s">
        <v>751</v>
      </c>
      <c r="HE66" s="8">
        <v>4607</v>
      </c>
      <c r="HF66" s="8" t="s">
        <v>752</v>
      </c>
      <c r="HG66" s="9" t="s">
        <v>349</v>
      </c>
      <c r="HH66" s="9" t="s">
        <v>753</v>
      </c>
      <c r="HI66" s="8">
        <v>15260</v>
      </c>
      <c r="HJ66" s="9" t="s">
        <v>754</v>
      </c>
      <c r="HK66" s="9" t="s">
        <v>349</v>
      </c>
      <c r="KP66" s="5" t="s">
        <v>755</v>
      </c>
      <c r="KQ66" s="5" t="s">
        <v>755</v>
      </c>
      <c r="KS66" s="5" t="s">
        <v>755</v>
      </c>
      <c r="KT66" s="5" t="s">
        <v>756</v>
      </c>
    </row>
    <row r="67" spans="1:306" ht="120" x14ac:dyDescent="0.25">
      <c r="A67" s="5" t="s">
        <v>1864</v>
      </c>
      <c r="B67" s="4" t="s">
        <v>577</v>
      </c>
      <c r="C67" s="4" t="s">
        <v>578</v>
      </c>
      <c r="D67" s="7" t="s">
        <v>745</v>
      </c>
      <c r="E67" s="38">
        <v>576054</v>
      </c>
      <c r="G67" s="4" t="s">
        <v>330</v>
      </c>
      <c r="H67" s="6">
        <v>119.70185465199999</v>
      </c>
      <c r="I67" s="6">
        <v>-24.409173053</v>
      </c>
      <c r="K67" s="4" t="s">
        <v>331</v>
      </c>
      <c r="L67" s="4" t="s">
        <v>1865</v>
      </c>
      <c r="O67" s="7"/>
      <c r="Q67" s="8"/>
      <c r="R67" s="8"/>
      <c r="U67" s="4"/>
      <c r="V67" s="4"/>
      <c r="W67" s="4"/>
      <c r="X67" s="4"/>
      <c r="Z67" s="4" t="s">
        <v>577</v>
      </c>
      <c r="AA67" s="4" t="s">
        <v>578</v>
      </c>
      <c r="AB67" s="7" t="s">
        <v>745</v>
      </c>
      <c r="AC67" s="4" t="s">
        <v>301</v>
      </c>
      <c r="AD67" s="4" t="s">
        <v>382</v>
      </c>
      <c r="AE67" s="8">
        <f>(1117+1068)/2</f>
        <v>1092.5</v>
      </c>
      <c r="AF67" s="8">
        <f>(1117-1068)/2</f>
        <v>24.5</v>
      </c>
      <c r="AG67" s="9" t="s">
        <v>379</v>
      </c>
      <c r="AH67" s="9" t="s">
        <v>690</v>
      </c>
      <c r="AI67" s="4"/>
      <c r="AJ67" s="4" t="s">
        <v>306</v>
      </c>
      <c r="AK67" s="4"/>
      <c r="AL67" s="4" t="s">
        <v>337</v>
      </c>
      <c r="AM67" s="8">
        <v>3</v>
      </c>
      <c r="AN67" s="4" t="s">
        <v>381</v>
      </c>
      <c r="AO67" s="4" t="s">
        <v>382</v>
      </c>
      <c r="AP67" s="4" t="s">
        <v>383</v>
      </c>
      <c r="AQ67" s="7" t="s">
        <v>384</v>
      </c>
      <c r="AR67" s="7" t="s">
        <v>748</v>
      </c>
      <c r="AS67" s="7">
        <v>0</v>
      </c>
      <c r="AT67" s="7">
        <v>0</v>
      </c>
      <c r="AU67" s="9" t="s">
        <v>303</v>
      </c>
      <c r="AV67" s="9" t="s">
        <v>406</v>
      </c>
      <c r="BA67" s="8">
        <v>5</v>
      </c>
      <c r="BP67" s="7">
        <v>263</v>
      </c>
      <c r="CI67" s="7">
        <v>10</v>
      </c>
      <c r="CJ67" s="7">
        <v>11.4</v>
      </c>
      <c r="DZ67" s="31"/>
      <c r="ET67" s="7"/>
      <c r="EV67" s="7"/>
      <c r="EX67" s="6">
        <f t="shared" si="6"/>
        <v>26.3</v>
      </c>
      <c r="EY67" s="7">
        <f>BP67*CJ67/100</f>
        <v>29.982000000000003</v>
      </c>
      <c r="FB67" s="7"/>
      <c r="GP67" s="32"/>
      <c r="GY67" s="6" t="s">
        <v>338</v>
      </c>
      <c r="GZ67" s="6" t="s">
        <v>386</v>
      </c>
      <c r="HB67" s="6" t="s">
        <v>749</v>
      </c>
      <c r="HC67" s="6" t="s">
        <v>750</v>
      </c>
      <c r="HD67" s="8" t="s">
        <v>1866</v>
      </c>
      <c r="HE67" s="8">
        <v>25955</v>
      </c>
      <c r="HF67" s="8" t="s">
        <v>1867</v>
      </c>
      <c r="HG67" s="9" t="s">
        <v>349</v>
      </c>
      <c r="JX67" s="7" t="s">
        <v>320</v>
      </c>
      <c r="KG67" s="4" t="s">
        <v>323</v>
      </c>
      <c r="KP67" s="5" t="s">
        <v>1868</v>
      </c>
      <c r="KQ67" s="5" t="s">
        <v>1869</v>
      </c>
      <c r="KR67" s="5" t="s">
        <v>1870</v>
      </c>
      <c r="KS67" s="5" t="s">
        <v>1868</v>
      </c>
      <c r="KT67" s="5" t="s">
        <v>1871</v>
      </c>
    </row>
    <row r="68" spans="1:306" ht="72" x14ac:dyDescent="0.25">
      <c r="A68" s="5" t="s">
        <v>3757</v>
      </c>
      <c r="B68" s="4" t="s">
        <v>577</v>
      </c>
      <c r="C68" s="4" t="s">
        <v>578</v>
      </c>
      <c r="D68" s="7" t="s">
        <v>745</v>
      </c>
      <c r="E68" s="4">
        <v>334839</v>
      </c>
      <c r="G68" s="4" t="s">
        <v>530</v>
      </c>
      <c r="H68" s="6">
        <v>136.44550000000001</v>
      </c>
      <c r="I68" s="6">
        <v>-13.9922</v>
      </c>
      <c r="J68" s="4" t="s">
        <v>3758</v>
      </c>
      <c r="K68" s="4" t="s">
        <v>481</v>
      </c>
      <c r="L68" s="4" t="s">
        <v>942</v>
      </c>
      <c r="M68" s="4" t="s">
        <v>943</v>
      </c>
      <c r="O68" s="7"/>
      <c r="Q68" s="8"/>
      <c r="R68" s="8"/>
      <c r="U68" s="4"/>
      <c r="V68" s="4"/>
      <c r="W68" s="4"/>
      <c r="X68" s="4"/>
      <c r="Z68" s="4" t="s">
        <v>577</v>
      </c>
      <c r="AA68" s="4" t="s">
        <v>578</v>
      </c>
      <c r="AB68" s="7" t="s">
        <v>745</v>
      </c>
      <c r="AC68" s="4" t="s">
        <v>301</v>
      </c>
      <c r="AD68" s="4" t="s">
        <v>375</v>
      </c>
      <c r="AE68" s="8">
        <v>104</v>
      </c>
      <c r="AF68" s="8">
        <v>10</v>
      </c>
      <c r="AG68" s="9" t="s">
        <v>379</v>
      </c>
      <c r="AH68" s="9" t="s">
        <v>372</v>
      </c>
      <c r="AI68" s="4"/>
      <c r="AJ68" s="4"/>
      <c r="AK68" s="4"/>
      <c r="AL68" s="4"/>
      <c r="AM68" s="8">
        <v>4</v>
      </c>
      <c r="AN68" s="4" t="s">
        <v>381</v>
      </c>
      <c r="AO68" s="4" t="s">
        <v>382</v>
      </c>
      <c r="AP68" s="4" t="s">
        <v>383</v>
      </c>
      <c r="AQ68" s="7" t="s">
        <v>384</v>
      </c>
      <c r="AR68" s="7" t="s">
        <v>748</v>
      </c>
      <c r="AS68" s="7">
        <v>0</v>
      </c>
      <c r="AT68" s="7">
        <v>0</v>
      </c>
      <c r="AU68" s="9" t="s">
        <v>303</v>
      </c>
      <c r="AV68" s="9" t="s">
        <v>406</v>
      </c>
      <c r="BA68" s="8">
        <v>5</v>
      </c>
      <c r="BG68" s="7"/>
      <c r="BH68" s="7"/>
      <c r="BP68" s="7">
        <f>161+78.375</f>
        <v>239.375</v>
      </c>
      <c r="BQ68" s="8"/>
      <c r="CI68" s="7">
        <v>45.9</v>
      </c>
      <c r="DZ68" s="31"/>
      <c r="EE68" s="7"/>
      <c r="EF68" s="7"/>
      <c r="EG68" s="7"/>
      <c r="EO68" s="8"/>
      <c r="EP68" s="8"/>
      <c r="EX68" s="8">
        <f t="shared" si="6"/>
        <v>109.873125</v>
      </c>
      <c r="FA68" s="9"/>
      <c r="FG68" s="9"/>
      <c r="GP68" s="32"/>
      <c r="GT68" s="8"/>
      <c r="GW68" s="8"/>
      <c r="GY68" s="8" t="s">
        <v>309</v>
      </c>
      <c r="GZ68" s="8" t="s">
        <v>749</v>
      </c>
      <c r="HA68" s="8"/>
      <c r="HB68" s="8"/>
      <c r="HC68" s="8" t="s">
        <v>750</v>
      </c>
      <c r="HD68" s="8" t="s">
        <v>3759</v>
      </c>
      <c r="HE68" s="8">
        <v>23121</v>
      </c>
      <c r="HF68" s="8" t="s">
        <v>3760</v>
      </c>
      <c r="HG68" s="9" t="s">
        <v>2734</v>
      </c>
      <c r="IB68" s="4"/>
      <c r="ID68" s="4"/>
      <c r="IE68" s="4"/>
      <c r="IF68" s="4"/>
      <c r="IW68" s="8"/>
      <c r="JB68" s="8"/>
      <c r="KG68" s="4" t="s">
        <v>323</v>
      </c>
      <c r="KM68" s="4" t="s">
        <v>471</v>
      </c>
      <c r="KN68" s="4" t="s">
        <v>471</v>
      </c>
      <c r="KP68" s="5" t="s">
        <v>358</v>
      </c>
      <c r="KQ68" s="5" t="s">
        <v>3761</v>
      </c>
      <c r="KR68" s="5" t="s">
        <v>3762</v>
      </c>
      <c r="KS68" s="5" t="s">
        <v>586</v>
      </c>
      <c r="KT68" s="5" t="s">
        <v>3763</v>
      </c>
    </row>
    <row r="69" spans="1:306" ht="96" x14ac:dyDescent="0.25">
      <c r="A69" s="5" t="s">
        <v>4117</v>
      </c>
      <c r="B69" s="4" t="s">
        <v>577</v>
      </c>
      <c r="C69" s="7" t="s">
        <v>578</v>
      </c>
      <c r="D69" s="8" t="s">
        <v>745</v>
      </c>
      <c r="G69" s="4" t="s">
        <v>330</v>
      </c>
      <c r="H69" s="6">
        <v>120.957195634</v>
      </c>
      <c r="I69" s="6">
        <v>-22.064354163000001</v>
      </c>
      <c r="K69" s="4" t="s">
        <v>331</v>
      </c>
      <c r="L69" s="4" t="s">
        <v>368</v>
      </c>
      <c r="M69" s="4" t="s">
        <v>747</v>
      </c>
      <c r="Q69" s="8"/>
      <c r="Z69" s="4" t="s">
        <v>577</v>
      </c>
      <c r="AA69" s="7" t="s">
        <v>578</v>
      </c>
      <c r="AB69" s="8" t="s">
        <v>745</v>
      </c>
      <c r="AC69" s="4" t="s">
        <v>301</v>
      </c>
      <c r="AD69" s="4" t="s">
        <v>382</v>
      </c>
      <c r="AE69" s="8">
        <v>1093</v>
      </c>
      <c r="AG69" s="9" t="s">
        <v>379</v>
      </c>
      <c r="AH69" s="9" t="s">
        <v>380</v>
      </c>
      <c r="AM69" s="8">
        <v>3</v>
      </c>
      <c r="AN69" s="4" t="s">
        <v>381</v>
      </c>
      <c r="AO69" s="4" t="s">
        <v>382</v>
      </c>
      <c r="AP69" s="4" t="s">
        <v>383</v>
      </c>
      <c r="AQ69" s="7" t="s">
        <v>384</v>
      </c>
      <c r="AR69" s="7" t="s">
        <v>748</v>
      </c>
      <c r="AS69" s="7">
        <v>0</v>
      </c>
      <c r="AT69" s="7">
        <v>0</v>
      </c>
      <c r="AU69" s="9" t="s">
        <v>303</v>
      </c>
      <c r="AV69" s="9" t="s">
        <v>406</v>
      </c>
      <c r="BA69" s="8">
        <v>5</v>
      </c>
      <c r="BP69" s="7">
        <v>3.81</v>
      </c>
      <c r="CI69" s="8">
        <v>20</v>
      </c>
      <c r="CJ69" s="8">
        <v>25</v>
      </c>
      <c r="DZ69" s="31"/>
      <c r="EX69" s="6">
        <f t="shared" si="6"/>
        <v>0.76200000000000001</v>
      </c>
      <c r="GP69" s="32"/>
      <c r="GY69" s="6" t="s">
        <v>338</v>
      </c>
      <c r="GZ69" s="6" t="s">
        <v>749</v>
      </c>
      <c r="HC69" s="6" t="s">
        <v>750</v>
      </c>
      <c r="HD69" s="9" t="s">
        <v>753</v>
      </c>
      <c r="HE69" s="8">
        <v>15260</v>
      </c>
      <c r="HF69" s="9" t="s">
        <v>754</v>
      </c>
      <c r="HG69" s="9" t="s">
        <v>349</v>
      </c>
      <c r="KP69" s="5" t="s">
        <v>755</v>
      </c>
      <c r="KQ69" s="5" t="s">
        <v>755</v>
      </c>
      <c r="KS69" s="5" t="s">
        <v>755</v>
      </c>
      <c r="KT69" s="5" t="s">
        <v>4118</v>
      </c>
    </row>
    <row r="70" spans="1:306" ht="96" x14ac:dyDescent="0.2">
      <c r="A70" s="5" t="s">
        <v>4255</v>
      </c>
      <c r="B70" s="4" t="s">
        <v>577</v>
      </c>
      <c r="C70" s="7" t="s">
        <v>578</v>
      </c>
      <c r="D70" s="8" t="s">
        <v>745</v>
      </c>
      <c r="E70" s="44">
        <v>600558</v>
      </c>
      <c r="G70" s="4" t="s">
        <v>330</v>
      </c>
      <c r="H70" s="6">
        <v>120.68235269</v>
      </c>
      <c r="I70" s="6">
        <v>-23.304752874999998</v>
      </c>
      <c r="J70" s="4" t="s">
        <v>4256</v>
      </c>
      <c r="K70" s="4" t="s">
        <v>331</v>
      </c>
      <c r="L70" s="4" t="s">
        <v>368</v>
      </c>
      <c r="M70" s="4" t="s">
        <v>747</v>
      </c>
      <c r="Q70" s="8"/>
      <c r="Z70" s="4" t="s">
        <v>577</v>
      </c>
      <c r="AA70" s="7" t="s">
        <v>578</v>
      </c>
      <c r="AB70" s="8" t="s">
        <v>745</v>
      </c>
      <c r="AC70" s="4" t="s">
        <v>301</v>
      </c>
      <c r="AD70" s="4" t="s">
        <v>382</v>
      </c>
      <c r="AE70" s="8">
        <v>1093</v>
      </c>
      <c r="AG70" s="9" t="s">
        <v>379</v>
      </c>
      <c r="AH70" s="9" t="s">
        <v>380</v>
      </c>
      <c r="AM70" s="8">
        <v>3</v>
      </c>
      <c r="AN70" s="4" t="s">
        <v>381</v>
      </c>
      <c r="AO70" s="4" t="s">
        <v>382</v>
      </c>
      <c r="AP70" s="4" t="s">
        <v>383</v>
      </c>
      <c r="AQ70" s="7" t="s">
        <v>384</v>
      </c>
      <c r="AR70" s="7" t="s">
        <v>748</v>
      </c>
      <c r="AS70" s="7">
        <v>0</v>
      </c>
      <c r="AT70" s="7">
        <v>0</v>
      </c>
      <c r="AU70" s="9" t="s">
        <v>303</v>
      </c>
      <c r="AV70" s="9" t="s">
        <v>406</v>
      </c>
      <c r="BA70" s="8">
        <v>5</v>
      </c>
      <c r="BP70" s="7">
        <v>22</v>
      </c>
      <c r="CI70" s="7">
        <v>9.5</v>
      </c>
      <c r="CJ70" s="7">
        <v>8.5</v>
      </c>
      <c r="DZ70" s="31"/>
      <c r="ET70" s="7"/>
      <c r="EV70" s="7"/>
      <c r="EX70" s="7">
        <f t="shared" si="6"/>
        <v>2.09</v>
      </c>
      <c r="EY70" s="7">
        <f>BP70*CJ70/100</f>
        <v>1.87</v>
      </c>
      <c r="FB70" s="7"/>
      <c r="GP70" s="32"/>
      <c r="GY70" s="6" t="s">
        <v>338</v>
      </c>
      <c r="GZ70" s="6" t="s">
        <v>386</v>
      </c>
      <c r="HB70" s="6" t="s">
        <v>749</v>
      </c>
      <c r="HC70" s="6" t="s">
        <v>750</v>
      </c>
      <c r="HD70" s="8" t="s">
        <v>4257</v>
      </c>
      <c r="HE70" s="8">
        <v>25772</v>
      </c>
      <c r="HF70" s="8" t="s">
        <v>4258</v>
      </c>
      <c r="HG70" s="9" t="s">
        <v>349</v>
      </c>
      <c r="KP70" s="5" t="s">
        <v>4259</v>
      </c>
      <c r="KQ70" s="5" t="s">
        <v>4260</v>
      </c>
      <c r="KS70" s="5" t="s">
        <v>4259</v>
      </c>
      <c r="KT70" s="5" t="s">
        <v>4261</v>
      </c>
    </row>
    <row r="71" spans="1:306" ht="96" x14ac:dyDescent="0.2">
      <c r="A71" s="5" t="s">
        <v>4529</v>
      </c>
      <c r="B71" s="4" t="s">
        <v>577</v>
      </c>
      <c r="C71" s="7" t="s">
        <v>578</v>
      </c>
      <c r="D71" s="8" t="s">
        <v>745</v>
      </c>
      <c r="E71" s="44">
        <v>866840</v>
      </c>
      <c r="G71" s="4" t="s">
        <v>330</v>
      </c>
      <c r="H71" s="6">
        <v>120.665940897</v>
      </c>
      <c r="I71" s="6">
        <v>-23.025057446000002</v>
      </c>
      <c r="J71" s="4" t="s">
        <v>4256</v>
      </c>
      <c r="K71" s="4" t="s">
        <v>331</v>
      </c>
      <c r="L71" s="4" t="s">
        <v>368</v>
      </c>
      <c r="M71" s="4" t="s">
        <v>747</v>
      </c>
      <c r="Q71" s="8"/>
      <c r="Z71" s="4" t="s">
        <v>577</v>
      </c>
      <c r="AA71" s="7" t="s">
        <v>578</v>
      </c>
      <c r="AB71" s="8" t="s">
        <v>745</v>
      </c>
      <c r="AC71" s="4" t="s">
        <v>301</v>
      </c>
      <c r="AD71" s="4" t="s">
        <v>382</v>
      </c>
      <c r="AE71" s="8">
        <v>1093</v>
      </c>
      <c r="AG71" s="9" t="s">
        <v>379</v>
      </c>
      <c r="AH71" s="9" t="s">
        <v>380</v>
      </c>
      <c r="AM71" s="8">
        <v>3</v>
      </c>
      <c r="AN71" s="4" t="s">
        <v>381</v>
      </c>
      <c r="AO71" s="4" t="s">
        <v>382</v>
      </c>
      <c r="AP71" s="4" t="s">
        <v>383</v>
      </c>
      <c r="AQ71" s="7" t="s">
        <v>384</v>
      </c>
      <c r="AR71" s="7" t="s">
        <v>748</v>
      </c>
      <c r="AS71" s="7">
        <v>0</v>
      </c>
      <c r="AT71" s="7">
        <v>0</v>
      </c>
      <c r="AU71" s="9" t="s">
        <v>303</v>
      </c>
      <c r="AV71" s="9" t="s">
        <v>406</v>
      </c>
      <c r="BA71" s="8">
        <v>5</v>
      </c>
      <c r="BP71" s="7">
        <v>40.9</v>
      </c>
      <c r="CI71" s="7">
        <v>9.5</v>
      </c>
      <c r="CJ71" s="7">
        <v>9.3000000000000007</v>
      </c>
      <c r="DZ71" s="31"/>
      <c r="ET71" s="7"/>
      <c r="EV71" s="7"/>
      <c r="EX71" s="7">
        <f t="shared" si="6"/>
        <v>3.8855</v>
      </c>
      <c r="EY71" s="7">
        <f>BP71*CJ71/100</f>
        <v>3.8037000000000001</v>
      </c>
      <c r="FB71" s="7"/>
      <c r="GP71" s="32"/>
      <c r="GY71" s="6" t="s">
        <v>338</v>
      </c>
      <c r="GZ71" s="6" t="s">
        <v>386</v>
      </c>
      <c r="HB71" s="6" t="s">
        <v>749</v>
      </c>
      <c r="HC71" s="6" t="s">
        <v>750</v>
      </c>
      <c r="HD71" s="8" t="s">
        <v>4257</v>
      </c>
      <c r="HE71" s="8">
        <v>25772</v>
      </c>
      <c r="HF71" s="8" t="s">
        <v>4258</v>
      </c>
      <c r="HG71" s="9" t="s">
        <v>349</v>
      </c>
      <c r="KP71" s="5" t="s">
        <v>4259</v>
      </c>
      <c r="KQ71" s="5" t="s">
        <v>4260</v>
      </c>
      <c r="KS71" s="5" t="s">
        <v>4259</v>
      </c>
      <c r="KT71" s="5" t="s">
        <v>4530</v>
      </c>
    </row>
    <row r="72" spans="1:306" ht="96" x14ac:dyDescent="0.2">
      <c r="A72" s="5" t="s">
        <v>5504</v>
      </c>
      <c r="B72" s="4" t="s">
        <v>577</v>
      </c>
      <c r="C72" s="4" t="s">
        <v>578</v>
      </c>
      <c r="D72" s="7" t="s">
        <v>745</v>
      </c>
      <c r="E72" s="44">
        <v>338462</v>
      </c>
      <c r="G72" s="4" t="s">
        <v>330</v>
      </c>
      <c r="H72" s="6">
        <v>120.634056055</v>
      </c>
      <c r="I72" s="6">
        <v>-22.142489042000001</v>
      </c>
      <c r="J72" s="4" t="s">
        <v>746</v>
      </c>
      <c r="K72" s="4" t="s">
        <v>331</v>
      </c>
      <c r="L72" s="4" t="s">
        <v>368</v>
      </c>
      <c r="M72" s="4" t="s">
        <v>747</v>
      </c>
      <c r="O72" s="7"/>
      <c r="Q72" s="8"/>
      <c r="Z72" s="4" t="s">
        <v>577</v>
      </c>
      <c r="AA72" s="4" t="s">
        <v>578</v>
      </c>
      <c r="AB72" s="7" t="s">
        <v>745</v>
      </c>
      <c r="AC72" s="4" t="s">
        <v>301</v>
      </c>
      <c r="AD72" s="4" t="s">
        <v>382</v>
      </c>
      <c r="AE72" s="8">
        <v>1093</v>
      </c>
      <c r="AG72" s="9" t="s">
        <v>379</v>
      </c>
      <c r="AH72" s="9" t="s">
        <v>380</v>
      </c>
      <c r="AM72" s="8">
        <v>3</v>
      </c>
      <c r="AN72" s="4" t="s">
        <v>381</v>
      </c>
      <c r="AO72" s="4" t="s">
        <v>382</v>
      </c>
      <c r="AP72" s="4" t="s">
        <v>383</v>
      </c>
      <c r="AQ72" s="7" t="s">
        <v>384</v>
      </c>
      <c r="AR72" s="7" t="s">
        <v>748</v>
      </c>
      <c r="AS72" s="7">
        <v>0</v>
      </c>
      <c r="AT72" s="7">
        <v>0</v>
      </c>
      <c r="AU72" s="9" t="s">
        <v>303</v>
      </c>
      <c r="AV72" s="9" t="s">
        <v>406</v>
      </c>
      <c r="BA72" s="8">
        <v>5</v>
      </c>
      <c r="BP72" s="7">
        <v>0.6</v>
      </c>
      <c r="CI72" s="8">
        <v>26</v>
      </c>
      <c r="CJ72" s="8">
        <v>24</v>
      </c>
      <c r="DZ72" s="31"/>
      <c r="EX72" s="6">
        <f t="shared" si="6"/>
        <v>0.156</v>
      </c>
      <c r="GP72" s="32"/>
      <c r="GY72" s="6" t="s">
        <v>338</v>
      </c>
      <c r="GZ72" s="6" t="s">
        <v>749</v>
      </c>
      <c r="HC72" s="6" t="s">
        <v>750</v>
      </c>
      <c r="HD72" s="8" t="s">
        <v>5505</v>
      </c>
      <c r="HE72" s="8">
        <v>11171</v>
      </c>
      <c r="HF72" s="8" t="s">
        <v>5506</v>
      </c>
      <c r="HG72" s="9" t="s">
        <v>349</v>
      </c>
      <c r="HH72" s="9" t="s">
        <v>753</v>
      </c>
      <c r="HI72" s="8">
        <v>15260</v>
      </c>
      <c r="HJ72" s="9" t="s">
        <v>754</v>
      </c>
      <c r="HK72" s="9" t="s">
        <v>349</v>
      </c>
      <c r="KP72" s="5" t="s">
        <v>755</v>
      </c>
      <c r="KQ72" s="5" t="s">
        <v>755</v>
      </c>
      <c r="KS72" s="5" t="s">
        <v>755</v>
      </c>
      <c r="KT72" s="5" t="s">
        <v>5507</v>
      </c>
    </row>
    <row r="73" spans="1:306" ht="96" x14ac:dyDescent="0.2">
      <c r="A73" s="18" t="s">
        <v>6208</v>
      </c>
      <c r="B73" s="4" t="s">
        <v>577</v>
      </c>
      <c r="C73" s="7" t="s">
        <v>578</v>
      </c>
      <c r="D73" s="8" t="s">
        <v>745</v>
      </c>
      <c r="E73" s="44">
        <v>333324</v>
      </c>
      <c r="G73" s="4" t="s">
        <v>330</v>
      </c>
      <c r="H73" s="6">
        <v>120.895129637</v>
      </c>
      <c r="I73" s="6">
        <v>-22.76704806</v>
      </c>
      <c r="J73" s="4" t="s">
        <v>6209</v>
      </c>
      <c r="K73" s="4" t="s">
        <v>331</v>
      </c>
      <c r="L73" s="4" t="s">
        <v>368</v>
      </c>
      <c r="M73" s="4" t="s">
        <v>747</v>
      </c>
      <c r="Q73" s="8"/>
      <c r="Z73" s="4" t="s">
        <v>577</v>
      </c>
      <c r="AA73" s="7" t="s">
        <v>578</v>
      </c>
      <c r="AB73" s="8" t="s">
        <v>745</v>
      </c>
      <c r="AC73" s="4" t="s">
        <v>301</v>
      </c>
      <c r="AD73" s="4" t="s">
        <v>382</v>
      </c>
      <c r="AE73" s="8">
        <v>1093</v>
      </c>
      <c r="AG73" s="9" t="s">
        <v>379</v>
      </c>
      <c r="AH73" s="9" t="s">
        <v>380</v>
      </c>
      <c r="AM73" s="8">
        <v>3</v>
      </c>
      <c r="AN73" s="4" t="s">
        <v>381</v>
      </c>
      <c r="AO73" s="4" t="s">
        <v>382</v>
      </c>
      <c r="AP73" s="4" t="s">
        <v>383</v>
      </c>
      <c r="AQ73" s="7" t="s">
        <v>384</v>
      </c>
      <c r="AR73" s="7" t="s">
        <v>748</v>
      </c>
      <c r="AS73" s="7">
        <v>0</v>
      </c>
      <c r="AT73" s="7">
        <v>0</v>
      </c>
      <c r="AU73" s="9" t="s">
        <v>303</v>
      </c>
      <c r="AV73" s="9" t="s">
        <v>406</v>
      </c>
      <c r="BA73" s="8">
        <v>5</v>
      </c>
      <c r="BP73" s="7">
        <v>20</v>
      </c>
      <c r="CI73" s="8">
        <v>38</v>
      </c>
      <c r="CJ73" s="8"/>
      <c r="DZ73" s="31"/>
      <c r="EX73" s="6">
        <f t="shared" si="6"/>
        <v>7.6</v>
      </c>
      <c r="GP73" s="32"/>
      <c r="GY73" s="6" t="s">
        <v>338</v>
      </c>
      <c r="GZ73" s="6" t="s">
        <v>749</v>
      </c>
      <c r="HC73" s="6" t="s">
        <v>750</v>
      </c>
      <c r="HD73" s="8" t="s">
        <v>4257</v>
      </c>
      <c r="HE73" s="8">
        <v>25772</v>
      </c>
      <c r="HF73" s="8" t="s">
        <v>4258</v>
      </c>
      <c r="HG73" s="9" t="s">
        <v>349</v>
      </c>
      <c r="KP73" s="5" t="s">
        <v>755</v>
      </c>
      <c r="KQ73" s="5" t="s">
        <v>755</v>
      </c>
      <c r="KS73" s="5" t="s">
        <v>755</v>
      </c>
      <c r="KT73" s="5" t="s">
        <v>6210</v>
      </c>
    </row>
    <row r="74" spans="1:306" ht="60" x14ac:dyDescent="0.2">
      <c r="A74" s="5" t="s">
        <v>6909</v>
      </c>
      <c r="B74" s="4" t="s">
        <v>577</v>
      </c>
      <c r="C74" s="7" t="s">
        <v>578</v>
      </c>
      <c r="D74" s="8" t="s">
        <v>745</v>
      </c>
      <c r="E74" s="44">
        <v>337858</v>
      </c>
      <c r="G74" s="4" t="s">
        <v>330</v>
      </c>
      <c r="H74" s="6">
        <v>120.736033202</v>
      </c>
      <c r="I74" s="6">
        <v>-21.213886788</v>
      </c>
      <c r="J74" s="4" t="s">
        <v>6909</v>
      </c>
      <c r="K74" s="4" t="s">
        <v>331</v>
      </c>
      <c r="L74" s="4" t="s">
        <v>368</v>
      </c>
      <c r="M74" s="4" t="s">
        <v>6910</v>
      </c>
      <c r="Q74" s="8"/>
      <c r="R74" s="8"/>
      <c r="Z74" s="4" t="s">
        <v>577</v>
      </c>
      <c r="AA74" s="7" t="s">
        <v>578</v>
      </c>
      <c r="AB74" s="8" t="s">
        <v>745</v>
      </c>
      <c r="AC74" s="4" t="s">
        <v>301</v>
      </c>
      <c r="AD74" s="4" t="s">
        <v>382</v>
      </c>
      <c r="AE74" s="8">
        <v>1317</v>
      </c>
      <c r="AF74" s="8">
        <v>11</v>
      </c>
      <c r="AG74" s="9" t="s">
        <v>379</v>
      </c>
      <c r="AH74" s="9" t="s">
        <v>372</v>
      </c>
      <c r="AI74" s="9" t="s">
        <v>373</v>
      </c>
      <c r="AJ74" s="9" t="s">
        <v>306</v>
      </c>
      <c r="AK74" s="9" t="s">
        <v>307</v>
      </c>
      <c r="AL74" s="9" t="s">
        <v>337</v>
      </c>
      <c r="AM74" s="8">
        <v>3</v>
      </c>
      <c r="AN74" s="4" t="s">
        <v>381</v>
      </c>
      <c r="AO74" s="4" t="s">
        <v>382</v>
      </c>
      <c r="AP74" s="4" t="s">
        <v>383</v>
      </c>
      <c r="AQ74" s="7" t="s">
        <v>384</v>
      </c>
      <c r="AR74" s="7" t="s">
        <v>748</v>
      </c>
      <c r="AS74" s="7">
        <v>0</v>
      </c>
      <c r="AT74" s="7">
        <v>0</v>
      </c>
      <c r="AU74" s="9" t="s">
        <v>303</v>
      </c>
      <c r="AV74" s="9" t="s">
        <v>406</v>
      </c>
      <c r="BA74" s="8">
        <v>5</v>
      </c>
      <c r="BP74" s="7">
        <v>71.099999999999994</v>
      </c>
      <c r="CI74" s="7">
        <v>19.100000000000001</v>
      </c>
      <c r="DZ74" s="31"/>
      <c r="EX74" s="7">
        <f t="shared" si="6"/>
        <v>13.5801</v>
      </c>
      <c r="GP74" s="32"/>
      <c r="GY74" s="6" t="s">
        <v>338</v>
      </c>
      <c r="GZ74" s="6" t="s">
        <v>749</v>
      </c>
      <c r="HC74" s="6" t="s">
        <v>750</v>
      </c>
      <c r="HD74" s="8" t="s">
        <v>6911</v>
      </c>
      <c r="HE74" s="8">
        <v>23572</v>
      </c>
      <c r="HF74" s="8" t="s">
        <v>6912</v>
      </c>
      <c r="HG74" s="9" t="s">
        <v>349</v>
      </c>
      <c r="KP74" s="5" t="s">
        <v>755</v>
      </c>
      <c r="KQ74" s="5" t="s">
        <v>6913</v>
      </c>
      <c r="KR74" s="5" t="s">
        <v>6914</v>
      </c>
      <c r="KS74" s="5" t="s">
        <v>6915</v>
      </c>
      <c r="KT74" s="5" t="s">
        <v>6916</v>
      </c>
    </row>
    <row r="75" spans="1:306" ht="96" x14ac:dyDescent="0.25">
      <c r="A75" s="18" t="s">
        <v>7173</v>
      </c>
      <c r="B75" s="4" t="s">
        <v>577</v>
      </c>
      <c r="C75" s="7" t="s">
        <v>578</v>
      </c>
      <c r="D75" s="8" t="s">
        <v>745</v>
      </c>
      <c r="E75" s="25">
        <v>600557</v>
      </c>
      <c r="G75" s="4" t="s">
        <v>330</v>
      </c>
      <c r="H75" s="6">
        <v>120.66645943</v>
      </c>
      <c r="I75" s="6">
        <v>-23.312793102000001</v>
      </c>
      <c r="J75" s="4" t="s">
        <v>4256</v>
      </c>
      <c r="K75" s="4" t="s">
        <v>331</v>
      </c>
      <c r="L75" s="4" t="s">
        <v>368</v>
      </c>
      <c r="M75" s="4" t="s">
        <v>747</v>
      </c>
      <c r="Q75" s="8"/>
      <c r="Z75" s="4" t="s">
        <v>577</v>
      </c>
      <c r="AA75" s="7" t="s">
        <v>578</v>
      </c>
      <c r="AB75" s="8" t="s">
        <v>745</v>
      </c>
      <c r="AC75" s="4" t="s">
        <v>301</v>
      </c>
      <c r="AD75" s="4" t="s">
        <v>382</v>
      </c>
      <c r="AE75" s="8">
        <v>1093</v>
      </c>
      <c r="AG75" s="9" t="s">
        <v>379</v>
      </c>
      <c r="AH75" s="9" t="s">
        <v>380</v>
      </c>
      <c r="AM75" s="8">
        <v>3</v>
      </c>
      <c r="AN75" s="4" t="s">
        <v>381</v>
      </c>
      <c r="AO75" s="4" t="s">
        <v>382</v>
      </c>
      <c r="AP75" s="4" t="s">
        <v>383</v>
      </c>
      <c r="AQ75" s="7" t="s">
        <v>384</v>
      </c>
      <c r="AR75" s="7" t="s">
        <v>748</v>
      </c>
      <c r="AS75" s="7">
        <v>0</v>
      </c>
      <c r="AT75" s="7">
        <v>0</v>
      </c>
      <c r="AU75" s="9" t="s">
        <v>303</v>
      </c>
      <c r="AV75" s="9" t="s">
        <v>406</v>
      </c>
      <c r="BA75" s="8">
        <v>5</v>
      </c>
      <c r="BP75" s="7">
        <v>109.4</v>
      </c>
      <c r="BS75" s="7"/>
      <c r="BT75" s="7"/>
      <c r="CI75" s="7">
        <v>10.1</v>
      </c>
      <c r="CJ75" s="7">
        <v>8.9</v>
      </c>
      <c r="DZ75" s="31"/>
      <c r="ET75" s="7"/>
      <c r="EV75" s="7"/>
      <c r="EX75" s="7">
        <f t="shared" si="6"/>
        <v>11.0494</v>
      </c>
      <c r="EY75" s="7">
        <f>BP75*CJ75/100</f>
        <v>9.736600000000001</v>
      </c>
      <c r="FB75" s="7"/>
      <c r="GP75" s="32"/>
      <c r="GY75" s="6" t="s">
        <v>338</v>
      </c>
      <c r="GZ75" s="6" t="s">
        <v>386</v>
      </c>
      <c r="HB75" s="6" t="s">
        <v>749</v>
      </c>
      <c r="HC75" s="6" t="s">
        <v>750</v>
      </c>
      <c r="HD75" s="8" t="s">
        <v>4257</v>
      </c>
      <c r="HE75" s="8">
        <v>25772</v>
      </c>
      <c r="HF75" s="8" t="s">
        <v>4258</v>
      </c>
      <c r="HG75" s="9" t="s">
        <v>349</v>
      </c>
      <c r="KP75" s="5" t="s">
        <v>4259</v>
      </c>
      <c r="KQ75" s="5" t="s">
        <v>4260</v>
      </c>
      <c r="KS75" s="5" t="s">
        <v>4259</v>
      </c>
      <c r="KT75" s="5" t="s">
        <v>7174</v>
      </c>
    </row>
    <row r="76" spans="1:306" ht="96" x14ac:dyDescent="0.2">
      <c r="A76" s="5" t="s">
        <v>7177</v>
      </c>
      <c r="B76" s="4" t="s">
        <v>577</v>
      </c>
      <c r="C76" s="7" t="s">
        <v>578</v>
      </c>
      <c r="D76" s="8" t="s">
        <v>745</v>
      </c>
      <c r="E76" s="44">
        <v>334315</v>
      </c>
      <c r="G76" s="4" t="s">
        <v>330</v>
      </c>
      <c r="H76" s="6">
        <v>120.97482460800001</v>
      </c>
      <c r="I76" s="6">
        <v>-21.842560475999999</v>
      </c>
      <c r="K76" s="4" t="s">
        <v>331</v>
      </c>
      <c r="L76" s="4" t="s">
        <v>368</v>
      </c>
      <c r="M76" s="4" t="s">
        <v>747</v>
      </c>
      <c r="Q76" s="8"/>
      <c r="Z76" s="4" t="s">
        <v>577</v>
      </c>
      <c r="AA76" s="7" t="s">
        <v>578</v>
      </c>
      <c r="AB76" s="8" t="s">
        <v>745</v>
      </c>
      <c r="AC76" s="4" t="s">
        <v>301</v>
      </c>
      <c r="AD76" s="4" t="s">
        <v>382</v>
      </c>
      <c r="AE76" s="8">
        <v>1093</v>
      </c>
      <c r="AG76" s="9" t="s">
        <v>379</v>
      </c>
      <c r="AH76" s="9" t="s">
        <v>380</v>
      </c>
      <c r="AM76" s="8">
        <v>3</v>
      </c>
      <c r="AN76" s="4" t="s">
        <v>381</v>
      </c>
      <c r="AO76" s="4" t="s">
        <v>382</v>
      </c>
      <c r="AP76" s="4" t="s">
        <v>383</v>
      </c>
      <c r="AQ76" s="7" t="s">
        <v>384</v>
      </c>
      <c r="AR76" s="7" t="s">
        <v>748</v>
      </c>
      <c r="AS76" s="7">
        <v>0</v>
      </c>
      <c r="AT76" s="7">
        <v>0</v>
      </c>
      <c r="AU76" s="9" t="s">
        <v>303</v>
      </c>
      <c r="AV76" s="9" t="s">
        <v>406</v>
      </c>
      <c r="BA76" s="8">
        <v>5</v>
      </c>
      <c r="BP76" s="7">
        <v>0.57999999999999996</v>
      </c>
      <c r="CI76" s="8">
        <v>27</v>
      </c>
      <c r="CJ76" s="8">
        <v>22</v>
      </c>
      <c r="DZ76" s="31"/>
      <c r="EX76" s="6">
        <f t="shared" si="6"/>
        <v>0.15659999999999999</v>
      </c>
      <c r="GP76" s="32"/>
      <c r="GY76" s="6" t="s">
        <v>338</v>
      </c>
      <c r="GZ76" s="6" t="s">
        <v>749</v>
      </c>
      <c r="HC76" s="6" t="s">
        <v>750</v>
      </c>
      <c r="HD76" s="8" t="s">
        <v>5505</v>
      </c>
      <c r="HE76" s="8">
        <v>11171</v>
      </c>
      <c r="HF76" s="8" t="s">
        <v>5506</v>
      </c>
      <c r="HG76" s="9" t="s">
        <v>349</v>
      </c>
      <c r="HH76" s="9" t="s">
        <v>753</v>
      </c>
      <c r="HI76" s="8">
        <v>15260</v>
      </c>
      <c r="HJ76" s="9" t="s">
        <v>754</v>
      </c>
      <c r="HK76" s="9" t="s">
        <v>349</v>
      </c>
      <c r="JX76" s="7" t="s">
        <v>355</v>
      </c>
      <c r="JY76" s="7" t="s">
        <v>354</v>
      </c>
      <c r="JZ76" s="7" t="s">
        <v>390</v>
      </c>
      <c r="KP76" s="5" t="s">
        <v>755</v>
      </c>
      <c r="KQ76" s="5" t="s">
        <v>755</v>
      </c>
      <c r="KS76" s="5" t="s">
        <v>755</v>
      </c>
      <c r="KT76" s="5" t="s">
        <v>7178</v>
      </c>
    </row>
    <row r="77" spans="1:306" ht="72" x14ac:dyDescent="0.25">
      <c r="A77" s="5" t="s">
        <v>1592</v>
      </c>
      <c r="B77" s="4" t="s">
        <v>577</v>
      </c>
      <c r="C77" s="7" t="s">
        <v>578</v>
      </c>
      <c r="D77" s="7" t="s">
        <v>1593</v>
      </c>
      <c r="G77" s="4" t="s">
        <v>330</v>
      </c>
      <c r="H77" s="6">
        <v>117.1</v>
      </c>
      <c r="I77" s="6">
        <v>-22.883299999999998</v>
      </c>
      <c r="J77" s="4" t="s">
        <v>1594</v>
      </c>
      <c r="K77" s="4" t="s">
        <v>331</v>
      </c>
      <c r="L77" s="4" t="s">
        <v>368</v>
      </c>
      <c r="M77" s="4" t="s">
        <v>1340</v>
      </c>
      <c r="O77" s="7"/>
      <c r="Q77" s="8"/>
      <c r="R77" s="8"/>
      <c r="T77" s="4"/>
      <c r="Z77" s="4" t="s">
        <v>577</v>
      </c>
      <c r="AA77" s="7" t="s">
        <v>578</v>
      </c>
      <c r="AB77" s="7" t="s">
        <v>1593</v>
      </c>
      <c r="AC77" s="4" t="s">
        <v>301</v>
      </c>
      <c r="AD77" s="4" t="s">
        <v>302</v>
      </c>
      <c r="AE77" s="8">
        <v>2449</v>
      </c>
      <c r="AF77" s="8">
        <v>3</v>
      </c>
      <c r="AG77" s="9" t="s">
        <v>379</v>
      </c>
      <c r="AH77" s="4" t="s">
        <v>372</v>
      </c>
      <c r="AI77" s="9" t="s">
        <v>373</v>
      </c>
      <c r="AJ77" s="9" t="s">
        <v>306</v>
      </c>
      <c r="AK77" s="9" t="s">
        <v>307</v>
      </c>
      <c r="AL77" s="9" t="s">
        <v>337</v>
      </c>
      <c r="AM77" s="8">
        <v>5</v>
      </c>
      <c r="AR77" s="7"/>
      <c r="AS77" s="8"/>
      <c r="AT77" s="8"/>
      <c r="AV77" s="4"/>
      <c r="BF77" s="7"/>
      <c r="BG77" s="8"/>
      <c r="BH77" s="8"/>
      <c r="BJ77" s="4"/>
      <c r="DZ77" s="31"/>
      <c r="FA77" s="6"/>
      <c r="GP77" s="32"/>
      <c r="GY77" s="6" t="s">
        <v>407</v>
      </c>
      <c r="HD77" s="8" t="s">
        <v>1592</v>
      </c>
      <c r="HE77" s="8">
        <v>2227</v>
      </c>
      <c r="HF77" s="8" t="s">
        <v>1595</v>
      </c>
      <c r="HG77" s="9" t="s">
        <v>538</v>
      </c>
      <c r="IM77" s="9"/>
      <c r="IR77" s="9"/>
      <c r="KQ77" s="5" t="s">
        <v>1596</v>
      </c>
      <c r="KR77" s="5" t="s">
        <v>1596</v>
      </c>
      <c r="KT77" s="5" t="s">
        <v>1597</v>
      </c>
    </row>
    <row r="78" spans="1:306" ht="60" x14ac:dyDescent="0.25">
      <c r="A78" s="5" t="s">
        <v>1656</v>
      </c>
      <c r="B78" s="4" t="s">
        <v>383</v>
      </c>
      <c r="C78" s="7" t="s">
        <v>384</v>
      </c>
      <c r="D78" s="7" t="s">
        <v>385</v>
      </c>
      <c r="E78" s="4">
        <v>362673</v>
      </c>
      <c r="G78" s="4" t="s">
        <v>330</v>
      </c>
      <c r="H78" s="6">
        <v>117.1737</v>
      </c>
      <c r="I78" s="6">
        <v>-22.611280000000001</v>
      </c>
      <c r="J78" s="4" t="s">
        <v>1656</v>
      </c>
      <c r="K78" s="4" t="s">
        <v>331</v>
      </c>
      <c r="L78" s="4" t="s">
        <v>368</v>
      </c>
      <c r="M78" s="4" t="s">
        <v>1340</v>
      </c>
      <c r="Q78" s="8"/>
      <c r="R78" s="8"/>
      <c r="Z78" s="4" t="s">
        <v>577</v>
      </c>
      <c r="AA78" s="7" t="s">
        <v>578</v>
      </c>
      <c r="AB78" s="8" t="s">
        <v>1593</v>
      </c>
      <c r="AC78" s="4" t="s">
        <v>370</v>
      </c>
      <c r="AD78" s="4" t="s">
        <v>371</v>
      </c>
      <c r="AE78" s="8">
        <v>2454</v>
      </c>
      <c r="AF78" s="8">
        <v>3</v>
      </c>
      <c r="AG78" s="9" t="s">
        <v>303</v>
      </c>
      <c r="AH78" s="9" t="s">
        <v>372</v>
      </c>
      <c r="AI78" s="9" t="s">
        <v>373</v>
      </c>
      <c r="AJ78" s="9" t="s">
        <v>306</v>
      </c>
      <c r="AK78" s="9" t="s">
        <v>307</v>
      </c>
      <c r="AL78" s="9" t="s">
        <v>337</v>
      </c>
      <c r="AM78" s="8">
        <v>5</v>
      </c>
      <c r="AN78" s="4" t="s">
        <v>381</v>
      </c>
      <c r="AO78" s="4" t="s">
        <v>302</v>
      </c>
      <c r="AP78" s="4" t="s">
        <v>383</v>
      </c>
      <c r="AQ78" s="7" t="s">
        <v>384</v>
      </c>
      <c r="AR78" s="7" t="s">
        <v>385</v>
      </c>
      <c r="AS78" s="8"/>
      <c r="AT78" s="8"/>
      <c r="BG78" s="8"/>
      <c r="BH78" s="8"/>
      <c r="BP78" s="7">
        <f>263+102</f>
        <v>365</v>
      </c>
      <c r="BQ78" s="8"/>
      <c r="CJ78" s="7">
        <f>(62.3*263+61.6*102)/(263+102)</f>
        <v>62.104383561643829</v>
      </c>
      <c r="DZ78" s="31"/>
      <c r="EY78" s="8">
        <f>BP78*CJ78/100</f>
        <v>226.68099999999998</v>
      </c>
      <c r="FA78" s="6"/>
      <c r="GP78" s="32"/>
      <c r="GY78" s="6" t="s">
        <v>338</v>
      </c>
      <c r="GZ78" s="6" t="s">
        <v>386</v>
      </c>
      <c r="HD78" s="9" t="s">
        <v>1657</v>
      </c>
      <c r="HE78" s="8">
        <v>5139</v>
      </c>
      <c r="HF78" s="9" t="s">
        <v>1658</v>
      </c>
      <c r="HG78" s="9" t="s">
        <v>538</v>
      </c>
      <c r="HH78" s="8" t="s">
        <v>1659</v>
      </c>
      <c r="HI78" s="8">
        <v>27168</v>
      </c>
      <c r="HJ78" s="8" t="s">
        <v>1660</v>
      </c>
      <c r="HK78" s="9" t="s">
        <v>538</v>
      </c>
      <c r="HL78" s="9" t="s">
        <v>1661</v>
      </c>
      <c r="HM78" s="8">
        <v>27096</v>
      </c>
      <c r="HN78" s="9" t="s">
        <v>1662</v>
      </c>
      <c r="HO78" s="9" t="s">
        <v>538</v>
      </c>
      <c r="IM78" s="9"/>
      <c r="IR78" s="9"/>
      <c r="JX78" s="7" t="s">
        <v>1663</v>
      </c>
      <c r="JY78" s="7" t="s">
        <v>470</v>
      </c>
      <c r="JZ78" s="7" t="s">
        <v>390</v>
      </c>
      <c r="KG78" s="4" t="s">
        <v>323</v>
      </c>
      <c r="KM78" s="4" t="s">
        <v>471</v>
      </c>
      <c r="KN78" s="4" t="s">
        <v>471</v>
      </c>
      <c r="KP78" s="5" t="s">
        <v>358</v>
      </c>
      <c r="KQ78" s="5" t="s">
        <v>1664</v>
      </c>
      <c r="KR78" s="5" t="s">
        <v>1665</v>
      </c>
      <c r="KS78" s="5" t="s">
        <v>1666</v>
      </c>
      <c r="KT78" s="5" t="s">
        <v>1667</v>
      </c>
    </row>
    <row r="79" spans="1:306" ht="48" x14ac:dyDescent="0.25">
      <c r="A79" s="5" t="s">
        <v>1668</v>
      </c>
      <c r="B79" s="4" t="s">
        <v>577</v>
      </c>
      <c r="C79" s="7" t="s">
        <v>578</v>
      </c>
      <c r="D79" s="7" t="s">
        <v>1593</v>
      </c>
      <c r="G79" s="4" t="s">
        <v>330</v>
      </c>
      <c r="J79" s="4" t="s">
        <v>1594</v>
      </c>
      <c r="K79" s="4" t="s">
        <v>331</v>
      </c>
      <c r="L79" s="4" t="s">
        <v>368</v>
      </c>
      <c r="M79" s="4" t="s">
        <v>1340</v>
      </c>
      <c r="O79" s="7"/>
      <c r="Q79" s="8"/>
      <c r="R79" s="8"/>
      <c r="S79" s="4"/>
      <c r="T79" s="4"/>
      <c r="Z79" s="4" t="s">
        <v>577</v>
      </c>
      <c r="AA79" s="7" t="s">
        <v>578</v>
      </c>
      <c r="AB79" s="7" t="s">
        <v>1593</v>
      </c>
      <c r="AC79" s="4" t="s">
        <v>301</v>
      </c>
      <c r="AD79" s="4" t="s">
        <v>302</v>
      </c>
      <c r="AE79" s="8">
        <v>2454</v>
      </c>
      <c r="AF79" s="8">
        <v>3</v>
      </c>
      <c r="AG79" s="4" t="s">
        <v>303</v>
      </c>
      <c r="AH79" s="4" t="s">
        <v>372</v>
      </c>
      <c r="AI79" s="9" t="s">
        <v>373</v>
      </c>
      <c r="AJ79" s="9" t="s">
        <v>306</v>
      </c>
      <c r="AK79" s="9" t="s">
        <v>307</v>
      </c>
      <c r="AL79" s="9" t="s">
        <v>337</v>
      </c>
      <c r="AM79" s="8">
        <v>5</v>
      </c>
      <c r="AR79" s="7"/>
      <c r="AS79" s="8"/>
      <c r="AT79" s="8"/>
      <c r="AU79" s="4"/>
      <c r="AV79" s="4"/>
      <c r="BF79" s="7"/>
      <c r="BG79" s="8"/>
      <c r="BH79" s="8"/>
      <c r="BI79" s="4"/>
      <c r="BJ79" s="4"/>
      <c r="DZ79" s="31"/>
      <c r="FA79" s="6"/>
      <c r="GP79" s="32"/>
      <c r="GY79" s="6" t="s">
        <v>407</v>
      </c>
      <c r="HD79" s="8" t="s">
        <v>1668</v>
      </c>
      <c r="HE79" s="8">
        <v>2602</v>
      </c>
      <c r="HF79" s="8" t="s">
        <v>1669</v>
      </c>
      <c r="HG79" s="9" t="s">
        <v>538</v>
      </c>
      <c r="IM79" s="9"/>
      <c r="IR79" s="9"/>
      <c r="KQ79" s="5" t="s">
        <v>1670</v>
      </c>
      <c r="KR79" s="5" t="s">
        <v>1670</v>
      </c>
    </row>
    <row r="80" spans="1:306" ht="96" x14ac:dyDescent="0.25">
      <c r="A80" s="5" t="s">
        <v>1794</v>
      </c>
      <c r="B80" s="4" t="s">
        <v>577</v>
      </c>
      <c r="C80" s="7" t="s">
        <v>578</v>
      </c>
      <c r="D80" s="8" t="s">
        <v>1593</v>
      </c>
      <c r="E80" s="38">
        <v>629066</v>
      </c>
      <c r="G80" s="4" t="s">
        <v>593</v>
      </c>
      <c r="H80" s="6">
        <v>134.7097</v>
      </c>
      <c r="I80" s="6">
        <v>-30.323499999999999</v>
      </c>
      <c r="K80" s="4" t="s">
        <v>595</v>
      </c>
      <c r="L80" s="4" t="s">
        <v>596</v>
      </c>
      <c r="Q80" s="8"/>
      <c r="R80" s="8"/>
      <c r="Z80" s="4" t="s">
        <v>577</v>
      </c>
      <c r="AA80" s="7" t="s">
        <v>578</v>
      </c>
      <c r="AB80" s="8" t="s">
        <v>1593</v>
      </c>
      <c r="AC80" s="4" t="s">
        <v>301</v>
      </c>
      <c r="AD80" s="4" t="s">
        <v>302</v>
      </c>
      <c r="AE80" s="8">
        <v>2165.5</v>
      </c>
      <c r="AF80" s="8">
        <v>452.5</v>
      </c>
      <c r="AG80" s="9" t="s">
        <v>379</v>
      </c>
      <c r="AH80" s="9" t="s">
        <v>460</v>
      </c>
      <c r="AM80" s="8">
        <v>1</v>
      </c>
      <c r="BP80" s="7">
        <v>471</v>
      </c>
      <c r="CJ80" s="6">
        <v>32.18</v>
      </c>
      <c r="DZ80" s="31"/>
      <c r="EB80" s="10"/>
      <c r="EY80" s="8">
        <f t="shared" ref="EY80:EY93" si="7">BP80*CJ80/100</f>
        <v>151.56780000000001</v>
      </c>
      <c r="FA80" s="6"/>
      <c r="GP80" s="32"/>
      <c r="GY80" s="6" t="s">
        <v>338</v>
      </c>
      <c r="GZ80" s="6" t="s">
        <v>386</v>
      </c>
      <c r="HD80" s="8" t="s">
        <v>1795</v>
      </c>
      <c r="HE80" s="8">
        <v>20023</v>
      </c>
      <c r="HF80" s="8" t="s">
        <v>1796</v>
      </c>
      <c r="HG80" s="9" t="s">
        <v>538</v>
      </c>
      <c r="HY80" s="9"/>
      <c r="IM80" s="9"/>
      <c r="JX80" s="7" t="s">
        <v>353</v>
      </c>
      <c r="KP80" s="5" t="s">
        <v>1797</v>
      </c>
      <c r="KQ80" s="5" t="s">
        <v>1798</v>
      </c>
      <c r="KR80" s="5" t="s">
        <v>1799</v>
      </c>
      <c r="KS80" s="5" t="s">
        <v>1797</v>
      </c>
      <c r="KT80" s="5" t="s">
        <v>1800</v>
      </c>
    </row>
    <row r="81" spans="1:306" ht="60" x14ac:dyDescent="0.25">
      <c r="A81" s="5" t="s">
        <v>1837</v>
      </c>
      <c r="B81" s="4" t="s">
        <v>577</v>
      </c>
      <c r="C81" s="7" t="s">
        <v>578</v>
      </c>
      <c r="D81" s="8" t="s">
        <v>1593</v>
      </c>
      <c r="E81" s="4">
        <v>545423</v>
      </c>
      <c r="G81" s="4" t="s">
        <v>593</v>
      </c>
      <c r="H81" s="6">
        <v>135.88810000000001</v>
      </c>
      <c r="I81" s="6">
        <v>-33.594999999999999</v>
      </c>
      <c r="K81" s="4" t="s">
        <v>595</v>
      </c>
      <c r="L81" s="4" t="s">
        <v>596</v>
      </c>
      <c r="M81" s="4" t="s">
        <v>1838</v>
      </c>
      <c r="Q81" s="8"/>
      <c r="R81" s="8"/>
      <c r="Z81" s="4" t="s">
        <v>577</v>
      </c>
      <c r="AA81" s="7" t="s">
        <v>578</v>
      </c>
      <c r="AB81" s="8" t="s">
        <v>1593</v>
      </c>
      <c r="AC81" s="4" t="s">
        <v>301</v>
      </c>
      <c r="AD81" s="4" t="s">
        <v>302</v>
      </c>
      <c r="AE81" s="8">
        <v>2556</v>
      </c>
      <c r="AF81" s="8">
        <v>3</v>
      </c>
      <c r="AG81" s="9" t="s">
        <v>379</v>
      </c>
      <c r="AH81" s="9" t="s">
        <v>460</v>
      </c>
      <c r="AI81" s="9" t="s">
        <v>373</v>
      </c>
      <c r="AJ81" s="9" t="s">
        <v>306</v>
      </c>
      <c r="AK81" s="9" t="s">
        <v>307</v>
      </c>
      <c r="AL81" s="9" t="s">
        <v>337</v>
      </c>
      <c r="AM81" s="8">
        <v>3</v>
      </c>
      <c r="BP81" s="7">
        <f>239.1+99</f>
        <v>338.1</v>
      </c>
      <c r="CJ81" s="8">
        <f>(239.1*30.7+99*16)/(239.1+99)</f>
        <v>26.395652173913039</v>
      </c>
      <c r="DZ81" s="31"/>
      <c r="EB81" s="10"/>
      <c r="EY81" s="7">
        <f t="shared" si="7"/>
        <v>89.24369999999999</v>
      </c>
      <c r="FA81" s="6"/>
      <c r="GP81" s="32"/>
      <c r="GY81" s="6" t="s">
        <v>338</v>
      </c>
      <c r="GZ81" s="6" t="s">
        <v>386</v>
      </c>
      <c r="HD81" s="8" t="s">
        <v>1839</v>
      </c>
      <c r="HE81" s="8">
        <v>10782</v>
      </c>
      <c r="HF81" s="8" t="s">
        <v>1840</v>
      </c>
      <c r="HG81" s="9" t="s">
        <v>507</v>
      </c>
      <c r="HY81" s="9"/>
      <c r="IB81" s="8" t="s">
        <v>1841</v>
      </c>
      <c r="ID81" s="8" t="s">
        <v>514</v>
      </c>
      <c r="IF81" s="8" t="s">
        <v>350</v>
      </c>
      <c r="IG81" s="8" t="s">
        <v>1842</v>
      </c>
      <c r="II81" s="8" t="s">
        <v>1843</v>
      </c>
      <c r="IK81" s="8" t="s">
        <v>350</v>
      </c>
      <c r="IM81" s="9"/>
      <c r="JX81" s="7" t="s">
        <v>353</v>
      </c>
      <c r="JY81" s="7" t="s">
        <v>448</v>
      </c>
      <c r="JZ81" s="7" t="s">
        <v>355</v>
      </c>
      <c r="KA81" s="7" t="s">
        <v>470</v>
      </c>
      <c r="KB81" s="7" t="s">
        <v>320</v>
      </c>
      <c r="KG81" s="4" t="s">
        <v>323</v>
      </c>
      <c r="KM81" s="4" t="s">
        <v>1192</v>
      </c>
      <c r="KN81" s="4" t="s">
        <v>888</v>
      </c>
      <c r="KP81" s="5" t="s">
        <v>358</v>
      </c>
      <c r="KQ81" s="5" t="s">
        <v>1844</v>
      </c>
      <c r="KR81" s="5" t="s">
        <v>1844</v>
      </c>
      <c r="KS81" s="5" t="s">
        <v>1797</v>
      </c>
      <c r="KT81" s="5" t="s">
        <v>1845</v>
      </c>
    </row>
    <row r="82" spans="1:306" ht="108" x14ac:dyDescent="0.25">
      <c r="A82" s="5" t="s">
        <v>2043</v>
      </c>
      <c r="B82" s="4" t="s">
        <v>577</v>
      </c>
      <c r="C82" s="7" t="s">
        <v>578</v>
      </c>
      <c r="D82" s="8" t="s">
        <v>1593</v>
      </c>
      <c r="E82" s="4">
        <v>545421</v>
      </c>
      <c r="G82" s="4" t="s">
        <v>593</v>
      </c>
      <c r="H82" s="6">
        <v>136.31970000000001</v>
      </c>
      <c r="I82" s="6">
        <v>-34.065300000000001</v>
      </c>
      <c r="K82" s="4" t="s">
        <v>595</v>
      </c>
      <c r="L82" s="4" t="s">
        <v>596</v>
      </c>
      <c r="M82" s="4" t="s">
        <v>1838</v>
      </c>
      <c r="Q82" s="8"/>
      <c r="R82" s="8"/>
      <c r="Z82" s="4" t="s">
        <v>577</v>
      </c>
      <c r="AA82" s="7" t="s">
        <v>578</v>
      </c>
      <c r="AB82" s="8" t="s">
        <v>1593</v>
      </c>
      <c r="AC82" s="4" t="s">
        <v>301</v>
      </c>
      <c r="AD82" s="4" t="s">
        <v>302</v>
      </c>
      <c r="AE82" s="8">
        <v>2556</v>
      </c>
      <c r="AF82" s="8">
        <v>3</v>
      </c>
      <c r="AG82" s="9" t="s">
        <v>379</v>
      </c>
      <c r="AH82" s="9" t="s">
        <v>380</v>
      </c>
      <c r="AI82" s="9" t="s">
        <v>373</v>
      </c>
      <c r="AJ82" s="9" t="s">
        <v>306</v>
      </c>
      <c r="AK82" s="9" t="s">
        <v>307</v>
      </c>
      <c r="AL82" s="9" t="s">
        <v>337</v>
      </c>
      <c r="AM82" s="8">
        <v>3</v>
      </c>
      <c r="BP82" s="7">
        <v>159.19999999999999</v>
      </c>
      <c r="CJ82" s="7">
        <v>27.3</v>
      </c>
      <c r="DZ82" s="31"/>
      <c r="EB82" s="10"/>
      <c r="EY82" s="7">
        <f t="shared" si="7"/>
        <v>43.461599999999997</v>
      </c>
      <c r="FA82" s="6"/>
      <c r="GP82" s="32"/>
      <c r="GY82" s="6" t="s">
        <v>338</v>
      </c>
      <c r="GZ82" s="6" t="s">
        <v>386</v>
      </c>
      <c r="HD82" s="8" t="s">
        <v>1839</v>
      </c>
      <c r="HE82" s="8">
        <v>10782</v>
      </c>
      <c r="HF82" s="8" t="s">
        <v>2044</v>
      </c>
      <c r="HG82" s="9" t="s">
        <v>507</v>
      </c>
      <c r="HY82" s="9"/>
      <c r="IB82" s="8" t="s">
        <v>1841</v>
      </c>
      <c r="ID82" s="8" t="s">
        <v>2045</v>
      </c>
      <c r="IF82" s="8" t="s">
        <v>350</v>
      </c>
      <c r="IM82" s="9"/>
      <c r="JX82" s="7" t="s">
        <v>353</v>
      </c>
      <c r="KG82" s="4" t="s">
        <v>323</v>
      </c>
      <c r="KM82" s="4" t="s">
        <v>1192</v>
      </c>
      <c r="KN82" s="4" t="s">
        <v>888</v>
      </c>
      <c r="KP82" s="5" t="s">
        <v>358</v>
      </c>
      <c r="KQ82" s="5" t="s">
        <v>1844</v>
      </c>
      <c r="KR82" s="5" t="s">
        <v>2046</v>
      </c>
      <c r="KS82" s="5" t="s">
        <v>1940</v>
      </c>
      <c r="KT82" s="5" t="s">
        <v>2047</v>
      </c>
    </row>
    <row r="83" spans="1:306" ht="48" x14ac:dyDescent="0.25">
      <c r="A83" s="5" t="s">
        <v>2082</v>
      </c>
      <c r="B83" s="4" t="s">
        <v>577</v>
      </c>
      <c r="C83" s="7" t="s">
        <v>578</v>
      </c>
      <c r="D83" s="8" t="s">
        <v>1593</v>
      </c>
      <c r="E83" s="4">
        <v>453937</v>
      </c>
      <c r="G83" s="4" t="s">
        <v>330</v>
      </c>
      <c r="H83" s="6">
        <v>117.44580000000001</v>
      </c>
      <c r="I83" s="6">
        <v>-21.9617</v>
      </c>
      <c r="J83" s="4" t="s">
        <v>2083</v>
      </c>
      <c r="K83" s="4" t="s">
        <v>331</v>
      </c>
      <c r="L83" s="4" t="s">
        <v>368</v>
      </c>
      <c r="M83" s="4" t="s">
        <v>1340</v>
      </c>
      <c r="Q83" s="8"/>
      <c r="R83" s="8"/>
      <c r="S83" s="4"/>
      <c r="T83" s="4"/>
      <c r="U83" s="4"/>
      <c r="V83" s="4"/>
      <c r="W83" s="4"/>
      <c r="X83" s="4"/>
      <c r="Z83" s="4" t="s">
        <v>577</v>
      </c>
      <c r="AA83" s="7" t="s">
        <v>578</v>
      </c>
      <c r="AB83" s="8" t="s">
        <v>1593</v>
      </c>
      <c r="AC83" s="4" t="s">
        <v>301</v>
      </c>
      <c r="AD83" s="4" t="s">
        <v>375</v>
      </c>
      <c r="AE83" s="8"/>
      <c r="AF83" s="8"/>
      <c r="AG83" s="4"/>
      <c r="AH83" s="4"/>
      <c r="AI83" s="4"/>
      <c r="AJ83" s="4"/>
      <c r="AK83" s="4"/>
      <c r="AL83" s="4"/>
      <c r="AN83" s="4" t="s">
        <v>381</v>
      </c>
      <c r="AO83" s="4" t="s">
        <v>402</v>
      </c>
      <c r="AP83" s="4" t="s">
        <v>383</v>
      </c>
      <c r="AQ83" s="7" t="s">
        <v>384</v>
      </c>
      <c r="AR83" s="7" t="s">
        <v>433</v>
      </c>
      <c r="AS83" s="7">
        <v>0</v>
      </c>
      <c r="AT83" s="7">
        <v>0</v>
      </c>
      <c r="AU83" s="4" t="s">
        <v>303</v>
      </c>
      <c r="AV83" s="4" t="s">
        <v>406</v>
      </c>
      <c r="AW83" s="4"/>
      <c r="AX83" s="4"/>
      <c r="AY83" s="4"/>
      <c r="AZ83" s="4"/>
      <c r="BA83" s="8">
        <v>5</v>
      </c>
      <c r="BG83" s="8"/>
      <c r="BH83" s="8"/>
      <c r="BP83" s="7">
        <f>1500+1600</f>
        <v>3100</v>
      </c>
      <c r="BQ83" s="8"/>
      <c r="CJ83" s="7">
        <f>(55.8*1500+57.7*1600)/(1500+1600)</f>
        <v>56.780645161290323</v>
      </c>
      <c r="DZ83" s="31"/>
      <c r="EY83" s="8">
        <f t="shared" si="7"/>
        <v>1760.2</v>
      </c>
      <c r="FA83" s="6"/>
      <c r="GP83" s="32"/>
      <c r="GY83" s="31" t="s">
        <v>407</v>
      </c>
      <c r="GZ83" s="6" t="s">
        <v>386</v>
      </c>
      <c r="HF83" s="8" t="s">
        <v>2084</v>
      </c>
      <c r="HG83" s="9" t="s">
        <v>1968</v>
      </c>
      <c r="IM83" s="9"/>
      <c r="IR83" s="9"/>
      <c r="JX83" s="7" t="s">
        <v>355</v>
      </c>
      <c r="JY83" s="7" t="s">
        <v>470</v>
      </c>
      <c r="JZ83" s="7" t="s">
        <v>390</v>
      </c>
      <c r="KG83" s="4" t="s">
        <v>323</v>
      </c>
      <c r="KM83" s="4" t="s">
        <v>471</v>
      </c>
      <c r="KN83" s="4" t="s">
        <v>471</v>
      </c>
      <c r="KP83" s="5" t="s">
        <v>358</v>
      </c>
      <c r="KQ83" s="5" t="s">
        <v>2085</v>
      </c>
      <c r="KS83" s="5" t="s">
        <v>2085</v>
      </c>
      <c r="KT83" s="5" t="s">
        <v>2086</v>
      </c>
    </row>
    <row r="84" spans="1:306" ht="48" x14ac:dyDescent="0.25">
      <c r="A84" s="5" t="s">
        <v>2154</v>
      </c>
      <c r="B84" s="4" t="s">
        <v>376</v>
      </c>
      <c r="C84" s="7" t="s">
        <v>377</v>
      </c>
      <c r="D84" s="7" t="s">
        <v>378</v>
      </c>
      <c r="E84" s="4">
        <v>335733</v>
      </c>
      <c r="G84" s="4" t="s">
        <v>330</v>
      </c>
      <c r="H84" s="6">
        <v>119.396385</v>
      </c>
      <c r="I84" s="6">
        <v>-22.302778</v>
      </c>
      <c r="J84" s="4" t="s">
        <v>2155</v>
      </c>
      <c r="K84" s="4" t="s">
        <v>331</v>
      </c>
      <c r="L84" s="4" t="s">
        <v>368</v>
      </c>
      <c r="M84" s="4" t="s">
        <v>1340</v>
      </c>
      <c r="Q84" s="8"/>
      <c r="R84" s="8"/>
      <c r="Z84" s="4" t="s">
        <v>577</v>
      </c>
      <c r="AA84" s="7" t="s">
        <v>578</v>
      </c>
      <c r="AB84" s="8" t="s">
        <v>1593</v>
      </c>
      <c r="AC84" s="4" t="s">
        <v>370</v>
      </c>
      <c r="AD84" s="4" t="s">
        <v>371</v>
      </c>
      <c r="AE84" s="8">
        <v>2597</v>
      </c>
      <c r="AF84" s="8">
        <v>5</v>
      </c>
      <c r="AG84" s="9" t="s">
        <v>303</v>
      </c>
      <c r="AH84" s="9" t="s">
        <v>372</v>
      </c>
      <c r="AI84" s="9" t="s">
        <v>373</v>
      </c>
      <c r="AJ84" s="9" t="s">
        <v>306</v>
      </c>
      <c r="AK84" s="9" t="s">
        <v>307</v>
      </c>
      <c r="AL84" s="9" t="s">
        <v>337</v>
      </c>
      <c r="AM84" s="8">
        <v>5</v>
      </c>
      <c r="AN84" s="4" t="s">
        <v>374</v>
      </c>
      <c r="AO84" s="4" t="s">
        <v>382</v>
      </c>
      <c r="AP84" s="4" t="s">
        <v>376</v>
      </c>
      <c r="AQ84" s="7" t="s">
        <v>377</v>
      </c>
      <c r="AR84" s="7" t="s">
        <v>378</v>
      </c>
      <c r="AS84" s="8">
        <v>2009</v>
      </c>
      <c r="AT84" s="8"/>
      <c r="AU84" s="9" t="s">
        <v>379</v>
      </c>
      <c r="AV84" s="9" t="s">
        <v>380</v>
      </c>
      <c r="BA84" s="8">
        <v>2</v>
      </c>
      <c r="BB84" s="4" t="s">
        <v>381</v>
      </c>
      <c r="BC84" s="4" t="s">
        <v>375</v>
      </c>
      <c r="BD84" s="4" t="s">
        <v>383</v>
      </c>
      <c r="BE84" s="7" t="s">
        <v>384</v>
      </c>
      <c r="BF84" s="7" t="s">
        <v>385</v>
      </c>
      <c r="BG84" s="8"/>
      <c r="BH84" s="8"/>
      <c r="BP84" s="7">
        <v>3159</v>
      </c>
      <c r="BQ84" s="8"/>
      <c r="BR84" s="7"/>
      <c r="BS84" s="7"/>
      <c r="BT84" s="7"/>
      <c r="BV84" s="7"/>
      <c r="BW84" s="7"/>
      <c r="BX84" s="7"/>
      <c r="BY84" s="7"/>
      <c r="BZ84" s="7"/>
      <c r="CA84" s="7"/>
      <c r="CB84" s="7"/>
      <c r="CC84" s="7"/>
      <c r="CD84" s="7"/>
      <c r="CE84" s="7"/>
      <c r="CF84" s="7"/>
      <c r="CG84" s="7"/>
      <c r="CH84" s="7"/>
      <c r="CI84" s="7"/>
      <c r="CJ84" s="7">
        <v>56.2</v>
      </c>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31"/>
      <c r="EA84" s="7"/>
      <c r="EB84" s="7"/>
      <c r="EC84" s="7"/>
      <c r="ED84" s="7"/>
      <c r="EE84" s="7"/>
      <c r="EF84" s="7"/>
      <c r="EG84" s="7"/>
      <c r="EL84" s="8"/>
      <c r="EY84" s="8">
        <f t="shared" si="7"/>
        <v>1775.3580000000002</v>
      </c>
      <c r="FA84" s="6"/>
      <c r="GP84" s="32"/>
      <c r="GY84" s="6" t="s">
        <v>338</v>
      </c>
      <c r="GZ84" s="6" t="s">
        <v>386</v>
      </c>
      <c r="HD84" s="8" t="s">
        <v>2156</v>
      </c>
      <c r="HE84" s="8">
        <v>13720</v>
      </c>
      <c r="HF84" s="8" t="s">
        <v>2157</v>
      </c>
      <c r="HG84" s="9" t="s">
        <v>507</v>
      </c>
      <c r="IE84" s="9"/>
      <c r="IF84" s="9"/>
      <c r="IM84" s="9"/>
      <c r="IR84" s="9"/>
      <c r="JX84" s="7" t="s">
        <v>1663</v>
      </c>
      <c r="JY84" s="7" t="s">
        <v>470</v>
      </c>
      <c r="JZ84" s="7" t="s">
        <v>390</v>
      </c>
      <c r="KA84" s="7" t="s">
        <v>448</v>
      </c>
      <c r="KB84" s="7" t="s">
        <v>355</v>
      </c>
      <c r="KG84" s="4" t="s">
        <v>323</v>
      </c>
      <c r="KM84" s="4" t="s">
        <v>471</v>
      </c>
      <c r="KN84" s="4" t="s">
        <v>471</v>
      </c>
      <c r="KP84" s="5" t="s">
        <v>358</v>
      </c>
      <c r="KQ84" s="5" t="s">
        <v>2158</v>
      </c>
      <c r="KR84" s="5" t="s">
        <v>2159</v>
      </c>
      <c r="KS84" s="5" t="s">
        <v>2160</v>
      </c>
      <c r="KT84" s="5" t="s">
        <v>2161</v>
      </c>
    </row>
    <row r="85" spans="1:306" ht="60" x14ac:dyDescent="0.25">
      <c r="A85" s="5" t="s">
        <v>2996</v>
      </c>
      <c r="B85" s="4" t="s">
        <v>376</v>
      </c>
      <c r="C85" s="7" t="s">
        <v>377</v>
      </c>
      <c r="D85" s="7" t="s">
        <v>378</v>
      </c>
      <c r="E85" s="4">
        <v>551175</v>
      </c>
      <c r="G85" s="4" t="s">
        <v>330</v>
      </c>
      <c r="H85" s="6">
        <v>116.83055400000001</v>
      </c>
      <c r="I85" s="6">
        <v>-22.493687000000001</v>
      </c>
      <c r="J85" s="4" t="s">
        <v>2996</v>
      </c>
      <c r="K85" s="4" t="s">
        <v>331</v>
      </c>
      <c r="L85" s="4" t="s">
        <v>368</v>
      </c>
      <c r="M85" s="4" t="s">
        <v>1340</v>
      </c>
      <c r="Q85" s="8"/>
      <c r="R85" s="8"/>
      <c r="Z85" s="4" t="s">
        <v>577</v>
      </c>
      <c r="AA85" s="7" t="s">
        <v>578</v>
      </c>
      <c r="AB85" s="8" t="s">
        <v>1593</v>
      </c>
      <c r="AC85" s="4" t="s">
        <v>370</v>
      </c>
      <c r="AD85" s="4" t="s">
        <v>371</v>
      </c>
      <c r="AE85" s="8">
        <v>2597</v>
      </c>
      <c r="AF85" s="8">
        <v>5</v>
      </c>
      <c r="AG85" s="9" t="s">
        <v>303</v>
      </c>
      <c r="AH85" s="9" t="s">
        <v>372</v>
      </c>
      <c r="AI85" s="9" t="s">
        <v>373</v>
      </c>
      <c r="AJ85" s="9" t="s">
        <v>306</v>
      </c>
      <c r="AK85" s="9" t="s">
        <v>307</v>
      </c>
      <c r="AL85" s="9" t="s">
        <v>337</v>
      </c>
      <c r="AM85" s="8">
        <v>5</v>
      </c>
      <c r="AN85" s="4" t="s">
        <v>374</v>
      </c>
      <c r="AO85" s="4" t="s">
        <v>382</v>
      </c>
      <c r="AP85" s="4" t="s">
        <v>376</v>
      </c>
      <c r="AQ85" s="7" t="s">
        <v>377</v>
      </c>
      <c r="AR85" s="7" t="s">
        <v>378</v>
      </c>
      <c r="AS85" s="8">
        <v>2009</v>
      </c>
      <c r="AT85" s="8"/>
      <c r="AU85" s="9" t="s">
        <v>379</v>
      </c>
      <c r="AV85" s="9" t="s">
        <v>380</v>
      </c>
      <c r="BA85" s="8">
        <v>2</v>
      </c>
      <c r="BB85" s="4" t="s">
        <v>381</v>
      </c>
      <c r="BC85" s="4" t="s">
        <v>375</v>
      </c>
      <c r="BD85" s="4" t="s">
        <v>383</v>
      </c>
      <c r="BE85" s="7" t="s">
        <v>384</v>
      </c>
      <c r="BF85" s="7" t="s">
        <v>385</v>
      </c>
      <c r="BG85" s="8"/>
      <c r="BH85" s="8"/>
      <c r="BP85" s="7">
        <f>260+330+150</f>
        <v>740</v>
      </c>
      <c r="BQ85" s="8"/>
      <c r="BR85" s="7"/>
      <c r="BS85" s="7"/>
      <c r="BT85" s="7"/>
      <c r="BV85" s="7"/>
      <c r="BW85" s="7"/>
      <c r="BX85" s="7"/>
      <c r="BY85" s="7"/>
      <c r="BZ85" s="7"/>
      <c r="CA85" s="7"/>
      <c r="CB85" s="7"/>
      <c r="CC85" s="7"/>
      <c r="CD85" s="7"/>
      <c r="CE85" s="7"/>
      <c r="CF85" s="7"/>
      <c r="CG85" s="7"/>
      <c r="CH85" s="7"/>
      <c r="CI85" s="7"/>
      <c r="CJ85" s="7">
        <f>(59.9*260+59.8*330+55.8*150)/(260+330+150)</f>
        <v>59.024324324324326</v>
      </c>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31"/>
      <c r="EA85" s="7"/>
      <c r="EB85" s="7"/>
      <c r="EC85" s="7"/>
      <c r="ED85" s="7"/>
      <c r="EE85" s="7"/>
      <c r="EF85" s="7"/>
      <c r="EG85" s="7"/>
      <c r="EL85" s="8"/>
      <c r="EY85" s="8">
        <f t="shared" si="7"/>
        <v>436.78</v>
      </c>
      <c r="FA85" s="6"/>
      <c r="GP85" s="32"/>
      <c r="GY85" s="6" t="s">
        <v>338</v>
      </c>
      <c r="GZ85" s="6" t="s">
        <v>386</v>
      </c>
      <c r="HD85" s="8" t="s">
        <v>2997</v>
      </c>
      <c r="HE85" s="8">
        <v>23826</v>
      </c>
      <c r="HF85" s="8" t="s">
        <v>2998</v>
      </c>
      <c r="HG85" s="9" t="s">
        <v>507</v>
      </c>
      <c r="HH85" s="8" t="s">
        <v>2999</v>
      </c>
      <c r="HI85" s="8">
        <v>10925</v>
      </c>
      <c r="HJ85" s="9" t="s">
        <v>3000</v>
      </c>
      <c r="HK85" s="9" t="s">
        <v>507</v>
      </c>
      <c r="HL85" s="8" t="s">
        <v>2156</v>
      </c>
      <c r="HM85" s="8">
        <v>13720</v>
      </c>
      <c r="HN85" s="8" t="s">
        <v>2157</v>
      </c>
      <c r="HO85" s="9" t="s">
        <v>507</v>
      </c>
      <c r="HP85" s="9" t="s">
        <v>1657</v>
      </c>
      <c r="HQ85" s="8">
        <v>5139</v>
      </c>
      <c r="HR85" s="9" t="s">
        <v>1658</v>
      </c>
      <c r="HS85" s="9" t="s">
        <v>538</v>
      </c>
      <c r="HT85" s="8" t="s">
        <v>1659</v>
      </c>
      <c r="HU85" s="8">
        <v>27168</v>
      </c>
      <c r="HV85" s="8" t="s">
        <v>1660</v>
      </c>
      <c r="HW85" s="9" t="s">
        <v>538</v>
      </c>
      <c r="IE85" s="9"/>
      <c r="IF85" s="9"/>
      <c r="IM85" s="9"/>
      <c r="IR85" s="9"/>
      <c r="JX85" s="7" t="s">
        <v>1663</v>
      </c>
      <c r="JY85" s="7" t="s">
        <v>470</v>
      </c>
      <c r="JZ85" s="7" t="s">
        <v>390</v>
      </c>
      <c r="KA85" s="7" t="s">
        <v>448</v>
      </c>
      <c r="KB85" s="7" t="s">
        <v>355</v>
      </c>
      <c r="KG85" s="4" t="s">
        <v>323</v>
      </c>
      <c r="KM85" s="4" t="s">
        <v>471</v>
      </c>
      <c r="KN85" s="4" t="s">
        <v>471</v>
      </c>
      <c r="KP85" s="5" t="s">
        <v>358</v>
      </c>
      <c r="KQ85" s="5" t="s">
        <v>3001</v>
      </c>
      <c r="KR85" s="5" t="s">
        <v>2159</v>
      </c>
      <c r="KS85" s="5" t="s">
        <v>3002</v>
      </c>
      <c r="KT85" s="5" t="s">
        <v>3003</v>
      </c>
    </row>
    <row r="86" spans="1:306" ht="60" x14ac:dyDescent="0.25">
      <c r="A86" s="5" t="s">
        <v>3308</v>
      </c>
      <c r="B86" s="4" t="s">
        <v>383</v>
      </c>
      <c r="C86" s="7" t="s">
        <v>384</v>
      </c>
      <c r="D86" s="7" t="s">
        <v>385</v>
      </c>
      <c r="E86" s="4">
        <v>551170</v>
      </c>
      <c r="G86" s="4" t="s">
        <v>330</v>
      </c>
      <c r="H86" s="6">
        <v>117.5217</v>
      </c>
      <c r="I86" s="6">
        <v>-22.176110000000001</v>
      </c>
      <c r="J86" s="4" t="s">
        <v>3309</v>
      </c>
      <c r="K86" s="4" t="s">
        <v>331</v>
      </c>
      <c r="L86" s="4" t="s">
        <v>368</v>
      </c>
      <c r="M86" s="4" t="s">
        <v>1340</v>
      </c>
      <c r="Q86" s="8"/>
      <c r="R86" s="8"/>
      <c r="Z86" s="4" t="s">
        <v>577</v>
      </c>
      <c r="AA86" s="7" t="s">
        <v>578</v>
      </c>
      <c r="AB86" s="8" t="s">
        <v>1593</v>
      </c>
      <c r="AC86" s="4" t="s">
        <v>370</v>
      </c>
      <c r="AD86" s="4" t="s">
        <v>371</v>
      </c>
      <c r="AE86" s="8">
        <v>2454</v>
      </c>
      <c r="AF86" s="8">
        <v>3</v>
      </c>
      <c r="AG86" s="9" t="s">
        <v>303</v>
      </c>
      <c r="AH86" s="9" t="s">
        <v>372</v>
      </c>
      <c r="AI86" s="9" t="s">
        <v>373</v>
      </c>
      <c r="AJ86" s="9" t="s">
        <v>306</v>
      </c>
      <c r="AK86" s="9" t="s">
        <v>307</v>
      </c>
      <c r="AL86" s="9" t="s">
        <v>337</v>
      </c>
      <c r="AM86" s="8">
        <v>5</v>
      </c>
      <c r="AN86" s="4" t="s">
        <v>381</v>
      </c>
      <c r="AO86" s="4" t="s">
        <v>302</v>
      </c>
      <c r="AP86" s="4" t="s">
        <v>383</v>
      </c>
      <c r="AQ86" s="7" t="s">
        <v>384</v>
      </c>
      <c r="AR86" s="7" t="s">
        <v>385</v>
      </c>
      <c r="AS86" s="8"/>
      <c r="AT86" s="8"/>
      <c r="BF86" s="7"/>
      <c r="BG86" s="8"/>
      <c r="BH86" s="8"/>
      <c r="BP86" s="7">
        <v>310</v>
      </c>
      <c r="BQ86" s="8"/>
      <c r="BR86" s="7"/>
      <c r="BS86" s="7"/>
      <c r="BT86" s="7"/>
      <c r="BV86" s="7"/>
      <c r="BW86" s="7"/>
      <c r="BX86" s="7"/>
      <c r="BY86" s="7"/>
      <c r="BZ86" s="7"/>
      <c r="CA86" s="7"/>
      <c r="CB86" s="7"/>
      <c r="CC86" s="7"/>
      <c r="CD86" s="7"/>
      <c r="CE86" s="7"/>
      <c r="CF86" s="7"/>
      <c r="CG86" s="7"/>
      <c r="CH86" s="7"/>
      <c r="CI86" s="7"/>
      <c r="CJ86" s="7">
        <v>58.2</v>
      </c>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31"/>
      <c r="EA86" s="7"/>
      <c r="EB86" s="7"/>
      <c r="EC86" s="7"/>
      <c r="ED86" s="7"/>
      <c r="EE86" s="7"/>
      <c r="EF86" s="7"/>
      <c r="EG86" s="7"/>
      <c r="EL86" s="8"/>
      <c r="EY86" s="8">
        <f t="shared" si="7"/>
        <v>180.42</v>
      </c>
      <c r="FA86" s="6"/>
      <c r="GP86" s="32"/>
      <c r="GY86" s="6" t="s">
        <v>338</v>
      </c>
      <c r="GZ86" s="6" t="s">
        <v>386</v>
      </c>
      <c r="HD86" s="8" t="s">
        <v>1659</v>
      </c>
      <c r="HE86" s="8">
        <v>27168</v>
      </c>
      <c r="HF86" s="8" t="s">
        <v>3310</v>
      </c>
      <c r="HG86" s="9" t="s">
        <v>507</v>
      </c>
      <c r="HH86" s="9" t="s">
        <v>1661</v>
      </c>
      <c r="HI86" s="8">
        <v>27096</v>
      </c>
      <c r="HJ86" s="9" t="s">
        <v>1662</v>
      </c>
      <c r="HK86" s="9" t="s">
        <v>538</v>
      </c>
      <c r="HL86" s="9" t="s">
        <v>1657</v>
      </c>
      <c r="HM86" s="8">
        <v>5139</v>
      </c>
      <c r="HN86" s="9" t="s">
        <v>1658</v>
      </c>
      <c r="HO86" s="9" t="s">
        <v>538</v>
      </c>
      <c r="IE86" s="9"/>
      <c r="IF86" s="9"/>
      <c r="IM86" s="9"/>
      <c r="IR86" s="9"/>
      <c r="JX86" s="7" t="s">
        <v>1663</v>
      </c>
      <c r="JY86" s="7" t="s">
        <v>470</v>
      </c>
      <c r="JZ86" s="7" t="s">
        <v>390</v>
      </c>
      <c r="KG86" s="4" t="s">
        <v>323</v>
      </c>
      <c r="KM86" s="4" t="s">
        <v>471</v>
      </c>
      <c r="KN86" s="4" t="s">
        <v>471</v>
      </c>
      <c r="KP86" s="5" t="s">
        <v>358</v>
      </c>
      <c r="KQ86" s="5" t="s">
        <v>3311</v>
      </c>
      <c r="KR86" s="5" t="s">
        <v>1670</v>
      </c>
      <c r="KS86" s="5" t="s">
        <v>2160</v>
      </c>
      <c r="KT86" s="5" t="s">
        <v>3312</v>
      </c>
    </row>
    <row r="87" spans="1:306" ht="144" x14ac:dyDescent="0.25">
      <c r="A87" s="5" t="s">
        <v>3377</v>
      </c>
      <c r="B87" s="4" t="s">
        <v>376</v>
      </c>
      <c r="C87" s="7" t="s">
        <v>377</v>
      </c>
      <c r="D87" s="8" t="s">
        <v>378</v>
      </c>
      <c r="E87" s="4">
        <v>334254</v>
      </c>
      <c r="G87" s="4" t="s">
        <v>530</v>
      </c>
      <c r="H87" s="6">
        <v>131.85</v>
      </c>
      <c r="I87" s="6">
        <v>-13.6</v>
      </c>
      <c r="J87" s="4" t="s">
        <v>3378</v>
      </c>
      <c r="K87" s="4" t="s">
        <v>481</v>
      </c>
      <c r="L87" s="4" t="s">
        <v>532</v>
      </c>
      <c r="Q87" s="8"/>
      <c r="R87" s="8"/>
      <c r="U87" s="4"/>
      <c r="V87" s="4"/>
      <c r="W87" s="4"/>
      <c r="X87" s="4"/>
      <c r="Z87" s="4" t="s">
        <v>577</v>
      </c>
      <c r="AA87" s="7" t="s">
        <v>578</v>
      </c>
      <c r="AB87" s="8" t="s">
        <v>1593</v>
      </c>
      <c r="AC87" s="4" t="s">
        <v>370</v>
      </c>
      <c r="AD87" s="4" t="s">
        <v>371</v>
      </c>
      <c r="AE87" s="8">
        <v>2019</v>
      </c>
      <c r="AF87" s="8">
        <v>4</v>
      </c>
      <c r="AG87" s="9" t="s">
        <v>379</v>
      </c>
      <c r="AH87" s="9" t="s">
        <v>372</v>
      </c>
      <c r="AI87" s="4" t="s">
        <v>373</v>
      </c>
      <c r="AJ87" s="4" t="s">
        <v>306</v>
      </c>
      <c r="AK87" s="4" t="s">
        <v>307</v>
      </c>
      <c r="AL87" s="4" t="s">
        <v>337</v>
      </c>
      <c r="AM87" s="8">
        <v>4</v>
      </c>
      <c r="AN87" s="4" t="s">
        <v>381</v>
      </c>
      <c r="AO87" s="4" t="s">
        <v>375</v>
      </c>
      <c r="AP87" s="4" t="s">
        <v>376</v>
      </c>
      <c r="AQ87" s="7" t="s">
        <v>377</v>
      </c>
      <c r="AR87" s="8" t="s">
        <v>378</v>
      </c>
      <c r="AS87" s="7"/>
      <c r="AT87" s="7"/>
      <c r="BG87" s="7"/>
      <c r="BH87" s="7"/>
      <c r="BP87" s="7">
        <f>10.06+13.42</f>
        <v>23.48</v>
      </c>
      <c r="CJ87" s="7">
        <f>(10.06*58.8+13.42*64)/(10.06+13.42)</f>
        <v>61.772061328790457</v>
      </c>
      <c r="DZ87" s="31"/>
      <c r="EE87" s="7"/>
      <c r="EF87" s="7"/>
      <c r="EG87" s="7"/>
      <c r="EO87" s="8"/>
      <c r="EP87" s="8"/>
      <c r="EY87" s="7">
        <f t="shared" si="7"/>
        <v>14.504079999999998</v>
      </c>
      <c r="FA87" s="9"/>
      <c r="FG87" s="9"/>
      <c r="GP87" s="32"/>
      <c r="GT87" s="8"/>
      <c r="GW87" s="8"/>
      <c r="GY87" s="8" t="s">
        <v>309</v>
      </c>
      <c r="GZ87" s="8" t="s">
        <v>386</v>
      </c>
      <c r="HA87" s="8"/>
      <c r="HB87" s="8"/>
      <c r="HC87" s="8"/>
      <c r="HD87" s="8" t="s">
        <v>3379</v>
      </c>
      <c r="HE87" s="8">
        <v>24105</v>
      </c>
      <c r="HF87" s="8" t="s">
        <v>3380</v>
      </c>
      <c r="HG87" s="9" t="s">
        <v>538</v>
      </c>
      <c r="IB87" s="4"/>
      <c r="ID87" s="4"/>
      <c r="IE87" s="4"/>
      <c r="IF87" s="4"/>
      <c r="IW87" s="8"/>
      <c r="JB87" s="8"/>
      <c r="JX87" s="7" t="s">
        <v>355</v>
      </c>
      <c r="KG87" s="4" t="s">
        <v>323</v>
      </c>
      <c r="KM87" s="4" t="s">
        <v>391</v>
      </c>
      <c r="KN87" s="4" t="s">
        <v>391</v>
      </c>
      <c r="KP87" s="5" t="s">
        <v>358</v>
      </c>
      <c r="KQ87" s="5" t="s">
        <v>3381</v>
      </c>
      <c r="KR87" s="5" t="s">
        <v>741</v>
      </c>
      <c r="KS87" s="5" t="s">
        <v>2485</v>
      </c>
      <c r="KT87" s="5" t="s">
        <v>3382</v>
      </c>
    </row>
    <row r="88" spans="1:306" ht="60" x14ac:dyDescent="0.25">
      <c r="A88" s="5" t="s">
        <v>3394</v>
      </c>
      <c r="B88" s="4" t="s">
        <v>577</v>
      </c>
      <c r="C88" s="7" t="s">
        <v>578</v>
      </c>
      <c r="D88" s="8" t="s">
        <v>1593</v>
      </c>
      <c r="E88" s="4">
        <v>549365</v>
      </c>
      <c r="G88" s="4" t="s">
        <v>593</v>
      </c>
      <c r="H88" s="6">
        <v>135.87620000000001</v>
      </c>
      <c r="I88" s="6">
        <v>-34.389899999999997</v>
      </c>
      <c r="J88" s="4" t="s">
        <v>3395</v>
      </c>
      <c r="K88" s="4" t="s">
        <v>595</v>
      </c>
      <c r="L88" s="4" t="s">
        <v>596</v>
      </c>
      <c r="M88" s="4" t="s">
        <v>1838</v>
      </c>
      <c r="Q88" s="8"/>
      <c r="R88" s="8"/>
      <c r="Z88" s="4" t="s">
        <v>577</v>
      </c>
      <c r="AA88" s="7" t="s">
        <v>578</v>
      </c>
      <c r="AB88" s="8" t="s">
        <v>1593</v>
      </c>
      <c r="AC88" s="4" t="s">
        <v>301</v>
      </c>
      <c r="AD88" s="4" t="s">
        <v>302</v>
      </c>
      <c r="AE88" s="8">
        <v>2556</v>
      </c>
      <c r="AF88" s="8">
        <v>3</v>
      </c>
      <c r="AG88" s="9" t="s">
        <v>379</v>
      </c>
      <c r="AH88" s="9" t="s">
        <v>380</v>
      </c>
      <c r="AI88" s="9" t="s">
        <v>373</v>
      </c>
      <c r="AJ88" s="9" t="s">
        <v>306</v>
      </c>
      <c r="AK88" s="9" t="s">
        <v>307</v>
      </c>
      <c r="AL88" s="9" t="s">
        <v>337</v>
      </c>
      <c r="AM88" s="8">
        <v>3</v>
      </c>
      <c r="BP88" s="7">
        <f>289.4+266.2+135+61.8+217</f>
        <v>969.39999999999986</v>
      </c>
      <c r="CJ88" s="7">
        <f>(26.8*289.4+24.4*266.2+25.5*135+29.7*61.8+24.3*217)/(289.4+266.2+135+61.8+217)</f>
        <v>25.585166082112647</v>
      </c>
      <c r="DZ88" s="31"/>
      <c r="EB88" s="10"/>
      <c r="EY88" s="7">
        <f t="shared" si="7"/>
        <v>248.02259999999995</v>
      </c>
      <c r="FA88" s="6"/>
      <c r="GP88" s="32"/>
      <c r="GY88" s="6" t="s">
        <v>338</v>
      </c>
      <c r="GZ88" s="6" t="s">
        <v>386</v>
      </c>
      <c r="HD88" s="8" t="s">
        <v>1839</v>
      </c>
      <c r="HE88" s="8">
        <v>10782</v>
      </c>
      <c r="HF88" s="8" t="s">
        <v>3396</v>
      </c>
      <c r="HG88" s="9" t="s">
        <v>507</v>
      </c>
      <c r="HY88" s="9"/>
      <c r="IM88" s="9"/>
      <c r="JX88" s="7" t="s">
        <v>353</v>
      </c>
      <c r="KG88" s="4" t="s">
        <v>323</v>
      </c>
      <c r="KM88" s="4" t="s">
        <v>1192</v>
      </c>
      <c r="KN88" s="4" t="s">
        <v>888</v>
      </c>
      <c r="KP88" s="5" t="s">
        <v>358</v>
      </c>
      <c r="KQ88" s="5" t="s">
        <v>3397</v>
      </c>
      <c r="KR88" s="5" t="s">
        <v>3398</v>
      </c>
      <c r="KS88" s="5" t="s">
        <v>1797</v>
      </c>
      <c r="KT88" s="5" t="s">
        <v>2047</v>
      </c>
    </row>
    <row r="89" spans="1:306" ht="96" x14ac:dyDescent="0.25">
      <c r="A89" s="5" t="s">
        <v>3443</v>
      </c>
      <c r="B89" s="4" t="s">
        <v>577</v>
      </c>
      <c r="C89" s="7" t="s">
        <v>578</v>
      </c>
      <c r="D89" s="8" t="s">
        <v>1593</v>
      </c>
      <c r="E89" s="4">
        <v>335037</v>
      </c>
      <c r="G89" s="4" t="s">
        <v>593</v>
      </c>
      <c r="H89" s="6">
        <v>134.7611</v>
      </c>
      <c r="I89" s="6">
        <v>-30.305599999999998</v>
      </c>
      <c r="K89" s="4" t="s">
        <v>595</v>
      </c>
      <c r="L89" s="4" t="s">
        <v>596</v>
      </c>
      <c r="Q89" s="8"/>
      <c r="R89" s="8"/>
      <c r="Z89" s="4" t="s">
        <v>577</v>
      </c>
      <c r="AA89" s="7" t="s">
        <v>578</v>
      </c>
      <c r="AB89" s="8" t="s">
        <v>1593</v>
      </c>
      <c r="AC89" s="4" t="s">
        <v>301</v>
      </c>
      <c r="AD89" s="4" t="s">
        <v>302</v>
      </c>
      <c r="AE89" s="8">
        <v>2165.5</v>
      </c>
      <c r="AF89" s="8">
        <v>452.5</v>
      </c>
      <c r="AG89" s="9" t="s">
        <v>379</v>
      </c>
      <c r="AH89" s="9" t="s">
        <v>460</v>
      </c>
      <c r="AM89" s="8">
        <v>1</v>
      </c>
      <c r="BP89" s="7">
        <v>581.9</v>
      </c>
      <c r="CJ89" s="8">
        <v>31</v>
      </c>
      <c r="DZ89" s="31"/>
      <c r="EB89" s="10"/>
      <c r="EY89" s="8">
        <f t="shared" si="7"/>
        <v>180.38899999999998</v>
      </c>
      <c r="FA89" s="6"/>
      <c r="GP89" s="32"/>
      <c r="GY89" s="6" t="s">
        <v>338</v>
      </c>
      <c r="GZ89" s="6" t="s">
        <v>386</v>
      </c>
      <c r="HD89" s="8" t="s">
        <v>1795</v>
      </c>
      <c r="HE89" s="8">
        <v>20023</v>
      </c>
      <c r="HF89" s="8" t="s">
        <v>3444</v>
      </c>
      <c r="HG89" s="9" t="s">
        <v>538</v>
      </c>
      <c r="HY89" s="9"/>
      <c r="IM89" s="9"/>
      <c r="JX89" s="7" t="s">
        <v>353</v>
      </c>
      <c r="KP89" s="5" t="s">
        <v>358</v>
      </c>
      <c r="KQ89" s="5" t="s">
        <v>1798</v>
      </c>
      <c r="KR89" s="5" t="s">
        <v>1799</v>
      </c>
      <c r="KS89" s="5" t="s">
        <v>1797</v>
      </c>
      <c r="KT89" s="5" t="s">
        <v>3445</v>
      </c>
    </row>
    <row r="90" spans="1:306" ht="60" x14ac:dyDescent="0.25">
      <c r="A90" s="5" t="s">
        <v>3690</v>
      </c>
      <c r="B90" s="4" t="s">
        <v>376</v>
      </c>
      <c r="C90" s="7" t="s">
        <v>377</v>
      </c>
      <c r="D90" s="7" t="s">
        <v>378</v>
      </c>
      <c r="E90" s="4">
        <v>337201</v>
      </c>
      <c r="G90" s="4" t="s">
        <v>330</v>
      </c>
      <c r="H90" s="6">
        <v>117.60247</v>
      </c>
      <c r="I90" s="6">
        <v>-23.230107</v>
      </c>
      <c r="J90" s="4" t="s">
        <v>3691</v>
      </c>
      <c r="K90" s="4" t="s">
        <v>331</v>
      </c>
      <c r="L90" s="4" t="s">
        <v>368</v>
      </c>
      <c r="M90" s="4" t="s">
        <v>1340</v>
      </c>
      <c r="Q90" s="8"/>
      <c r="R90" s="8"/>
      <c r="Z90" s="4" t="s">
        <v>577</v>
      </c>
      <c r="AA90" s="7" t="s">
        <v>578</v>
      </c>
      <c r="AB90" s="8" t="s">
        <v>1593</v>
      </c>
      <c r="AC90" s="4" t="s">
        <v>370</v>
      </c>
      <c r="AD90" s="4" t="s">
        <v>371</v>
      </c>
      <c r="AE90" s="8">
        <v>2454</v>
      </c>
      <c r="AF90" s="8">
        <v>3</v>
      </c>
      <c r="AG90" s="9" t="s">
        <v>303</v>
      </c>
      <c r="AH90" s="9" t="s">
        <v>372</v>
      </c>
      <c r="AI90" s="9" t="s">
        <v>373</v>
      </c>
      <c r="AJ90" s="9" t="s">
        <v>306</v>
      </c>
      <c r="AK90" s="9" t="s">
        <v>307</v>
      </c>
      <c r="AL90" s="9" t="s">
        <v>337</v>
      </c>
      <c r="AM90" s="8">
        <v>5</v>
      </c>
      <c r="AN90" s="4" t="s">
        <v>374</v>
      </c>
      <c r="AO90" s="4" t="s">
        <v>302</v>
      </c>
      <c r="AP90" s="4" t="s">
        <v>376</v>
      </c>
      <c r="AQ90" s="7" t="s">
        <v>377</v>
      </c>
      <c r="AR90" s="7" t="s">
        <v>378</v>
      </c>
      <c r="AS90" s="8">
        <v>2009</v>
      </c>
      <c r="AT90" s="8">
        <v>16</v>
      </c>
      <c r="AU90" s="9" t="s">
        <v>379</v>
      </c>
      <c r="AV90" s="9" t="s">
        <v>460</v>
      </c>
      <c r="BA90" s="8">
        <v>4</v>
      </c>
      <c r="BG90" s="8"/>
      <c r="BH90" s="8"/>
      <c r="BP90" s="7">
        <v>590</v>
      </c>
      <c r="BQ90" s="8"/>
      <c r="CJ90" s="7">
        <v>63.508474576271183</v>
      </c>
      <c r="DZ90" s="31"/>
      <c r="EY90" s="8">
        <f t="shared" si="7"/>
        <v>374.7</v>
      </c>
      <c r="FA90" s="6"/>
      <c r="GP90" s="32"/>
      <c r="GY90" s="6" t="s">
        <v>309</v>
      </c>
      <c r="GZ90" s="6" t="s">
        <v>386</v>
      </c>
      <c r="HD90" s="9" t="s">
        <v>1657</v>
      </c>
      <c r="HE90" s="8">
        <v>5139</v>
      </c>
      <c r="HF90" s="9" t="s">
        <v>1658</v>
      </c>
      <c r="HG90" s="9" t="s">
        <v>538</v>
      </c>
      <c r="HH90" s="8" t="s">
        <v>1659</v>
      </c>
      <c r="HI90" s="8">
        <v>27168</v>
      </c>
      <c r="HJ90" s="8" t="s">
        <v>1660</v>
      </c>
      <c r="HK90" s="9" t="s">
        <v>538</v>
      </c>
      <c r="HL90" s="9" t="s">
        <v>3692</v>
      </c>
      <c r="HM90" s="8">
        <v>74449</v>
      </c>
      <c r="HN90" s="9" t="s">
        <v>3693</v>
      </c>
      <c r="HO90" s="9" t="s">
        <v>538</v>
      </c>
      <c r="HP90" s="9" t="s">
        <v>3694</v>
      </c>
      <c r="HQ90" s="8">
        <v>20814</v>
      </c>
      <c r="HR90" s="8" t="s">
        <v>3695</v>
      </c>
      <c r="HS90" s="9" t="s">
        <v>538</v>
      </c>
      <c r="HT90" s="9" t="s">
        <v>3696</v>
      </c>
      <c r="HU90" s="8">
        <v>19674</v>
      </c>
      <c r="HV90" s="9" t="s">
        <v>3697</v>
      </c>
      <c r="HW90" s="9" t="s">
        <v>538</v>
      </c>
      <c r="IB90" s="9"/>
      <c r="ID90" s="8" t="s">
        <v>658</v>
      </c>
      <c r="IE90" s="9" t="s">
        <v>538</v>
      </c>
      <c r="IF90" s="8" t="s">
        <v>319</v>
      </c>
      <c r="IM90" s="9"/>
      <c r="IR90" s="9"/>
      <c r="JV90" s="7" t="s">
        <v>3698</v>
      </c>
      <c r="JX90" s="7" t="s">
        <v>390</v>
      </c>
      <c r="JY90" s="7" t="s">
        <v>354</v>
      </c>
      <c r="JZ90" s="7" t="s">
        <v>1663</v>
      </c>
      <c r="KA90" s="7" t="s">
        <v>470</v>
      </c>
      <c r="KB90" s="7" t="s">
        <v>355</v>
      </c>
      <c r="KC90" s="7" t="s">
        <v>354</v>
      </c>
      <c r="KD90" s="7" t="s">
        <v>320</v>
      </c>
      <c r="KG90" s="4" t="s">
        <v>323</v>
      </c>
      <c r="KM90" s="4" t="s">
        <v>471</v>
      </c>
      <c r="KN90" s="4" t="s">
        <v>471</v>
      </c>
      <c r="KP90" s="5" t="s">
        <v>358</v>
      </c>
      <c r="KQ90" s="5" t="s">
        <v>3699</v>
      </c>
      <c r="KR90" s="5" t="s">
        <v>1665</v>
      </c>
      <c r="KS90" s="5" t="s">
        <v>3700</v>
      </c>
      <c r="KT90" s="5" t="s">
        <v>3701</v>
      </c>
    </row>
    <row r="91" spans="1:306" ht="156" x14ac:dyDescent="0.25">
      <c r="A91" s="5" t="s">
        <v>3789</v>
      </c>
      <c r="B91" s="4" t="s">
        <v>577</v>
      </c>
      <c r="C91" s="7" t="s">
        <v>578</v>
      </c>
      <c r="D91" s="8" t="s">
        <v>1593</v>
      </c>
      <c r="E91" s="4">
        <v>512513</v>
      </c>
      <c r="G91" s="4" t="s">
        <v>593</v>
      </c>
      <c r="H91" s="6">
        <v>135.69399999999999</v>
      </c>
      <c r="I91" s="6">
        <v>-34.706000000000003</v>
      </c>
      <c r="J91" s="4" t="s">
        <v>3790</v>
      </c>
      <c r="K91" s="4" t="s">
        <v>595</v>
      </c>
      <c r="L91" s="4" t="s">
        <v>596</v>
      </c>
      <c r="Q91" s="8"/>
      <c r="R91" s="8"/>
      <c r="Z91" s="4" t="s">
        <v>577</v>
      </c>
      <c r="AA91" s="7" t="s">
        <v>578</v>
      </c>
      <c r="AB91" s="8" t="s">
        <v>1593</v>
      </c>
      <c r="AC91" s="4" t="s">
        <v>301</v>
      </c>
      <c r="AD91" s="4" t="s">
        <v>375</v>
      </c>
      <c r="AE91" s="8">
        <v>1907</v>
      </c>
      <c r="AF91" s="8">
        <v>57</v>
      </c>
      <c r="AG91" s="9" t="s">
        <v>379</v>
      </c>
      <c r="AH91" s="9" t="s">
        <v>690</v>
      </c>
      <c r="AM91" s="8">
        <v>3</v>
      </c>
      <c r="AN91" s="4" t="s">
        <v>381</v>
      </c>
      <c r="AO91" s="4" t="s">
        <v>382</v>
      </c>
      <c r="AP91" s="4" t="s">
        <v>383</v>
      </c>
      <c r="AQ91" s="7" t="s">
        <v>384</v>
      </c>
      <c r="AR91" s="8" t="s">
        <v>385</v>
      </c>
      <c r="AS91" s="7">
        <v>0</v>
      </c>
      <c r="AT91" s="7">
        <v>0</v>
      </c>
      <c r="AU91" s="9" t="s">
        <v>379</v>
      </c>
      <c r="AV91" s="9" t="s">
        <v>406</v>
      </c>
      <c r="BA91" s="8">
        <v>5</v>
      </c>
      <c r="BP91" s="7">
        <f>12.3+88.9+3.5+1.4+0.7+2.2</f>
        <v>109.00000000000001</v>
      </c>
      <c r="CJ91" s="7">
        <f>(12.3*26.6+88.9*23.5+3.5*27+1.4*49.8+0.7*46+2.2*39.5)/(12.3+88.9+3.5+1.4+0.7+2.2)</f>
        <v>24.767431192660545</v>
      </c>
      <c r="DZ91" s="31"/>
      <c r="EB91" s="10"/>
      <c r="EY91" s="7">
        <f t="shared" si="7"/>
        <v>26.996499999999997</v>
      </c>
      <c r="GP91" s="32"/>
      <c r="GY91" s="6" t="s">
        <v>338</v>
      </c>
      <c r="GZ91" s="6" t="s">
        <v>386</v>
      </c>
      <c r="HD91" s="8" t="s">
        <v>3791</v>
      </c>
      <c r="HE91" s="8">
        <v>25953</v>
      </c>
      <c r="HF91" s="8" t="s">
        <v>3792</v>
      </c>
      <c r="HG91" s="9" t="s">
        <v>538</v>
      </c>
      <c r="JX91" s="7" t="s">
        <v>353</v>
      </c>
      <c r="KG91" s="4" t="s">
        <v>323</v>
      </c>
      <c r="KP91" s="5" t="s">
        <v>358</v>
      </c>
      <c r="KQ91" s="5" t="s">
        <v>3793</v>
      </c>
      <c r="KR91" s="18" t="s">
        <v>3794</v>
      </c>
      <c r="KS91" s="5" t="s">
        <v>3795</v>
      </c>
      <c r="KT91" s="5" t="s">
        <v>3796</v>
      </c>
    </row>
    <row r="92" spans="1:306" ht="96" x14ac:dyDescent="0.25">
      <c r="A92" s="5" t="s">
        <v>3983</v>
      </c>
      <c r="B92" s="4" t="s">
        <v>577</v>
      </c>
      <c r="C92" s="7" t="s">
        <v>578</v>
      </c>
      <c r="D92" s="8" t="s">
        <v>1593</v>
      </c>
      <c r="E92" s="4">
        <v>527920</v>
      </c>
      <c r="G92" s="4" t="s">
        <v>593</v>
      </c>
      <c r="H92" s="6">
        <v>136.61099999999999</v>
      </c>
      <c r="I92" s="6">
        <v>-32.808999999999997</v>
      </c>
      <c r="K92" s="4" t="s">
        <v>595</v>
      </c>
      <c r="L92" s="4" t="s">
        <v>596</v>
      </c>
      <c r="Q92" s="8"/>
      <c r="R92" s="8"/>
      <c r="Z92" s="4" t="s">
        <v>577</v>
      </c>
      <c r="AA92" s="7" t="s">
        <v>578</v>
      </c>
      <c r="AB92" s="8" t="s">
        <v>1593</v>
      </c>
      <c r="AC92" s="4" t="s">
        <v>301</v>
      </c>
      <c r="AD92" s="4" t="s">
        <v>302</v>
      </c>
      <c r="AE92" s="8">
        <v>1907</v>
      </c>
      <c r="AF92" s="8">
        <v>57</v>
      </c>
      <c r="AG92" s="9" t="s">
        <v>379</v>
      </c>
      <c r="AH92" s="9" t="s">
        <v>690</v>
      </c>
      <c r="AM92" s="8">
        <v>3</v>
      </c>
      <c r="BP92" s="7">
        <v>193.9</v>
      </c>
      <c r="CJ92" s="8">
        <v>16</v>
      </c>
      <c r="DZ92" s="31"/>
      <c r="EB92" s="10"/>
      <c r="EY92" s="7">
        <f t="shared" si="7"/>
        <v>31.024000000000001</v>
      </c>
      <c r="FA92" s="6"/>
      <c r="GP92" s="32"/>
      <c r="GY92" s="6" t="s">
        <v>338</v>
      </c>
      <c r="GZ92" s="6" t="s">
        <v>1049</v>
      </c>
      <c r="HA92" s="6" t="s">
        <v>1050</v>
      </c>
      <c r="HB92" s="6" t="s">
        <v>994</v>
      </c>
      <c r="HC92" s="6" t="s">
        <v>627</v>
      </c>
      <c r="HD92" s="8" t="s">
        <v>3791</v>
      </c>
      <c r="HE92" s="8">
        <v>25953</v>
      </c>
      <c r="HF92" s="8" t="s">
        <v>3992</v>
      </c>
      <c r="HG92" s="9" t="s">
        <v>538</v>
      </c>
      <c r="HY92" s="9"/>
      <c r="IM92" s="9"/>
      <c r="KP92" s="5" t="s">
        <v>358</v>
      </c>
      <c r="KQ92" s="5" t="s">
        <v>3993</v>
      </c>
      <c r="KR92" s="5" t="s">
        <v>3993</v>
      </c>
      <c r="KS92" s="5" t="s">
        <v>1797</v>
      </c>
      <c r="KT92" s="5" t="s">
        <v>3994</v>
      </c>
    </row>
    <row r="93" spans="1:306" ht="48" x14ac:dyDescent="0.25">
      <c r="A93" s="5" t="s">
        <v>4130</v>
      </c>
      <c r="B93" s="4" t="s">
        <v>383</v>
      </c>
      <c r="C93" s="7" t="s">
        <v>384</v>
      </c>
      <c r="D93" s="7" t="s">
        <v>385</v>
      </c>
      <c r="E93" s="4">
        <v>333907</v>
      </c>
      <c r="G93" s="4" t="s">
        <v>330</v>
      </c>
      <c r="H93" s="6">
        <v>119.12157000000001</v>
      </c>
      <c r="I93" s="6">
        <v>-22.948225000000001</v>
      </c>
      <c r="J93" s="4" t="s">
        <v>4130</v>
      </c>
      <c r="K93" s="4" t="s">
        <v>331</v>
      </c>
      <c r="L93" s="4" t="s">
        <v>368</v>
      </c>
      <c r="M93" s="4" t="s">
        <v>1340</v>
      </c>
      <c r="Q93" s="8"/>
      <c r="R93" s="8"/>
      <c r="Z93" s="4" t="s">
        <v>577</v>
      </c>
      <c r="AA93" s="7" t="s">
        <v>578</v>
      </c>
      <c r="AB93" s="8" t="s">
        <v>1593</v>
      </c>
      <c r="AC93" s="4" t="s">
        <v>370</v>
      </c>
      <c r="AD93" s="4" t="s">
        <v>371</v>
      </c>
      <c r="AE93" s="8">
        <v>2597</v>
      </c>
      <c r="AF93" s="8">
        <v>5</v>
      </c>
      <c r="AG93" s="9" t="s">
        <v>303</v>
      </c>
      <c r="AH93" s="9" t="s">
        <v>372</v>
      </c>
      <c r="AI93" s="9" t="s">
        <v>373</v>
      </c>
      <c r="AJ93" s="9" t="s">
        <v>306</v>
      </c>
      <c r="AK93" s="9" t="s">
        <v>307</v>
      </c>
      <c r="AL93" s="9" t="s">
        <v>337</v>
      </c>
      <c r="AM93" s="8">
        <v>5</v>
      </c>
      <c r="AN93" s="4" t="s">
        <v>381</v>
      </c>
      <c r="AO93" s="4" t="s">
        <v>302</v>
      </c>
      <c r="AP93" s="4" t="s">
        <v>383</v>
      </c>
      <c r="AQ93" s="7" t="s">
        <v>384</v>
      </c>
      <c r="AR93" s="7" t="s">
        <v>385</v>
      </c>
      <c r="AS93" s="8"/>
      <c r="AT93" s="8"/>
      <c r="BG93" s="8"/>
      <c r="BH93" s="8"/>
      <c r="BP93" s="7">
        <v>1084</v>
      </c>
      <c r="BQ93" s="8"/>
      <c r="CJ93" s="7">
        <v>61.897509225092243</v>
      </c>
      <c r="DZ93" s="31"/>
      <c r="EY93" s="8">
        <f t="shared" si="7"/>
        <v>670.96899999999994</v>
      </c>
      <c r="FA93" s="6"/>
      <c r="GP93" s="32"/>
      <c r="GY93" s="6" t="s">
        <v>338</v>
      </c>
      <c r="GZ93" s="6" t="s">
        <v>386</v>
      </c>
      <c r="HD93" s="8" t="s">
        <v>2997</v>
      </c>
      <c r="HE93" s="8">
        <v>23826</v>
      </c>
      <c r="HF93" s="8" t="s">
        <v>2998</v>
      </c>
      <c r="HG93" s="9" t="s">
        <v>507</v>
      </c>
      <c r="HH93" s="8" t="s">
        <v>2999</v>
      </c>
      <c r="HI93" s="8">
        <v>10925</v>
      </c>
      <c r="HJ93" s="9" t="s">
        <v>3000</v>
      </c>
      <c r="HK93" s="9" t="s">
        <v>507</v>
      </c>
      <c r="HL93" s="8" t="s">
        <v>2156</v>
      </c>
      <c r="HM93" s="8">
        <v>13720</v>
      </c>
      <c r="HN93" s="8" t="s">
        <v>2157</v>
      </c>
      <c r="HO93" s="9" t="s">
        <v>507</v>
      </c>
      <c r="IM93" s="9"/>
      <c r="IR93" s="9"/>
      <c r="JX93" s="7" t="s">
        <v>1663</v>
      </c>
      <c r="JY93" s="7" t="s">
        <v>470</v>
      </c>
      <c r="JZ93" s="7" t="s">
        <v>390</v>
      </c>
      <c r="KG93" s="4" t="s">
        <v>323</v>
      </c>
      <c r="KM93" s="4" t="s">
        <v>471</v>
      </c>
      <c r="KN93" s="4" t="s">
        <v>471</v>
      </c>
      <c r="KP93" s="5" t="s">
        <v>358</v>
      </c>
      <c r="KQ93" s="5" t="s">
        <v>4131</v>
      </c>
      <c r="KR93" s="5" t="s">
        <v>2159</v>
      </c>
      <c r="KS93" s="5" t="s">
        <v>4132</v>
      </c>
      <c r="KT93" s="5" t="s">
        <v>4133</v>
      </c>
    </row>
    <row r="94" spans="1:306" ht="60" x14ac:dyDescent="0.25">
      <c r="A94" s="5" t="s">
        <v>4154</v>
      </c>
      <c r="B94" s="4" t="s">
        <v>577</v>
      </c>
      <c r="C94" s="7" t="s">
        <v>578</v>
      </c>
      <c r="D94" s="7" t="s">
        <v>1593</v>
      </c>
      <c r="G94" s="4" t="s">
        <v>330</v>
      </c>
      <c r="J94" s="4" t="s">
        <v>4148</v>
      </c>
      <c r="K94" s="4" t="s">
        <v>331</v>
      </c>
      <c r="L94" s="4" t="s">
        <v>4155</v>
      </c>
      <c r="O94" s="7"/>
      <c r="Q94" s="8"/>
      <c r="R94" s="8"/>
      <c r="Z94" s="4" t="s">
        <v>577</v>
      </c>
      <c r="AA94" s="7" t="s">
        <v>578</v>
      </c>
      <c r="AB94" s="7" t="s">
        <v>1593</v>
      </c>
      <c r="AC94" s="4" t="s">
        <v>301</v>
      </c>
      <c r="AD94" s="4" t="s">
        <v>302</v>
      </c>
      <c r="AE94" s="8">
        <v>1920</v>
      </c>
      <c r="AF94" s="8">
        <v>100</v>
      </c>
      <c r="AG94" s="9" t="s">
        <v>379</v>
      </c>
      <c r="AH94" s="9" t="s">
        <v>460</v>
      </c>
      <c r="AM94" s="8">
        <v>2</v>
      </c>
      <c r="AR94" s="7"/>
      <c r="AS94" s="8"/>
      <c r="AT94" s="8"/>
      <c r="BF94" s="7"/>
      <c r="BG94" s="8"/>
      <c r="BH94" s="8"/>
      <c r="DZ94" s="31"/>
      <c r="FA94" s="6"/>
      <c r="GP94" s="32"/>
      <c r="GY94" s="6" t="s">
        <v>407</v>
      </c>
      <c r="HD94" s="8" t="s">
        <v>4154</v>
      </c>
      <c r="HE94" s="8">
        <v>27801</v>
      </c>
      <c r="HF94" s="9" t="s">
        <v>4156</v>
      </c>
      <c r="HG94" s="9" t="s">
        <v>538</v>
      </c>
      <c r="IM94" s="9"/>
      <c r="IR94" s="9"/>
      <c r="KQ94" s="5" t="s">
        <v>4157</v>
      </c>
      <c r="KR94" s="5" t="s">
        <v>4157</v>
      </c>
      <c r="KT94" s="5" t="s">
        <v>4158</v>
      </c>
    </row>
    <row r="95" spans="1:306" ht="96" x14ac:dyDescent="0.25">
      <c r="A95" s="5" t="s">
        <v>3791</v>
      </c>
      <c r="B95" s="4" t="s">
        <v>577</v>
      </c>
      <c r="C95" s="7" t="s">
        <v>578</v>
      </c>
      <c r="D95" s="8" t="s">
        <v>1593</v>
      </c>
      <c r="G95" s="4" t="s">
        <v>593</v>
      </c>
      <c r="K95" s="4" t="s">
        <v>595</v>
      </c>
      <c r="L95" s="4" t="s">
        <v>596</v>
      </c>
      <c r="Q95" s="8"/>
      <c r="R95" s="8"/>
      <c r="Z95" s="4" t="s">
        <v>577</v>
      </c>
      <c r="AA95" s="7" t="s">
        <v>578</v>
      </c>
      <c r="AB95" s="8" t="s">
        <v>1593</v>
      </c>
      <c r="AC95" s="4" t="s">
        <v>301</v>
      </c>
      <c r="AD95" s="4" t="s">
        <v>302</v>
      </c>
      <c r="AE95" s="8">
        <v>1907</v>
      </c>
      <c r="AF95" s="8">
        <v>57</v>
      </c>
      <c r="AG95" s="9" t="s">
        <v>379</v>
      </c>
      <c r="AH95" s="9" t="s">
        <v>690</v>
      </c>
      <c r="AM95" s="8">
        <v>3</v>
      </c>
      <c r="DZ95" s="31"/>
      <c r="EB95" s="10"/>
      <c r="EY95" s="6"/>
      <c r="FA95" s="6"/>
      <c r="GP95" s="32"/>
      <c r="GY95" s="6" t="s">
        <v>407</v>
      </c>
      <c r="HD95" s="8" t="s">
        <v>3791</v>
      </c>
      <c r="HE95" s="8">
        <v>25953</v>
      </c>
      <c r="HF95" s="8" t="s">
        <v>3992</v>
      </c>
      <c r="HG95" s="9" t="s">
        <v>538</v>
      </c>
      <c r="HY95" s="9"/>
      <c r="IM95" s="9"/>
      <c r="KQ95" s="5" t="s">
        <v>3794</v>
      </c>
      <c r="KR95" s="5" t="s">
        <v>3794</v>
      </c>
      <c r="KT95" s="5" t="s">
        <v>4182</v>
      </c>
    </row>
    <row r="96" spans="1:306" ht="48" x14ac:dyDescent="0.25">
      <c r="A96" s="5" t="s">
        <v>4301</v>
      </c>
      <c r="B96" s="4" t="s">
        <v>376</v>
      </c>
      <c r="C96" s="7" t="s">
        <v>377</v>
      </c>
      <c r="D96" s="7" t="s">
        <v>378</v>
      </c>
      <c r="E96" s="4">
        <v>335463</v>
      </c>
      <c r="G96" s="4" t="s">
        <v>330</v>
      </c>
      <c r="H96" s="6">
        <v>120.1377</v>
      </c>
      <c r="I96" s="6">
        <v>-23.380579999999998</v>
      </c>
      <c r="J96" s="4" t="s">
        <v>4301</v>
      </c>
      <c r="K96" s="4" t="s">
        <v>331</v>
      </c>
      <c r="L96" s="4" t="s">
        <v>368</v>
      </c>
      <c r="M96" s="4" t="s">
        <v>1340</v>
      </c>
      <c r="Q96" s="8"/>
      <c r="R96" s="8"/>
      <c r="Z96" s="4" t="s">
        <v>577</v>
      </c>
      <c r="AA96" s="7" t="s">
        <v>578</v>
      </c>
      <c r="AB96" s="8" t="s">
        <v>1593</v>
      </c>
      <c r="AC96" s="4" t="s">
        <v>370</v>
      </c>
      <c r="AD96" s="4" t="s">
        <v>371</v>
      </c>
      <c r="AE96" s="8">
        <v>2454</v>
      </c>
      <c r="AF96" s="8">
        <v>3</v>
      </c>
      <c r="AG96" s="9" t="s">
        <v>303</v>
      </c>
      <c r="AH96" s="9" t="s">
        <v>372</v>
      </c>
      <c r="AI96" s="9" t="s">
        <v>373</v>
      </c>
      <c r="AJ96" s="9" t="s">
        <v>306</v>
      </c>
      <c r="AK96" s="9" t="s">
        <v>307</v>
      </c>
      <c r="AL96" s="9" t="s">
        <v>337</v>
      </c>
      <c r="AM96" s="8">
        <v>5</v>
      </c>
      <c r="AN96" s="4" t="s">
        <v>374</v>
      </c>
      <c r="AO96" s="4" t="s">
        <v>382</v>
      </c>
      <c r="AP96" s="4" t="s">
        <v>376</v>
      </c>
      <c r="AQ96" s="7" t="s">
        <v>377</v>
      </c>
      <c r="AR96" s="7" t="s">
        <v>378</v>
      </c>
      <c r="AS96" s="8">
        <v>2009</v>
      </c>
      <c r="AT96" s="8"/>
      <c r="AU96" s="9" t="s">
        <v>379</v>
      </c>
      <c r="AV96" s="9" t="s">
        <v>380</v>
      </c>
      <c r="BA96" s="8">
        <v>2</v>
      </c>
      <c r="BB96" s="4" t="s">
        <v>381</v>
      </c>
      <c r="BC96" s="4" t="s">
        <v>375</v>
      </c>
      <c r="BD96" s="4" t="s">
        <v>383</v>
      </c>
      <c r="BE96" s="7" t="s">
        <v>384</v>
      </c>
      <c r="BF96" s="7" t="s">
        <v>385</v>
      </c>
      <c r="BG96" s="8"/>
      <c r="BH96" s="8"/>
      <c r="BP96" s="7">
        <v>2642</v>
      </c>
      <c r="BQ96" s="8"/>
      <c r="CJ96" s="7">
        <v>60.171498864496584</v>
      </c>
      <c r="DZ96" s="31"/>
      <c r="EY96" s="8">
        <f>BP96*CJ96/100</f>
        <v>1589.7309999999998</v>
      </c>
      <c r="FA96" s="6"/>
      <c r="GP96" s="32"/>
      <c r="GY96" s="6" t="s">
        <v>338</v>
      </c>
      <c r="GZ96" s="6" t="s">
        <v>386</v>
      </c>
      <c r="HD96" s="8" t="s">
        <v>1668</v>
      </c>
      <c r="HE96" s="8">
        <v>2606</v>
      </c>
      <c r="HF96" s="8" t="s">
        <v>4302</v>
      </c>
      <c r="HG96" s="9" t="s">
        <v>538</v>
      </c>
      <c r="HH96" s="9" t="s">
        <v>4303</v>
      </c>
      <c r="HI96" s="8">
        <v>11353</v>
      </c>
      <c r="HJ96" s="9" t="s">
        <v>4304</v>
      </c>
      <c r="HK96" s="9" t="s">
        <v>507</v>
      </c>
      <c r="IM96" s="9"/>
      <c r="IR96" s="9"/>
      <c r="KG96" s="4" t="s">
        <v>323</v>
      </c>
      <c r="KM96" s="4" t="s">
        <v>471</v>
      </c>
      <c r="KN96" s="4" t="s">
        <v>471</v>
      </c>
      <c r="KP96" s="5" t="s">
        <v>358</v>
      </c>
      <c r="KQ96" s="5" t="s">
        <v>4305</v>
      </c>
      <c r="KR96" s="5" t="s">
        <v>1665</v>
      </c>
      <c r="KS96" s="5" t="s">
        <v>4132</v>
      </c>
      <c r="KT96" s="5" t="s">
        <v>4306</v>
      </c>
    </row>
    <row r="97" spans="1:306" ht="96" x14ac:dyDescent="0.25">
      <c r="A97" s="5" t="s">
        <v>4560</v>
      </c>
      <c r="B97" s="4" t="s">
        <v>577</v>
      </c>
      <c r="C97" s="7" t="s">
        <v>578</v>
      </c>
      <c r="D97" s="8" t="s">
        <v>1593</v>
      </c>
      <c r="E97" s="4">
        <v>694966</v>
      </c>
      <c r="G97" s="4" t="s">
        <v>593</v>
      </c>
      <c r="H97" s="6">
        <v>135.121478</v>
      </c>
      <c r="I97" s="6">
        <v>-29.996486000000001</v>
      </c>
      <c r="K97" s="4" t="s">
        <v>595</v>
      </c>
      <c r="L97" s="4" t="s">
        <v>596</v>
      </c>
      <c r="Q97" s="8"/>
      <c r="R97" s="8"/>
      <c r="Z97" s="4" t="s">
        <v>577</v>
      </c>
      <c r="AA97" s="7" t="s">
        <v>578</v>
      </c>
      <c r="AB97" s="8" t="s">
        <v>1593</v>
      </c>
      <c r="AC97" s="4" t="s">
        <v>301</v>
      </c>
      <c r="AD97" s="4" t="s">
        <v>302</v>
      </c>
      <c r="AE97" s="8">
        <v>2165.5</v>
      </c>
      <c r="AF97" s="8">
        <v>452.5</v>
      </c>
      <c r="AG97" s="9" t="s">
        <v>379</v>
      </c>
      <c r="AH97" s="9" t="s">
        <v>460</v>
      </c>
      <c r="AM97" s="8">
        <v>1</v>
      </c>
      <c r="BP97" s="7">
        <v>220</v>
      </c>
      <c r="CJ97" s="8">
        <v>36</v>
      </c>
      <c r="DZ97" s="31"/>
      <c r="EB97" s="10"/>
      <c r="EY97" s="7">
        <f>BP97*CJ97/100</f>
        <v>79.2</v>
      </c>
      <c r="FA97" s="6"/>
      <c r="GP97" s="32"/>
      <c r="GY97" s="6" t="s">
        <v>338</v>
      </c>
      <c r="GZ97" s="6" t="s">
        <v>386</v>
      </c>
      <c r="HD97" s="8" t="s">
        <v>1795</v>
      </c>
      <c r="HE97" s="8">
        <v>20023</v>
      </c>
      <c r="HF97" s="8" t="s">
        <v>3444</v>
      </c>
      <c r="HG97" s="9" t="s">
        <v>538</v>
      </c>
      <c r="HY97" s="9"/>
      <c r="IM97" s="9"/>
      <c r="JX97" s="7" t="s">
        <v>353</v>
      </c>
      <c r="KP97" s="5" t="s">
        <v>1797</v>
      </c>
      <c r="KQ97" s="5" t="s">
        <v>1798</v>
      </c>
      <c r="KR97" s="5" t="s">
        <v>1799</v>
      </c>
      <c r="KS97" s="5" t="s">
        <v>1797</v>
      </c>
      <c r="KT97" s="5" t="s">
        <v>3445</v>
      </c>
    </row>
    <row r="98" spans="1:306" ht="36" x14ac:dyDescent="0.25">
      <c r="A98" s="5" t="s">
        <v>5022</v>
      </c>
      <c r="B98" s="4" t="s">
        <v>383</v>
      </c>
      <c r="C98" s="7" t="s">
        <v>384</v>
      </c>
      <c r="D98" s="7" t="s">
        <v>385</v>
      </c>
      <c r="E98" s="4">
        <v>337061</v>
      </c>
      <c r="G98" s="4" t="s">
        <v>330</v>
      </c>
      <c r="H98" s="6">
        <v>118.13856199999999</v>
      </c>
      <c r="I98" s="6">
        <v>-22.638099</v>
      </c>
      <c r="J98" s="4" t="s">
        <v>5022</v>
      </c>
      <c r="K98" s="4" t="s">
        <v>331</v>
      </c>
      <c r="L98" s="4" t="s">
        <v>368</v>
      </c>
      <c r="M98" s="4" t="s">
        <v>1340</v>
      </c>
      <c r="Q98" s="8"/>
      <c r="R98" s="8"/>
      <c r="Z98" s="4" t="s">
        <v>577</v>
      </c>
      <c r="AA98" s="7" t="s">
        <v>578</v>
      </c>
      <c r="AB98" s="8" t="s">
        <v>1593</v>
      </c>
      <c r="AC98" s="4" t="s">
        <v>370</v>
      </c>
      <c r="AD98" s="4" t="s">
        <v>371</v>
      </c>
      <c r="AE98" s="8">
        <v>2597</v>
      </c>
      <c r="AF98" s="8">
        <v>5</v>
      </c>
      <c r="AG98" s="9" t="s">
        <v>303</v>
      </c>
      <c r="AH98" s="9" t="s">
        <v>372</v>
      </c>
      <c r="AI98" s="9" t="s">
        <v>373</v>
      </c>
      <c r="AJ98" s="9" t="s">
        <v>306</v>
      </c>
      <c r="AK98" s="9" t="s">
        <v>307</v>
      </c>
      <c r="AL98" s="9" t="s">
        <v>337</v>
      </c>
      <c r="AM98" s="8">
        <v>5</v>
      </c>
      <c r="AN98" s="4" t="s">
        <v>381</v>
      </c>
      <c r="AO98" s="4" t="s">
        <v>302</v>
      </c>
      <c r="AP98" s="4" t="s">
        <v>383</v>
      </c>
      <c r="AQ98" s="7" t="s">
        <v>384</v>
      </c>
      <c r="AR98" s="7" t="s">
        <v>385</v>
      </c>
      <c r="AS98" s="8"/>
      <c r="AT98" s="8"/>
      <c r="BG98" s="8"/>
      <c r="BH98" s="8"/>
      <c r="BP98" s="7">
        <f>159+33</f>
        <v>192</v>
      </c>
      <c r="BQ98" s="8"/>
      <c r="CJ98" s="7">
        <f>(63.8*159+58.4*33)/(159+33)</f>
        <v>62.871874999999996</v>
      </c>
      <c r="DZ98" s="31"/>
      <c r="EY98" s="8">
        <f>BP98*CJ98/100</f>
        <v>120.714</v>
      </c>
      <c r="FA98" s="6"/>
      <c r="GP98" s="32"/>
      <c r="GY98" s="6" t="s">
        <v>338</v>
      </c>
      <c r="GZ98" s="6" t="s">
        <v>386</v>
      </c>
      <c r="HD98" s="8" t="s">
        <v>2997</v>
      </c>
      <c r="HE98" s="8">
        <v>23826</v>
      </c>
      <c r="HF98" s="8" t="s">
        <v>2998</v>
      </c>
      <c r="HG98" s="9" t="s">
        <v>507</v>
      </c>
      <c r="IM98" s="9"/>
      <c r="IR98" s="9"/>
      <c r="JX98" s="7" t="s">
        <v>390</v>
      </c>
      <c r="JY98" s="7" t="s">
        <v>470</v>
      </c>
      <c r="JZ98" s="7" t="s">
        <v>1663</v>
      </c>
      <c r="KG98" s="4" t="s">
        <v>323</v>
      </c>
      <c r="KM98" s="4" t="s">
        <v>471</v>
      </c>
      <c r="KN98" s="4" t="s">
        <v>471</v>
      </c>
      <c r="KP98" s="5" t="s">
        <v>358</v>
      </c>
      <c r="KQ98" s="5" t="s">
        <v>5023</v>
      </c>
      <c r="KR98" s="5" t="s">
        <v>2159</v>
      </c>
      <c r="KS98" s="5" t="s">
        <v>1666</v>
      </c>
      <c r="KT98" s="5" t="s">
        <v>5024</v>
      </c>
    </row>
    <row r="99" spans="1:306" ht="48" x14ac:dyDescent="0.25">
      <c r="A99" s="5" t="s">
        <v>4303</v>
      </c>
      <c r="B99" s="4" t="s">
        <v>577</v>
      </c>
      <c r="C99" s="7" t="s">
        <v>578</v>
      </c>
      <c r="D99" s="7" t="s">
        <v>1593</v>
      </c>
      <c r="G99" s="4" t="s">
        <v>330</v>
      </c>
      <c r="J99" s="4" t="s">
        <v>1594</v>
      </c>
      <c r="K99" s="4" t="s">
        <v>331</v>
      </c>
      <c r="L99" s="4" t="s">
        <v>368</v>
      </c>
      <c r="M99" s="4" t="s">
        <v>1340</v>
      </c>
      <c r="O99" s="7"/>
      <c r="Q99" s="8"/>
      <c r="R99" s="8"/>
      <c r="S99" s="4"/>
      <c r="T99" s="4"/>
      <c r="Z99" s="4" t="s">
        <v>577</v>
      </c>
      <c r="AA99" s="7" t="s">
        <v>578</v>
      </c>
      <c r="AB99" s="7" t="s">
        <v>1593</v>
      </c>
      <c r="AC99" s="4" t="s">
        <v>301</v>
      </c>
      <c r="AD99" s="4" t="s">
        <v>302</v>
      </c>
      <c r="AE99" s="8">
        <v>2597</v>
      </c>
      <c r="AF99" s="8">
        <v>5</v>
      </c>
      <c r="AG99" s="4" t="s">
        <v>303</v>
      </c>
      <c r="AH99" s="4" t="s">
        <v>372</v>
      </c>
      <c r="AI99" s="9" t="s">
        <v>373</v>
      </c>
      <c r="AJ99" s="9" t="s">
        <v>306</v>
      </c>
      <c r="AK99" s="9" t="s">
        <v>307</v>
      </c>
      <c r="AL99" s="9" t="s">
        <v>337</v>
      </c>
      <c r="AM99" s="8">
        <v>5</v>
      </c>
      <c r="AR99" s="7"/>
      <c r="AS99" s="8"/>
      <c r="AT99" s="8"/>
      <c r="AU99" s="4"/>
      <c r="AV99" s="4"/>
      <c r="BF99" s="7"/>
      <c r="BG99" s="8"/>
      <c r="BH99" s="8"/>
      <c r="BI99" s="4"/>
      <c r="BJ99" s="4"/>
      <c r="DZ99" s="31"/>
      <c r="FA99" s="6"/>
      <c r="GP99" s="32"/>
      <c r="GY99" s="6" t="s">
        <v>407</v>
      </c>
      <c r="HD99" s="8" t="s">
        <v>4303</v>
      </c>
      <c r="HE99" s="8">
        <v>11353</v>
      </c>
      <c r="HF99" s="8" t="s">
        <v>4304</v>
      </c>
      <c r="HG99" s="9" t="s">
        <v>507</v>
      </c>
      <c r="IM99" s="9"/>
      <c r="IR99" s="9"/>
      <c r="KQ99" s="5" t="s">
        <v>2159</v>
      </c>
      <c r="KR99" s="5" t="s">
        <v>2159</v>
      </c>
    </row>
    <row r="100" spans="1:306" ht="96" x14ac:dyDescent="0.25">
      <c r="A100" s="5" t="s">
        <v>5207</v>
      </c>
      <c r="B100" s="4" t="s">
        <v>577</v>
      </c>
      <c r="C100" s="7" t="s">
        <v>578</v>
      </c>
      <c r="D100" s="8" t="s">
        <v>1593</v>
      </c>
      <c r="G100" s="4" t="s">
        <v>593</v>
      </c>
      <c r="K100" s="4" t="s">
        <v>595</v>
      </c>
      <c r="L100" s="4" t="s">
        <v>596</v>
      </c>
      <c r="M100" s="4" t="s">
        <v>1838</v>
      </c>
      <c r="Q100" s="8"/>
      <c r="R100" s="8"/>
      <c r="Z100" s="4" t="s">
        <v>577</v>
      </c>
      <c r="AA100" s="7" t="s">
        <v>578</v>
      </c>
      <c r="AB100" s="8" t="s">
        <v>1593</v>
      </c>
      <c r="AC100" s="4" t="s">
        <v>301</v>
      </c>
      <c r="AD100" s="4" t="s">
        <v>302</v>
      </c>
      <c r="AE100" s="8">
        <v>2556</v>
      </c>
      <c r="AF100" s="8">
        <v>3</v>
      </c>
      <c r="AG100" s="9" t="s">
        <v>379</v>
      </c>
      <c r="AH100" s="9" t="s">
        <v>460</v>
      </c>
      <c r="AI100" s="9" t="s">
        <v>373</v>
      </c>
      <c r="AJ100" s="9" t="s">
        <v>306</v>
      </c>
      <c r="AK100" s="9" t="s">
        <v>307</v>
      </c>
      <c r="AL100" s="9" t="s">
        <v>337</v>
      </c>
      <c r="AM100" s="8">
        <v>3</v>
      </c>
      <c r="DZ100" s="31"/>
      <c r="EB100" s="10"/>
      <c r="EY100" s="6"/>
      <c r="FA100" s="6"/>
      <c r="GP100" s="32"/>
      <c r="GY100" s="6" t="s">
        <v>407</v>
      </c>
      <c r="HD100" s="8" t="s">
        <v>1839</v>
      </c>
      <c r="HE100" s="8">
        <v>10782</v>
      </c>
      <c r="HF100" s="8" t="s">
        <v>958</v>
      </c>
      <c r="HG100" s="9" t="s">
        <v>507</v>
      </c>
      <c r="HY100" s="9"/>
      <c r="IB100" s="8" t="s">
        <v>1841</v>
      </c>
      <c r="ID100" s="8" t="s">
        <v>5208</v>
      </c>
      <c r="IE100" s="8" t="s">
        <v>538</v>
      </c>
      <c r="IF100" s="8" t="s">
        <v>350</v>
      </c>
      <c r="IM100" s="9"/>
      <c r="JX100" s="7" t="s">
        <v>353</v>
      </c>
      <c r="JY100" s="7" t="s">
        <v>321</v>
      </c>
      <c r="JZ100" s="7" t="s">
        <v>355</v>
      </c>
      <c r="KA100" s="7" t="s">
        <v>354</v>
      </c>
      <c r="KB100" s="7" t="s">
        <v>320</v>
      </c>
      <c r="KC100" s="7" t="s">
        <v>321</v>
      </c>
      <c r="KD100" s="7" t="s">
        <v>322</v>
      </c>
      <c r="KG100" s="4" t="s">
        <v>323</v>
      </c>
      <c r="KM100" s="4" t="s">
        <v>1439</v>
      </c>
      <c r="KN100" s="4" t="s">
        <v>1192</v>
      </c>
      <c r="KQ100" s="5" t="s">
        <v>5209</v>
      </c>
      <c r="KR100" s="5" t="s">
        <v>3398</v>
      </c>
      <c r="KT100" s="5" t="s">
        <v>5210</v>
      </c>
    </row>
    <row r="101" spans="1:306" ht="252" x14ac:dyDescent="0.25">
      <c r="A101" s="5" t="s">
        <v>5211</v>
      </c>
      <c r="B101" s="4" t="s">
        <v>577</v>
      </c>
      <c r="C101" s="7" t="s">
        <v>578</v>
      </c>
      <c r="D101" s="8" t="s">
        <v>1593</v>
      </c>
      <c r="E101" s="4">
        <v>336127</v>
      </c>
      <c r="G101" s="4" t="s">
        <v>593</v>
      </c>
      <c r="H101" s="6">
        <v>137.15600000000001</v>
      </c>
      <c r="I101" s="6">
        <v>-32.997999999999998</v>
      </c>
      <c r="J101" s="4" t="s">
        <v>5212</v>
      </c>
      <c r="K101" s="4" t="s">
        <v>595</v>
      </c>
      <c r="L101" s="4" t="s">
        <v>596</v>
      </c>
      <c r="M101" s="4" t="s">
        <v>1838</v>
      </c>
      <c r="Q101" s="8"/>
      <c r="R101" s="8"/>
      <c r="Z101" s="4" t="s">
        <v>577</v>
      </c>
      <c r="AA101" s="7" t="s">
        <v>578</v>
      </c>
      <c r="AB101" s="8" t="s">
        <v>1593</v>
      </c>
      <c r="AC101" s="4" t="s">
        <v>370</v>
      </c>
      <c r="AD101" s="4" t="s">
        <v>382</v>
      </c>
      <c r="AE101" s="8">
        <v>2566</v>
      </c>
      <c r="AF101" s="8">
        <v>20</v>
      </c>
      <c r="AG101" s="9" t="s">
        <v>379</v>
      </c>
      <c r="AH101" s="9" t="s">
        <v>460</v>
      </c>
      <c r="AI101" s="9" t="s">
        <v>373</v>
      </c>
      <c r="AJ101" s="9" t="s">
        <v>306</v>
      </c>
      <c r="AK101" s="9" t="s">
        <v>307</v>
      </c>
      <c r="AL101" s="9" t="s">
        <v>337</v>
      </c>
      <c r="AM101" s="8">
        <v>3</v>
      </c>
      <c r="AN101" s="4" t="s">
        <v>374</v>
      </c>
      <c r="AO101" s="4" t="s">
        <v>382</v>
      </c>
      <c r="AP101" s="4" t="s">
        <v>376</v>
      </c>
      <c r="AQ101" s="7" t="s">
        <v>377</v>
      </c>
      <c r="AR101" s="8" t="s">
        <v>378</v>
      </c>
      <c r="AS101" s="8">
        <v>600</v>
      </c>
      <c r="AT101" s="8">
        <v>100</v>
      </c>
      <c r="AU101" s="9" t="s">
        <v>379</v>
      </c>
      <c r="AV101" s="9" t="s">
        <v>335</v>
      </c>
      <c r="AW101" s="9" t="s">
        <v>373</v>
      </c>
      <c r="AX101" s="9" t="s">
        <v>306</v>
      </c>
      <c r="AZ101" s="9" t="s">
        <v>337</v>
      </c>
      <c r="BA101" s="8">
        <v>2</v>
      </c>
      <c r="BB101" s="4" t="s">
        <v>381</v>
      </c>
      <c r="BC101" s="4" t="s">
        <v>382</v>
      </c>
      <c r="BD101" s="4" t="s">
        <v>383</v>
      </c>
      <c r="BE101" s="7" t="s">
        <v>384</v>
      </c>
      <c r="BF101" s="8" t="s">
        <v>385</v>
      </c>
      <c r="BG101" s="7">
        <v>0</v>
      </c>
      <c r="BH101" s="7">
        <v>0</v>
      </c>
      <c r="BI101" s="9" t="s">
        <v>379</v>
      </c>
      <c r="BJ101" s="9" t="s">
        <v>406</v>
      </c>
      <c r="BO101" s="8">
        <v>5</v>
      </c>
      <c r="BP101" s="7">
        <f>200+153.2+228.2+18.2+487.1+179</f>
        <v>1265.7</v>
      </c>
      <c r="CJ101" s="8">
        <f>(200*58+153.2*58+228.2*38.8+18.2*58+487.1*18.5+179*34.8)/(200+153.2+228.2+18.2+487.1+179)</f>
        <v>36.055866319032937</v>
      </c>
      <c r="DZ101" s="31"/>
      <c r="EB101" s="10"/>
      <c r="EY101" s="8">
        <f t="shared" ref="EY101:EY107" si="8">BP101*CJ101/100</f>
        <v>456.3590999999999</v>
      </c>
      <c r="FA101" s="6"/>
      <c r="GP101" s="32"/>
      <c r="GY101" s="6" t="s">
        <v>338</v>
      </c>
      <c r="GZ101" s="6" t="s">
        <v>386</v>
      </c>
      <c r="HD101" s="8" t="s">
        <v>1839</v>
      </c>
      <c r="HE101" s="8">
        <v>10782</v>
      </c>
      <c r="HF101" s="8" t="s">
        <v>5213</v>
      </c>
      <c r="HG101" s="9" t="s">
        <v>507</v>
      </c>
      <c r="HY101" s="9"/>
      <c r="IB101" s="8" t="s">
        <v>5214</v>
      </c>
      <c r="ID101" s="8" t="s">
        <v>5215</v>
      </c>
      <c r="IF101" s="8" t="s">
        <v>350</v>
      </c>
      <c r="IG101" s="8" t="s">
        <v>5216</v>
      </c>
      <c r="IH101" s="8">
        <v>72709</v>
      </c>
      <c r="II101" s="8" t="s">
        <v>5217</v>
      </c>
      <c r="IJ101" s="8" t="s">
        <v>876</v>
      </c>
      <c r="IK101" s="8" t="s">
        <v>350</v>
      </c>
      <c r="IM101" s="9"/>
      <c r="JX101" s="7" t="s">
        <v>353</v>
      </c>
      <c r="JY101" s="7" t="s">
        <v>321</v>
      </c>
      <c r="JZ101" s="7" t="s">
        <v>355</v>
      </c>
      <c r="KA101" s="7" t="s">
        <v>354</v>
      </c>
      <c r="KB101" s="7" t="s">
        <v>320</v>
      </c>
      <c r="KC101" s="7" t="s">
        <v>321</v>
      </c>
      <c r="KD101" s="7" t="s">
        <v>322</v>
      </c>
      <c r="KG101" s="4" t="s">
        <v>323</v>
      </c>
      <c r="KM101" s="4" t="s">
        <v>1439</v>
      </c>
      <c r="KN101" s="4" t="s">
        <v>1192</v>
      </c>
      <c r="KP101" s="5" t="s">
        <v>358</v>
      </c>
      <c r="KQ101" s="5" t="s">
        <v>5218</v>
      </c>
      <c r="KR101" s="5" t="s">
        <v>1939</v>
      </c>
      <c r="KS101" s="5" t="s">
        <v>5219</v>
      </c>
      <c r="KT101" s="5" t="s">
        <v>5220</v>
      </c>
    </row>
    <row r="102" spans="1:306" ht="48" x14ac:dyDescent="0.25">
      <c r="A102" s="5" t="s">
        <v>5247</v>
      </c>
      <c r="B102" s="4" t="s">
        <v>383</v>
      </c>
      <c r="C102" s="7" t="s">
        <v>384</v>
      </c>
      <c r="D102" s="7" t="s">
        <v>385</v>
      </c>
      <c r="E102" s="4">
        <v>336156</v>
      </c>
      <c r="G102" s="4" t="s">
        <v>330</v>
      </c>
      <c r="H102" s="6">
        <v>118.96431</v>
      </c>
      <c r="I102" s="6">
        <v>-22.928170000000001</v>
      </c>
      <c r="J102" s="4" t="s">
        <v>5247</v>
      </c>
      <c r="K102" s="4" t="s">
        <v>331</v>
      </c>
      <c r="L102" s="4" t="s">
        <v>368</v>
      </c>
      <c r="M102" s="4" t="s">
        <v>1340</v>
      </c>
      <c r="Q102" s="8"/>
      <c r="R102" s="8"/>
      <c r="Z102" s="4" t="s">
        <v>577</v>
      </c>
      <c r="AA102" s="7" t="s">
        <v>578</v>
      </c>
      <c r="AB102" s="8" t="s">
        <v>1593</v>
      </c>
      <c r="AC102" s="4" t="s">
        <v>370</v>
      </c>
      <c r="AD102" s="4" t="s">
        <v>371</v>
      </c>
      <c r="AE102" s="8">
        <v>2597</v>
      </c>
      <c r="AF102" s="8">
        <v>5</v>
      </c>
      <c r="AG102" s="9" t="s">
        <v>303</v>
      </c>
      <c r="AH102" s="9" t="s">
        <v>372</v>
      </c>
      <c r="AI102" s="9" t="s">
        <v>373</v>
      </c>
      <c r="AJ102" s="9" t="s">
        <v>306</v>
      </c>
      <c r="AK102" s="9" t="s">
        <v>307</v>
      </c>
      <c r="AL102" s="9" t="s">
        <v>337</v>
      </c>
      <c r="AM102" s="8">
        <v>5</v>
      </c>
      <c r="AN102" s="4" t="s">
        <v>381</v>
      </c>
      <c r="AO102" s="4" t="s">
        <v>302</v>
      </c>
      <c r="AP102" s="4" t="s">
        <v>383</v>
      </c>
      <c r="AQ102" s="7" t="s">
        <v>384</v>
      </c>
      <c r="AR102" s="7" t="s">
        <v>385</v>
      </c>
      <c r="AS102" s="8"/>
      <c r="AT102" s="8"/>
      <c r="BG102" s="8"/>
      <c r="BH102" s="8"/>
      <c r="BP102" s="7">
        <v>5566</v>
      </c>
      <c r="BQ102" s="8"/>
      <c r="CJ102" s="7">
        <v>59.795903701042043</v>
      </c>
      <c r="DZ102" s="31"/>
      <c r="EY102" s="8">
        <f t="shared" si="8"/>
        <v>3328.24</v>
      </c>
      <c r="FA102" s="6"/>
      <c r="GP102" s="32"/>
      <c r="GY102" s="6" t="s">
        <v>338</v>
      </c>
      <c r="GZ102" s="6" t="s">
        <v>386</v>
      </c>
      <c r="HD102" s="9" t="s">
        <v>4303</v>
      </c>
      <c r="HE102" s="8">
        <v>11353</v>
      </c>
      <c r="HF102" s="9" t="s">
        <v>4304</v>
      </c>
      <c r="HG102" s="9" t="s">
        <v>507</v>
      </c>
      <c r="HH102" s="8" t="s">
        <v>1668</v>
      </c>
      <c r="HI102" s="8">
        <v>2606</v>
      </c>
      <c r="HJ102" s="8" t="s">
        <v>4302</v>
      </c>
      <c r="HK102" s="9" t="s">
        <v>538</v>
      </c>
      <c r="IM102" s="9"/>
      <c r="IR102" s="9"/>
      <c r="JX102" s="7" t="s">
        <v>1663</v>
      </c>
      <c r="JY102" s="7" t="s">
        <v>470</v>
      </c>
      <c r="JZ102" s="7" t="s">
        <v>390</v>
      </c>
      <c r="KG102" s="4" t="s">
        <v>323</v>
      </c>
      <c r="KM102" s="4" t="s">
        <v>471</v>
      </c>
      <c r="KN102" s="4" t="s">
        <v>471</v>
      </c>
      <c r="KP102" s="5" t="s">
        <v>358</v>
      </c>
      <c r="KQ102" s="5" t="s">
        <v>4131</v>
      </c>
      <c r="KR102" s="5" t="s">
        <v>2159</v>
      </c>
      <c r="KS102" s="5" t="s">
        <v>4132</v>
      </c>
      <c r="KT102" s="5" t="s">
        <v>5248</v>
      </c>
    </row>
    <row r="103" spans="1:306" ht="60" x14ac:dyDescent="0.25">
      <c r="A103" s="5" t="s">
        <v>5939</v>
      </c>
      <c r="B103" s="4" t="s">
        <v>376</v>
      </c>
      <c r="C103" s="7" t="s">
        <v>377</v>
      </c>
      <c r="D103" s="7" t="s">
        <v>378</v>
      </c>
      <c r="E103" s="4">
        <v>338251</v>
      </c>
      <c r="G103" s="4" t="s">
        <v>330</v>
      </c>
      <c r="H103" s="6">
        <v>117.77136400000001</v>
      </c>
      <c r="I103" s="6">
        <v>-22.766202</v>
      </c>
      <c r="J103" s="4" t="s">
        <v>5939</v>
      </c>
      <c r="K103" s="4" t="s">
        <v>331</v>
      </c>
      <c r="L103" s="4" t="s">
        <v>368</v>
      </c>
      <c r="M103" s="4" t="s">
        <v>1340</v>
      </c>
      <c r="Q103" s="8"/>
      <c r="R103" s="8"/>
      <c r="Z103" s="4" t="s">
        <v>577</v>
      </c>
      <c r="AA103" s="7" t="s">
        <v>578</v>
      </c>
      <c r="AB103" s="8" t="s">
        <v>1593</v>
      </c>
      <c r="AC103" s="4" t="s">
        <v>370</v>
      </c>
      <c r="AD103" s="4" t="s">
        <v>371</v>
      </c>
      <c r="AE103" s="8">
        <v>2454</v>
      </c>
      <c r="AF103" s="8">
        <v>3</v>
      </c>
      <c r="AG103" s="9" t="s">
        <v>303</v>
      </c>
      <c r="AH103" s="9" t="s">
        <v>372</v>
      </c>
      <c r="AI103" s="9" t="s">
        <v>373</v>
      </c>
      <c r="AJ103" s="9" t="s">
        <v>306</v>
      </c>
      <c r="AK103" s="9" t="s">
        <v>307</v>
      </c>
      <c r="AL103" s="9" t="s">
        <v>337</v>
      </c>
      <c r="AM103" s="8">
        <v>5</v>
      </c>
      <c r="AN103" s="4" t="s">
        <v>374</v>
      </c>
      <c r="AO103" s="4" t="s">
        <v>375</v>
      </c>
      <c r="AP103" s="4" t="s">
        <v>376</v>
      </c>
      <c r="AQ103" s="7" t="s">
        <v>377</v>
      </c>
      <c r="AR103" s="7" t="s">
        <v>378</v>
      </c>
      <c r="AS103" s="8">
        <v>2009</v>
      </c>
      <c r="AT103" s="8"/>
      <c r="AU103" s="9" t="s">
        <v>379</v>
      </c>
      <c r="AV103" s="9" t="s">
        <v>380</v>
      </c>
      <c r="BA103" s="8">
        <v>2</v>
      </c>
      <c r="BB103" s="4" t="s">
        <v>381</v>
      </c>
      <c r="BC103" s="4" t="s">
        <v>382</v>
      </c>
      <c r="BD103" s="4" t="s">
        <v>383</v>
      </c>
      <c r="BE103" s="7" t="s">
        <v>384</v>
      </c>
      <c r="BF103" s="7" t="s">
        <v>385</v>
      </c>
      <c r="BG103" s="8"/>
      <c r="BH103" s="8"/>
      <c r="BP103" s="7">
        <v>900</v>
      </c>
      <c r="BQ103" s="8"/>
      <c r="CJ103" s="7">
        <v>63.9</v>
      </c>
      <c r="DZ103" s="31"/>
      <c r="EY103" s="8">
        <f t="shared" si="8"/>
        <v>575.1</v>
      </c>
      <c r="FA103" s="6"/>
      <c r="GP103" s="32"/>
      <c r="GY103" s="6" t="s">
        <v>309</v>
      </c>
      <c r="GZ103" s="6" t="s">
        <v>386</v>
      </c>
      <c r="HD103" s="9" t="s">
        <v>1657</v>
      </c>
      <c r="HE103" s="8">
        <v>5139</v>
      </c>
      <c r="HF103" s="9" t="s">
        <v>1658</v>
      </c>
      <c r="HG103" s="9" t="s">
        <v>507</v>
      </c>
      <c r="HH103" s="9" t="s">
        <v>1661</v>
      </c>
      <c r="HI103" s="8">
        <v>27096</v>
      </c>
      <c r="HJ103" s="9" t="s">
        <v>1662</v>
      </c>
      <c r="HK103" s="9" t="s">
        <v>538</v>
      </c>
      <c r="HL103" s="8" t="s">
        <v>1659</v>
      </c>
      <c r="HM103" s="8">
        <v>27168</v>
      </c>
      <c r="HN103" s="8" t="s">
        <v>1660</v>
      </c>
      <c r="HO103" s="9" t="s">
        <v>538</v>
      </c>
      <c r="IM103" s="9"/>
      <c r="IR103" s="9"/>
      <c r="JV103" s="7" t="s">
        <v>5940</v>
      </c>
      <c r="JX103" s="7" t="s">
        <v>1663</v>
      </c>
      <c r="JY103" s="7" t="s">
        <v>470</v>
      </c>
      <c r="JZ103" s="7" t="s">
        <v>355</v>
      </c>
      <c r="KA103" s="7" t="s">
        <v>354</v>
      </c>
      <c r="KB103" s="7" t="s">
        <v>390</v>
      </c>
      <c r="KG103" s="4" t="s">
        <v>323</v>
      </c>
      <c r="KM103" s="4" t="s">
        <v>471</v>
      </c>
      <c r="KN103" s="4" t="s">
        <v>471</v>
      </c>
      <c r="KP103" s="5" t="s">
        <v>358</v>
      </c>
      <c r="KQ103" s="5" t="s">
        <v>5941</v>
      </c>
      <c r="KR103" s="5" t="s">
        <v>1665</v>
      </c>
      <c r="KS103" s="5" t="s">
        <v>5942</v>
      </c>
      <c r="KT103" s="5" t="s">
        <v>5943</v>
      </c>
    </row>
    <row r="104" spans="1:306" ht="60" x14ac:dyDescent="0.25">
      <c r="A104" s="5" t="s">
        <v>6132</v>
      </c>
      <c r="B104" s="4" t="s">
        <v>383</v>
      </c>
      <c r="C104" s="7" t="s">
        <v>384</v>
      </c>
      <c r="D104" s="7" t="s">
        <v>385</v>
      </c>
      <c r="E104" s="4">
        <v>337064</v>
      </c>
      <c r="G104" s="4" t="s">
        <v>330</v>
      </c>
      <c r="H104" s="6">
        <v>117.395262</v>
      </c>
      <c r="I104" s="6">
        <v>-22.409503999999998</v>
      </c>
      <c r="J104" s="4" t="s">
        <v>6132</v>
      </c>
      <c r="K104" s="4" t="s">
        <v>331</v>
      </c>
      <c r="L104" s="4" t="s">
        <v>368</v>
      </c>
      <c r="M104" s="4" t="s">
        <v>1340</v>
      </c>
      <c r="Q104" s="8"/>
      <c r="R104" s="8"/>
      <c r="Z104" s="4" t="s">
        <v>577</v>
      </c>
      <c r="AA104" s="7" t="s">
        <v>578</v>
      </c>
      <c r="AB104" s="8" t="s">
        <v>1593</v>
      </c>
      <c r="AC104" s="4" t="s">
        <v>370</v>
      </c>
      <c r="AD104" s="4" t="s">
        <v>371</v>
      </c>
      <c r="AE104" s="8">
        <v>2454</v>
      </c>
      <c r="AF104" s="8">
        <v>3</v>
      </c>
      <c r="AG104" s="9" t="s">
        <v>303</v>
      </c>
      <c r="AH104" s="9" t="s">
        <v>372</v>
      </c>
      <c r="AI104" s="9" t="s">
        <v>373</v>
      </c>
      <c r="AJ104" s="9" t="s">
        <v>306</v>
      </c>
      <c r="AK104" s="9" t="s">
        <v>307</v>
      </c>
      <c r="AL104" s="9" t="s">
        <v>337</v>
      </c>
      <c r="AM104" s="8">
        <v>5</v>
      </c>
      <c r="AN104" s="4" t="s">
        <v>381</v>
      </c>
      <c r="AO104" s="4" t="s">
        <v>302</v>
      </c>
      <c r="AP104" s="4" t="s">
        <v>383</v>
      </c>
      <c r="AQ104" s="7" t="s">
        <v>384</v>
      </c>
      <c r="AR104" s="7" t="s">
        <v>385</v>
      </c>
      <c r="AS104" s="8"/>
      <c r="AT104" s="8"/>
      <c r="BG104" s="8"/>
      <c r="BH104" s="8"/>
      <c r="BP104" s="7">
        <v>261</v>
      </c>
      <c r="BQ104" s="8"/>
      <c r="CJ104" s="7">
        <v>62.249042145593869</v>
      </c>
      <c r="DZ104" s="31"/>
      <c r="EY104" s="8">
        <f t="shared" si="8"/>
        <v>162.47</v>
      </c>
      <c r="FA104" s="6"/>
      <c r="GP104" s="32"/>
      <c r="GY104" s="6" t="s">
        <v>338</v>
      </c>
      <c r="GZ104" s="6" t="s">
        <v>386</v>
      </c>
      <c r="HD104" s="9" t="s">
        <v>3692</v>
      </c>
      <c r="HE104" s="8">
        <v>74449</v>
      </c>
      <c r="HF104" s="9" t="s">
        <v>3693</v>
      </c>
      <c r="HG104" s="9" t="s">
        <v>538</v>
      </c>
      <c r="HH104" s="9" t="s">
        <v>1657</v>
      </c>
      <c r="HI104" s="8">
        <v>5139</v>
      </c>
      <c r="HJ104" s="9" t="s">
        <v>1658</v>
      </c>
      <c r="HK104" s="9" t="s">
        <v>538</v>
      </c>
      <c r="HL104" s="8" t="s">
        <v>2997</v>
      </c>
      <c r="HM104" s="8">
        <v>23826</v>
      </c>
      <c r="HN104" s="8" t="s">
        <v>2998</v>
      </c>
      <c r="HO104" s="9" t="s">
        <v>507</v>
      </c>
      <c r="IM104" s="9"/>
      <c r="IR104" s="9"/>
      <c r="JX104" s="7" t="s">
        <v>390</v>
      </c>
      <c r="JY104" s="7" t="s">
        <v>470</v>
      </c>
      <c r="JZ104" s="7" t="s">
        <v>355</v>
      </c>
      <c r="KG104" s="4" t="s">
        <v>323</v>
      </c>
      <c r="KM104" s="4" t="s">
        <v>471</v>
      </c>
      <c r="KN104" s="4" t="s">
        <v>471</v>
      </c>
      <c r="KP104" s="5" t="s">
        <v>358</v>
      </c>
      <c r="KQ104" s="5" t="s">
        <v>6133</v>
      </c>
      <c r="KR104" s="5" t="s">
        <v>1670</v>
      </c>
      <c r="KS104" s="5" t="s">
        <v>6134</v>
      </c>
      <c r="KT104" s="5" t="s">
        <v>6135</v>
      </c>
    </row>
    <row r="105" spans="1:306" ht="60" x14ac:dyDescent="0.25">
      <c r="A105" s="5" t="s">
        <v>6205</v>
      </c>
      <c r="B105" s="4" t="s">
        <v>376</v>
      </c>
      <c r="C105" s="7" t="s">
        <v>377</v>
      </c>
      <c r="D105" s="7" t="s">
        <v>378</v>
      </c>
      <c r="E105" s="4">
        <v>338511</v>
      </c>
      <c r="G105" s="4" t="s">
        <v>330</v>
      </c>
      <c r="H105" s="6">
        <v>119.677763</v>
      </c>
      <c r="I105" s="6">
        <v>-23.35839</v>
      </c>
      <c r="J105" s="4" t="s">
        <v>6206</v>
      </c>
      <c r="K105" s="4" t="s">
        <v>331</v>
      </c>
      <c r="L105" s="4" t="s">
        <v>368</v>
      </c>
      <c r="M105" s="4" t="s">
        <v>1340</v>
      </c>
      <c r="Q105" s="8"/>
      <c r="R105" s="8"/>
      <c r="Z105" s="4" t="s">
        <v>577</v>
      </c>
      <c r="AA105" s="7" t="s">
        <v>578</v>
      </c>
      <c r="AB105" s="8" t="s">
        <v>1593</v>
      </c>
      <c r="AC105" s="4" t="s">
        <v>370</v>
      </c>
      <c r="AD105" s="4" t="s">
        <v>371</v>
      </c>
      <c r="AE105" s="8">
        <v>2454</v>
      </c>
      <c r="AF105" s="8">
        <v>3</v>
      </c>
      <c r="AG105" s="9" t="s">
        <v>303</v>
      </c>
      <c r="AH105" s="9" t="s">
        <v>372</v>
      </c>
      <c r="AI105" s="9" t="s">
        <v>373</v>
      </c>
      <c r="AJ105" s="9" t="s">
        <v>306</v>
      </c>
      <c r="AK105" s="9" t="s">
        <v>307</v>
      </c>
      <c r="AL105" s="9" t="s">
        <v>337</v>
      </c>
      <c r="AM105" s="8">
        <v>5</v>
      </c>
      <c r="AN105" s="4" t="s">
        <v>374</v>
      </c>
      <c r="AO105" s="4" t="s">
        <v>302</v>
      </c>
      <c r="AP105" s="4" t="s">
        <v>376</v>
      </c>
      <c r="AQ105" s="7" t="s">
        <v>377</v>
      </c>
      <c r="AR105" s="7" t="s">
        <v>378</v>
      </c>
      <c r="AS105" s="8">
        <v>2009</v>
      </c>
      <c r="AT105" s="8"/>
      <c r="AU105" s="9" t="s">
        <v>379</v>
      </c>
      <c r="AV105" s="9" t="s">
        <v>380</v>
      </c>
      <c r="BA105" s="8">
        <v>2</v>
      </c>
      <c r="BG105" s="8"/>
      <c r="BH105" s="8"/>
      <c r="BP105" s="7">
        <v>4409</v>
      </c>
      <c r="BQ105" s="8"/>
      <c r="CJ105" s="7">
        <v>60.257881605806304</v>
      </c>
      <c r="DZ105" s="31"/>
      <c r="EY105" s="8">
        <f t="shared" si="8"/>
        <v>2656.77</v>
      </c>
      <c r="FA105" s="6"/>
      <c r="GP105" s="32"/>
      <c r="GY105" s="6" t="s">
        <v>338</v>
      </c>
      <c r="GZ105" s="6" t="s">
        <v>386</v>
      </c>
      <c r="HD105" s="9" t="s">
        <v>1657</v>
      </c>
      <c r="HE105" s="8">
        <v>5139</v>
      </c>
      <c r="HF105" s="9" t="s">
        <v>1658</v>
      </c>
      <c r="HG105" s="9" t="s">
        <v>538</v>
      </c>
      <c r="HH105" s="8" t="s">
        <v>1659</v>
      </c>
      <c r="HI105" s="8">
        <v>27168</v>
      </c>
      <c r="HJ105" s="8" t="s">
        <v>1660</v>
      </c>
      <c r="HK105" s="9" t="s">
        <v>538</v>
      </c>
      <c r="HL105" s="9" t="s">
        <v>3692</v>
      </c>
      <c r="HM105" s="8">
        <v>74449</v>
      </c>
      <c r="HN105" s="9" t="s">
        <v>3693</v>
      </c>
      <c r="HO105" s="9" t="s">
        <v>538</v>
      </c>
      <c r="IM105" s="9"/>
      <c r="IR105" s="9"/>
      <c r="JX105" s="7" t="s">
        <v>1663</v>
      </c>
      <c r="JY105" s="7" t="s">
        <v>470</v>
      </c>
      <c r="JZ105" s="7" t="s">
        <v>355</v>
      </c>
      <c r="KG105" s="4" t="s">
        <v>323</v>
      </c>
      <c r="KM105" s="4" t="s">
        <v>471</v>
      </c>
      <c r="KN105" s="4" t="s">
        <v>471</v>
      </c>
      <c r="KP105" s="5" t="s">
        <v>358</v>
      </c>
      <c r="KQ105" s="5" t="s">
        <v>4305</v>
      </c>
      <c r="KR105" s="5" t="s">
        <v>1665</v>
      </c>
      <c r="KS105" s="5" t="s">
        <v>4132</v>
      </c>
      <c r="KT105" s="5" t="s">
        <v>6207</v>
      </c>
    </row>
    <row r="106" spans="1:306" s="14" customFormat="1" ht="60" x14ac:dyDescent="0.25">
      <c r="A106" s="5" t="s">
        <v>6346</v>
      </c>
      <c r="B106" s="4" t="s">
        <v>376</v>
      </c>
      <c r="C106" s="7" t="s">
        <v>377</v>
      </c>
      <c r="D106" s="7" t="s">
        <v>378</v>
      </c>
      <c r="E106" s="4">
        <v>549793</v>
      </c>
      <c r="F106" s="4"/>
      <c r="G106" s="4" t="s">
        <v>330</v>
      </c>
      <c r="H106" s="6">
        <v>119.329683</v>
      </c>
      <c r="I106" s="6">
        <v>-22.706897999999999</v>
      </c>
      <c r="J106" s="4" t="s">
        <v>6346</v>
      </c>
      <c r="K106" s="4" t="s">
        <v>331</v>
      </c>
      <c r="L106" s="4" t="s">
        <v>368</v>
      </c>
      <c r="M106" s="4" t="s">
        <v>1340</v>
      </c>
      <c r="N106" s="4"/>
      <c r="O106" s="8"/>
      <c r="P106" s="4"/>
      <c r="Q106" s="8"/>
      <c r="R106" s="8"/>
      <c r="S106" s="9"/>
      <c r="T106" s="9"/>
      <c r="U106" s="9"/>
      <c r="V106" s="9"/>
      <c r="W106" s="9"/>
      <c r="X106" s="9"/>
      <c r="Y106" s="8"/>
      <c r="Z106" s="4" t="s">
        <v>577</v>
      </c>
      <c r="AA106" s="7" t="s">
        <v>578</v>
      </c>
      <c r="AB106" s="8" t="s">
        <v>1593</v>
      </c>
      <c r="AC106" s="4" t="s">
        <v>370</v>
      </c>
      <c r="AD106" s="4" t="s">
        <v>371</v>
      </c>
      <c r="AE106" s="8">
        <v>2454</v>
      </c>
      <c r="AF106" s="8">
        <v>3</v>
      </c>
      <c r="AG106" s="9" t="s">
        <v>303</v>
      </c>
      <c r="AH106" s="9" t="s">
        <v>372</v>
      </c>
      <c r="AI106" s="9" t="s">
        <v>373</v>
      </c>
      <c r="AJ106" s="9" t="s">
        <v>306</v>
      </c>
      <c r="AK106" s="9" t="s">
        <v>307</v>
      </c>
      <c r="AL106" s="9" t="s">
        <v>337</v>
      </c>
      <c r="AM106" s="8">
        <v>5</v>
      </c>
      <c r="AN106" s="4" t="s">
        <v>374</v>
      </c>
      <c r="AO106" s="4" t="s">
        <v>382</v>
      </c>
      <c r="AP106" s="4" t="s">
        <v>376</v>
      </c>
      <c r="AQ106" s="7" t="s">
        <v>377</v>
      </c>
      <c r="AR106" s="7" t="s">
        <v>378</v>
      </c>
      <c r="AS106" s="8">
        <v>2009</v>
      </c>
      <c r="AT106" s="8"/>
      <c r="AU106" s="9" t="s">
        <v>379</v>
      </c>
      <c r="AV106" s="9" t="s">
        <v>380</v>
      </c>
      <c r="AW106" s="9"/>
      <c r="AX106" s="9"/>
      <c r="AY106" s="9"/>
      <c r="AZ106" s="9"/>
      <c r="BA106" s="8">
        <v>2</v>
      </c>
      <c r="BB106" s="4" t="s">
        <v>381</v>
      </c>
      <c r="BC106" s="4" t="s">
        <v>375</v>
      </c>
      <c r="BD106" s="4" t="s">
        <v>383</v>
      </c>
      <c r="BE106" s="7" t="s">
        <v>384</v>
      </c>
      <c r="BF106" s="7" t="s">
        <v>385</v>
      </c>
      <c r="BG106" s="8"/>
      <c r="BH106" s="8"/>
      <c r="BI106" s="9"/>
      <c r="BJ106" s="9"/>
      <c r="BK106" s="9"/>
      <c r="BL106" s="9"/>
      <c r="BM106" s="9"/>
      <c r="BN106" s="9"/>
      <c r="BO106" s="8"/>
      <c r="BP106" s="7">
        <v>2470</v>
      </c>
      <c r="BQ106" s="8"/>
      <c r="BR106" s="7"/>
      <c r="BS106" s="7"/>
      <c r="BT106" s="7"/>
      <c r="BU106" s="8"/>
      <c r="BV106" s="7"/>
      <c r="BW106" s="7"/>
      <c r="BX106" s="7"/>
      <c r="BY106" s="7"/>
      <c r="BZ106" s="7"/>
      <c r="CA106" s="7"/>
      <c r="CB106" s="7"/>
      <c r="CC106" s="7"/>
      <c r="CD106" s="7"/>
      <c r="CE106" s="7"/>
      <c r="CF106" s="7"/>
      <c r="CG106" s="7"/>
      <c r="CH106" s="7"/>
      <c r="CI106" s="7"/>
      <c r="CJ106" s="7">
        <v>57.437651821862346</v>
      </c>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31"/>
      <c r="EA106" s="7"/>
      <c r="EB106" s="7"/>
      <c r="EC106" s="7"/>
      <c r="ED106" s="7"/>
      <c r="EE106" s="7"/>
      <c r="EF106" s="7"/>
      <c r="EG106" s="7"/>
      <c r="EH106" s="10"/>
      <c r="EI106" s="10"/>
      <c r="EJ106" s="10"/>
      <c r="EK106" s="10"/>
      <c r="EL106" s="8"/>
      <c r="EM106" s="6"/>
      <c r="EN106" s="6"/>
      <c r="EO106" s="6"/>
      <c r="EP106" s="6"/>
      <c r="EQ106" s="6"/>
      <c r="ER106" s="6"/>
      <c r="ES106" s="6"/>
      <c r="ET106" s="6"/>
      <c r="EU106" s="6"/>
      <c r="EV106" s="6"/>
      <c r="EW106" s="6"/>
      <c r="EX106" s="6"/>
      <c r="EY106" s="8">
        <f t="shared" si="8"/>
        <v>1418.71</v>
      </c>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32"/>
      <c r="GQ106" s="6"/>
      <c r="GR106" s="6"/>
      <c r="GS106" s="6"/>
      <c r="GT106" s="6"/>
      <c r="GU106" s="6"/>
      <c r="GV106" s="6"/>
      <c r="GW106" s="6"/>
      <c r="GX106" s="6"/>
      <c r="GY106" s="6" t="s">
        <v>338</v>
      </c>
      <c r="GZ106" s="6" t="s">
        <v>386</v>
      </c>
      <c r="HA106" s="6"/>
      <c r="HB106" s="6"/>
      <c r="HC106" s="6"/>
      <c r="HD106" s="8" t="s">
        <v>1659</v>
      </c>
      <c r="HE106" s="8">
        <v>27168</v>
      </c>
      <c r="HF106" s="8" t="s">
        <v>1660</v>
      </c>
      <c r="HG106" s="9" t="s">
        <v>507</v>
      </c>
      <c r="HH106" s="9" t="s">
        <v>1657</v>
      </c>
      <c r="HI106" s="8">
        <v>5139</v>
      </c>
      <c r="HJ106" s="9" t="s">
        <v>1658</v>
      </c>
      <c r="HK106" s="9" t="s">
        <v>538</v>
      </c>
      <c r="HL106" s="9"/>
      <c r="HM106" s="8"/>
      <c r="HN106" s="9"/>
      <c r="HO106" s="9"/>
      <c r="HP106" s="9"/>
      <c r="HQ106" s="8"/>
      <c r="HR106" s="9"/>
      <c r="HS106" s="9"/>
      <c r="HT106" s="9"/>
      <c r="HU106" s="9"/>
      <c r="HV106" s="9"/>
      <c r="HW106" s="9"/>
      <c r="HX106" s="9"/>
      <c r="HY106" s="8"/>
      <c r="HZ106" s="9"/>
      <c r="IA106" s="9"/>
      <c r="IB106" s="8"/>
      <c r="IC106" s="8"/>
      <c r="ID106" s="8"/>
      <c r="IE106" s="9"/>
      <c r="IF106" s="9"/>
      <c r="IG106" s="8"/>
      <c r="IH106" s="8"/>
      <c r="II106" s="8"/>
      <c r="IJ106" s="8"/>
      <c r="IK106" s="8"/>
      <c r="IL106" s="9"/>
      <c r="IM106" s="9"/>
      <c r="IN106" s="9"/>
      <c r="IO106" s="9"/>
      <c r="IP106" s="9"/>
      <c r="IQ106" s="9"/>
      <c r="IR106" s="9"/>
      <c r="IS106" s="9"/>
      <c r="IT106" s="9"/>
      <c r="IU106" s="9"/>
      <c r="IV106" s="9"/>
      <c r="IW106" s="9"/>
      <c r="IX106" s="9"/>
      <c r="IY106" s="9"/>
      <c r="IZ106" s="9"/>
      <c r="JA106" s="9"/>
      <c r="JB106" s="9"/>
      <c r="JC106" s="9"/>
      <c r="JD106" s="9"/>
      <c r="JE106" s="9"/>
      <c r="JF106" s="9"/>
      <c r="JG106" s="9"/>
      <c r="JH106" s="9"/>
      <c r="JI106" s="9"/>
      <c r="JJ106" s="9"/>
      <c r="JK106" s="9"/>
      <c r="JL106" s="9"/>
      <c r="JM106" s="9"/>
      <c r="JN106" s="9"/>
      <c r="JO106" s="9"/>
      <c r="JP106" s="9"/>
      <c r="JQ106" s="9"/>
      <c r="JR106" s="9"/>
      <c r="JS106" s="9"/>
      <c r="JT106" s="9"/>
      <c r="JU106" s="7"/>
      <c r="JV106" s="7"/>
      <c r="JW106" s="7"/>
      <c r="JX106" s="7" t="s">
        <v>1663</v>
      </c>
      <c r="JY106" s="7" t="s">
        <v>470</v>
      </c>
      <c r="JZ106" s="7" t="s">
        <v>390</v>
      </c>
      <c r="KA106" s="7" t="s">
        <v>448</v>
      </c>
      <c r="KB106" s="7" t="s">
        <v>355</v>
      </c>
      <c r="KC106" s="7"/>
      <c r="KD106" s="7"/>
      <c r="KE106" s="7"/>
      <c r="KF106" s="7"/>
      <c r="KG106" s="4" t="s">
        <v>323</v>
      </c>
      <c r="KH106" s="4"/>
      <c r="KI106" s="4"/>
      <c r="KJ106" s="4"/>
      <c r="KK106" s="4"/>
      <c r="KL106" s="4"/>
      <c r="KM106" s="4" t="s">
        <v>471</v>
      </c>
      <c r="KN106" s="4" t="s">
        <v>471</v>
      </c>
      <c r="KO106" s="4"/>
      <c r="KP106" s="5" t="s">
        <v>358</v>
      </c>
      <c r="KQ106" s="5" t="s">
        <v>6347</v>
      </c>
      <c r="KR106" s="5" t="s">
        <v>1670</v>
      </c>
      <c r="KS106" s="5" t="s">
        <v>3002</v>
      </c>
      <c r="KT106" s="5" t="s">
        <v>6348</v>
      </c>
    </row>
    <row r="107" spans="1:306" ht="96" x14ac:dyDescent="0.25">
      <c r="A107" s="5" t="s">
        <v>8065</v>
      </c>
      <c r="B107" s="4" t="s">
        <v>577</v>
      </c>
      <c r="C107" s="7" t="s">
        <v>578</v>
      </c>
      <c r="D107" s="8" t="s">
        <v>1593</v>
      </c>
      <c r="E107" s="4">
        <v>437347</v>
      </c>
      <c r="G107" s="4" t="s">
        <v>593</v>
      </c>
      <c r="H107" s="6">
        <v>136.43600000000001</v>
      </c>
      <c r="I107" s="6">
        <v>-32.750999999999998</v>
      </c>
      <c r="K107" s="4" t="s">
        <v>595</v>
      </c>
      <c r="L107" s="4" t="s">
        <v>596</v>
      </c>
      <c r="Q107" s="8"/>
      <c r="R107" s="8"/>
      <c r="Z107" s="4" t="s">
        <v>577</v>
      </c>
      <c r="AA107" s="7" t="s">
        <v>578</v>
      </c>
      <c r="AB107" s="8" t="s">
        <v>1593</v>
      </c>
      <c r="AC107" s="4" t="s">
        <v>301</v>
      </c>
      <c r="AD107" s="4" t="s">
        <v>302</v>
      </c>
      <c r="AE107" s="8">
        <v>1907</v>
      </c>
      <c r="AF107" s="8">
        <v>57</v>
      </c>
      <c r="AG107" s="9" t="s">
        <v>379</v>
      </c>
      <c r="AH107" s="9" t="s">
        <v>690</v>
      </c>
      <c r="AM107" s="8">
        <v>3</v>
      </c>
      <c r="BP107" s="7">
        <v>223.7</v>
      </c>
      <c r="CJ107" s="7">
        <v>28.8</v>
      </c>
      <c r="DZ107" s="31"/>
      <c r="EB107" s="10"/>
      <c r="EY107" s="7">
        <f t="shared" si="8"/>
        <v>64.425599999999989</v>
      </c>
      <c r="GP107" s="32"/>
      <c r="GY107" s="6" t="s">
        <v>338</v>
      </c>
      <c r="GZ107" s="6" t="s">
        <v>386</v>
      </c>
      <c r="HD107" s="8" t="s">
        <v>3791</v>
      </c>
      <c r="HE107" s="8">
        <v>25953</v>
      </c>
      <c r="HF107" s="8" t="s">
        <v>3992</v>
      </c>
      <c r="HG107" s="9" t="s">
        <v>538</v>
      </c>
      <c r="KP107" s="5" t="s">
        <v>358</v>
      </c>
      <c r="KQ107" s="5" t="s">
        <v>3993</v>
      </c>
      <c r="KR107" s="18" t="s">
        <v>3794</v>
      </c>
      <c r="KS107" s="5" t="s">
        <v>1797</v>
      </c>
      <c r="KT107" s="5" t="s">
        <v>3994</v>
      </c>
    </row>
    <row r="108" spans="1:306" ht="96" x14ac:dyDescent="0.25">
      <c r="A108" s="5" t="s">
        <v>1795</v>
      </c>
      <c r="B108" s="4" t="s">
        <v>577</v>
      </c>
      <c r="C108" s="7" t="s">
        <v>578</v>
      </c>
      <c r="D108" s="8" t="s">
        <v>1593</v>
      </c>
      <c r="G108" s="4" t="s">
        <v>593</v>
      </c>
      <c r="K108" s="4" t="s">
        <v>595</v>
      </c>
      <c r="L108" s="4" t="s">
        <v>596</v>
      </c>
      <c r="M108" s="4" t="s">
        <v>2108</v>
      </c>
      <c r="Q108" s="8"/>
      <c r="R108" s="8"/>
      <c r="Z108" s="4" t="s">
        <v>577</v>
      </c>
      <c r="AA108" s="7" t="s">
        <v>578</v>
      </c>
      <c r="AB108" s="8" t="s">
        <v>1593</v>
      </c>
      <c r="AC108" s="4" t="s">
        <v>301</v>
      </c>
      <c r="AE108" s="8">
        <f>((2488+130)+(1723-10))/2</f>
        <v>2165.5</v>
      </c>
      <c r="AF108" s="8">
        <f>((2488+130)-(1723-10))/2</f>
        <v>452.5</v>
      </c>
      <c r="AG108" s="9" t="s">
        <v>379</v>
      </c>
      <c r="AH108" s="9" t="s">
        <v>460</v>
      </c>
      <c r="AM108" s="8">
        <v>1</v>
      </c>
      <c r="DZ108" s="31"/>
      <c r="EB108" s="10"/>
      <c r="EY108" s="6"/>
      <c r="FA108" s="6"/>
      <c r="GP108" s="32"/>
      <c r="GY108" s="6" t="s">
        <v>407</v>
      </c>
      <c r="HD108" s="8" t="s">
        <v>1795</v>
      </c>
      <c r="HE108" s="8">
        <v>20023</v>
      </c>
      <c r="HF108" s="8" t="s">
        <v>1796</v>
      </c>
      <c r="HG108" s="9" t="s">
        <v>538</v>
      </c>
      <c r="HY108" s="9"/>
      <c r="IM108" s="9"/>
      <c r="KM108" s="4" t="s">
        <v>391</v>
      </c>
      <c r="KN108" s="4" t="s">
        <v>702</v>
      </c>
      <c r="KQ108" s="5" t="s">
        <v>1799</v>
      </c>
      <c r="KR108" s="5" t="s">
        <v>1799</v>
      </c>
      <c r="KT108" s="5" t="s">
        <v>8085</v>
      </c>
    </row>
    <row r="109" spans="1:306" ht="120" x14ac:dyDescent="0.25">
      <c r="A109" s="5" t="s">
        <v>940</v>
      </c>
      <c r="B109" s="4" t="s">
        <v>383</v>
      </c>
      <c r="C109" s="7" t="s">
        <v>926</v>
      </c>
      <c r="D109" s="8" t="s">
        <v>944</v>
      </c>
      <c r="E109" s="4">
        <v>333703</v>
      </c>
      <c r="G109" s="4" t="s">
        <v>479</v>
      </c>
      <c r="H109" s="6">
        <v>141.83410699999999</v>
      </c>
      <c r="I109" s="6">
        <v>-13.365549</v>
      </c>
      <c r="K109" s="4" t="s">
        <v>481</v>
      </c>
      <c r="L109" s="4" t="s">
        <v>942</v>
      </c>
      <c r="M109" s="4" t="s">
        <v>943</v>
      </c>
      <c r="O109" s="8" t="s">
        <v>941</v>
      </c>
      <c r="P109" s="4" t="s">
        <v>371</v>
      </c>
      <c r="Q109" s="8">
        <f>(66+33.9)/2</f>
        <v>49.95</v>
      </c>
      <c r="R109" s="8">
        <f>(66-33.9)/2</f>
        <v>16.05</v>
      </c>
      <c r="S109" s="9" t="s">
        <v>379</v>
      </c>
      <c r="T109" s="9" t="s">
        <v>690</v>
      </c>
      <c r="Y109" s="8">
        <v>5</v>
      </c>
      <c r="AE109" s="8"/>
      <c r="AF109" s="8"/>
      <c r="AN109" s="4" t="s">
        <v>381</v>
      </c>
      <c r="AO109" s="4" t="s">
        <v>302</v>
      </c>
      <c r="AP109" s="4" t="s">
        <v>383</v>
      </c>
      <c r="AQ109" s="7" t="s">
        <v>926</v>
      </c>
      <c r="AR109" s="8" t="s">
        <v>944</v>
      </c>
      <c r="AS109" s="7">
        <v>0</v>
      </c>
      <c r="AT109" s="7">
        <v>0</v>
      </c>
      <c r="AU109" s="9" t="s">
        <v>303</v>
      </c>
      <c r="AV109" s="9" t="s">
        <v>406</v>
      </c>
      <c r="BA109" s="8">
        <v>5</v>
      </c>
      <c r="BP109" s="7">
        <f>95+334+3</f>
        <v>432</v>
      </c>
      <c r="CB109" s="7">
        <f>(53.4*95+49.9*334+49.3*3)/(95+334+3)</f>
        <v>50.66550925925926</v>
      </c>
      <c r="DZ109" s="31"/>
      <c r="ER109" s="8">
        <f>BP109*CB109/100</f>
        <v>218.875</v>
      </c>
      <c r="GP109" s="32"/>
      <c r="GY109" s="6" t="s">
        <v>338</v>
      </c>
      <c r="GZ109" s="6" t="s">
        <v>945</v>
      </c>
      <c r="HC109" s="6" t="s">
        <v>946</v>
      </c>
      <c r="HD109" s="8" t="s">
        <v>947</v>
      </c>
      <c r="HE109" s="8">
        <v>25817</v>
      </c>
      <c r="HF109" s="8" t="s">
        <v>948</v>
      </c>
      <c r="HG109" s="9" t="s">
        <v>949</v>
      </c>
      <c r="KP109" s="5" t="s">
        <v>358</v>
      </c>
      <c r="KQ109" s="5" t="s">
        <v>950</v>
      </c>
      <c r="KR109" s="34" t="s">
        <v>951</v>
      </c>
      <c r="KS109" s="5" t="s">
        <v>952</v>
      </c>
      <c r="KT109" s="5" t="s">
        <v>953</v>
      </c>
    </row>
    <row r="110" spans="1:306" ht="120" x14ac:dyDescent="0.25">
      <c r="A110" s="5" t="s">
        <v>1204</v>
      </c>
      <c r="B110" s="4" t="s">
        <v>383</v>
      </c>
      <c r="C110" s="7" t="s">
        <v>926</v>
      </c>
      <c r="D110" s="8" t="s">
        <v>944</v>
      </c>
      <c r="E110" s="4">
        <v>556062</v>
      </c>
      <c r="G110" s="4" t="s">
        <v>479</v>
      </c>
      <c r="H110" s="6">
        <v>142.04488000000001</v>
      </c>
      <c r="I110" s="6">
        <v>-11.83479</v>
      </c>
      <c r="K110" s="4" t="s">
        <v>481</v>
      </c>
      <c r="L110" s="4" t="s">
        <v>942</v>
      </c>
      <c r="M110" s="4" t="s">
        <v>943</v>
      </c>
      <c r="O110" s="8" t="s">
        <v>941</v>
      </c>
      <c r="P110" s="4" t="s">
        <v>371</v>
      </c>
      <c r="Q110" s="8">
        <f>(66+33.9)/2</f>
        <v>49.95</v>
      </c>
      <c r="R110" s="8">
        <f>(66-33.9)/2</f>
        <v>16.05</v>
      </c>
      <c r="S110" s="9" t="s">
        <v>379</v>
      </c>
      <c r="T110" s="9" t="s">
        <v>690</v>
      </c>
      <c r="Y110" s="8">
        <v>5</v>
      </c>
      <c r="AE110" s="8"/>
      <c r="AF110" s="8"/>
      <c r="AN110" s="4" t="s">
        <v>381</v>
      </c>
      <c r="AO110" s="4" t="s">
        <v>302</v>
      </c>
      <c r="AP110" s="4" t="s">
        <v>383</v>
      </c>
      <c r="AQ110" s="7" t="s">
        <v>926</v>
      </c>
      <c r="AR110" s="8" t="s">
        <v>944</v>
      </c>
      <c r="AS110" s="7">
        <v>0</v>
      </c>
      <c r="AT110" s="7">
        <v>0</v>
      </c>
      <c r="AU110" s="9" t="s">
        <v>303</v>
      </c>
      <c r="AV110" s="9" t="s">
        <v>406</v>
      </c>
      <c r="BA110" s="8">
        <v>5</v>
      </c>
      <c r="BP110" s="7">
        <v>144.80000000000001</v>
      </c>
      <c r="CB110" s="7">
        <v>49.2</v>
      </c>
      <c r="DZ110" s="31"/>
      <c r="ER110" s="8">
        <f>BP110*CB110/100</f>
        <v>71.241600000000005</v>
      </c>
      <c r="GP110" s="32"/>
      <c r="GY110" s="6" t="s">
        <v>338</v>
      </c>
      <c r="GZ110" s="6" t="s">
        <v>945</v>
      </c>
      <c r="HC110" s="6" t="s">
        <v>946</v>
      </c>
      <c r="HD110" s="8" t="s">
        <v>947</v>
      </c>
      <c r="HE110" s="8">
        <v>25817</v>
      </c>
      <c r="HF110" s="8" t="s">
        <v>948</v>
      </c>
      <c r="HG110" s="9" t="s">
        <v>949</v>
      </c>
      <c r="KP110" s="5" t="s">
        <v>358</v>
      </c>
      <c r="KQ110" s="5" t="s">
        <v>1205</v>
      </c>
      <c r="KR110" s="18" t="s">
        <v>951</v>
      </c>
      <c r="KS110" s="5" t="s">
        <v>1206</v>
      </c>
      <c r="KT110" s="5" t="s">
        <v>1207</v>
      </c>
    </row>
    <row r="111" spans="1:306" ht="84" x14ac:dyDescent="0.2">
      <c r="A111" s="5" t="s">
        <v>2730</v>
      </c>
      <c r="B111" s="4" t="s">
        <v>383</v>
      </c>
      <c r="C111" s="7" t="s">
        <v>926</v>
      </c>
      <c r="D111" s="8" t="s">
        <v>944</v>
      </c>
      <c r="E111" s="44">
        <v>627655</v>
      </c>
      <c r="G111" s="4" t="s">
        <v>530</v>
      </c>
      <c r="H111" s="6">
        <f>136+(45+5*2.9/3.7)/60</f>
        <v>136.8153153153153</v>
      </c>
      <c r="I111" s="6">
        <f>-(12+(20+5*1.8/3.7)/60)</f>
        <v>-12.373873873873874</v>
      </c>
      <c r="J111" s="4" t="s">
        <v>2731</v>
      </c>
      <c r="K111" s="4" t="s">
        <v>481</v>
      </c>
      <c r="L111" s="4" t="s">
        <v>942</v>
      </c>
      <c r="M111" s="4" t="s">
        <v>943</v>
      </c>
      <c r="O111" s="8" t="s">
        <v>941</v>
      </c>
      <c r="P111" s="4" t="s">
        <v>371</v>
      </c>
      <c r="Q111" s="8">
        <f>(113+93.9)/2</f>
        <v>103.45</v>
      </c>
      <c r="R111" s="8">
        <f>(113-93.9)/2</f>
        <v>9.5499999999999972</v>
      </c>
      <c r="S111" s="9" t="s">
        <v>303</v>
      </c>
      <c r="T111" s="9" t="s">
        <v>372</v>
      </c>
      <c r="Y111" s="8">
        <v>4</v>
      </c>
      <c r="AA111" s="4"/>
      <c r="AE111" s="8"/>
      <c r="AF111" s="8"/>
      <c r="AN111" s="4" t="s">
        <v>381</v>
      </c>
      <c r="AO111" s="4" t="s">
        <v>302</v>
      </c>
      <c r="AP111" s="4" t="s">
        <v>383</v>
      </c>
      <c r="AQ111" s="7" t="s">
        <v>926</v>
      </c>
      <c r="AR111" s="8" t="s">
        <v>944</v>
      </c>
      <c r="AS111" s="7">
        <v>0</v>
      </c>
      <c r="AT111" s="7">
        <v>0</v>
      </c>
      <c r="AU111" s="9" t="s">
        <v>379</v>
      </c>
      <c r="AV111" s="9" t="s">
        <v>406</v>
      </c>
      <c r="BA111" s="8">
        <v>5</v>
      </c>
      <c r="DZ111" s="31"/>
      <c r="GP111" s="32"/>
      <c r="GY111" s="6" t="s">
        <v>309</v>
      </c>
      <c r="GZ111" s="40" t="s">
        <v>945</v>
      </c>
      <c r="HC111" s="6" t="s">
        <v>946</v>
      </c>
      <c r="HD111" s="8" t="s">
        <v>2732</v>
      </c>
      <c r="HE111" s="8">
        <v>23310</v>
      </c>
      <c r="HF111" s="8" t="s">
        <v>2733</v>
      </c>
      <c r="HG111" s="9" t="s">
        <v>2734</v>
      </c>
      <c r="KP111" s="5" t="s">
        <v>2735</v>
      </c>
      <c r="KQ111" s="5" t="s">
        <v>2735</v>
      </c>
      <c r="KS111" s="5" t="s">
        <v>2735</v>
      </c>
      <c r="KT111" s="5" t="s">
        <v>2736</v>
      </c>
    </row>
    <row r="112" spans="1:306" ht="87" x14ac:dyDescent="0.25">
      <c r="A112" s="5" t="s">
        <v>2731</v>
      </c>
      <c r="B112" s="4" t="s">
        <v>383</v>
      </c>
      <c r="C112" s="7" t="s">
        <v>926</v>
      </c>
      <c r="D112" s="8" t="s">
        <v>944</v>
      </c>
      <c r="E112" s="4">
        <v>335741</v>
      </c>
      <c r="G112" s="4" t="s">
        <v>530</v>
      </c>
      <c r="H112" s="6">
        <v>136.83699999999999</v>
      </c>
      <c r="I112" s="6">
        <v>-12.261100000000001</v>
      </c>
      <c r="J112" s="4" t="s">
        <v>2731</v>
      </c>
      <c r="K112" s="4" t="s">
        <v>481</v>
      </c>
      <c r="L112" s="4" t="s">
        <v>942</v>
      </c>
      <c r="M112" s="4" t="s">
        <v>943</v>
      </c>
      <c r="O112" s="8" t="s">
        <v>941</v>
      </c>
      <c r="P112" s="4" t="s">
        <v>371</v>
      </c>
      <c r="Q112" s="8">
        <f>(113+93.9)/2</f>
        <v>103.45</v>
      </c>
      <c r="R112" s="8">
        <f>(113-93.9)/2</f>
        <v>9.5499999999999972</v>
      </c>
      <c r="S112" s="9" t="s">
        <v>303</v>
      </c>
      <c r="T112" s="9" t="s">
        <v>372</v>
      </c>
      <c r="Y112" s="8">
        <v>4</v>
      </c>
      <c r="AA112" s="4"/>
      <c r="AE112" s="8"/>
      <c r="AF112" s="8"/>
      <c r="AN112" s="4" t="s">
        <v>381</v>
      </c>
      <c r="AO112" s="4" t="s">
        <v>302</v>
      </c>
      <c r="AP112" s="4" t="s">
        <v>383</v>
      </c>
      <c r="AQ112" s="7" t="s">
        <v>926</v>
      </c>
      <c r="AR112" s="8" t="s">
        <v>944</v>
      </c>
      <c r="AS112" s="7">
        <v>0</v>
      </c>
      <c r="AT112" s="7">
        <v>0</v>
      </c>
      <c r="AU112" s="9" t="s">
        <v>379</v>
      </c>
      <c r="AV112" s="9" t="s">
        <v>406</v>
      </c>
      <c r="BA112" s="8">
        <v>5</v>
      </c>
      <c r="BG112" s="7"/>
      <c r="BH112" s="7"/>
      <c r="BP112" s="7">
        <v>522.29999999999995</v>
      </c>
      <c r="BQ112" s="8"/>
      <c r="CB112" s="7">
        <v>50</v>
      </c>
      <c r="DZ112" s="31"/>
      <c r="EE112" s="7"/>
      <c r="EF112" s="7"/>
      <c r="EG112" s="7"/>
      <c r="EO112" s="8"/>
      <c r="EP112" s="8"/>
      <c r="ER112" s="8">
        <f>BP112*CB112/100</f>
        <v>261.14999999999998</v>
      </c>
      <c r="FA112" s="9"/>
      <c r="FG112" s="9"/>
      <c r="GP112" s="32"/>
      <c r="GT112" s="8"/>
      <c r="GW112" s="8"/>
      <c r="GY112" s="8" t="s">
        <v>338</v>
      </c>
      <c r="GZ112" s="8" t="s">
        <v>945</v>
      </c>
      <c r="HA112" s="8"/>
      <c r="HB112" s="8"/>
      <c r="HC112" s="8" t="s">
        <v>946</v>
      </c>
      <c r="HD112" s="8" t="s">
        <v>2732</v>
      </c>
      <c r="HE112" s="8">
        <v>23310</v>
      </c>
      <c r="HF112" s="8" t="s">
        <v>2733</v>
      </c>
      <c r="HG112" s="9" t="s">
        <v>2734</v>
      </c>
      <c r="IB112" s="4"/>
      <c r="ID112" s="4"/>
      <c r="IE112" s="4"/>
      <c r="IF112" s="4"/>
      <c r="IW112" s="8"/>
      <c r="JB112" s="8"/>
      <c r="KH112" s="4" t="s">
        <v>323</v>
      </c>
      <c r="KM112" s="4" t="s">
        <v>471</v>
      </c>
      <c r="KN112" s="4" t="s">
        <v>471</v>
      </c>
      <c r="KP112" s="5" t="s">
        <v>358</v>
      </c>
      <c r="KQ112" s="5" t="s">
        <v>3618</v>
      </c>
      <c r="KS112" s="5" t="s">
        <v>3619</v>
      </c>
      <c r="KT112" s="14" t="s">
        <v>3620</v>
      </c>
    </row>
    <row r="113" spans="1:306" ht="168" x14ac:dyDescent="0.2">
      <c r="A113" s="5" t="s">
        <v>4687</v>
      </c>
      <c r="B113" s="4" t="s">
        <v>383</v>
      </c>
      <c r="C113" s="7" t="s">
        <v>2442</v>
      </c>
      <c r="D113" s="8" t="s">
        <v>4690</v>
      </c>
      <c r="E113" s="44">
        <v>806972</v>
      </c>
      <c r="G113" s="4" t="s">
        <v>593</v>
      </c>
      <c r="H113" s="6">
        <v>140.94367100299999</v>
      </c>
      <c r="I113" s="6">
        <v>-37.181422933</v>
      </c>
      <c r="K113" s="4" t="s">
        <v>298</v>
      </c>
      <c r="L113" s="4" t="s">
        <v>1107</v>
      </c>
      <c r="O113" s="8" t="s">
        <v>941</v>
      </c>
      <c r="P113" s="4" t="s">
        <v>371</v>
      </c>
      <c r="Q113" s="7">
        <v>6.86</v>
      </c>
      <c r="R113" s="7">
        <v>0.36</v>
      </c>
      <c r="S113" s="9" t="s">
        <v>379</v>
      </c>
      <c r="T113" s="9" t="s">
        <v>372</v>
      </c>
      <c r="U113" s="9" t="s">
        <v>4688</v>
      </c>
      <c r="V113" s="9" t="s">
        <v>4264</v>
      </c>
      <c r="W113" s="9" t="s">
        <v>4689</v>
      </c>
      <c r="X113" s="9" t="s">
        <v>1727</v>
      </c>
      <c r="Y113" s="8">
        <v>4</v>
      </c>
      <c r="AA113" s="4"/>
      <c r="AE113" s="7"/>
      <c r="AF113" s="7"/>
      <c r="AN113" s="4" t="s">
        <v>381</v>
      </c>
      <c r="AO113" s="4" t="s">
        <v>302</v>
      </c>
      <c r="AP113" s="4" t="s">
        <v>383</v>
      </c>
      <c r="AQ113" s="7" t="s">
        <v>2442</v>
      </c>
      <c r="AR113" s="8" t="s">
        <v>4690</v>
      </c>
      <c r="AS113" s="8">
        <v>0</v>
      </c>
      <c r="AT113" s="8">
        <v>0</v>
      </c>
      <c r="AU113" s="9" t="s">
        <v>303</v>
      </c>
      <c r="AV113" s="9" t="s">
        <v>406</v>
      </c>
      <c r="BA113" s="8">
        <v>5</v>
      </c>
      <c r="BP113" s="7">
        <v>101</v>
      </c>
      <c r="CE113" s="30">
        <v>16.3</v>
      </c>
      <c r="CP113" s="32">
        <v>1.1220000000000001E-2</v>
      </c>
      <c r="CQ113" s="26">
        <v>88</v>
      </c>
      <c r="DC113" s="31"/>
      <c r="DK113" s="35">
        <v>1.0580000000000001E-2</v>
      </c>
      <c r="DL113" s="35">
        <f>0.02306*1.1713/1.2284</f>
        <v>2.1988096711169001E-2</v>
      </c>
      <c r="DM113" s="35">
        <f>0.00307*1.1703/1.2082</f>
        <v>2.9736972355570265E-3</v>
      </c>
      <c r="DN113" s="35">
        <v>1.192E-2</v>
      </c>
      <c r="DO113" s="35">
        <v>2.4499999999999999E-3</v>
      </c>
      <c r="DP113" s="35">
        <v>5.4000000000000001E-4</v>
      </c>
      <c r="DQ113" s="35">
        <v>2.1800000000000001E-3</v>
      </c>
      <c r="DR113" s="35">
        <f>0.00032*1.151/1.1762</f>
        <v>3.1314402312531889E-4</v>
      </c>
      <c r="DS113" s="35">
        <v>1.8400000000000001E-3</v>
      </c>
      <c r="DT113" s="35">
        <v>3.6999999999999999E-4</v>
      </c>
      <c r="DU113" s="35">
        <v>1E-3</v>
      </c>
      <c r="DV113" s="35">
        <v>1.2999999999999999E-4</v>
      </c>
      <c r="DW113" s="35">
        <v>8.0999999999999996E-4</v>
      </c>
      <c r="DX113" s="35">
        <v>1.1E-4</v>
      </c>
      <c r="DY113" s="32">
        <f>SUM(DK113:DX113)</f>
        <v>5.7204937969851349E-2</v>
      </c>
      <c r="DZ113" s="31">
        <f>GP113/BP113*100</f>
        <v>0.12562987593970271</v>
      </c>
      <c r="EA113" s="35">
        <v>1.8400000000000001E-3</v>
      </c>
      <c r="EB113" s="35">
        <v>1.6000000000000001E-4</v>
      </c>
      <c r="ET113" s="27">
        <f>BP113*CE113/1000</f>
        <v>1.6463000000000001</v>
      </c>
      <c r="FE113" s="35">
        <f>BP113*CP113/100</f>
        <v>1.1332200000000001E-2</v>
      </c>
      <c r="FF113" s="31">
        <v>3.97</v>
      </c>
      <c r="FR113" s="31"/>
      <c r="GA113" s="32">
        <f>BP113*DK113/100</f>
        <v>1.0685800000000001E-2</v>
      </c>
      <c r="GB113" s="32">
        <f>BP113*DL113/100</f>
        <v>2.2207977678280692E-2</v>
      </c>
      <c r="GC113" s="32">
        <f>BP113*DM113/100</f>
        <v>3.003434207912597E-3</v>
      </c>
      <c r="GD113" s="32">
        <f>BP113*DN113/100</f>
        <v>1.2039200000000002E-2</v>
      </c>
      <c r="GE113" s="32">
        <f>BP113*DO113/100</f>
        <v>2.4745000000000001E-3</v>
      </c>
      <c r="GF113" s="35">
        <f>BP113*DP113/100</f>
        <v>5.4540000000000003E-4</v>
      </c>
      <c r="GG113" s="32">
        <f>BP113*DQ113/100</f>
        <v>2.2018000000000003E-3</v>
      </c>
      <c r="GH113" s="35">
        <f>BP113*DR113/100</f>
        <v>3.1627546335657211E-4</v>
      </c>
      <c r="GI113" s="35">
        <f>BP113*DS113/100</f>
        <v>1.8584000000000001E-3</v>
      </c>
      <c r="GJ113" s="35">
        <f>BP113*DT113/100</f>
        <v>3.7370000000000003E-4</v>
      </c>
      <c r="GK113" s="35">
        <f>BP113*DU113/100</f>
        <v>1.01E-3</v>
      </c>
      <c r="GL113" s="35">
        <f>BP113*DV113/100</f>
        <v>1.3129999999999999E-4</v>
      </c>
      <c r="GM113" s="35">
        <f>BP113*DW113/100</f>
        <v>8.1809999999999999E-4</v>
      </c>
      <c r="GN113" s="35">
        <f>BP113*DX113/100</f>
        <v>1.111E-4</v>
      </c>
      <c r="GO113" s="32">
        <f>SUM(GA113:GN113)</f>
        <v>5.777698734954987E-2</v>
      </c>
      <c r="GP113" s="32">
        <f>SUM(GA113:GO113)+FE113</f>
        <v>0.12688617469909974</v>
      </c>
      <c r="GQ113" s="31">
        <f>1000*BP113*EA113/100</f>
        <v>1.8584000000000001</v>
      </c>
      <c r="GR113" s="32">
        <f>1000*BP113*EB113/100</f>
        <v>0.16159999999999999</v>
      </c>
      <c r="GY113" s="6" t="s">
        <v>338</v>
      </c>
      <c r="GZ113" s="6" t="s">
        <v>655</v>
      </c>
      <c r="HB113" s="6" t="s">
        <v>4691</v>
      </c>
      <c r="HD113" s="8" t="s">
        <v>1109</v>
      </c>
      <c r="HE113" s="8">
        <v>10825</v>
      </c>
      <c r="HF113" s="8" t="s">
        <v>1110</v>
      </c>
      <c r="HG113" s="9" t="s">
        <v>1111</v>
      </c>
      <c r="HH113" s="9" t="s">
        <v>4692</v>
      </c>
      <c r="HI113" s="8">
        <v>2203</v>
      </c>
      <c r="HJ113" s="9" t="s">
        <v>4693</v>
      </c>
      <c r="HK113" s="9" t="s">
        <v>4694</v>
      </c>
      <c r="JV113" s="7" t="s">
        <v>4695</v>
      </c>
      <c r="JX113" s="7" t="s">
        <v>390</v>
      </c>
      <c r="KG113" s="4" t="s">
        <v>323</v>
      </c>
      <c r="KP113" s="5" t="s">
        <v>4696</v>
      </c>
      <c r="KQ113" s="5" t="s">
        <v>4697</v>
      </c>
      <c r="KR113" s="5" t="s">
        <v>4698</v>
      </c>
      <c r="KS113" s="5" t="s">
        <v>4697</v>
      </c>
      <c r="KT113" s="14" t="s">
        <v>4699</v>
      </c>
    </row>
    <row r="114" spans="1:306" ht="72" x14ac:dyDescent="0.25">
      <c r="A114" s="5" t="s">
        <v>7550</v>
      </c>
      <c r="B114" s="4" t="s">
        <v>383</v>
      </c>
      <c r="C114" s="7" t="s">
        <v>926</v>
      </c>
      <c r="D114" s="8" t="s">
        <v>7551</v>
      </c>
      <c r="E114" s="4">
        <v>335761</v>
      </c>
      <c r="G114" s="4" t="s">
        <v>427</v>
      </c>
      <c r="H114" s="6">
        <v>148.04843889</v>
      </c>
      <c r="I114" s="6">
        <v>-34.17486667</v>
      </c>
      <c r="K114" s="4" t="s">
        <v>298</v>
      </c>
      <c r="L114" s="4" t="s">
        <v>299</v>
      </c>
      <c r="M114" s="4" t="s">
        <v>1359</v>
      </c>
      <c r="O114" s="8" t="s">
        <v>941</v>
      </c>
      <c r="P114" s="4" t="s">
        <v>371</v>
      </c>
      <c r="AA114" s="4"/>
      <c r="AN114" s="4" t="s">
        <v>381</v>
      </c>
      <c r="AO114" s="4" t="s">
        <v>302</v>
      </c>
      <c r="AP114" s="4" t="s">
        <v>383</v>
      </c>
      <c r="AQ114" s="7" t="s">
        <v>926</v>
      </c>
      <c r="AR114" s="8" t="s">
        <v>7551</v>
      </c>
      <c r="AS114" s="7">
        <v>0</v>
      </c>
      <c r="AT114" s="7">
        <v>0</v>
      </c>
      <c r="AU114" s="9" t="s">
        <v>303</v>
      </c>
      <c r="AV114" s="9" t="s">
        <v>406</v>
      </c>
      <c r="BA114" s="8">
        <v>5</v>
      </c>
      <c r="BP114" s="7">
        <f>12.6+3.8</f>
        <v>16.399999999999999</v>
      </c>
      <c r="CA114" s="6">
        <f>(12.6*43+3.8*55.1)/(12.6+3.8)*(24.31/(24.31+12.01+3*15.99))</f>
        <v>13.210190283834265</v>
      </c>
      <c r="DZ114" s="31"/>
      <c r="GP114" s="32"/>
      <c r="GY114" s="6" t="s">
        <v>309</v>
      </c>
      <c r="GZ114" s="40" t="s">
        <v>2366</v>
      </c>
      <c r="HF114" s="8" t="s">
        <v>7552</v>
      </c>
      <c r="HG114" s="9" t="s">
        <v>6336</v>
      </c>
      <c r="IW114" s="8"/>
      <c r="JB114" s="8"/>
      <c r="KP114" s="5" t="s">
        <v>358</v>
      </c>
      <c r="KQ114" s="5" t="s">
        <v>7553</v>
      </c>
      <c r="KS114" s="5" t="s">
        <v>7554</v>
      </c>
      <c r="KT114" s="5" t="s">
        <v>7555</v>
      </c>
    </row>
    <row r="115" spans="1:306" ht="120" x14ac:dyDescent="0.25">
      <c r="A115" s="5" t="s">
        <v>7771</v>
      </c>
      <c r="B115" s="4" t="s">
        <v>383</v>
      </c>
      <c r="C115" s="7" t="s">
        <v>926</v>
      </c>
      <c r="D115" s="8" t="s">
        <v>944</v>
      </c>
      <c r="E115" s="4">
        <v>597090</v>
      </c>
      <c r="G115" s="4" t="s">
        <v>479</v>
      </c>
      <c r="H115" s="6">
        <v>141.80000000000001</v>
      </c>
      <c r="I115" s="6">
        <v>-12.734999999999999</v>
      </c>
      <c r="K115" s="4" t="s">
        <v>481</v>
      </c>
      <c r="L115" s="4" t="s">
        <v>4135</v>
      </c>
      <c r="M115" s="4" t="s">
        <v>943</v>
      </c>
      <c r="O115" s="8" t="s">
        <v>941</v>
      </c>
      <c r="P115" s="4" t="s">
        <v>371</v>
      </c>
      <c r="Q115" s="8">
        <f>(66+33.9)/2</f>
        <v>49.95</v>
      </c>
      <c r="R115" s="8">
        <f>(66-33.9)/2</f>
        <v>16.05</v>
      </c>
      <c r="S115" s="9" t="s">
        <v>379</v>
      </c>
      <c r="T115" s="9" t="s">
        <v>690</v>
      </c>
      <c r="Y115" s="8">
        <v>5</v>
      </c>
      <c r="AE115" s="8"/>
      <c r="AF115" s="8"/>
      <c r="AN115" s="4" t="s">
        <v>381</v>
      </c>
      <c r="AO115" s="4" t="s">
        <v>302</v>
      </c>
      <c r="AP115" s="4" t="s">
        <v>383</v>
      </c>
      <c r="AQ115" s="7" t="s">
        <v>926</v>
      </c>
      <c r="AR115" s="8" t="s">
        <v>944</v>
      </c>
      <c r="AS115" s="7">
        <v>0</v>
      </c>
      <c r="AT115" s="7">
        <v>0</v>
      </c>
      <c r="AU115" s="9" t="s">
        <v>303</v>
      </c>
      <c r="AV115" s="9" t="s">
        <v>406</v>
      </c>
      <c r="BA115" s="8">
        <v>5</v>
      </c>
      <c r="BP115" s="7">
        <v>9.5</v>
      </c>
      <c r="CB115" s="7">
        <v>52.8</v>
      </c>
      <c r="DZ115" s="31"/>
      <c r="ER115" s="7">
        <f>BP115*CB115/100</f>
        <v>5.016</v>
      </c>
      <c r="GP115" s="32"/>
      <c r="GY115" s="6" t="s">
        <v>338</v>
      </c>
      <c r="GZ115" s="6" t="s">
        <v>945</v>
      </c>
      <c r="HC115" s="6" t="s">
        <v>946</v>
      </c>
      <c r="HD115" s="8" t="s">
        <v>947</v>
      </c>
      <c r="HE115" s="8">
        <v>25817</v>
      </c>
      <c r="HF115" s="8" t="s">
        <v>948</v>
      </c>
      <c r="HG115" s="9" t="s">
        <v>949</v>
      </c>
      <c r="KP115" s="5" t="s">
        <v>358</v>
      </c>
      <c r="KQ115" s="5" t="s">
        <v>7772</v>
      </c>
      <c r="KR115" s="18" t="s">
        <v>951</v>
      </c>
      <c r="KS115" s="5" t="s">
        <v>7773</v>
      </c>
      <c r="KT115" s="5" t="s">
        <v>953</v>
      </c>
    </row>
    <row r="116" spans="1:306" ht="144" x14ac:dyDescent="0.25">
      <c r="A116" s="5" t="s">
        <v>7949</v>
      </c>
      <c r="B116" s="4" t="s">
        <v>383</v>
      </c>
      <c r="C116" s="7" t="s">
        <v>926</v>
      </c>
      <c r="D116" s="8" t="s">
        <v>944</v>
      </c>
      <c r="E116" s="4">
        <v>334178</v>
      </c>
      <c r="G116" s="4" t="s">
        <v>479</v>
      </c>
      <c r="H116" s="6">
        <v>141.8732</v>
      </c>
      <c r="I116" s="6">
        <v>-12.6637</v>
      </c>
      <c r="K116" s="4" t="s">
        <v>481</v>
      </c>
      <c r="L116" s="4" t="s">
        <v>942</v>
      </c>
      <c r="M116" s="4" t="s">
        <v>943</v>
      </c>
      <c r="O116" s="8" t="s">
        <v>941</v>
      </c>
      <c r="P116" s="4" t="s">
        <v>371</v>
      </c>
      <c r="Q116" s="8">
        <f>(66+33.9)/2</f>
        <v>49.95</v>
      </c>
      <c r="R116" s="8">
        <f>(66-33.9)/2</f>
        <v>16.05</v>
      </c>
      <c r="S116" s="9" t="s">
        <v>379</v>
      </c>
      <c r="T116" s="9" t="s">
        <v>690</v>
      </c>
      <c r="Y116" s="8">
        <v>5</v>
      </c>
      <c r="AA116" s="4"/>
      <c r="AE116" s="8"/>
      <c r="AF116" s="8"/>
      <c r="AN116" s="4" t="s">
        <v>381</v>
      </c>
      <c r="AO116" s="4" t="s">
        <v>302</v>
      </c>
      <c r="AP116" s="4" t="s">
        <v>383</v>
      </c>
      <c r="AQ116" s="7" t="s">
        <v>926</v>
      </c>
      <c r="AR116" s="8" t="s">
        <v>944</v>
      </c>
      <c r="AS116" s="7">
        <v>0</v>
      </c>
      <c r="AT116" s="7">
        <v>0</v>
      </c>
      <c r="AU116" s="9" t="s">
        <v>303</v>
      </c>
      <c r="AV116" s="9" t="s">
        <v>406</v>
      </c>
      <c r="BA116" s="8">
        <v>5</v>
      </c>
      <c r="BP116" s="7">
        <v>4028.9</v>
      </c>
      <c r="CB116" s="7">
        <v>51.6</v>
      </c>
      <c r="DZ116" s="31"/>
      <c r="ER116" s="8">
        <f>BP116*CB116/100</f>
        <v>2078.9124000000002</v>
      </c>
      <c r="GP116" s="32"/>
      <c r="GY116" s="6" t="s">
        <v>338</v>
      </c>
      <c r="GZ116" s="6" t="s">
        <v>945</v>
      </c>
      <c r="HC116" s="6" t="s">
        <v>946</v>
      </c>
      <c r="HD116" s="8" t="s">
        <v>947</v>
      </c>
      <c r="HE116" s="8">
        <v>25817</v>
      </c>
      <c r="HF116" s="8" t="s">
        <v>948</v>
      </c>
      <c r="HG116" s="9" t="s">
        <v>949</v>
      </c>
      <c r="HH116" s="9" t="s">
        <v>7950</v>
      </c>
      <c r="HI116" s="8">
        <v>16267</v>
      </c>
      <c r="HJ116" s="9" t="s">
        <v>7951</v>
      </c>
      <c r="HK116" s="9" t="s">
        <v>7952</v>
      </c>
      <c r="KG116" s="4" t="s">
        <v>323</v>
      </c>
      <c r="KP116" s="5" t="s">
        <v>358</v>
      </c>
      <c r="KQ116" s="5" t="s">
        <v>7953</v>
      </c>
      <c r="KR116" s="18" t="s">
        <v>951</v>
      </c>
      <c r="KS116" s="14" t="s">
        <v>7954</v>
      </c>
      <c r="KT116" s="14" t="s">
        <v>7955</v>
      </c>
    </row>
    <row r="117" spans="1:306" ht="108" x14ac:dyDescent="0.25">
      <c r="A117" s="5" t="s">
        <v>1336</v>
      </c>
      <c r="B117" s="4" t="s">
        <v>1337</v>
      </c>
      <c r="C117" s="7" t="s">
        <v>1338</v>
      </c>
      <c r="D117" s="8" t="s">
        <v>1339</v>
      </c>
      <c r="E117" s="38">
        <v>603170</v>
      </c>
      <c r="G117" s="4" t="s">
        <v>330</v>
      </c>
      <c r="H117" s="40">
        <v>120.34771000000001</v>
      </c>
      <c r="I117" s="40">
        <v>-24.74802</v>
      </c>
      <c r="J117" s="4" t="s">
        <v>1336</v>
      </c>
      <c r="K117" s="4" t="s">
        <v>331</v>
      </c>
      <c r="L117" s="4" t="s">
        <v>368</v>
      </c>
      <c r="M117" s="4" t="s">
        <v>1340</v>
      </c>
      <c r="Q117" s="7"/>
      <c r="R117" s="7"/>
      <c r="Z117" s="4" t="s">
        <v>1337</v>
      </c>
      <c r="AA117" s="7" t="s">
        <v>1338</v>
      </c>
      <c r="AB117" s="8" t="s">
        <v>1339</v>
      </c>
      <c r="AC117" s="4" t="s">
        <v>301</v>
      </c>
      <c r="AD117" s="4" t="s">
        <v>302</v>
      </c>
      <c r="AE117" s="7">
        <v>0</v>
      </c>
      <c r="AF117" s="7">
        <v>0</v>
      </c>
      <c r="AG117" s="9" t="s">
        <v>303</v>
      </c>
      <c r="AH117" s="9" t="s">
        <v>406</v>
      </c>
      <c r="AM117" s="8">
        <v>5</v>
      </c>
      <c r="BQ117" s="8">
        <f>149+735+695</f>
        <v>1579</v>
      </c>
      <c r="BY117" s="8"/>
      <c r="CD117" s="8">
        <f>(5155*149+5591*735+5647*695)/(149+735+695)</f>
        <v>5574.5060164661181</v>
      </c>
      <c r="DZ117" s="31"/>
      <c r="ED117" s="8"/>
      <c r="GP117" s="32"/>
      <c r="GW117" s="6">
        <f>1.72+9.17+8.75</f>
        <v>19.64</v>
      </c>
      <c r="GY117" s="6" t="s">
        <v>338</v>
      </c>
      <c r="GZ117" s="6" t="s">
        <v>1341</v>
      </c>
      <c r="HD117" s="8" t="s">
        <v>1342</v>
      </c>
      <c r="HF117" s="8" t="s">
        <v>1343</v>
      </c>
      <c r="HG117" s="9" t="s">
        <v>1344</v>
      </c>
      <c r="KG117" s="4" t="s">
        <v>323</v>
      </c>
      <c r="KM117" s="4" t="s">
        <v>471</v>
      </c>
      <c r="KN117" s="4" t="s">
        <v>471</v>
      </c>
      <c r="KP117" s="5" t="s">
        <v>1345</v>
      </c>
      <c r="KQ117" s="5" t="s">
        <v>1345</v>
      </c>
      <c r="KS117" s="5" t="s">
        <v>1345</v>
      </c>
      <c r="KT117" s="5" t="s">
        <v>1346</v>
      </c>
    </row>
    <row r="118" spans="1:306" ht="156" x14ac:dyDescent="0.25">
      <c r="A118" s="5" t="s">
        <v>4784</v>
      </c>
      <c r="B118" s="4" t="s">
        <v>1337</v>
      </c>
      <c r="C118" s="7" t="s">
        <v>1338</v>
      </c>
      <c r="D118" s="8" t="s">
        <v>1339</v>
      </c>
      <c r="E118" s="4">
        <v>557287</v>
      </c>
      <c r="G118" s="4" t="s">
        <v>330</v>
      </c>
      <c r="H118" s="6">
        <v>128.75761399999999</v>
      </c>
      <c r="I118" s="6">
        <v>-22.441870000000002</v>
      </c>
      <c r="J118" s="4" t="s">
        <v>4784</v>
      </c>
      <c r="K118" s="4" t="s">
        <v>481</v>
      </c>
      <c r="L118" s="4" t="s">
        <v>710</v>
      </c>
      <c r="Q118" s="7"/>
      <c r="R118" s="7"/>
      <c r="Z118" s="4" t="s">
        <v>1337</v>
      </c>
      <c r="AA118" s="7" t="s">
        <v>1338</v>
      </c>
      <c r="AB118" s="8" t="s">
        <v>1339</v>
      </c>
      <c r="AC118" s="4" t="s">
        <v>301</v>
      </c>
      <c r="AD118" s="4" t="s">
        <v>302</v>
      </c>
      <c r="AE118" s="7">
        <v>0</v>
      </c>
      <c r="AF118" s="7">
        <v>0</v>
      </c>
      <c r="AG118" s="9" t="s">
        <v>303</v>
      </c>
      <c r="AH118" s="9" t="s">
        <v>406</v>
      </c>
      <c r="AM118" s="8">
        <v>5</v>
      </c>
      <c r="BQ118" s="8"/>
      <c r="BY118" s="8"/>
      <c r="CD118" s="8">
        <v>3285</v>
      </c>
      <c r="DZ118" s="31"/>
      <c r="ED118" s="8"/>
      <c r="EO118" s="7"/>
      <c r="GP118" s="32"/>
      <c r="GT118" s="7"/>
      <c r="GW118" s="7">
        <v>123.4</v>
      </c>
      <c r="GY118" s="7" t="s">
        <v>338</v>
      </c>
      <c r="GZ118" s="7" t="s">
        <v>1341</v>
      </c>
      <c r="HA118" s="7"/>
      <c r="HB118" s="7"/>
      <c r="HC118" s="7"/>
      <c r="HD118" s="8" t="s">
        <v>4785</v>
      </c>
      <c r="HF118" s="8" t="s">
        <v>4786</v>
      </c>
      <c r="HG118" s="9" t="s">
        <v>1344</v>
      </c>
      <c r="KG118" s="4" t="s">
        <v>1894</v>
      </c>
      <c r="KH118" s="4" t="s">
        <v>357</v>
      </c>
      <c r="KM118" s="4" t="s">
        <v>471</v>
      </c>
      <c r="KN118" s="4" t="s">
        <v>471</v>
      </c>
      <c r="KP118" s="5" t="s">
        <v>358</v>
      </c>
      <c r="KQ118" s="5" t="s">
        <v>4787</v>
      </c>
      <c r="KS118" s="5" t="s">
        <v>4787</v>
      </c>
      <c r="KT118" s="5" t="s">
        <v>4788</v>
      </c>
    </row>
    <row r="119" spans="1:306" ht="72" x14ac:dyDescent="0.25">
      <c r="A119" s="5" t="s">
        <v>4789</v>
      </c>
      <c r="B119" s="4" t="s">
        <v>1337</v>
      </c>
      <c r="C119" s="7" t="s">
        <v>1338</v>
      </c>
      <c r="D119" s="8" t="s">
        <v>1339</v>
      </c>
      <c r="G119" s="4" t="s">
        <v>330</v>
      </c>
      <c r="H119" s="6">
        <v>120.434226213</v>
      </c>
      <c r="I119" s="6">
        <v>-26.828335201000002</v>
      </c>
      <c r="J119" s="4" t="s">
        <v>4789</v>
      </c>
      <c r="K119" s="4" t="s">
        <v>331</v>
      </c>
      <c r="L119" s="4" t="s">
        <v>500</v>
      </c>
      <c r="M119" s="4" t="s">
        <v>501</v>
      </c>
      <c r="Q119" s="7"/>
      <c r="R119" s="7"/>
      <c r="Z119" s="4" t="s">
        <v>1337</v>
      </c>
      <c r="AA119" s="7" t="s">
        <v>1338</v>
      </c>
      <c r="AB119" s="8" t="s">
        <v>1339</v>
      </c>
      <c r="AC119" s="4" t="s">
        <v>301</v>
      </c>
      <c r="AD119" s="4" t="s">
        <v>302</v>
      </c>
      <c r="AE119" s="7">
        <v>0</v>
      </c>
      <c r="AF119" s="7">
        <v>0</v>
      </c>
      <c r="AG119" s="9" t="s">
        <v>303</v>
      </c>
      <c r="AH119" s="9" t="s">
        <v>406</v>
      </c>
      <c r="AM119" s="8">
        <v>5</v>
      </c>
      <c r="BQ119" s="8">
        <f>117+1.26+103+35+297</f>
        <v>553.26</v>
      </c>
      <c r="BY119" s="8"/>
      <c r="CD119" s="8">
        <f>(6800*117+11400*1.26+6100*103+6800*35+6800*297)/(117+1.26+103+35+297)</f>
        <v>6680.1576112496841</v>
      </c>
      <c r="DZ119" s="31"/>
      <c r="ED119" s="8"/>
      <c r="EO119" s="7"/>
      <c r="GP119" s="32"/>
      <c r="GT119" s="7"/>
      <c r="GW119" s="7">
        <f>1.83+1.4+5</f>
        <v>8.23</v>
      </c>
      <c r="GY119" s="7" t="s">
        <v>338</v>
      </c>
      <c r="GZ119" s="7" t="s">
        <v>1341</v>
      </c>
      <c r="HA119" s="7"/>
      <c r="HB119" s="7"/>
      <c r="HC119" s="7"/>
      <c r="HD119" s="8" t="s">
        <v>4790</v>
      </c>
      <c r="HF119" s="8" t="s">
        <v>4791</v>
      </c>
      <c r="HG119" s="9" t="s">
        <v>1344</v>
      </c>
      <c r="KG119" s="4" t="s">
        <v>323</v>
      </c>
      <c r="KM119" s="4" t="s">
        <v>471</v>
      </c>
      <c r="KN119" s="4" t="s">
        <v>471</v>
      </c>
      <c r="KP119" s="5" t="s">
        <v>4792</v>
      </c>
      <c r="KQ119" s="5" t="s">
        <v>4792</v>
      </c>
      <c r="KS119" s="5" t="s">
        <v>4792</v>
      </c>
      <c r="KT119" s="5" t="s">
        <v>1346</v>
      </c>
    </row>
    <row r="120" spans="1:306" ht="228" x14ac:dyDescent="0.2">
      <c r="A120" s="5" t="s">
        <v>4793</v>
      </c>
      <c r="B120" s="4" t="s">
        <v>1337</v>
      </c>
      <c r="C120" s="7" t="s">
        <v>1338</v>
      </c>
      <c r="D120" s="8" t="s">
        <v>1339</v>
      </c>
      <c r="E120" s="44">
        <v>600580</v>
      </c>
      <c r="G120" s="4" t="s">
        <v>330</v>
      </c>
      <c r="H120" s="6">
        <v>123.378754578</v>
      </c>
      <c r="I120" s="6">
        <v>-27.234812095999999</v>
      </c>
      <c r="J120" s="4" t="s">
        <v>4794</v>
      </c>
      <c r="K120" s="4" t="s">
        <v>331</v>
      </c>
      <c r="L120" s="4" t="s">
        <v>500</v>
      </c>
      <c r="M120" s="4" t="s">
        <v>501</v>
      </c>
      <c r="Q120" s="7"/>
      <c r="R120" s="7"/>
      <c r="Z120" s="4" t="s">
        <v>1337</v>
      </c>
      <c r="AA120" s="7" t="s">
        <v>1338</v>
      </c>
      <c r="AB120" s="8" t="s">
        <v>1339</v>
      </c>
      <c r="AC120" s="4" t="s">
        <v>301</v>
      </c>
      <c r="AD120" s="4" t="s">
        <v>302</v>
      </c>
      <c r="AE120" s="7">
        <v>0</v>
      </c>
      <c r="AF120" s="7">
        <v>0</v>
      </c>
      <c r="AG120" s="9" t="s">
        <v>303</v>
      </c>
      <c r="AH120" s="9" t="s">
        <v>406</v>
      </c>
      <c r="AM120" s="8">
        <v>5</v>
      </c>
      <c r="BQ120" s="8">
        <v>2383</v>
      </c>
      <c r="BY120" s="8"/>
      <c r="CD120" s="8">
        <v>3343</v>
      </c>
      <c r="DZ120" s="31"/>
      <c r="ED120" s="8"/>
      <c r="EO120" s="7"/>
      <c r="GP120" s="32"/>
      <c r="GT120" s="7"/>
      <c r="GW120" s="7">
        <v>18.100000000000001</v>
      </c>
      <c r="GY120" s="7" t="s">
        <v>338</v>
      </c>
      <c r="GZ120" s="7" t="s">
        <v>1341</v>
      </c>
      <c r="HA120" s="7"/>
      <c r="HB120" s="7"/>
      <c r="HC120" s="7"/>
      <c r="HD120" s="8" t="s">
        <v>4795</v>
      </c>
      <c r="HF120" s="8" t="s">
        <v>4796</v>
      </c>
      <c r="HG120" s="9" t="s">
        <v>1344</v>
      </c>
      <c r="KG120" s="4" t="s">
        <v>323</v>
      </c>
      <c r="KM120" s="4" t="s">
        <v>471</v>
      </c>
      <c r="KN120" s="4" t="s">
        <v>471</v>
      </c>
      <c r="KP120" s="5" t="s">
        <v>4797</v>
      </c>
      <c r="KQ120" s="5" t="s">
        <v>4797</v>
      </c>
      <c r="KS120" s="5" t="s">
        <v>4797</v>
      </c>
      <c r="KT120" s="5" t="s">
        <v>1346</v>
      </c>
    </row>
    <row r="121" spans="1:306" ht="132" x14ac:dyDescent="0.2">
      <c r="A121" s="5" t="s">
        <v>4798</v>
      </c>
      <c r="B121" s="4" t="s">
        <v>1337</v>
      </c>
      <c r="C121" s="7" t="s">
        <v>1338</v>
      </c>
      <c r="D121" s="8" t="s">
        <v>1339</v>
      </c>
      <c r="E121" s="44">
        <v>859647</v>
      </c>
      <c r="G121" s="4" t="s">
        <v>330</v>
      </c>
      <c r="H121" s="6">
        <v>123.301856341</v>
      </c>
      <c r="I121" s="6">
        <v>-26.806145436000001</v>
      </c>
      <c r="J121" s="4" t="s">
        <v>4794</v>
      </c>
      <c r="K121" s="4" t="s">
        <v>331</v>
      </c>
      <c r="L121" s="4" t="s">
        <v>500</v>
      </c>
      <c r="M121" s="4" t="s">
        <v>501</v>
      </c>
      <c r="Q121" s="7"/>
      <c r="R121" s="7"/>
      <c r="Z121" s="4" t="s">
        <v>1337</v>
      </c>
      <c r="AA121" s="7" t="s">
        <v>1338</v>
      </c>
      <c r="AB121" s="8" t="s">
        <v>1339</v>
      </c>
      <c r="AC121" s="4" t="s">
        <v>301</v>
      </c>
      <c r="AD121" s="4" t="s">
        <v>302</v>
      </c>
      <c r="AE121" s="7">
        <v>0</v>
      </c>
      <c r="AF121" s="7">
        <v>0</v>
      </c>
      <c r="AG121" s="9" t="s">
        <v>303</v>
      </c>
      <c r="AH121" s="9" t="s">
        <v>406</v>
      </c>
      <c r="AM121" s="8">
        <v>5</v>
      </c>
      <c r="BQ121" s="8">
        <v>9691</v>
      </c>
      <c r="BY121" s="8"/>
      <c r="CD121" s="8">
        <f>8740*(2*39.098/(2*39.098+32.06+4*15.999))</f>
        <v>3922.0958152560656</v>
      </c>
      <c r="DZ121" s="31"/>
      <c r="ED121" s="8"/>
      <c r="EO121" s="8"/>
      <c r="GP121" s="32"/>
      <c r="GT121" s="8"/>
      <c r="GW121" s="8">
        <v>83</v>
      </c>
      <c r="GY121" s="8" t="s">
        <v>338</v>
      </c>
      <c r="GZ121" s="8" t="s">
        <v>1341</v>
      </c>
      <c r="HA121" s="8"/>
      <c r="HB121" s="8"/>
      <c r="HC121" s="8"/>
      <c r="HD121" s="8" t="s">
        <v>4799</v>
      </c>
      <c r="HF121" s="8" t="s">
        <v>4800</v>
      </c>
      <c r="HG121" s="9" t="s">
        <v>1344</v>
      </c>
      <c r="KG121" s="4" t="s">
        <v>323</v>
      </c>
      <c r="KM121" s="4" t="s">
        <v>471</v>
      </c>
      <c r="KN121" s="4" t="s">
        <v>471</v>
      </c>
      <c r="KP121" s="5" t="s">
        <v>4801</v>
      </c>
      <c r="KQ121" s="5" t="s">
        <v>4801</v>
      </c>
      <c r="KS121" s="5" t="s">
        <v>4801</v>
      </c>
      <c r="KT121" s="5" t="s">
        <v>4802</v>
      </c>
    </row>
    <row r="122" spans="1:306" ht="72" x14ac:dyDescent="0.25">
      <c r="A122" s="5" t="s">
        <v>2116</v>
      </c>
      <c r="B122" s="4" t="s">
        <v>2117</v>
      </c>
      <c r="C122" s="7" t="s">
        <v>2118</v>
      </c>
      <c r="D122" s="8" t="s">
        <v>2119</v>
      </c>
      <c r="E122" s="38">
        <v>859640</v>
      </c>
      <c r="G122" s="4" t="s">
        <v>530</v>
      </c>
      <c r="H122" s="6">
        <v>133.94999999999999</v>
      </c>
      <c r="I122" s="6">
        <v>-24.81</v>
      </c>
      <c r="J122" s="4" t="s">
        <v>2116</v>
      </c>
      <c r="K122" s="4" t="s">
        <v>481</v>
      </c>
      <c r="L122" s="4" t="s">
        <v>580</v>
      </c>
      <c r="M122" s="4" t="s">
        <v>710</v>
      </c>
      <c r="Q122" s="8"/>
      <c r="R122" s="8"/>
      <c r="U122" s="4"/>
      <c r="V122" s="4"/>
      <c r="W122" s="4"/>
      <c r="X122" s="4"/>
      <c r="Z122" s="4" t="s">
        <v>2117</v>
      </c>
      <c r="AA122" s="7" t="s">
        <v>2118</v>
      </c>
      <c r="AB122" s="8" t="s">
        <v>2119</v>
      </c>
      <c r="AC122" s="4" t="s">
        <v>301</v>
      </c>
      <c r="AD122" s="4" t="s">
        <v>302</v>
      </c>
      <c r="AE122" s="8">
        <v>512</v>
      </c>
      <c r="AF122" s="8">
        <v>3</v>
      </c>
      <c r="AG122" s="9" t="s">
        <v>303</v>
      </c>
      <c r="AH122" s="9" t="s">
        <v>372</v>
      </c>
      <c r="AI122" s="4"/>
      <c r="AJ122" s="4"/>
      <c r="AK122" s="4"/>
      <c r="AL122" s="4"/>
      <c r="AM122" s="8">
        <v>5</v>
      </c>
      <c r="AS122" s="7"/>
      <c r="AT122" s="7"/>
      <c r="BG122" s="7"/>
      <c r="BH122" s="7"/>
      <c r="BP122" s="7">
        <f>3103.8+1128.63+309.43</f>
        <v>4541.8600000000006</v>
      </c>
      <c r="BQ122" s="8"/>
      <c r="BZ122" s="6">
        <f>(88.64*3103.8+88.64*1128.63+88.56*309.43)/(3103.8+1128.63+309.43)</f>
        <v>88.634549721920067</v>
      </c>
      <c r="DZ122" s="31"/>
      <c r="EO122" s="8"/>
      <c r="EP122" s="8">
        <f>BP122*BZ122/100</f>
        <v>4025.6571599999988</v>
      </c>
      <c r="FA122" s="9"/>
      <c r="GP122" s="32"/>
      <c r="GT122" s="8"/>
      <c r="GW122" s="8"/>
      <c r="GY122" s="8" t="s">
        <v>338</v>
      </c>
      <c r="GZ122" s="8" t="s">
        <v>2120</v>
      </c>
      <c r="HA122" s="8"/>
      <c r="HB122" s="8"/>
      <c r="HC122" s="8" t="s">
        <v>2121</v>
      </c>
      <c r="HD122" s="8" t="s">
        <v>2122</v>
      </c>
      <c r="HE122" s="8">
        <v>27739</v>
      </c>
      <c r="HF122" s="8" t="s">
        <v>2123</v>
      </c>
      <c r="HG122" s="9" t="s">
        <v>2124</v>
      </c>
      <c r="IB122" s="4"/>
      <c r="ID122" s="4"/>
      <c r="IE122" s="4"/>
      <c r="IF122" s="4"/>
      <c r="IW122" s="8"/>
      <c r="JB122" s="8"/>
      <c r="KG122" s="4" t="s">
        <v>1894</v>
      </c>
      <c r="KH122" s="4" t="s">
        <v>402</v>
      </c>
      <c r="KI122" s="4" t="s">
        <v>1893</v>
      </c>
      <c r="KJ122" s="4" t="s">
        <v>402</v>
      </c>
      <c r="KM122" s="4" t="s">
        <v>471</v>
      </c>
      <c r="KN122" s="4" t="s">
        <v>471</v>
      </c>
      <c r="KP122" s="5" t="s">
        <v>2125</v>
      </c>
      <c r="KQ122" s="5" t="s">
        <v>2125</v>
      </c>
      <c r="KR122" s="5" t="s">
        <v>2125</v>
      </c>
      <c r="KS122" s="5" t="s">
        <v>2125</v>
      </c>
      <c r="KT122" s="5" t="s">
        <v>2126</v>
      </c>
    </row>
    <row r="123" spans="1:306" ht="60" x14ac:dyDescent="0.25">
      <c r="A123" s="5" t="s">
        <v>1233</v>
      </c>
      <c r="B123" s="4" t="s">
        <v>455</v>
      </c>
      <c r="C123" s="7" t="s">
        <v>456</v>
      </c>
      <c r="D123" s="8" t="s">
        <v>1234</v>
      </c>
      <c r="E123" s="4">
        <v>334734</v>
      </c>
      <c r="G123" s="4" t="s">
        <v>593</v>
      </c>
      <c r="H123" s="6">
        <v>138.43440000000001</v>
      </c>
      <c r="I123" s="6">
        <v>-30.6752</v>
      </c>
      <c r="J123" s="4" t="s">
        <v>1235</v>
      </c>
      <c r="K123" s="4" t="s">
        <v>298</v>
      </c>
      <c r="L123" s="4" t="s">
        <v>689</v>
      </c>
      <c r="M123" s="4" t="s">
        <v>688</v>
      </c>
      <c r="Q123" s="8"/>
      <c r="R123" s="8"/>
      <c r="S123" s="4"/>
      <c r="T123" s="4"/>
      <c r="U123" s="4"/>
      <c r="V123" s="4"/>
      <c r="W123" s="4"/>
      <c r="X123" s="4"/>
      <c r="Z123" s="4" t="s">
        <v>455</v>
      </c>
      <c r="AA123" s="7" t="s">
        <v>456</v>
      </c>
      <c r="AB123" s="8" t="s">
        <v>1234</v>
      </c>
      <c r="AC123" s="4" t="s">
        <v>301</v>
      </c>
      <c r="AD123" s="4" t="s">
        <v>302</v>
      </c>
      <c r="AE123" s="8">
        <v>437</v>
      </c>
      <c r="AF123" s="8">
        <v>5</v>
      </c>
      <c r="AG123" s="4" t="s">
        <v>1236</v>
      </c>
      <c r="AH123" s="4" t="s">
        <v>304</v>
      </c>
      <c r="AI123" s="4" t="s">
        <v>1237</v>
      </c>
      <c r="AJ123" s="4" t="s">
        <v>1238</v>
      </c>
      <c r="AK123" s="4"/>
      <c r="AL123" s="4"/>
      <c r="AM123" s="8">
        <v>5</v>
      </c>
      <c r="BP123" s="7">
        <f>0.86+0.15+0.8+0.308+0.214</f>
        <v>2.3319999999999999</v>
      </c>
      <c r="BR123" s="7"/>
      <c r="BS123" s="6">
        <f>(0.86*37.9+0.15*34.4+0.8*3.9+0.308*27.9+0.214*34.35)/(0.86+0.15+0.8+0.308+0.214)</f>
        <v>24.364536878216121</v>
      </c>
      <c r="BT123" s="6">
        <f>(0.86*0+0.15*0+0.8*8.9+0.308*1.5+0.214*1.35)/(0.86+0.15+0.8+0.308+0.214)</f>
        <v>3.3751715265866213</v>
      </c>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31"/>
      <c r="EA123" s="4"/>
      <c r="EB123" s="10"/>
      <c r="EC123" s="4"/>
      <c r="ED123" s="4"/>
      <c r="EE123" s="4"/>
      <c r="EF123" s="4"/>
      <c r="EG123" s="4"/>
      <c r="EI123" s="10">
        <f>BP123*BS123/100</f>
        <v>0.56818099999999994</v>
      </c>
      <c r="EJ123" s="10">
        <f>BP123*BT123/100</f>
        <v>7.8709000000000001E-2</v>
      </c>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32"/>
      <c r="GQ123" s="4"/>
      <c r="GR123" s="4"/>
      <c r="GS123" s="4"/>
      <c r="GT123" s="4"/>
      <c r="GU123" s="4"/>
      <c r="GV123" s="4"/>
      <c r="GW123" s="4"/>
      <c r="GX123" s="4"/>
      <c r="GY123" s="4" t="s">
        <v>435</v>
      </c>
      <c r="GZ123" s="4" t="s">
        <v>1049</v>
      </c>
      <c r="HA123" s="4" t="s">
        <v>339</v>
      </c>
      <c r="HB123" s="4"/>
      <c r="HC123" s="4"/>
      <c r="HD123" s="4" t="s">
        <v>1239</v>
      </c>
      <c r="HE123" s="4">
        <v>20045</v>
      </c>
      <c r="HF123" s="4" t="s">
        <v>1240</v>
      </c>
      <c r="HG123" s="4" t="s">
        <v>698</v>
      </c>
      <c r="HH123" s="4" t="s">
        <v>1241</v>
      </c>
      <c r="HI123" s="8">
        <v>81435</v>
      </c>
      <c r="HJ123" s="4" t="s">
        <v>1242</v>
      </c>
      <c r="HK123" s="4" t="s">
        <v>698</v>
      </c>
      <c r="HL123" s="4"/>
      <c r="HN123" s="4"/>
      <c r="HO123" s="4"/>
      <c r="HP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t="s">
        <v>1243</v>
      </c>
      <c r="JV123" s="4" t="s">
        <v>1244</v>
      </c>
      <c r="JW123" s="4" t="s">
        <v>469</v>
      </c>
      <c r="JX123" s="4" t="s">
        <v>1245</v>
      </c>
      <c r="JY123" s="4"/>
      <c r="JZ123" s="4"/>
      <c r="KA123" s="4"/>
      <c r="KB123" s="4"/>
      <c r="KC123" s="4"/>
      <c r="KD123" s="4"/>
      <c r="KE123" s="4"/>
      <c r="KF123" s="4"/>
      <c r="KG123" s="4" t="s">
        <v>323</v>
      </c>
      <c r="KP123" s="5" t="s">
        <v>358</v>
      </c>
      <c r="KQ123" s="5" t="s">
        <v>1246</v>
      </c>
      <c r="KR123" s="5" t="s">
        <v>1247</v>
      </c>
      <c r="KS123" s="5" t="s">
        <v>1248</v>
      </c>
      <c r="KT123" s="5" t="s">
        <v>1249</v>
      </c>
    </row>
    <row r="124" spans="1:306" ht="48" x14ac:dyDescent="0.25">
      <c r="A124" s="12" t="s">
        <v>454</v>
      </c>
      <c r="B124" s="4" t="s">
        <v>455</v>
      </c>
      <c r="C124" s="6" t="s">
        <v>456</v>
      </c>
      <c r="D124" s="4" t="s">
        <v>457</v>
      </c>
      <c r="E124" s="8">
        <v>333969</v>
      </c>
      <c r="F124" s="8"/>
      <c r="G124" s="8" t="s">
        <v>330</v>
      </c>
      <c r="H124" s="6">
        <v>122.2813</v>
      </c>
      <c r="I124" s="6">
        <v>-19.2286</v>
      </c>
      <c r="J124" s="8" t="s">
        <v>454</v>
      </c>
      <c r="K124" s="4" t="s">
        <v>331</v>
      </c>
      <c r="L124" s="4" t="s">
        <v>458</v>
      </c>
      <c r="M124" s="4" t="s">
        <v>459</v>
      </c>
      <c r="O124" s="4"/>
      <c r="Q124" s="8"/>
      <c r="R124" s="8"/>
      <c r="S124" s="4"/>
      <c r="T124" s="4"/>
      <c r="U124" s="4"/>
      <c r="V124" s="4"/>
      <c r="W124" s="4"/>
      <c r="X124" s="4"/>
      <c r="Z124" s="4" t="s">
        <v>455</v>
      </c>
      <c r="AA124" s="6" t="s">
        <v>456</v>
      </c>
      <c r="AB124" s="4" t="s">
        <v>457</v>
      </c>
      <c r="AC124" s="4" t="s">
        <v>301</v>
      </c>
      <c r="AD124" s="4" t="s">
        <v>302</v>
      </c>
      <c r="AE124" s="8">
        <v>420</v>
      </c>
      <c r="AF124" s="8"/>
      <c r="AG124" s="4" t="s">
        <v>379</v>
      </c>
      <c r="AH124" s="4" t="s">
        <v>460</v>
      </c>
      <c r="AI124" s="4"/>
      <c r="AJ124" s="4"/>
      <c r="AK124" s="4"/>
      <c r="AL124" s="4"/>
      <c r="AM124" s="8">
        <v>2</v>
      </c>
      <c r="AQ124" s="6"/>
      <c r="AR124" s="4"/>
      <c r="AS124" s="8"/>
      <c r="AT124" s="8"/>
      <c r="AU124" s="4"/>
      <c r="AV124" s="4"/>
      <c r="AW124" s="4"/>
      <c r="AX124" s="4"/>
      <c r="AY124" s="4"/>
      <c r="AZ124" s="4"/>
      <c r="BE124" s="6"/>
      <c r="BF124" s="4"/>
      <c r="BG124" s="8"/>
      <c r="BH124" s="8"/>
      <c r="BI124" s="4"/>
      <c r="BJ124" s="4"/>
      <c r="BK124" s="4"/>
      <c r="BL124" s="4"/>
      <c r="BM124" s="4"/>
      <c r="BN124" s="4"/>
      <c r="BP124" s="7">
        <v>170</v>
      </c>
      <c r="BQ124" s="7"/>
      <c r="BS124" s="7">
        <v>4.0999999999999996</v>
      </c>
      <c r="BT124" s="7">
        <v>2.7</v>
      </c>
      <c r="BU124" s="4">
        <v>25</v>
      </c>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31"/>
      <c r="EA124" s="4"/>
      <c r="EB124" s="4"/>
      <c r="EC124" s="4"/>
      <c r="ED124" s="4"/>
      <c r="EE124" s="4"/>
      <c r="EF124" s="4"/>
      <c r="EG124" s="4"/>
      <c r="EI124" s="6">
        <f>BP124*BS124/100</f>
        <v>6.9699999999999989</v>
      </c>
      <c r="EJ124" s="6">
        <f>BP124*BT124/100</f>
        <v>4.5900000000000007</v>
      </c>
      <c r="EK124" s="6">
        <f>BP124*BU124/1000</f>
        <v>4.25</v>
      </c>
      <c r="EL124" s="4"/>
      <c r="EN124" s="4"/>
      <c r="EO124" s="4"/>
      <c r="EP124" s="4"/>
      <c r="EQ124" s="4"/>
      <c r="ER124" s="4"/>
      <c r="ES124" s="4"/>
      <c r="ET124" s="4"/>
      <c r="EU124" s="4"/>
      <c r="EV124" s="4"/>
      <c r="EW124" s="4"/>
      <c r="EX124" s="4"/>
      <c r="EZ124" s="4"/>
      <c r="FA124" s="4"/>
      <c r="FB124" s="4"/>
      <c r="FC124" s="4"/>
      <c r="FF124" s="4"/>
      <c r="FG124" s="4"/>
      <c r="FH124" s="4"/>
      <c r="FI124" s="4"/>
      <c r="FJ124" s="4"/>
      <c r="FK124" s="4"/>
      <c r="FL124" s="4"/>
      <c r="FM124" s="4"/>
      <c r="FN124" s="4"/>
      <c r="FO124" s="4"/>
      <c r="FQ124" s="4"/>
      <c r="FR124" s="4"/>
      <c r="FS124" s="4"/>
      <c r="FT124" s="4"/>
      <c r="FU124" s="4"/>
      <c r="FV124" s="4"/>
      <c r="FW124" s="4"/>
      <c r="FX124" s="4"/>
      <c r="FY124" s="4"/>
      <c r="FZ124" s="4"/>
      <c r="GP124" s="32"/>
      <c r="GR124" s="4"/>
      <c r="GS124" s="4"/>
      <c r="GT124" s="4"/>
      <c r="GU124" s="4"/>
      <c r="GV124" s="4"/>
      <c r="GW124" s="4"/>
      <c r="GX124" s="4"/>
      <c r="GY124" s="4" t="s">
        <v>338</v>
      </c>
      <c r="GZ124" s="4" t="s">
        <v>461</v>
      </c>
      <c r="HA124" s="4"/>
      <c r="HB124" s="4" t="s">
        <v>462</v>
      </c>
      <c r="HC124" s="4" t="s">
        <v>463</v>
      </c>
      <c r="HD124" s="4" t="s">
        <v>464</v>
      </c>
      <c r="HE124" s="8">
        <v>39661</v>
      </c>
      <c r="HF124" s="4" t="s">
        <v>465</v>
      </c>
      <c r="HG124" s="4" t="s">
        <v>466</v>
      </c>
      <c r="HH124" s="4" t="s">
        <v>467</v>
      </c>
      <c r="HI124" s="8">
        <v>39658</v>
      </c>
      <c r="HJ124" s="4" t="s">
        <v>468</v>
      </c>
      <c r="HK124" s="4" t="s">
        <v>466</v>
      </c>
      <c r="HL124" s="4"/>
      <c r="HN124" s="4"/>
      <c r="HO124" s="4"/>
      <c r="HP124" s="4"/>
      <c r="HR124" s="4"/>
      <c r="HS124" s="4"/>
      <c r="HT124" s="4"/>
      <c r="HU124" s="4"/>
      <c r="HV124" s="4"/>
      <c r="HW124" s="4"/>
      <c r="HX124" s="4"/>
      <c r="HZ124" s="4"/>
      <c r="IA124" s="4"/>
      <c r="IB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t="s">
        <v>469</v>
      </c>
      <c r="JW124" s="4" t="s">
        <v>469</v>
      </c>
      <c r="JX124" s="7" t="s">
        <v>320</v>
      </c>
      <c r="JY124" s="7" t="s">
        <v>448</v>
      </c>
      <c r="JZ124" s="7" t="s">
        <v>355</v>
      </c>
      <c r="KA124" s="4" t="s">
        <v>470</v>
      </c>
      <c r="KB124" s="4" t="s">
        <v>353</v>
      </c>
      <c r="KC124" s="4"/>
      <c r="KD124" s="4"/>
      <c r="KE124" s="4"/>
      <c r="KF124" s="4"/>
      <c r="KG124" s="4" t="s">
        <v>356</v>
      </c>
      <c r="KH124" s="4" t="s">
        <v>357</v>
      </c>
      <c r="KM124" s="4" t="s">
        <v>471</v>
      </c>
      <c r="KN124" s="4" t="s">
        <v>471</v>
      </c>
      <c r="KP124" s="5" t="s">
        <v>358</v>
      </c>
      <c r="KQ124" s="5" t="s">
        <v>472</v>
      </c>
      <c r="KS124" s="5" t="s">
        <v>473</v>
      </c>
      <c r="KT124" s="5" t="s">
        <v>474</v>
      </c>
    </row>
    <row r="125" spans="1:306" ht="60" x14ac:dyDescent="0.25">
      <c r="A125" s="5" t="s">
        <v>1819</v>
      </c>
      <c r="B125" s="4" t="s">
        <v>455</v>
      </c>
      <c r="C125" s="7" t="s">
        <v>456</v>
      </c>
      <c r="D125" s="8" t="s">
        <v>457</v>
      </c>
      <c r="E125" s="4">
        <v>805135</v>
      </c>
      <c r="G125" s="4" t="s">
        <v>530</v>
      </c>
      <c r="H125" s="6">
        <v>134.40932409999999</v>
      </c>
      <c r="I125" s="6">
        <v>-13.638559280000001</v>
      </c>
      <c r="J125" s="4" t="s">
        <v>1820</v>
      </c>
      <c r="K125" s="4" t="s">
        <v>481</v>
      </c>
      <c r="L125" s="4" t="s">
        <v>651</v>
      </c>
      <c r="M125" s="4" t="s">
        <v>1821</v>
      </c>
      <c r="Q125" s="8"/>
      <c r="R125" s="8"/>
      <c r="S125" s="4"/>
      <c r="T125" s="4"/>
      <c r="U125" s="4"/>
      <c r="V125" s="4"/>
      <c r="W125" s="4"/>
      <c r="X125" s="4"/>
      <c r="Z125" s="4" t="s">
        <v>455</v>
      </c>
      <c r="AA125" s="7" t="s">
        <v>456</v>
      </c>
      <c r="AB125" s="8" t="s">
        <v>457</v>
      </c>
      <c r="AC125" s="4" t="s">
        <v>301</v>
      </c>
      <c r="AD125" s="4" t="s">
        <v>375</v>
      </c>
      <c r="AE125" s="8">
        <v>1509</v>
      </c>
      <c r="AF125" s="8"/>
      <c r="AG125" s="4" t="s">
        <v>303</v>
      </c>
      <c r="AH125" s="4" t="s">
        <v>304</v>
      </c>
      <c r="AI125" s="4" t="s">
        <v>1118</v>
      </c>
      <c r="AJ125" s="4" t="s">
        <v>1080</v>
      </c>
      <c r="AK125" s="4" t="s">
        <v>600</v>
      </c>
      <c r="AL125" s="4"/>
      <c r="AM125" s="8">
        <v>2</v>
      </c>
      <c r="AN125" s="4" t="s">
        <v>381</v>
      </c>
      <c r="AO125" s="4" t="s">
        <v>402</v>
      </c>
      <c r="AP125" s="4" t="s">
        <v>383</v>
      </c>
      <c r="AQ125" s="7" t="s">
        <v>384</v>
      </c>
      <c r="AR125" s="8" t="s">
        <v>1048</v>
      </c>
      <c r="AS125" s="7">
        <v>0</v>
      </c>
      <c r="AT125" s="7">
        <v>0</v>
      </c>
      <c r="AU125" s="9" t="s">
        <v>303</v>
      </c>
      <c r="AV125" s="9" t="s">
        <v>406</v>
      </c>
      <c r="BA125" s="8">
        <v>5</v>
      </c>
      <c r="BP125" s="7">
        <v>2.13</v>
      </c>
      <c r="BS125" s="7">
        <v>4.802816901408451</v>
      </c>
      <c r="BT125" s="7">
        <v>3.6619718309859155</v>
      </c>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31"/>
      <c r="EA125" s="4"/>
      <c r="EB125" s="4"/>
      <c r="EC125" s="4"/>
      <c r="ED125" s="4"/>
      <c r="EE125" s="4"/>
      <c r="EF125" s="4"/>
      <c r="EG125" s="4"/>
      <c r="EI125" s="10">
        <f>BP125*BS125/100</f>
        <v>0.1023</v>
      </c>
      <c r="EJ125" s="10">
        <f>BP125*BT125/100</f>
        <v>7.8E-2</v>
      </c>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32"/>
      <c r="GQ125" s="4"/>
      <c r="GR125" s="4"/>
      <c r="GS125" s="4"/>
      <c r="GT125" s="4"/>
      <c r="GU125" s="4"/>
      <c r="GV125" s="4"/>
      <c r="GW125" s="4"/>
      <c r="GX125" s="4"/>
      <c r="GY125" s="4" t="s">
        <v>309</v>
      </c>
      <c r="GZ125" s="4" t="s">
        <v>461</v>
      </c>
      <c r="HA125" s="4"/>
      <c r="HB125" s="4"/>
      <c r="HC125" s="4" t="s">
        <v>463</v>
      </c>
      <c r="HD125" s="4" t="s">
        <v>1822</v>
      </c>
      <c r="HE125" s="4">
        <v>5617</v>
      </c>
      <c r="HF125" s="4" t="s">
        <v>1823</v>
      </c>
      <c r="HG125" s="4" t="s">
        <v>538</v>
      </c>
      <c r="HH125" s="4"/>
      <c r="HJ125" s="4"/>
      <c r="HK125" s="4"/>
      <c r="HL125" s="4"/>
      <c r="HN125" s="4"/>
      <c r="HO125" s="4"/>
      <c r="HP125" s="4"/>
      <c r="HR125" s="4"/>
      <c r="HS125" s="4"/>
      <c r="HT125" s="4"/>
      <c r="HU125" s="4"/>
      <c r="HV125" s="4"/>
      <c r="HW125" s="4"/>
      <c r="HX125" s="4"/>
      <c r="HY125" s="4"/>
      <c r="HZ125" s="4"/>
      <c r="IA125" s="4"/>
      <c r="IB125" s="4"/>
      <c r="ID125" s="4"/>
      <c r="IE125" s="4"/>
      <c r="IF125" s="4"/>
      <c r="IG125" s="4"/>
      <c r="IH125" s="4"/>
      <c r="II125" s="4"/>
      <c r="IJ125" s="4"/>
      <c r="IK125" s="4"/>
      <c r="IL125" s="4"/>
      <c r="IN125" s="4"/>
      <c r="IO125" s="4"/>
      <c r="IP125" s="4"/>
      <c r="IQ125" s="4"/>
      <c r="IS125" s="4"/>
      <c r="IT125" s="4"/>
      <c r="IU125" s="4"/>
      <c r="IV125" s="4"/>
      <c r="IW125" s="8"/>
      <c r="IX125" s="4"/>
      <c r="IY125" s="4"/>
      <c r="IZ125" s="4"/>
      <c r="JA125" s="4"/>
      <c r="JB125" s="8"/>
      <c r="JC125" s="4"/>
      <c r="JD125" s="4"/>
      <c r="JE125" s="4"/>
      <c r="JF125" s="4"/>
      <c r="JG125" s="4"/>
      <c r="JH125" s="4"/>
      <c r="JI125" s="4"/>
      <c r="JJ125" s="4"/>
      <c r="JK125" s="4"/>
      <c r="JL125" s="4"/>
      <c r="JM125" s="4"/>
      <c r="JN125" s="4"/>
      <c r="JO125" s="4"/>
      <c r="JP125" s="4"/>
      <c r="JQ125" s="4"/>
      <c r="JR125" s="4"/>
      <c r="JS125" s="4"/>
      <c r="JT125" s="4"/>
      <c r="JU125" s="4"/>
      <c r="JV125" s="4" t="s">
        <v>469</v>
      </c>
      <c r="JW125" s="4" t="s">
        <v>469</v>
      </c>
      <c r="JX125" s="4"/>
      <c r="JY125" s="4"/>
      <c r="JZ125" s="4"/>
      <c r="KA125" s="4"/>
      <c r="KB125" s="4"/>
      <c r="KC125" s="4"/>
      <c r="KD125" s="4"/>
      <c r="KE125" s="4"/>
      <c r="KF125" s="4"/>
      <c r="KG125" s="4" t="s">
        <v>323</v>
      </c>
      <c r="KM125" s="4" t="s">
        <v>471</v>
      </c>
      <c r="KN125" s="4" t="s">
        <v>471</v>
      </c>
      <c r="KP125" s="5" t="s">
        <v>358</v>
      </c>
      <c r="KQ125" s="5" t="s">
        <v>1824</v>
      </c>
      <c r="KR125" s="5" t="s">
        <v>1825</v>
      </c>
      <c r="KS125" s="5" t="s">
        <v>1826</v>
      </c>
      <c r="KT125" s="5" t="s">
        <v>1827</v>
      </c>
    </row>
    <row r="126" spans="1:306" ht="36" x14ac:dyDescent="0.25">
      <c r="A126" s="12" t="s">
        <v>1887</v>
      </c>
      <c r="B126" s="4" t="s">
        <v>455</v>
      </c>
      <c r="C126" s="6" t="s">
        <v>456</v>
      </c>
      <c r="D126" s="4" t="s">
        <v>457</v>
      </c>
      <c r="E126" s="8">
        <v>333287</v>
      </c>
      <c r="F126" s="8"/>
      <c r="G126" s="8" t="s">
        <v>330</v>
      </c>
      <c r="H126" s="6">
        <v>125.96673199999999</v>
      </c>
      <c r="I126" s="6">
        <v>-18.712223999999999</v>
      </c>
      <c r="J126" s="8" t="s">
        <v>1888</v>
      </c>
      <c r="K126" s="4" t="s">
        <v>331</v>
      </c>
      <c r="L126" s="4" t="s">
        <v>458</v>
      </c>
      <c r="M126" s="4" t="s">
        <v>1888</v>
      </c>
      <c r="O126" s="4"/>
      <c r="Q126" s="8"/>
      <c r="R126" s="8"/>
      <c r="S126" s="4"/>
      <c r="T126" s="4"/>
      <c r="U126" s="8"/>
      <c r="V126" s="8"/>
      <c r="W126" s="8"/>
      <c r="X126" s="8"/>
      <c r="Z126" s="4" t="s">
        <v>455</v>
      </c>
      <c r="AA126" s="6" t="s">
        <v>456</v>
      </c>
      <c r="AB126" s="4" t="s">
        <v>457</v>
      </c>
      <c r="AC126" s="4" t="s">
        <v>301</v>
      </c>
      <c r="AD126" s="4" t="s">
        <v>302</v>
      </c>
      <c r="AE126" s="8">
        <v>357</v>
      </c>
      <c r="AF126" s="8"/>
      <c r="AG126" s="4" t="s">
        <v>379</v>
      </c>
      <c r="AH126" s="4" t="s">
        <v>1156</v>
      </c>
      <c r="AI126" s="8"/>
      <c r="AJ126" s="8"/>
      <c r="AK126" s="8"/>
      <c r="AL126" s="8"/>
      <c r="AM126" s="8">
        <v>2</v>
      </c>
      <c r="AQ126" s="6"/>
      <c r="AR126" s="4"/>
      <c r="AS126" s="8"/>
      <c r="AT126" s="8"/>
      <c r="AU126" s="4"/>
      <c r="AV126" s="4"/>
      <c r="AW126" s="8"/>
      <c r="AX126" s="8"/>
      <c r="AY126" s="8"/>
      <c r="AZ126" s="8"/>
      <c r="BE126" s="6"/>
      <c r="BF126" s="4"/>
      <c r="BG126" s="8"/>
      <c r="BH126" s="8"/>
      <c r="BI126" s="4"/>
      <c r="BJ126" s="4"/>
      <c r="BK126" s="8"/>
      <c r="BL126" s="8"/>
      <c r="BM126" s="8"/>
      <c r="BN126" s="8"/>
      <c r="BP126" s="7">
        <v>5.2</v>
      </c>
      <c r="BQ126" s="7"/>
      <c r="BS126" s="7">
        <v>11.2</v>
      </c>
      <c r="BT126" s="7">
        <v>3.2</v>
      </c>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31"/>
      <c r="EA126" s="4"/>
      <c r="EB126" s="4"/>
      <c r="EC126" s="4"/>
      <c r="ED126" s="4"/>
      <c r="EE126" s="4"/>
      <c r="EF126" s="4"/>
      <c r="EG126" s="4"/>
      <c r="EI126" s="10">
        <f>BP126*BS126/100</f>
        <v>0.58239999999999992</v>
      </c>
      <c r="EJ126" s="10">
        <f>BP126*BT126/100</f>
        <v>0.16639999999999999</v>
      </c>
      <c r="EL126" s="4"/>
      <c r="EN126" s="4"/>
      <c r="EO126" s="4"/>
      <c r="EP126" s="4"/>
      <c r="EQ126" s="4"/>
      <c r="ER126" s="4"/>
      <c r="ES126" s="4"/>
      <c r="ET126" s="4"/>
      <c r="EU126" s="4"/>
      <c r="EV126" s="4"/>
      <c r="EW126" s="4"/>
      <c r="EX126" s="4"/>
      <c r="EZ126" s="4"/>
      <c r="FA126" s="4"/>
      <c r="FB126" s="4"/>
      <c r="FC126" s="4"/>
      <c r="FF126" s="4"/>
      <c r="FG126" s="4"/>
      <c r="FH126" s="4"/>
      <c r="FI126" s="4"/>
      <c r="FJ126" s="4"/>
      <c r="FK126" s="4"/>
      <c r="FL126" s="4"/>
      <c r="FM126" s="4"/>
      <c r="FN126" s="4"/>
      <c r="FO126" s="4"/>
      <c r="FQ126" s="4"/>
      <c r="FR126" s="4"/>
      <c r="FS126" s="4"/>
      <c r="FT126" s="4"/>
      <c r="FU126" s="4"/>
      <c r="FV126" s="4"/>
      <c r="FW126" s="4"/>
      <c r="FX126" s="4"/>
      <c r="FY126" s="4"/>
      <c r="FZ126" s="4"/>
      <c r="GP126" s="32"/>
      <c r="GR126" s="4"/>
      <c r="GS126" s="4"/>
      <c r="GT126" s="4"/>
      <c r="GU126" s="4"/>
      <c r="GV126" s="4"/>
      <c r="GW126" s="4"/>
      <c r="GX126" s="4"/>
      <c r="GY126" s="4" t="s">
        <v>338</v>
      </c>
      <c r="GZ126" s="4" t="s">
        <v>461</v>
      </c>
      <c r="HA126" s="4"/>
      <c r="HB126" s="4"/>
      <c r="HC126" s="4" t="s">
        <v>463</v>
      </c>
      <c r="HD126" s="4" t="s">
        <v>1889</v>
      </c>
      <c r="HE126" s="8">
        <v>25744</v>
      </c>
      <c r="HF126" s="4" t="s">
        <v>1890</v>
      </c>
      <c r="HG126" s="4" t="s">
        <v>1891</v>
      </c>
      <c r="HH126" s="4"/>
      <c r="HJ126" s="4"/>
      <c r="HK126" s="4"/>
      <c r="HL126" s="4"/>
      <c r="HN126" s="4"/>
      <c r="HO126" s="4"/>
      <c r="HP126" s="4"/>
      <c r="HR126" s="4"/>
      <c r="HS126" s="4"/>
      <c r="HT126" s="4"/>
      <c r="HU126" s="4"/>
      <c r="HV126" s="4"/>
      <c r="HW126" s="4"/>
      <c r="HX126" s="4"/>
      <c r="HZ126" s="4"/>
      <c r="IA126" s="4"/>
      <c r="IB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t="s">
        <v>1892</v>
      </c>
      <c r="JW126" s="4" t="s">
        <v>469</v>
      </c>
      <c r="JX126" s="4" t="s">
        <v>738</v>
      </c>
      <c r="JY126" s="4"/>
      <c r="JZ126" s="4"/>
      <c r="KA126" s="4"/>
      <c r="KB126" s="4"/>
      <c r="KC126" s="4"/>
      <c r="KD126" s="4"/>
      <c r="KE126" s="4"/>
      <c r="KF126" s="4"/>
      <c r="KG126" s="4" t="s">
        <v>1893</v>
      </c>
      <c r="KH126" s="4" t="s">
        <v>1317</v>
      </c>
      <c r="KI126" s="4" t="s">
        <v>356</v>
      </c>
      <c r="KJ126" s="4" t="s">
        <v>1317</v>
      </c>
      <c r="KK126" s="4" t="s">
        <v>1894</v>
      </c>
      <c r="KL126" s="4" t="s">
        <v>1317</v>
      </c>
      <c r="KM126" s="4" t="s">
        <v>471</v>
      </c>
      <c r="KN126" s="4" t="s">
        <v>471</v>
      </c>
      <c r="KP126" s="5" t="s">
        <v>358</v>
      </c>
      <c r="KQ126" s="5" t="s">
        <v>1895</v>
      </c>
      <c r="KS126" s="5" t="s">
        <v>1896</v>
      </c>
      <c r="KT126" s="5" t="s">
        <v>1897</v>
      </c>
    </row>
    <row r="127" spans="1:306" ht="168" x14ac:dyDescent="0.2">
      <c r="A127" s="5" t="s">
        <v>2171</v>
      </c>
      <c r="B127" s="4" t="s">
        <v>455</v>
      </c>
      <c r="C127" s="7" t="s">
        <v>456</v>
      </c>
      <c r="D127" s="8" t="s">
        <v>457</v>
      </c>
      <c r="E127" s="44">
        <v>925056</v>
      </c>
      <c r="G127" s="4" t="s">
        <v>330</v>
      </c>
      <c r="H127" s="6">
        <v>120.534520708</v>
      </c>
      <c r="I127" s="6">
        <v>-25.601565831999999</v>
      </c>
      <c r="K127" s="4" t="s">
        <v>331</v>
      </c>
      <c r="L127" s="4" t="s">
        <v>2172</v>
      </c>
      <c r="Q127" s="8"/>
      <c r="Z127" s="4" t="s">
        <v>455</v>
      </c>
      <c r="AA127" s="7" t="s">
        <v>456</v>
      </c>
      <c r="AB127" s="8" t="s">
        <v>457</v>
      </c>
      <c r="AC127" s="4" t="s">
        <v>301</v>
      </c>
      <c r="AD127" s="4" t="s">
        <v>375</v>
      </c>
      <c r="AE127" s="8">
        <v>1866</v>
      </c>
      <c r="AG127" s="9" t="s">
        <v>379</v>
      </c>
      <c r="AH127" s="9" t="s">
        <v>304</v>
      </c>
      <c r="AI127" s="9" t="s">
        <v>1118</v>
      </c>
      <c r="AJ127" s="9" t="s">
        <v>1080</v>
      </c>
      <c r="AK127" s="9" t="s">
        <v>600</v>
      </c>
      <c r="AM127" s="8">
        <v>2</v>
      </c>
      <c r="BP127" s="7">
        <v>63</v>
      </c>
      <c r="BS127" s="7">
        <v>2.1</v>
      </c>
      <c r="BT127" s="7">
        <v>0.8</v>
      </c>
      <c r="BU127" s="7">
        <v>4.5999999999999996</v>
      </c>
      <c r="DZ127" s="31"/>
      <c r="EI127" s="6">
        <f>BP127*BS127/100</f>
        <v>1.3230000000000002</v>
      </c>
      <c r="EJ127" s="6">
        <f>BP127*BT127/100</f>
        <v>0.504</v>
      </c>
      <c r="EK127" s="6">
        <f>BP127*BU127/1000</f>
        <v>0.28979999999999995</v>
      </c>
      <c r="GP127" s="32"/>
      <c r="GY127" s="6" t="s">
        <v>338</v>
      </c>
      <c r="GZ127" s="6" t="s">
        <v>461</v>
      </c>
      <c r="HB127" s="6" t="s">
        <v>462</v>
      </c>
      <c r="HC127" s="6" t="s">
        <v>463</v>
      </c>
      <c r="HD127" s="9" t="s">
        <v>2173</v>
      </c>
      <c r="HE127" s="8">
        <v>6902</v>
      </c>
      <c r="HF127" s="8" t="s">
        <v>2174</v>
      </c>
      <c r="HG127" s="9" t="s">
        <v>538</v>
      </c>
      <c r="HH127" s="8" t="s">
        <v>2175</v>
      </c>
      <c r="HI127" s="8">
        <v>81551</v>
      </c>
      <c r="HJ127" s="9" t="s">
        <v>2176</v>
      </c>
      <c r="HK127" s="9" t="s">
        <v>538</v>
      </c>
      <c r="JV127" s="7" t="s">
        <v>1779</v>
      </c>
      <c r="JX127" s="7" t="s">
        <v>320</v>
      </c>
      <c r="KG127" s="4" t="s">
        <v>356</v>
      </c>
      <c r="KH127" s="4" t="s">
        <v>1317</v>
      </c>
      <c r="KP127" s="5" t="s">
        <v>2177</v>
      </c>
      <c r="KQ127" s="5" t="s">
        <v>2178</v>
      </c>
      <c r="KR127" s="5" t="s">
        <v>2179</v>
      </c>
      <c r="KS127" s="5" t="s">
        <v>2177</v>
      </c>
      <c r="KT127" s="5" t="s">
        <v>2180</v>
      </c>
    </row>
    <row r="128" spans="1:306" ht="120" x14ac:dyDescent="0.25">
      <c r="A128" s="5" t="s">
        <v>2324</v>
      </c>
      <c r="B128" s="4" t="s">
        <v>455</v>
      </c>
      <c r="C128" s="7" t="s">
        <v>456</v>
      </c>
      <c r="D128" s="8" t="s">
        <v>457</v>
      </c>
      <c r="E128" s="38">
        <v>859584</v>
      </c>
      <c r="F128" s="4">
        <v>1103288</v>
      </c>
      <c r="G128" s="4" t="s">
        <v>530</v>
      </c>
      <c r="H128" s="6">
        <v>136.12047200000001</v>
      </c>
      <c r="I128" s="6">
        <v>-16.434539999999998</v>
      </c>
      <c r="J128" s="4" t="s">
        <v>2325</v>
      </c>
      <c r="K128" s="4" t="s">
        <v>481</v>
      </c>
      <c r="L128" s="4" t="s">
        <v>651</v>
      </c>
      <c r="M128" s="4" t="s">
        <v>1821</v>
      </c>
      <c r="Q128" s="8"/>
      <c r="R128" s="8"/>
      <c r="S128" s="4"/>
      <c r="T128" s="4"/>
      <c r="U128" s="4"/>
      <c r="V128" s="4"/>
      <c r="W128" s="4"/>
      <c r="X128" s="4"/>
      <c r="Z128" s="4" t="s">
        <v>455</v>
      </c>
      <c r="AA128" s="7" t="s">
        <v>456</v>
      </c>
      <c r="AB128" s="8" t="s">
        <v>457</v>
      </c>
      <c r="AC128" s="4" t="s">
        <v>301</v>
      </c>
      <c r="AD128" s="4" t="s">
        <v>375</v>
      </c>
      <c r="AE128" s="8">
        <v>1637</v>
      </c>
      <c r="AF128" s="8"/>
      <c r="AG128" s="4" t="s">
        <v>379</v>
      </c>
      <c r="AH128" s="4" t="s">
        <v>1156</v>
      </c>
      <c r="AI128" s="4"/>
      <c r="AJ128" s="4"/>
      <c r="AK128" s="4"/>
      <c r="AL128" s="4"/>
      <c r="AM128" s="8">
        <v>3</v>
      </c>
      <c r="BP128" s="7">
        <v>5</v>
      </c>
      <c r="BR128" s="7">
        <v>1.1000000000000001</v>
      </c>
      <c r="DZ128" s="31"/>
      <c r="EH128" s="4">
        <f>BP128*BR128/100</f>
        <v>5.5E-2</v>
      </c>
      <c r="GP128" s="32"/>
      <c r="GY128" s="6" t="s">
        <v>309</v>
      </c>
      <c r="GZ128" s="6" t="s">
        <v>994</v>
      </c>
      <c r="HC128" s="6" t="s">
        <v>463</v>
      </c>
      <c r="HD128" s="8" t="s">
        <v>2326</v>
      </c>
      <c r="HE128" s="8">
        <v>76085</v>
      </c>
      <c r="HF128" s="8" t="s">
        <v>2327</v>
      </c>
      <c r="HG128" s="9" t="s">
        <v>538</v>
      </c>
      <c r="IW128" s="8"/>
      <c r="JB128" s="8"/>
      <c r="JX128" s="7" t="s">
        <v>320</v>
      </c>
      <c r="JY128" s="7" t="s">
        <v>321</v>
      </c>
      <c r="JZ128" s="7" t="s">
        <v>738</v>
      </c>
      <c r="KG128" s="4" t="s">
        <v>356</v>
      </c>
      <c r="KH128" s="4" t="s">
        <v>1317</v>
      </c>
      <c r="KM128" s="4" t="s">
        <v>471</v>
      </c>
      <c r="KN128" s="4" t="s">
        <v>471</v>
      </c>
      <c r="KQ128" s="5" t="s">
        <v>2328</v>
      </c>
      <c r="KS128" s="5" t="s">
        <v>2329</v>
      </c>
      <c r="KT128" s="5" t="s">
        <v>2330</v>
      </c>
    </row>
    <row r="129" spans="1:306" ht="132" x14ac:dyDescent="0.25">
      <c r="A129" s="5" t="s">
        <v>2458</v>
      </c>
      <c r="B129" s="4" t="s">
        <v>455</v>
      </c>
      <c r="C129" s="7" t="s">
        <v>456</v>
      </c>
      <c r="D129" s="8" t="s">
        <v>457</v>
      </c>
      <c r="E129" s="4">
        <v>805498</v>
      </c>
      <c r="G129" s="4" t="s">
        <v>530</v>
      </c>
      <c r="H129" s="6">
        <v>136.15</v>
      </c>
      <c r="I129" s="6">
        <v>-16.52</v>
      </c>
      <c r="J129" s="4" t="s">
        <v>2325</v>
      </c>
      <c r="K129" s="4" t="s">
        <v>481</v>
      </c>
      <c r="L129" s="4" t="s">
        <v>651</v>
      </c>
      <c r="M129" s="4" t="s">
        <v>1821</v>
      </c>
      <c r="Q129" s="8"/>
      <c r="R129" s="8"/>
      <c r="S129" s="4"/>
      <c r="T129" s="4"/>
      <c r="U129" s="4"/>
      <c r="V129" s="4"/>
      <c r="W129" s="4"/>
      <c r="X129" s="4"/>
      <c r="Z129" s="4" t="s">
        <v>455</v>
      </c>
      <c r="AA129" s="7" t="s">
        <v>456</v>
      </c>
      <c r="AB129" s="8" t="s">
        <v>457</v>
      </c>
      <c r="AC129" s="4" t="s">
        <v>301</v>
      </c>
      <c r="AD129" s="4" t="s">
        <v>375</v>
      </c>
      <c r="AE129" s="8">
        <v>1637</v>
      </c>
      <c r="AF129" s="8"/>
      <c r="AG129" s="4" t="s">
        <v>379</v>
      </c>
      <c r="AH129" s="4" t="s">
        <v>1156</v>
      </c>
      <c r="AI129" s="4"/>
      <c r="AJ129" s="4"/>
      <c r="AK129" s="4"/>
      <c r="AL129" s="4"/>
      <c r="AM129" s="8">
        <v>3</v>
      </c>
      <c r="BP129" s="7">
        <v>7.78</v>
      </c>
      <c r="BS129" s="6">
        <v>4.1500000000000004</v>
      </c>
      <c r="BT129" s="6">
        <v>1.06</v>
      </c>
      <c r="DZ129" s="31"/>
      <c r="EI129" s="10">
        <f t="shared" ref="EI129:EI136" si="9">BP129*BS129/100</f>
        <v>0.32287000000000005</v>
      </c>
      <c r="EJ129" s="10">
        <f t="shared" ref="EJ129:EJ142" si="10">BP129*BT129/100</f>
        <v>8.2468E-2</v>
      </c>
      <c r="GP129" s="32"/>
      <c r="GY129" s="6" t="s">
        <v>309</v>
      </c>
      <c r="GZ129" s="6" t="s">
        <v>1049</v>
      </c>
      <c r="HA129" s="6" t="s">
        <v>339</v>
      </c>
      <c r="HC129" s="6" t="s">
        <v>463</v>
      </c>
      <c r="HD129" s="8" t="s">
        <v>2459</v>
      </c>
      <c r="HE129" s="8">
        <v>76088</v>
      </c>
      <c r="HF129" s="8" t="s">
        <v>2460</v>
      </c>
      <c r="HG129" s="4" t="s">
        <v>538</v>
      </c>
      <c r="IW129" s="8"/>
      <c r="JB129" s="8"/>
      <c r="JX129" s="7" t="s">
        <v>738</v>
      </c>
      <c r="JY129" s="7" t="s">
        <v>354</v>
      </c>
      <c r="JZ129" s="7" t="s">
        <v>320</v>
      </c>
      <c r="KG129" s="4" t="s">
        <v>323</v>
      </c>
      <c r="KM129" s="4" t="s">
        <v>471</v>
      </c>
      <c r="KN129" s="4" t="s">
        <v>471</v>
      </c>
      <c r="KP129" s="5" t="s">
        <v>358</v>
      </c>
      <c r="KQ129" s="5" t="s">
        <v>2461</v>
      </c>
      <c r="KS129" s="5" t="s">
        <v>586</v>
      </c>
      <c r="KT129" s="5" t="s">
        <v>2462</v>
      </c>
    </row>
    <row r="130" spans="1:306" ht="36" x14ac:dyDescent="0.25">
      <c r="A130" s="5" t="s">
        <v>2761</v>
      </c>
      <c r="B130" s="4" t="s">
        <v>383</v>
      </c>
      <c r="C130" s="7" t="s">
        <v>384</v>
      </c>
      <c r="D130" s="8" t="s">
        <v>1048</v>
      </c>
      <c r="E130" s="4">
        <v>467268</v>
      </c>
      <c r="G130" s="4" t="s">
        <v>530</v>
      </c>
      <c r="H130" s="6">
        <v>129.27260000000001</v>
      </c>
      <c r="I130" s="6">
        <v>-15.2974</v>
      </c>
      <c r="J130" s="4" t="s">
        <v>2762</v>
      </c>
      <c r="K130" s="4" t="s">
        <v>481</v>
      </c>
      <c r="L130" s="4" t="s">
        <v>2763</v>
      </c>
      <c r="Q130" s="8"/>
      <c r="R130" s="8"/>
      <c r="Z130" s="4" t="s">
        <v>455</v>
      </c>
      <c r="AA130" s="7" t="s">
        <v>456</v>
      </c>
      <c r="AB130" s="8" t="s">
        <v>457</v>
      </c>
      <c r="AC130" s="4" t="s">
        <v>301</v>
      </c>
      <c r="AD130" s="4" t="s">
        <v>382</v>
      </c>
      <c r="AE130" s="8"/>
      <c r="AF130" s="8"/>
      <c r="AN130" s="4" t="s">
        <v>381</v>
      </c>
      <c r="AO130" s="4" t="s">
        <v>375</v>
      </c>
      <c r="AP130" s="4" t="s">
        <v>383</v>
      </c>
      <c r="AQ130" s="7" t="s">
        <v>384</v>
      </c>
      <c r="AR130" s="8" t="s">
        <v>1048</v>
      </c>
      <c r="AS130" s="7">
        <v>0</v>
      </c>
      <c r="AT130" s="7">
        <v>0</v>
      </c>
      <c r="AU130" s="9" t="s">
        <v>303</v>
      </c>
      <c r="AV130" s="9" t="s">
        <v>406</v>
      </c>
      <c r="BA130" s="8">
        <v>5</v>
      </c>
      <c r="BP130" s="7">
        <f>9.5+3.8</f>
        <v>13.3</v>
      </c>
      <c r="BS130" s="7">
        <f>(9.5*0.6+3.8*2.2)/(9.5+3.8)</f>
        <v>1.0571428571428569</v>
      </c>
      <c r="BT130" s="7">
        <f>(9.5*0+3.8*0.5)/(9.5+3.8)</f>
        <v>0.14285714285714285</v>
      </c>
      <c r="BU130" s="7">
        <f>(9.5*20.2+3.8*15.3)/(9.5+3.8)</f>
        <v>18.8</v>
      </c>
      <c r="DZ130" s="31"/>
      <c r="EI130" s="10">
        <f t="shared" si="9"/>
        <v>0.14059999999999997</v>
      </c>
      <c r="EJ130" s="10">
        <f t="shared" si="10"/>
        <v>1.9E-2</v>
      </c>
      <c r="EK130" s="10">
        <f>BP130*BU130/1000</f>
        <v>0.25004000000000004</v>
      </c>
      <c r="GP130" s="32"/>
      <c r="GY130" s="6" t="s">
        <v>338</v>
      </c>
      <c r="GZ130" s="6" t="s">
        <v>1386</v>
      </c>
      <c r="HB130" s="6" t="s">
        <v>339</v>
      </c>
      <c r="HC130" s="6" t="s">
        <v>463</v>
      </c>
      <c r="HD130" s="8" t="s">
        <v>2764</v>
      </c>
      <c r="HE130" s="8">
        <v>3168</v>
      </c>
      <c r="HF130" s="8" t="s">
        <v>2765</v>
      </c>
      <c r="HG130" s="9" t="s">
        <v>2766</v>
      </c>
      <c r="IW130" s="8"/>
      <c r="JB130" s="8"/>
      <c r="KG130" s="4" t="s">
        <v>323</v>
      </c>
      <c r="KQ130" s="5" t="s">
        <v>2767</v>
      </c>
      <c r="KS130" s="5" t="s">
        <v>2767</v>
      </c>
      <c r="KT130" s="5" t="s">
        <v>2768</v>
      </c>
    </row>
    <row r="131" spans="1:306" ht="24" x14ac:dyDescent="0.25">
      <c r="A131" s="12" t="s">
        <v>3351</v>
      </c>
      <c r="B131" s="4" t="s">
        <v>455</v>
      </c>
      <c r="C131" s="6" t="s">
        <v>456</v>
      </c>
      <c r="D131" s="4" t="s">
        <v>457</v>
      </c>
      <c r="E131" s="8">
        <v>336274</v>
      </c>
      <c r="F131" s="8"/>
      <c r="G131" s="8" t="s">
        <v>330</v>
      </c>
      <c r="H131" s="6">
        <v>125.72874400000001</v>
      </c>
      <c r="I131" s="6">
        <v>-18.148599999999998</v>
      </c>
      <c r="J131" s="8" t="s">
        <v>1888</v>
      </c>
      <c r="K131" s="4" t="s">
        <v>331</v>
      </c>
      <c r="L131" s="4" t="s">
        <v>458</v>
      </c>
      <c r="M131" s="4" t="s">
        <v>1888</v>
      </c>
      <c r="O131" s="4"/>
      <c r="Q131" s="8"/>
      <c r="R131" s="8"/>
      <c r="S131" s="4"/>
      <c r="T131" s="4"/>
      <c r="U131" s="8"/>
      <c r="V131" s="8"/>
      <c r="W131" s="8"/>
      <c r="X131" s="8"/>
      <c r="Z131" s="4" t="s">
        <v>455</v>
      </c>
      <c r="AA131" s="6" t="s">
        <v>456</v>
      </c>
      <c r="AB131" s="4" t="s">
        <v>457</v>
      </c>
      <c r="AC131" s="4" t="s">
        <v>301</v>
      </c>
      <c r="AD131" s="4" t="s">
        <v>302</v>
      </c>
      <c r="AE131" s="8">
        <v>357</v>
      </c>
      <c r="AF131" s="8"/>
      <c r="AG131" s="4" t="s">
        <v>379</v>
      </c>
      <c r="AH131" s="4" t="s">
        <v>1156</v>
      </c>
      <c r="AI131" s="8"/>
      <c r="AJ131" s="8"/>
      <c r="AK131" s="8"/>
      <c r="AL131" s="8"/>
      <c r="AM131" s="8">
        <v>2</v>
      </c>
      <c r="AQ131" s="6"/>
      <c r="AR131" s="4"/>
      <c r="AS131" s="8"/>
      <c r="AT131" s="8"/>
      <c r="AU131" s="4"/>
      <c r="AV131" s="4"/>
      <c r="AW131" s="8"/>
      <c r="AX131" s="8"/>
      <c r="AY131" s="8"/>
      <c r="AZ131" s="8"/>
      <c r="BE131" s="6"/>
      <c r="BF131" s="4"/>
      <c r="BG131" s="8"/>
      <c r="BH131" s="8"/>
      <c r="BI131" s="4"/>
      <c r="BJ131" s="4"/>
      <c r="BK131" s="8"/>
      <c r="BL131" s="8"/>
      <c r="BM131" s="8"/>
      <c r="BN131" s="8"/>
      <c r="BP131" s="7">
        <v>2.1</v>
      </c>
      <c r="BQ131" s="7"/>
      <c r="BS131" s="7">
        <v>9.4</v>
      </c>
      <c r="BT131" s="7">
        <v>2.1</v>
      </c>
      <c r="BU131" s="4">
        <v>50</v>
      </c>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31"/>
      <c r="EA131" s="4"/>
      <c r="EB131" s="4"/>
      <c r="EC131" s="4"/>
      <c r="ED131" s="4"/>
      <c r="EE131" s="4"/>
      <c r="EF131" s="4"/>
      <c r="EG131" s="4"/>
      <c r="EI131" s="10">
        <f t="shared" si="9"/>
        <v>0.19740000000000002</v>
      </c>
      <c r="EJ131" s="10">
        <f t="shared" si="10"/>
        <v>4.41E-2</v>
      </c>
      <c r="EK131" s="10">
        <f>BP131*BU131/1000</f>
        <v>0.105</v>
      </c>
      <c r="EL131" s="4"/>
      <c r="EN131" s="4"/>
      <c r="EO131" s="4"/>
      <c r="EP131" s="4"/>
      <c r="EQ131" s="4"/>
      <c r="ER131" s="4"/>
      <c r="ES131" s="4"/>
      <c r="ET131" s="4"/>
      <c r="EU131" s="4"/>
      <c r="EV131" s="4"/>
      <c r="EW131" s="4"/>
      <c r="EX131" s="4"/>
      <c r="EZ131" s="4"/>
      <c r="FA131" s="4"/>
      <c r="FB131" s="4"/>
      <c r="FC131" s="4"/>
      <c r="FF131" s="4"/>
      <c r="FG131" s="4"/>
      <c r="FH131" s="4"/>
      <c r="FI131" s="4"/>
      <c r="FJ131" s="4"/>
      <c r="FK131" s="4"/>
      <c r="FL131" s="4"/>
      <c r="FM131" s="4"/>
      <c r="FN131" s="4"/>
      <c r="FO131" s="4"/>
      <c r="FQ131" s="4"/>
      <c r="FR131" s="4"/>
      <c r="FS131" s="4"/>
      <c r="FT131" s="4"/>
      <c r="FU131" s="4"/>
      <c r="FV131" s="4"/>
      <c r="FW131" s="4"/>
      <c r="FX131" s="4"/>
      <c r="FY131" s="4"/>
      <c r="FZ131" s="4"/>
      <c r="GP131" s="32"/>
      <c r="GR131" s="4"/>
      <c r="GS131" s="4"/>
      <c r="GT131" s="4"/>
      <c r="GU131" s="4"/>
      <c r="GV131" s="4"/>
      <c r="GW131" s="4"/>
      <c r="GX131" s="4"/>
      <c r="GY131" s="4" t="s">
        <v>338</v>
      </c>
      <c r="GZ131" s="4" t="s">
        <v>1049</v>
      </c>
      <c r="HA131" s="4" t="s">
        <v>2547</v>
      </c>
      <c r="HB131" s="4"/>
      <c r="HC131" s="4" t="s">
        <v>463</v>
      </c>
      <c r="HD131" s="4" t="s">
        <v>1889</v>
      </c>
      <c r="HE131" s="8">
        <v>25744</v>
      </c>
      <c r="HF131" s="4" t="s">
        <v>3352</v>
      </c>
      <c r="HG131" s="4" t="s">
        <v>1891</v>
      </c>
      <c r="HH131" s="4"/>
      <c r="HJ131" s="4"/>
      <c r="HK131" s="4"/>
      <c r="HL131" s="4"/>
      <c r="HN131" s="4"/>
      <c r="HO131" s="4"/>
      <c r="HP131" s="4"/>
      <c r="HR131" s="4"/>
      <c r="HS131" s="4"/>
      <c r="HT131" s="4"/>
      <c r="HU131" s="4"/>
      <c r="HV131" s="4"/>
      <c r="HW131" s="4"/>
      <c r="HX131" s="4"/>
      <c r="HZ131" s="4"/>
      <c r="IA131" s="4"/>
      <c r="IB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M131" s="4" t="s">
        <v>471</v>
      </c>
      <c r="KN131" s="4" t="s">
        <v>471</v>
      </c>
      <c r="KP131" s="5" t="s">
        <v>358</v>
      </c>
      <c r="KQ131" s="5" t="s">
        <v>1896</v>
      </c>
      <c r="KS131" s="5" t="s">
        <v>1896</v>
      </c>
      <c r="KT131" s="5" t="s">
        <v>3353</v>
      </c>
    </row>
    <row r="132" spans="1:306" ht="36" x14ac:dyDescent="0.25">
      <c r="A132" s="12" t="s">
        <v>3579</v>
      </c>
      <c r="B132" s="4" t="s">
        <v>455</v>
      </c>
      <c r="C132" s="6" t="s">
        <v>456</v>
      </c>
      <c r="D132" s="4" t="s">
        <v>457</v>
      </c>
      <c r="E132" s="8">
        <v>339018</v>
      </c>
      <c r="F132" s="8"/>
      <c r="G132" s="8" t="s">
        <v>330</v>
      </c>
      <c r="H132" s="6">
        <v>125.857788</v>
      </c>
      <c r="I132" s="6">
        <v>-18.627825000000001</v>
      </c>
      <c r="J132" s="8" t="s">
        <v>1888</v>
      </c>
      <c r="K132" s="4" t="s">
        <v>331</v>
      </c>
      <c r="L132" s="4" t="s">
        <v>458</v>
      </c>
      <c r="M132" s="4" t="s">
        <v>1888</v>
      </c>
      <c r="O132" s="4"/>
      <c r="Q132" s="8"/>
      <c r="R132" s="8"/>
      <c r="S132" s="8"/>
      <c r="T132" s="8"/>
      <c r="U132" s="8"/>
      <c r="Z132" s="4" t="s">
        <v>455</v>
      </c>
      <c r="AA132" s="6" t="s">
        <v>456</v>
      </c>
      <c r="AB132" s="4" t="s">
        <v>457</v>
      </c>
      <c r="AC132" s="4" t="s">
        <v>301</v>
      </c>
      <c r="AD132" s="4" t="s">
        <v>302</v>
      </c>
      <c r="AE132" s="8">
        <v>351</v>
      </c>
      <c r="AF132" s="8">
        <v>15</v>
      </c>
      <c r="AG132" s="8" t="s">
        <v>379</v>
      </c>
      <c r="AH132" s="8" t="s">
        <v>335</v>
      </c>
      <c r="AI132" s="8" t="s">
        <v>3580</v>
      </c>
      <c r="AJ132" s="9" t="s">
        <v>306</v>
      </c>
      <c r="AK132" s="9" t="s">
        <v>1081</v>
      </c>
      <c r="AL132" s="9" t="s">
        <v>1295</v>
      </c>
      <c r="AM132" s="8">
        <v>4</v>
      </c>
      <c r="AQ132" s="6"/>
      <c r="AR132" s="4"/>
      <c r="AS132" s="8"/>
      <c r="AT132" s="8"/>
      <c r="AU132" s="8"/>
      <c r="AV132" s="8"/>
      <c r="AW132" s="8"/>
      <c r="BE132" s="6"/>
      <c r="BF132" s="4"/>
      <c r="BG132" s="8"/>
      <c r="BH132" s="8"/>
      <c r="BI132" s="8"/>
      <c r="BJ132" s="8"/>
      <c r="BK132" s="8"/>
      <c r="BP132" s="7">
        <v>2.6</v>
      </c>
      <c r="BQ132" s="7"/>
      <c r="BS132" s="7">
        <v>8.5</v>
      </c>
      <c r="BT132" s="7">
        <v>2.8</v>
      </c>
      <c r="BU132" s="4">
        <v>38</v>
      </c>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31"/>
      <c r="EA132" s="4"/>
      <c r="EB132" s="4"/>
      <c r="EC132" s="4"/>
      <c r="ED132" s="4"/>
      <c r="EE132" s="4"/>
      <c r="EF132" s="4"/>
      <c r="EG132" s="4"/>
      <c r="EI132" s="10">
        <f t="shared" si="9"/>
        <v>0.221</v>
      </c>
      <c r="EJ132" s="10">
        <f t="shared" si="10"/>
        <v>7.279999999999999E-2</v>
      </c>
      <c r="EK132" s="10">
        <f>BP132*BU132/1000</f>
        <v>9.8799999999999999E-2</v>
      </c>
      <c r="EL132" s="4"/>
      <c r="EN132" s="4"/>
      <c r="EO132" s="4"/>
      <c r="EP132" s="4"/>
      <c r="EQ132" s="4"/>
      <c r="ER132" s="4"/>
      <c r="ES132" s="4"/>
      <c r="ET132" s="4"/>
      <c r="EU132" s="4"/>
      <c r="EV132" s="4"/>
      <c r="EW132" s="4"/>
      <c r="EX132" s="4"/>
      <c r="EZ132" s="4"/>
      <c r="FA132" s="4"/>
      <c r="FB132" s="4"/>
      <c r="FC132" s="4"/>
      <c r="FF132" s="4"/>
      <c r="FG132" s="4"/>
      <c r="FH132" s="4"/>
      <c r="FI132" s="4"/>
      <c r="FJ132" s="4"/>
      <c r="FK132" s="4"/>
      <c r="FL132" s="4"/>
      <c r="FM132" s="4"/>
      <c r="FN132" s="4"/>
      <c r="FO132" s="4"/>
      <c r="FQ132" s="4"/>
      <c r="FR132" s="4"/>
      <c r="FS132" s="4"/>
      <c r="FT132" s="4"/>
      <c r="FU132" s="4"/>
      <c r="FV132" s="4"/>
      <c r="FW132" s="4"/>
      <c r="FX132" s="4"/>
      <c r="FY132" s="4"/>
      <c r="FZ132" s="4"/>
      <c r="GP132" s="32"/>
      <c r="GR132" s="4"/>
      <c r="GS132" s="4"/>
      <c r="GT132" s="4"/>
      <c r="GU132" s="4"/>
      <c r="GV132" s="4"/>
      <c r="GW132" s="4"/>
      <c r="GX132" s="4"/>
      <c r="GY132" s="4" t="s">
        <v>338</v>
      </c>
      <c r="GZ132" s="4" t="s">
        <v>461</v>
      </c>
      <c r="HA132" s="4"/>
      <c r="HB132" s="4" t="s">
        <v>462</v>
      </c>
      <c r="HC132" s="4" t="s">
        <v>463</v>
      </c>
      <c r="HD132" s="4" t="s">
        <v>1889</v>
      </c>
      <c r="HE132" s="8">
        <v>25744</v>
      </c>
      <c r="HF132" s="4" t="s">
        <v>3352</v>
      </c>
      <c r="HG132" s="4" t="s">
        <v>3581</v>
      </c>
      <c r="HH132" s="4"/>
      <c r="HJ132" s="4"/>
      <c r="HK132" s="4"/>
      <c r="HL132" s="4"/>
      <c r="HN132" s="4"/>
      <c r="HO132" s="4"/>
      <c r="HP132" s="4"/>
      <c r="HR132" s="4"/>
      <c r="HS132" s="4"/>
      <c r="HT132" s="4"/>
      <c r="HU132" s="4"/>
      <c r="HV132" s="4"/>
      <c r="HW132" s="4"/>
      <c r="HX132" s="4"/>
      <c r="HZ132" s="4"/>
      <c r="IA132" s="4"/>
      <c r="IB132" s="4" t="s">
        <v>323</v>
      </c>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t="s">
        <v>469</v>
      </c>
      <c r="JW132" s="4" t="s">
        <v>469</v>
      </c>
      <c r="JX132" s="4" t="s">
        <v>738</v>
      </c>
      <c r="JY132" s="4"/>
      <c r="JZ132" s="4"/>
      <c r="KA132" s="4"/>
      <c r="KB132" s="4"/>
      <c r="KC132" s="4"/>
      <c r="KD132" s="4"/>
      <c r="KE132" s="4"/>
      <c r="KF132" s="4"/>
      <c r="KG132" s="4" t="s">
        <v>323</v>
      </c>
      <c r="KM132" s="4" t="s">
        <v>471</v>
      </c>
      <c r="KN132" s="4" t="s">
        <v>471</v>
      </c>
      <c r="KP132" s="5" t="s">
        <v>358</v>
      </c>
      <c r="KQ132" s="5" t="s">
        <v>3582</v>
      </c>
      <c r="KR132" s="5" t="s">
        <v>3583</v>
      </c>
      <c r="KS132" s="5" t="s">
        <v>1896</v>
      </c>
      <c r="KT132" s="5" t="s">
        <v>3584</v>
      </c>
    </row>
    <row r="133" spans="1:306" ht="36" x14ac:dyDescent="0.25">
      <c r="A133" s="12" t="s">
        <v>4507</v>
      </c>
      <c r="B133" s="4" t="s">
        <v>455</v>
      </c>
      <c r="C133" s="6" t="s">
        <v>456</v>
      </c>
      <c r="D133" s="4" t="s">
        <v>457</v>
      </c>
      <c r="E133" s="8">
        <v>334504</v>
      </c>
      <c r="F133" s="8"/>
      <c r="G133" s="8" t="s">
        <v>330</v>
      </c>
      <c r="H133" s="6">
        <v>126.006038</v>
      </c>
      <c r="I133" s="6">
        <v>-18.730518</v>
      </c>
      <c r="J133" s="8" t="s">
        <v>1888</v>
      </c>
      <c r="K133" s="4" t="s">
        <v>331</v>
      </c>
      <c r="L133" s="4" t="s">
        <v>458</v>
      </c>
      <c r="M133" s="4" t="s">
        <v>1888</v>
      </c>
      <c r="O133" s="4"/>
      <c r="Q133" s="8"/>
      <c r="R133" s="8"/>
      <c r="U133" s="8"/>
      <c r="V133" s="8"/>
      <c r="W133" s="8"/>
      <c r="X133" s="8"/>
      <c r="Z133" s="4" t="s">
        <v>455</v>
      </c>
      <c r="AA133" s="6" t="s">
        <v>456</v>
      </c>
      <c r="AB133" s="4" t="s">
        <v>457</v>
      </c>
      <c r="AC133" s="4" t="s">
        <v>301</v>
      </c>
      <c r="AD133" s="4" t="s">
        <v>302</v>
      </c>
      <c r="AE133" s="8">
        <v>351</v>
      </c>
      <c r="AF133" s="8">
        <v>8</v>
      </c>
      <c r="AG133" s="9" t="s">
        <v>379</v>
      </c>
      <c r="AH133" s="9" t="s">
        <v>4508</v>
      </c>
      <c r="AI133" s="8"/>
      <c r="AJ133" s="8"/>
      <c r="AK133" s="8"/>
      <c r="AL133" s="8"/>
      <c r="AM133" s="8">
        <v>4</v>
      </c>
      <c r="AQ133" s="6"/>
      <c r="AR133" s="4"/>
      <c r="AS133" s="8"/>
      <c r="AT133" s="8"/>
      <c r="AW133" s="8"/>
      <c r="AX133" s="8"/>
      <c r="AY133" s="8"/>
      <c r="AZ133" s="8"/>
      <c r="BE133" s="6"/>
      <c r="BF133" s="4"/>
      <c r="BG133" s="8"/>
      <c r="BH133" s="8"/>
      <c r="BK133" s="8"/>
      <c r="BL133" s="8"/>
      <c r="BM133" s="8"/>
      <c r="BN133" s="8"/>
      <c r="BP133" s="7">
        <v>3.4</v>
      </c>
      <c r="BQ133" s="7"/>
      <c r="BS133" s="7">
        <v>9.3000000000000007</v>
      </c>
      <c r="BT133" s="7">
        <v>8.1999999999999993</v>
      </c>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31"/>
      <c r="EA133" s="4"/>
      <c r="EB133" s="4"/>
      <c r="EC133" s="4"/>
      <c r="ED133" s="4"/>
      <c r="EE133" s="4"/>
      <c r="EF133" s="4"/>
      <c r="EG133" s="4"/>
      <c r="EI133" s="10">
        <f t="shared" si="9"/>
        <v>0.31620000000000004</v>
      </c>
      <c r="EJ133" s="10">
        <f t="shared" si="10"/>
        <v>0.27879999999999994</v>
      </c>
      <c r="EL133" s="4"/>
      <c r="EN133" s="4"/>
      <c r="EO133" s="4"/>
      <c r="EP133" s="4"/>
      <c r="EQ133" s="4"/>
      <c r="ER133" s="4"/>
      <c r="ES133" s="4"/>
      <c r="ET133" s="4"/>
      <c r="EU133" s="4"/>
      <c r="EV133" s="4"/>
      <c r="EW133" s="4"/>
      <c r="EX133" s="4"/>
      <c r="EZ133" s="4"/>
      <c r="FA133" s="4"/>
      <c r="FB133" s="4"/>
      <c r="FC133" s="4"/>
      <c r="FF133" s="4"/>
      <c r="FG133" s="4"/>
      <c r="FH133" s="4"/>
      <c r="FI133" s="4"/>
      <c r="FJ133" s="4"/>
      <c r="FK133" s="4"/>
      <c r="FL133" s="4"/>
      <c r="FM133" s="4"/>
      <c r="FN133" s="4"/>
      <c r="FO133" s="4"/>
      <c r="FQ133" s="4"/>
      <c r="FR133" s="4"/>
      <c r="FS133" s="4"/>
      <c r="FT133" s="4"/>
      <c r="FU133" s="4"/>
      <c r="FV133" s="4"/>
      <c r="FW133" s="4"/>
      <c r="FX133" s="4"/>
      <c r="FY133" s="4"/>
      <c r="FZ133" s="4"/>
      <c r="GP133" s="32"/>
      <c r="GR133" s="4"/>
      <c r="GS133" s="4"/>
      <c r="GT133" s="4"/>
      <c r="GU133" s="4"/>
      <c r="GV133" s="4"/>
      <c r="GW133" s="4"/>
      <c r="GX133" s="4"/>
      <c r="GY133" s="4" t="s">
        <v>338</v>
      </c>
      <c r="GZ133" s="4" t="s">
        <v>461</v>
      </c>
      <c r="HA133" s="4"/>
      <c r="HB133" s="4"/>
      <c r="HC133" s="4" t="s">
        <v>463</v>
      </c>
      <c r="HD133" s="4" t="s">
        <v>1889</v>
      </c>
      <c r="HE133" s="8">
        <v>25744</v>
      </c>
      <c r="HF133" s="4" t="s">
        <v>1890</v>
      </c>
      <c r="HG133" s="4" t="s">
        <v>3581</v>
      </c>
      <c r="HH133" s="4"/>
      <c r="HJ133" s="4"/>
      <c r="HK133" s="4"/>
      <c r="HL133" s="4"/>
      <c r="HN133" s="4"/>
      <c r="HO133" s="4"/>
      <c r="HP133" s="4"/>
      <c r="HR133" s="4"/>
      <c r="HS133" s="4"/>
      <c r="HT133" s="4"/>
      <c r="HU133" s="4"/>
      <c r="HV133" s="4"/>
      <c r="HW133" s="4"/>
      <c r="HX133" s="4"/>
      <c r="HZ133" s="4"/>
      <c r="IA133" s="4"/>
      <c r="IB133" s="4" t="s">
        <v>323</v>
      </c>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M133" s="4" t="s">
        <v>471</v>
      </c>
      <c r="KN133" s="4" t="s">
        <v>471</v>
      </c>
      <c r="KP133" s="5" t="s">
        <v>358</v>
      </c>
      <c r="KQ133" s="5" t="s">
        <v>4509</v>
      </c>
      <c r="KR133" s="5" t="s">
        <v>4510</v>
      </c>
      <c r="KS133" s="5" t="s">
        <v>4511</v>
      </c>
      <c r="KT133" s="5" t="s">
        <v>4512</v>
      </c>
    </row>
    <row r="134" spans="1:306" ht="36" x14ac:dyDescent="0.25">
      <c r="A134" s="12" t="s">
        <v>4513</v>
      </c>
      <c r="B134" s="4" t="s">
        <v>455</v>
      </c>
      <c r="C134" s="6" t="s">
        <v>456</v>
      </c>
      <c r="D134" s="4" t="s">
        <v>457</v>
      </c>
      <c r="E134" s="8">
        <v>340147</v>
      </c>
      <c r="F134" s="8"/>
      <c r="G134" s="8" t="s">
        <v>330</v>
      </c>
      <c r="H134" s="6">
        <v>126.007288</v>
      </c>
      <c r="I134" s="6">
        <v>-18.731923999999999</v>
      </c>
      <c r="J134" s="8" t="s">
        <v>1888</v>
      </c>
      <c r="K134" s="4" t="s">
        <v>331</v>
      </c>
      <c r="L134" s="4" t="s">
        <v>458</v>
      </c>
      <c r="M134" s="4" t="s">
        <v>1888</v>
      </c>
      <c r="O134" s="4"/>
      <c r="Q134" s="8"/>
      <c r="R134" s="8"/>
      <c r="S134" s="4"/>
      <c r="T134" s="4"/>
      <c r="U134" s="8"/>
      <c r="V134" s="8"/>
      <c r="W134" s="8"/>
      <c r="X134" s="8"/>
      <c r="Z134" s="4" t="s">
        <v>455</v>
      </c>
      <c r="AA134" s="6" t="s">
        <v>456</v>
      </c>
      <c r="AB134" s="4" t="s">
        <v>457</v>
      </c>
      <c r="AC134" s="4" t="s">
        <v>301</v>
      </c>
      <c r="AD134" s="4" t="s">
        <v>302</v>
      </c>
      <c r="AE134" s="8">
        <v>357</v>
      </c>
      <c r="AF134" s="8"/>
      <c r="AG134" s="4" t="s">
        <v>379</v>
      </c>
      <c r="AH134" s="4" t="s">
        <v>1156</v>
      </c>
      <c r="AI134" s="8"/>
      <c r="AJ134" s="8"/>
      <c r="AK134" s="8"/>
      <c r="AL134" s="8"/>
      <c r="AM134" s="8">
        <v>2</v>
      </c>
      <c r="AQ134" s="6"/>
      <c r="AR134" s="4"/>
      <c r="AS134" s="8"/>
      <c r="AT134" s="8"/>
      <c r="AU134" s="4"/>
      <c r="AV134" s="4"/>
      <c r="AW134" s="8"/>
      <c r="AX134" s="8"/>
      <c r="AY134" s="8"/>
      <c r="AZ134" s="8"/>
      <c r="BE134" s="6"/>
      <c r="BF134" s="4"/>
      <c r="BG134" s="8"/>
      <c r="BH134" s="8"/>
      <c r="BI134" s="4"/>
      <c r="BJ134" s="4"/>
      <c r="BK134" s="8"/>
      <c r="BL134" s="8"/>
      <c r="BM134" s="8"/>
      <c r="BN134" s="8"/>
      <c r="BP134" s="7">
        <v>1.2</v>
      </c>
      <c r="BQ134" s="7"/>
      <c r="BS134" s="7">
        <v>4.3</v>
      </c>
      <c r="BT134" s="7">
        <v>9</v>
      </c>
      <c r="DZ134" s="31"/>
      <c r="EI134" s="10">
        <f t="shared" si="9"/>
        <v>5.1599999999999993E-2</v>
      </c>
      <c r="EJ134" s="10">
        <f t="shared" si="10"/>
        <v>0.10799999999999998</v>
      </c>
      <c r="FA134" s="6"/>
      <c r="GP134" s="32"/>
      <c r="GY134" s="6" t="s">
        <v>338</v>
      </c>
      <c r="GZ134" s="6" t="s">
        <v>1699</v>
      </c>
      <c r="HC134" s="6" t="s">
        <v>463</v>
      </c>
      <c r="HD134" s="4" t="s">
        <v>1889</v>
      </c>
      <c r="HE134" s="8">
        <v>25744</v>
      </c>
      <c r="HF134" s="4" t="s">
        <v>1890</v>
      </c>
      <c r="HG134" s="4" t="s">
        <v>1891</v>
      </c>
      <c r="HH134" s="4"/>
      <c r="HJ134" s="4"/>
      <c r="HK134" s="4"/>
      <c r="HL134" s="4"/>
      <c r="HN134" s="4"/>
      <c r="HO134" s="4"/>
      <c r="HP134" s="4"/>
      <c r="HR134" s="4"/>
      <c r="HS134" s="4"/>
      <c r="HT134" s="4"/>
      <c r="HU134" s="4"/>
      <c r="HV134" s="4"/>
      <c r="HW134" s="4"/>
      <c r="HX134" s="4"/>
      <c r="HZ134" s="4"/>
      <c r="IA134" s="4"/>
      <c r="IB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KM134" s="4" t="s">
        <v>471</v>
      </c>
      <c r="KN134" s="4" t="s">
        <v>471</v>
      </c>
      <c r="KP134" s="5" t="s">
        <v>358</v>
      </c>
      <c r="KQ134" s="5" t="s">
        <v>1896</v>
      </c>
      <c r="KS134" s="5" t="s">
        <v>1896</v>
      </c>
      <c r="KT134" s="5" t="s">
        <v>3353</v>
      </c>
    </row>
    <row r="135" spans="1:306" ht="24" x14ac:dyDescent="0.25">
      <c r="A135" s="12" t="s">
        <v>4742</v>
      </c>
      <c r="B135" s="4" t="s">
        <v>455</v>
      </c>
      <c r="C135" s="6" t="s">
        <v>456</v>
      </c>
      <c r="D135" s="4" t="s">
        <v>457</v>
      </c>
      <c r="E135" s="8">
        <v>335067</v>
      </c>
      <c r="F135" s="8"/>
      <c r="G135" s="8" t="s">
        <v>330</v>
      </c>
      <c r="H135" s="6">
        <v>125.89874399999999</v>
      </c>
      <c r="I135" s="6">
        <v>-18.598600000000001</v>
      </c>
      <c r="J135" s="8" t="s">
        <v>1888</v>
      </c>
      <c r="K135" s="4" t="s">
        <v>331</v>
      </c>
      <c r="L135" s="4" t="s">
        <v>458</v>
      </c>
      <c r="M135" s="4" t="s">
        <v>1888</v>
      </c>
      <c r="O135" s="4"/>
      <c r="Q135" s="8"/>
      <c r="R135" s="8"/>
      <c r="S135" s="4"/>
      <c r="T135" s="4"/>
      <c r="U135" s="8"/>
      <c r="V135" s="8"/>
      <c r="W135" s="8"/>
      <c r="X135" s="8"/>
      <c r="Z135" s="4" t="s">
        <v>455</v>
      </c>
      <c r="AA135" s="6" t="s">
        <v>456</v>
      </c>
      <c r="AB135" s="4" t="s">
        <v>457</v>
      </c>
      <c r="AC135" s="4" t="s">
        <v>301</v>
      </c>
      <c r="AD135" s="4" t="s">
        <v>302</v>
      </c>
      <c r="AE135" s="8">
        <v>357</v>
      </c>
      <c r="AF135" s="8"/>
      <c r="AG135" s="4" t="s">
        <v>379</v>
      </c>
      <c r="AH135" s="4" t="s">
        <v>1156</v>
      </c>
      <c r="AI135" s="8"/>
      <c r="AJ135" s="8"/>
      <c r="AK135" s="8"/>
      <c r="AL135" s="8"/>
      <c r="AM135" s="8">
        <v>2</v>
      </c>
      <c r="AQ135" s="6"/>
      <c r="AR135" s="4"/>
      <c r="AS135" s="8"/>
      <c r="AT135" s="8"/>
      <c r="AU135" s="4"/>
      <c r="AV135" s="4"/>
      <c r="AW135" s="8"/>
      <c r="AX135" s="8"/>
      <c r="AY135" s="8"/>
      <c r="AZ135" s="8"/>
      <c r="BE135" s="6"/>
      <c r="BF135" s="4"/>
      <c r="BG135" s="8"/>
      <c r="BH135" s="8"/>
      <c r="BI135" s="4"/>
      <c r="BJ135" s="4"/>
      <c r="BK135" s="8"/>
      <c r="BL135" s="8"/>
      <c r="BM135" s="8"/>
      <c r="BN135" s="8"/>
      <c r="BP135" s="7">
        <v>2.2999999999999998</v>
      </c>
      <c r="BQ135" s="7"/>
      <c r="BS135" s="7">
        <v>7.2</v>
      </c>
      <c r="BT135" s="7">
        <v>0.5</v>
      </c>
      <c r="BU135" s="4">
        <v>39</v>
      </c>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31"/>
      <c r="EA135" s="4"/>
      <c r="EB135" s="4"/>
      <c r="EC135" s="4"/>
      <c r="ED135" s="4"/>
      <c r="EE135" s="4"/>
      <c r="EF135" s="4"/>
      <c r="EG135" s="4"/>
      <c r="EI135" s="10">
        <f t="shared" si="9"/>
        <v>0.1656</v>
      </c>
      <c r="EJ135" s="10">
        <f t="shared" si="10"/>
        <v>1.15E-2</v>
      </c>
      <c r="EK135" s="10">
        <f>BP135*BU135/1000</f>
        <v>8.9699999999999988E-2</v>
      </c>
      <c r="EL135" s="4"/>
      <c r="EN135" s="4"/>
      <c r="EO135" s="4"/>
      <c r="EP135" s="4"/>
      <c r="EQ135" s="4"/>
      <c r="ER135" s="4"/>
      <c r="ES135" s="4"/>
      <c r="ET135" s="4"/>
      <c r="EU135" s="4"/>
      <c r="EV135" s="4"/>
      <c r="EW135" s="4"/>
      <c r="EX135" s="4"/>
      <c r="EZ135" s="4"/>
      <c r="FA135" s="4"/>
      <c r="FB135" s="4"/>
      <c r="FC135" s="4"/>
      <c r="FF135" s="4"/>
      <c r="FG135" s="4"/>
      <c r="FH135" s="4"/>
      <c r="FI135" s="4"/>
      <c r="FJ135" s="4"/>
      <c r="FK135" s="4"/>
      <c r="FL135" s="4"/>
      <c r="FM135" s="4"/>
      <c r="FN135" s="4"/>
      <c r="FO135" s="4"/>
      <c r="FQ135" s="4"/>
      <c r="FR135" s="4"/>
      <c r="FS135" s="4"/>
      <c r="FT135" s="4"/>
      <c r="FU135" s="4"/>
      <c r="FV135" s="4"/>
      <c r="FW135" s="4"/>
      <c r="FX135" s="4"/>
      <c r="FY135" s="4"/>
      <c r="FZ135" s="4"/>
      <c r="GP135" s="32"/>
      <c r="GR135" s="4"/>
      <c r="GS135" s="4"/>
      <c r="GT135" s="4"/>
      <c r="GU135" s="4"/>
      <c r="GV135" s="4"/>
      <c r="GW135" s="4"/>
      <c r="GX135" s="4"/>
      <c r="GY135" s="4" t="s">
        <v>338</v>
      </c>
      <c r="GZ135" s="4" t="s">
        <v>1049</v>
      </c>
      <c r="HA135" s="4" t="s">
        <v>462</v>
      </c>
      <c r="HB135" s="4" t="s">
        <v>339</v>
      </c>
      <c r="HC135" s="4" t="s">
        <v>463</v>
      </c>
      <c r="HD135" s="4" t="s">
        <v>1889</v>
      </c>
      <c r="HE135" s="8">
        <v>25744</v>
      </c>
      <c r="HF135" s="4" t="s">
        <v>3352</v>
      </c>
      <c r="HG135" s="4" t="s">
        <v>1891</v>
      </c>
      <c r="HH135" s="4"/>
      <c r="HJ135" s="4"/>
      <c r="HK135" s="4"/>
      <c r="HL135" s="4"/>
      <c r="HN135" s="4"/>
      <c r="HO135" s="4"/>
      <c r="HP135" s="4"/>
      <c r="HR135" s="4"/>
      <c r="HS135" s="4"/>
      <c r="HT135" s="4"/>
      <c r="HU135" s="4"/>
      <c r="HV135" s="4"/>
      <c r="HW135" s="4"/>
      <c r="HX135" s="4"/>
      <c r="HZ135" s="4"/>
      <c r="IA135" s="4"/>
      <c r="IB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t="s">
        <v>4743</v>
      </c>
      <c r="JW135" s="4" t="s">
        <v>469</v>
      </c>
      <c r="JX135" s="4" t="s">
        <v>738</v>
      </c>
      <c r="JY135" s="4"/>
      <c r="JZ135" s="4"/>
      <c r="KA135" s="4"/>
      <c r="KB135" s="4"/>
      <c r="KC135" s="4"/>
      <c r="KD135" s="4"/>
      <c r="KE135" s="4"/>
      <c r="KF135" s="4"/>
      <c r="KG135" s="4" t="s">
        <v>323</v>
      </c>
      <c r="KM135" s="4" t="s">
        <v>471</v>
      </c>
      <c r="KN135" s="4" t="s">
        <v>471</v>
      </c>
      <c r="KP135" s="5" t="s">
        <v>358</v>
      </c>
      <c r="KQ135" s="5" t="s">
        <v>1896</v>
      </c>
      <c r="KS135" s="5" t="s">
        <v>1896</v>
      </c>
      <c r="KT135" s="5" t="s">
        <v>4744</v>
      </c>
    </row>
    <row r="136" spans="1:306" ht="36" x14ac:dyDescent="0.25">
      <c r="A136" s="12" t="s">
        <v>6148</v>
      </c>
      <c r="B136" s="4" t="s">
        <v>455</v>
      </c>
      <c r="C136" s="6" t="s">
        <v>456</v>
      </c>
      <c r="D136" s="4" t="s">
        <v>457</v>
      </c>
      <c r="E136" s="8">
        <v>334465</v>
      </c>
      <c r="F136" s="8"/>
      <c r="G136" s="8" t="s">
        <v>330</v>
      </c>
      <c r="H136" s="6">
        <v>124.729235</v>
      </c>
      <c r="I136" s="6">
        <v>-17.258330999999998</v>
      </c>
      <c r="J136" s="8" t="s">
        <v>1888</v>
      </c>
      <c r="K136" s="4" t="s">
        <v>331</v>
      </c>
      <c r="L136" s="4" t="s">
        <v>458</v>
      </c>
      <c r="M136" s="4" t="s">
        <v>1888</v>
      </c>
      <c r="O136" s="4"/>
      <c r="Q136" s="8"/>
      <c r="R136" s="8"/>
      <c r="S136" s="4"/>
      <c r="T136" s="4"/>
      <c r="U136" s="8"/>
      <c r="V136" s="8"/>
      <c r="W136" s="8"/>
      <c r="X136" s="8"/>
      <c r="Z136" s="4" t="s">
        <v>455</v>
      </c>
      <c r="AA136" s="6" t="s">
        <v>456</v>
      </c>
      <c r="AB136" s="4" t="s">
        <v>457</v>
      </c>
      <c r="AC136" s="4" t="s">
        <v>301</v>
      </c>
      <c r="AD136" s="4" t="s">
        <v>302</v>
      </c>
      <c r="AE136" s="8">
        <v>357</v>
      </c>
      <c r="AF136" s="8"/>
      <c r="AG136" s="4" t="s">
        <v>379</v>
      </c>
      <c r="AH136" s="4" t="s">
        <v>1156</v>
      </c>
      <c r="AI136" s="8"/>
      <c r="AJ136" s="8"/>
      <c r="AK136" s="8"/>
      <c r="AL136" s="8"/>
      <c r="AM136" s="8">
        <v>2</v>
      </c>
      <c r="AQ136" s="6"/>
      <c r="AR136" s="4"/>
      <c r="AS136" s="8"/>
      <c r="AT136" s="8"/>
      <c r="AU136" s="4"/>
      <c r="AV136" s="4"/>
      <c r="AW136" s="8"/>
      <c r="AX136" s="8"/>
      <c r="AY136" s="8"/>
      <c r="AZ136" s="8"/>
      <c r="BE136" s="6"/>
      <c r="BF136" s="4"/>
      <c r="BG136" s="8"/>
      <c r="BH136" s="8"/>
      <c r="BI136" s="4"/>
      <c r="BJ136" s="4"/>
      <c r="BK136" s="8"/>
      <c r="BL136" s="8"/>
      <c r="BM136" s="8"/>
      <c r="BN136" s="8"/>
      <c r="BP136" s="7">
        <v>0.6</v>
      </c>
      <c r="BQ136" s="7"/>
      <c r="BS136" s="7">
        <v>8</v>
      </c>
      <c r="BT136" s="7">
        <v>8.5</v>
      </c>
      <c r="BU136" s="4">
        <v>75</v>
      </c>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31"/>
      <c r="EA136" s="4"/>
      <c r="EB136" s="4"/>
      <c r="EC136" s="4"/>
      <c r="ED136" s="4"/>
      <c r="EE136" s="4"/>
      <c r="EF136" s="4"/>
      <c r="EG136" s="4"/>
      <c r="EI136" s="10">
        <f t="shared" si="9"/>
        <v>4.8000000000000001E-2</v>
      </c>
      <c r="EJ136" s="10">
        <f t="shared" si="10"/>
        <v>5.0999999999999997E-2</v>
      </c>
      <c r="EK136" s="10">
        <f>BP136*BU136/1000</f>
        <v>4.4999999999999998E-2</v>
      </c>
      <c r="EL136" s="4"/>
      <c r="EN136" s="4"/>
      <c r="EO136" s="4"/>
      <c r="EP136" s="4"/>
      <c r="EQ136" s="4"/>
      <c r="ER136" s="4"/>
      <c r="ES136" s="4"/>
      <c r="ET136" s="4"/>
      <c r="EU136" s="4"/>
      <c r="EV136" s="4"/>
      <c r="EW136" s="4"/>
      <c r="EX136" s="4"/>
      <c r="EZ136" s="4"/>
      <c r="FA136" s="4"/>
      <c r="FB136" s="4"/>
      <c r="FC136" s="4"/>
      <c r="FF136" s="4"/>
      <c r="FG136" s="4"/>
      <c r="FH136" s="4"/>
      <c r="FI136" s="4"/>
      <c r="FJ136" s="4"/>
      <c r="FK136" s="4"/>
      <c r="FL136" s="4"/>
      <c r="FM136" s="4"/>
      <c r="FN136" s="4"/>
      <c r="FO136" s="4"/>
      <c r="FQ136" s="4"/>
      <c r="FR136" s="4"/>
      <c r="FS136" s="4"/>
      <c r="FT136" s="4"/>
      <c r="FU136" s="4"/>
      <c r="FV136" s="4"/>
      <c r="FW136" s="4"/>
      <c r="FX136" s="4"/>
      <c r="FY136" s="4"/>
      <c r="FZ136" s="4"/>
      <c r="GP136" s="32"/>
      <c r="GR136" s="4"/>
      <c r="GS136" s="4"/>
      <c r="GT136" s="4"/>
      <c r="GU136" s="4"/>
      <c r="GV136" s="4"/>
      <c r="GW136" s="4"/>
      <c r="GX136" s="4"/>
      <c r="GY136" s="4" t="s">
        <v>338</v>
      </c>
      <c r="GZ136" s="4" t="s">
        <v>1699</v>
      </c>
      <c r="HA136" s="4" t="s">
        <v>462</v>
      </c>
      <c r="HB136" s="4"/>
      <c r="HC136" s="4" t="s">
        <v>463</v>
      </c>
      <c r="HD136" s="4" t="s">
        <v>6149</v>
      </c>
      <c r="HE136" s="8">
        <v>27212</v>
      </c>
      <c r="HF136" s="4" t="s">
        <v>6150</v>
      </c>
      <c r="HG136" s="4" t="s">
        <v>318</v>
      </c>
      <c r="HH136" s="4"/>
      <c r="HJ136" s="4"/>
      <c r="HK136" s="4"/>
      <c r="HL136" s="4"/>
      <c r="HN136" s="4"/>
      <c r="HO136" s="4"/>
      <c r="HP136" s="4"/>
      <c r="HR136" s="4"/>
      <c r="HS136" s="4"/>
      <c r="HT136" s="4"/>
      <c r="HU136" s="4"/>
      <c r="HV136" s="4"/>
      <c r="HW136" s="4"/>
      <c r="HX136" s="4"/>
      <c r="HZ136" s="4"/>
      <c r="IA136" s="4"/>
      <c r="IB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t="s">
        <v>6151</v>
      </c>
      <c r="JW136" s="4" t="s">
        <v>469</v>
      </c>
      <c r="JX136" s="4" t="s">
        <v>320</v>
      </c>
      <c r="JY136" s="4" t="s">
        <v>354</v>
      </c>
      <c r="JZ136" s="4" t="s">
        <v>738</v>
      </c>
      <c r="KA136" s="4"/>
      <c r="KB136" s="4"/>
      <c r="KC136" s="4"/>
      <c r="KD136" s="4"/>
      <c r="KE136" s="4"/>
      <c r="KF136" s="4"/>
      <c r="KG136" s="4" t="s">
        <v>323</v>
      </c>
      <c r="KM136" s="4" t="s">
        <v>471</v>
      </c>
      <c r="KN136" s="4" t="s">
        <v>471</v>
      </c>
      <c r="KP136" s="5" t="s">
        <v>358</v>
      </c>
      <c r="KQ136" s="5" t="s">
        <v>6152</v>
      </c>
      <c r="KS136" s="5" t="s">
        <v>6153</v>
      </c>
      <c r="KT136" s="5" t="s">
        <v>6154</v>
      </c>
    </row>
    <row r="137" spans="1:306" ht="84" x14ac:dyDescent="0.25">
      <c r="A137" s="12" t="s">
        <v>6558</v>
      </c>
      <c r="B137" s="4" t="s">
        <v>383</v>
      </c>
      <c r="C137" s="4" t="s">
        <v>384</v>
      </c>
      <c r="D137" s="6" t="s">
        <v>1048</v>
      </c>
      <c r="E137" s="8">
        <v>334310</v>
      </c>
      <c r="F137" s="8"/>
      <c r="G137" s="8" t="s">
        <v>330</v>
      </c>
      <c r="H137" s="6">
        <v>119.940529</v>
      </c>
      <c r="I137" s="6">
        <v>-26.519242999999999</v>
      </c>
      <c r="J137" s="8" t="s">
        <v>6559</v>
      </c>
      <c r="K137" s="4" t="s">
        <v>331</v>
      </c>
      <c r="L137" s="4" t="s">
        <v>2172</v>
      </c>
      <c r="O137" s="4"/>
      <c r="Q137" s="8"/>
      <c r="R137" s="8"/>
      <c r="S137" s="8"/>
      <c r="T137" s="8"/>
      <c r="U137" s="4"/>
      <c r="V137" s="4"/>
      <c r="W137" s="4"/>
      <c r="X137" s="4"/>
      <c r="Z137" s="4" t="s">
        <v>455</v>
      </c>
      <c r="AA137" s="6" t="s">
        <v>456</v>
      </c>
      <c r="AB137" s="4" t="s">
        <v>457</v>
      </c>
      <c r="AC137" s="4" t="s">
        <v>301</v>
      </c>
      <c r="AD137" s="4" t="s">
        <v>402</v>
      </c>
      <c r="AE137" s="8">
        <v>1815</v>
      </c>
      <c r="AF137" s="8">
        <v>13</v>
      </c>
      <c r="AG137" s="8" t="s">
        <v>379</v>
      </c>
      <c r="AH137" s="8" t="s">
        <v>335</v>
      </c>
      <c r="AI137" s="4" t="s">
        <v>504</v>
      </c>
      <c r="AJ137" s="4" t="s">
        <v>306</v>
      </c>
      <c r="AK137" s="4" t="s">
        <v>307</v>
      </c>
      <c r="AL137" s="4" t="s">
        <v>337</v>
      </c>
      <c r="AM137" s="8">
        <v>4</v>
      </c>
      <c r="AN137" s="4" t="s">
        <v>381</v>
      </c>
      <c r="AO137" s="4" t="s">
        <v>375</v>
      </c>
      <c r="AP137" s="4" t="s">
        <v>383</v>
      </c>
      <c r="AQ137" s="4" t="s">
        <v>384</v>
      </c>
      <c r="AR137" s="6" t="s">
        <v>1048</v>
      </c>
      <c r="AS137" s="8"/>
      <c r="AT137" s="8"/>
      <c r="AU137" s="8"/>
      <c r="AV137" s="8"/>
      <c r="AW137" s="4"/>
      <c r="AX137" s="4"/>
      <c r="AY137" s="4"/>
      <c r="AZ137" s="4"/>
      <c r="BE137" s="6"/>
      <c r="BF137" s="4"/>
      <c r="BG137" s="8"/>
      <c r="BH137" s="8"/>
      <c r="BI137" s="8"/>
      <c r="BJ137" s="8"/>
      <c r="BK137" s="4"/>
      <c r="BL137" s="4"/>
      <c r="BM137" s="4"/>
      <c r="BN137" s="4"/>
      <c r="BP137" s="7">
        <f>5.6795+39.6+11.7</f>
        <v>56.979500000000002</v>
      </c>
      <c r="BQ137" s="7"/>
      <c r="BS137" s="8"/>
      <c r="BT137" s="7">
        <f>(3.8*39.6+3.4*11.7+7.1*5.6795)/(39.6+11.7+5.6795)</f>
        <v>4.0467966549373022</v>
      </c>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31"/>
      <c r="EA137" s="4"/>
      <c r="EB137" s="4"/>
      <c r="EC137" s="4"/>
      <c r="ED137" s="4"/>
      <c r="EE137" s="4"/>
      <c r="EF137" s="4"/>
      <c r="EG137" s="4"/>
      <c r="EJ137" s="6">
        <f t="shared" si="10"/>
        <v>2.3058445000000005</v>
      </c>
      <c r="EL137" s="4"/>
      <c r="EN137" s="4"/>
      <c r="EO137" s="4"/>
      <c r="EP137" s="4"/>
      <c r="EQ137" s="4"/>
      <c r="ER137" s="4"/>
      <c r="ES137" s="4"/>
      <c r="ET137" s="4"/>
      <c r="EU137" s="4"/>
      <c r="EV137" s="4"/>
      <c r="EW137" s="4"/>
      <c r="EX137" s="4"/>
      <c r="EZ137" s="4"/>
      <c r="FA137" s="4"/>
      <c r="FB137" s="4"/>
      <c r="FC137" s="4"/>
      <c r="FF137" s="4"/>
      <c r="FG137" s="4"/>
      <c r="FH137" s="4"/>
      <c r="FI137" s="4"/>
      <c r="FJ137" s="4"/>
      <c r="FK137" s="4"/>
      <c r="FL137" s="4"/>
      <c r="FM137" s="4"/>
      <c r="FN137" s="4"/>
      <c r="FO137" s="4"/>
      <c r="FQ137" s="4"/>
      <c r="FR137" s="4"/>
      <c r="FS137" s="4"/>
      <c r="FT137" s="4"/>
      <c r="FU137" s="4"/>
      <c r="FV137" s="4"/>
      <c r="FW137" s="4"/>
      <c r="FX137" s="4"/>
      <c r="FY137" s="4"/>
      <c r="FZ137" s="4"/>
      <c r="GP137" s="32"/>
      <c r="GR137" s="4"/>
      <c r="GS137" s="4"/>
      <c r="GT137" s="4"/>
      <c r="GU137" s="4"/>
      <c r="GV137" s="4"/>
      <c r="GW137" s="4"/>
      <c r="GX137" s="4"/>
      <c r="GY137" s="4" t="s">
        <v>338</v>
      </c>
      <c r="GZ137" s="4" t="s">
        <v>339</v>
      </c>
      <c r="HA137" s="4"/>
      <c r="HB137" s="4"/>
      <c r="HC137" s="4" t="s">
        <v>463</v>
      </c>
      <c r="HD137" s="4" t="s">
        <v>2175</v>
      </c>
      <c r="HE137" s="8">
        <v>81551</v>
      </c>
      <c r="HF137" s="4" t="s">
        <v>6560</v>
      </c>
      <c r="HG137" s="4" t="s">
        <v>538</v>
      </c>
      <c r="HH137" s="4"/>
      <c r="HJ137" s="4"/>
      <c r="HK137" s="4"/>
      <c r="HL137" s="4"/>
      <c r="HN137" s="4"/>
      <c r="HO137" s="4"/>
      <c r="HP137" s="4"/>
      <c r="HR137" s="4"/>
      <c r="HS137" s="4"/>
      <c r="HT137" s="4"/>
      <c r="HU137" s="4"/>
      <c r="HV137" s="4"/>
      <c r="HW137" s="4"/>
      <c r="HX137" s="4"/>
      <c r="HZ137" s="4"/>
      <c r="IA137" s="4"/>
      <c r="IB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t="s">
        <v>6561</v>
      </c>
      <c r="KH137" s="4" t="s">
        <v>357</v>
      </c>
      <c r="KM137" s="4" t="s">
        <v>471</v>
      </c>
      <c r="KN137" s="4" t="s">
        <v>471</v>
      </c>
      <c r="KP137" s="5" t="s">
        <v>358</v>
      </c>
      <c r="KQ137" s="5" t="s">
        <v>6562</v>
      </c>
      <c r="KR137" s="5" t="s">
        <v>6563</v>
      </c>
      <c r="KS137" s="5" t="s">
        <v>6564</v>
      </c>
      <c r="KT137" s="5" t="s">
        <v>6565</v>
      </c>
    </row>
    <row r="138" spans="1:306" ht="60" x14ac:dyDescent="0.25">
      <c r="A138" s="12" t="s">
        <v>6646</v>
      </c>
      <c r="B138" s="4" t="s">
        <v>455</v>
      </c>
      <c r="C138" s="6" t="s">
        <v>456</v>
      </c>
      <c r="D138" s="4" t="s">
        <v>457</v>
      </c>
      <c r="E138" s="8">
        <v>336213</v>
      </c>
      <c r="F138" s="8"/>
      <c r="G138" s="8" t="s">
        <v>330</v>
      </c>
      <c r="H138" s="6">
        <v>125.772231</v>
      </c>
      <c r="I138" s="6">
        <v>-18.321425000000001</v>
      </c>
      <c r="J138" s="8" t="s">
        <v>1888</v>
      </c>
      <c r="K138" s="4" t="s">
        <v>331</v>
      </c>
      <c r="L138" s="4" t="s">
        <v>458</v>
      </c>
      <c r="M138" s="4" t="s">
        <v>1888</v>
      </c>
      <c r="O138" s="4"/>
      <c r="Q138" s="4"/>
      <c r="R138" s="8"/>
      <c r="S138" s="4"/>
      <c r="T138" s="4"/>
      <c r="U138" s="4"/>
      <c r="Z138" s="4" t="s">
        <v>455</v>
      </c>
      <c r="AA138" s="6" t="s">
        <v>456</v>
      </c>
      <c r="AB138" s="4" t="s">
        <v>457</v>
      </c>
      <c r="AC138" s="4" t="s">
        <v>301</v>
      </c>
      <c r="AD138" s="4" t="s">
        <v>302</v>
      </c>
      <c r="AE138" s="4">
        <v>363</v>
      </c>
      <c r="AF138" s="8">
        <v>3</v>
      </c>
      <c r="AG138" s="4" t="s">
        <v>303</v>
      </c>
      <c r="AH138" s="4" t="s">
        <v>304</v>
      </c>
      <c r="AI138" s="4" t="s">
        <v>6647</v>
      </c>
      <c r="AJ138" s="9" t="s">
        <v>4264</v>
      </c>
      <c r="AK138" s="9" t="s">
        <v>1081</v>
      </c>
      <c r="AM138" s="8">
        <v>5</v>
      </c>
      <c r="AQ138" s="6"/>
      <c r="AR138" s="4"/>
      <c r="AS138" s="8"/>
      <c r="AT138" s="8"/>
      <c r="AU138" s="4"/>
      <c r="AV138" s="4"/>
      <c r="AW138" s="4"/>
      <c r="BE138" s="6"/>
      <c r="BF138" s="4"/>
      <c r="BG138" s="8"/>
      <c r="BH138" s="8"/>
      <c r="BI138" s="4"/>
      <c r="BJ138" s="4"/>
      <c r="BK138" s="4"/>
      <c r="BP138" s="7">
        <v>23.2</v>
      </c>
      <c r="BQ138" s="7"/>
      <c r="BS138" s="7">
        <v>7.1</v>
      </c>
      <c r="BT138" s="7">
        <v>2.2000000000000002</v>
      </c>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31"/>
      <c r="EA138" s="4"/>
      <c r="EB138" s="4"/>
      <c r="EC138" s="4"/>
      <c r="ED138" s="4"/>
      <c r="EE138" s="4"/>
      <c r="EF138" s="4"/>
      <c r="EG138" s="4"/>
      <c r="EI138" s="10">
        <f>BP138*BS138/100</f>
        <v>1.6472</v>
      </c>
      <c r="EJ138" s="10">
        <f t="shared" si="10"/>
        <v>0.51039999999999996</v>
      </c>
      <c r="EK138" s="10">
        <f>BP138*BU138/1000</f>
        <v>0</v>
      </c>
      <c r="EL138" s="4"/>
      <c r="EN138" s="4"/>
      <c r="EO138" s="4"/>
      <c r="EP138" s="4"/>
      <c r="EQ138" s="4"/>
      <c r="ER138" s="4"/>
      <c r="ES138" s="4"/>
      <c r="ET138" s="4"/>
      <c r="EU138" s="4"/>
      <c r="EV138" s="4"/>
      <c r="EW138" s="4"/>
      <c r="EX138" s="4"/>
      <c r="EZ138" s="4"/>
      <c r="FA138" s="4"/>
      <c r="FB138" s="4"/>
      <c r="FC138" s="4"/>
      <c r="FF138" s="4"/>
      <c r="FG138" s="4"/>
      <c r="FH138" s="4"/>
      <c r="FI138" s="4"/>
      <c r="FJ138" s="4"/>
      <c r="FK138" s="4"/>
      <c r="FL138" s="4"/>
      <c r="FM138" s="4"/>
      <c r="FN138" s="4"/>
      <c r="FO138" s="4"/>
      <c r="FQ138" s="4"/>
      <c r="FR138" s="4"/>
      <c r="FS138" s="4"/>
      <c r="FT138" s="4"/>
      <c r="FU138" s="4"/>
      <c r="FV138" s="4"/>
      <c r="FW138" s="4"/>
      <c r="FX138" s="4"/>
      <c r="FY138" s="4"/>
      <c r="FZ138" s="4"/>
      <c r="GP138" s="32"/>
      <c r="GR138" s="4"/>
      <c r="GS138" s="4"/>
      <c r="GT138" s="4"/>
      <c r="GU138" s="4"/>
      <c r="GV138" s="4"/>
      <c r="GW138" s="4"/>
      <c r="GX138" s="4"/>
      <c r="GY138" s="6" t="s">
        <v>338</v>
      </c>
      <c r="GZ138" s="6" t="s">
        <v>461</v>
      </c>
      <c r="HC138" s="6" t="s">
        <v>6648</v>
      </c>
      <c r="HD138" s="4" t="s">
        <v>1889</v>
      </c>
      <c r="HE138" s="8">
        <v>25744</v>
      </c>
      <c r="HF138" s="4" t="s">
        <v>3352</v>
      </c>
      <c r="HG138" s="4" t="s">
        <v>3581</v>
      </c>
      <c r="HH138" s="4"/>
      <c r="HJ138" s="4"/>
      <c r="HK138" s="4"/>
      <c r="HL138" s="4"/>
      <c r="HN138" s="4"/>
      <c r="HO138" s="4"/>
      <c r="HP138" s="4"/>
      <c r="HR138" s="4"/>
      <c r="HS138" s="4"/>
      <c r="HT138" s="4"/>
      <c r="HU138" s="4"/>
      <c r="HV138" s="4"/>
      <c r="HW138" s="4"/>
      <c r="HX138" s="4"/>
      <c r="HZ138" s="4"/>
      <c r="IA138" s="4"/>
      <c r="IB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t="s">
        <v>738</v>
      </c>
      <c r="JY138" s="4"/>
      <c r="JZ138" s="4"/>
      <c r="KA138" s="4"/>
      <c r="KB138" s="4"/>
      <c r="KC138" s="4"/>
      <c r="KD138" s="4"/>
      <c r="KE138" s="4"/>
      <c r="KF138" s="4"/>
      <c r="KG138" s="4" t="s">
        <v>323</v>
      </c>
      <c r="KM138" s="4" t="s">
        <v>471</v>
      </c>
      <c r="KN138" s="4" t="s">
        <v>471</v>
      </c>
      <c r="KP138" s="5" t="s">
        <v>358</v>
      </c>
      <c r="KQ138" s="5" t="s">
        <v>6649</v>
      </c>
      <c r="KR138" s="5" t="s">
        <v>6650</v>
      </c>
      <c r="KS138" s="5" t="s">
        <v>1896</v>
      </c>
      <c r="KT138" s="5" t="s">
        <v>6651</v>
      </c>
    </row>
    <row r="139" spans="1:306" ht="36" x14ac:dyDescent="0.25">
      <c r="A139" s="5" t="s">
        <v>7084</v>
      </c>
      <c r="B139" s="4" t="s">
        <v>455</v>
      </c>
      <c r="C139" s="7" t="s">
        <v>456</v>
      </c>
      <c r="D139" s="8" t="s">
        <v>457</v>
      </c>
      <c r="E139" s="4">
        <v>335412</v>
      </c>
      <c r="G139" s="4" t="s">
        <v>530</v>
      </c>
      <c r="H139" s="6">
        <v>129.25129999999999</v>
      </c>
      <c r="I139" s="6">
        <v>-15.3291</v>
      </c>
      <c r="J139" s="4" t="s">
        <v>2762</v>
      </c>
      <c r="K139" s="4" t="s">
        <v>481</v>
      </c>
      <c r="L139" s="4" t="s">
        <v>2763</v>
      </c>
      <c r="Q139" s="8"/>
      <c r="R139" s="8"/>
      <c r="Z139" s="4" t="s">
        <v>455</v>
      </c>
      <c r="AA139" s="7" t="s">
        <v>456</v>
      </c>
      <c r="AB139" s="8" t="s">
        <v>457</v>
      </c>
      <c r="AC139" s="4" t="s">
        <v>301</v>
      </c>
      <c r="AD139" s="4" t="s">
        <v>375</v>
      </c>
      <c r="AE139" s="8"/>
      <c r="AF139" s="8"/>
      <c r="AN139" s="4" t="s">
        <v>381</v>
      </c>
      <c r="AO139" s="4" t="s">
        <v>382</v>
      </c>
      <c r="AP139" s="4" t="s">
        <v>383</v>
      </c>
      <c r="AQ139" s="7" t="s">
        <v>384</v>
      </c>
      <c r="AR139" s="8" t="s">
        <v>1048</v>
      </c>
      <c r="AS139" s="7">
        <v>0</v>
      </c>
      <c r="AT139" s="7">
        <v>0</v>
      </c>
      <c r="AU139" s="9" t="s">
        <v>303</v>
      </c>
      <c r="AV139" s="9" t="s">
        <v>406</v>
      </c>
      <c r="BA139" s="8">
        <v>5</v>
      </c>
      <c r="BP139" s="7">
        <v>24.38</v>
      </c>
      <c r="BS139" s="6">
        <v>1.81</v>
      </c>
      <c r="BT139" s="6">
        <v>0.45</v>
      </c>
      <c r="BU139" s="6">
        <v>4.57</v>
      </c>
      <c r="DZ139" s="31"/>
      <c r="EI139" s="10">
        <f>BP139*BS139/100</f>
        <v>0.441278</v>
      </c>
      <c r="EJ139" s="10">
        <f t="shared" si="10"/>
        <v>0.10971</v>
      </c>
      <c r="EK139" s="10">
        <f>BP139*BU139/1000</f>
        <v>0.1114166</v>
      </c>
      <c r="GP139" s="32"/>
      <c r="GY139" s="6" t="s">
        <v>338</v>
      </c>
      <c r="GZ139" s="6" t="s">
        <v>1049</v>
      </c>
      <c r="HA139" s="6" t="s">
        <v>339</v>
      </c>
      <c r="HB139" s="6" t="s">
        <v>462</v>
      </c>
      <c r="HC139" s="6" t="s">
        <v>463</v>
      </c>
      <c r="HD139" s="8" t="s">
        <v>2764</v>
      </c>
      <c r="HE139" s="8">
        <v>3168</v>
      </c>
      <c r="HF139" s="8" t="s">
        <v>2765</v>
      </c>
      <c r="HG139" s="9" t="s">
        <v>2766</v>
      </c>
      <c r="IW139" s="8"/>
      <c r="JB139" s="8"/>
      <c r="JX139" s="7" t="s">
        <v>320</v>
      </c>
      <c r="JY139" s="7" t="s">
        <v>354</v>
      </c>
      <c r="JZ139" s="7" t="s">
        <v>738</v>
      </c>
      <c r="KG139" s="4" t="s">
        <v>323</v>
      </c>
      <c r="KQ139" s="5" t="s">
        <v>2767</v>
      </c>
      <c r="KS139" s="5" t="s">
        <v>2767</v>
      </c>
      <c r="KT139" s="5" t="s">
        <v>718</v>
      </c>
    </row>
    <row r="140" spans="1:306" ht="48" x14ac:dyDescent="0.25">
      <c r="A140" s="12" t="s">
        <v>2762</v>
      </c>
      <c r="B140" s="4" t="s">
        <v>455</v>
      </c>
      <c r="C140" s="6" t="s">
        <v>456</v>
      </c>
      <c r="D140" s="4" t="s">
        <v>457</v>
      </c>
      <c r="E140" s="8">
        <v>335120</v>
      </c>
      <c r="F140" s="8"/>
      <c r="G140" s="8" t="s">
        <v>330</v>
      </c>
      <c r="H140" s="6">
        <v>128.98141799999999</v>
      </c>
      <c r="I140" s="6">
        <v>-15.450794999999999</v>
      </c>
      <c r="J140" s="8" t="s">
        <v>2762</v>
      </c>
      <c r="K140" s="4" t="s">
        <v>481</v>
      </c>
      <c r="L140" s="4" t="s">
        <v>2763</v>
      </c>
      <c r="O140" s="4"/>
      <c r="Q140" s="8"/>
      <c r="R140" s="8"/>
      <c r="S140" s="4"/>
      <c r="T140" s="4"/>
      <c r="U140" s="4"/>
      <c r="V140" s="4"/>
      <c r="W140" s="4"/>
      <c r="X140" s="4"/>
      <c r="Z140" s="4" t="s">
        <v>455</v>
      </c>
      <c r="AA140" s="6" t="s">
        <v>456</v>
      </c>
      <c r="AB140" s="4" t="s">
        <v>457</v>
      </c>
      <c r="AC140" s="4" t="s">
        <v>301</v>
      </c>
      <c r="AD140" s="4" t="s">
        <v>302</v>
      </c>
      <c r="AE140" s="8"/>
      <c r="AF140" s="8"/>
      <c r="AG140" s="4"/>
      <c r="AH140" s="4"/>
      <c r="AI140" s="4"/>
      <c r="AJ140" s="4"/>
      <c r="AK140" s="4"/>
      <c r="AL140" s="4"/>
      <c r="AQ140" s="6"/>
      <c r="AR140" s="4"/>
      <c r="AS140" s="8"/>
      <c r="AT140" s="8"/>
      <c r="AU140" s="4"/>
      <c r="AV140" s="4"/>
      <c r="AW140" s="4"/>
      <c r="AX140" s="4"/>
      <c r="AY140" s="4"/>
      <c r="AZ140" s="4"/>
      <c r="BE140" s="6"/>
      <c r="BF140" s="4"/>
      <c r="BG140" s="8"/>
      <c r="BH140" s="8"/>
      <c r="BI140" s="4"/>
      <c r="BJ140" s="4"/>
      <c r="BK140" s="4"/>
      <c r="BL140" s="4"/>
      <c r="BM140" s="4"/>
      <c r="BN140" s="4"/>
      <c r="BP140" s="7">
        <v>47.3</v>
      </c>
      <c r="BS140" s="7">
        <v>0.4</v>
      </c>
      <c r="BT140" s="4">
        <v>3.1</v>
      </c>
      <c r="BU140" s="4">
        <v>35</v>
      </c>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31"/>
      <c r="EA140" s="4"/>
      <c r="EB140" s="4"/>
      <c r="EC140" s="4"/>
      <c r="ED140" s="4"/>
      <c r="EE140" s="4"/>
      <c r="EF140" s="4"/>
      <c r="EG140" s="4"/>
      <c r="EI140" s="10">
        <f>BP140*BS140/100</f>
        <v>0.18919999999999998</v>
      </c>
      <c r="EJ140" s="10">
        <f t="shared" si="10"/>
        <v>1.4662999999999999</v>
      </c>
      <c r="EK140" s="10">
        <f>BP140*BU140/1000</f>
        <v>1.6555</v>
      </c>
      <c r="EL140" s="4"/>
      <c r="EN140" s="4"/>
      <c r="EO140" s="4"/>
      <c r="EP140" s="4"/>
      <c r="EQ140" s="4"/>
      <c r="ER140" s="4"/>
      <c r="ES140" s="4"/>
      <c r="ET140" s="4"/>
      <c r="EU140" s="4"/>
      <c r="EV140" s="4"/>
      <c r="EW140" s="4"/>
      <c r="EX140" s="4"/>
      <c r="EZ140" s="4"/>
      <c r="FA140" s="4"/>
      <c r="FB140" s="4"/>
      <c r="FC140" s="4"/>
      <c r="FF140" s="4"/>
      <c r="FG140" s="4"/>
      <c r="FH140" s="4"/>
      <c r="FI140" s="4"/>
      <c r="FJ140" s="4"/>
      <c r="FK140" s="4"/>
      <c r="FL140" s="4"/>
      <c r="FM140" s="4"/>
      <c r="FN140" s="4"/>
      <c r="FO140" s="4"/>
      <c r="FQ140" s="4"/>
      <c r="FR140" s="4"/>
      <c r="FS140" s="4"/>
      <c r="FT140" s="4"/>
      <c r="FU140" s="4"/>
      <c r="FV140" s="4"/>
      <c r="FW140" s="4"/>
      <c r="FX140" s="4"/>
      <c r="FY140" s="4"/>
      <c r="FZ140" s="4"/>
      <c r="GP140" s="32"/>
      <c r="GR140" s="4"/>
      <c r="GS140" s="4"/>
      <c r="GT140" s="4"/>
      <c r="GU140" s="4"/>
      <c r="GV140" s="4"/>
      <c r="GW140" s="4"/>
      <c r="GX140" s="4"/>
      <c r="GY140" s="4" t="s">
        <v>338</v>
      </c>
      <c r="GZ140" s="4" t="s">
        <v>2547</v>
      </c>
      <c r="HA140" s="4"/>
      <c r="HB140" s="4" t="s">
        <v>1049</v>
      </c>
      <c r="HC140" s="4" t="s">
        <v>463</v>
      </c>
      <c r="HD140" s="4" t="s">
        <v>2764</v>
      </c>
      <c r="HE140" s="8">
        <v>3168</v>
      </c>
      <c r="HF140" s="4" t="s">
        <v>2765</v>
      </c>
      <c r="HG140" s="4" t="s">
        <v>2766</v>
      </c>
      <c r="HH140" s="4"/>
      <c r="HJ140" s="4"/>
      <c r="HK140" s="4"/>
      <c r="HL140" s="4"/>
      <c r="HN140" s="4"/>
      <c r="HO140" s="4"/>
      <c r="HP140" s="4"/>
      <c r="HR140" s="4"/>
      <c r="HS140" s="4"/>
      <c r="HT140" s="4"/>
      <c r="HU140" s="4"/>
      <c r="HV140" s="4"/>
      <c r="HW140" s="4"/>
      <c r="HX140" s="4"/>
      <c r="HZ140" s="4"/>
      <c r="IA140" s="4"/>
      <c r="IB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t="s">
        <v>469</v>
      </c>
      <c r="JW140" s="4" t="s">
        <v>469</v>
      </c>
      <c r="JX140" s="4" t="s">
        <v>738</v>
      </c>
      <c r="JY140" s="4" t="s">
        <v>470</v>
      </c>
      <c r="JZ140" s="4" t="s">
        <v>320</v>
      </c>
      <c r="KA140" s="4"/>
      <c r="KB140" s="4"/>
      <c r="KC140" s="4"/>
      <c r="KD140" s="4"/>
      <c r="KE140" s="4"/>
      <c r="KF140" s="4"/>
      <c r="KG140" s="4" t="s">
        <v>323</v>
      </c>
      <c r="KM140" s="4" t="s">
        <v>471</v>
      </c>
      <c r="KN140" s="4" t="s">
        <v>471</v>
      </c>
      <c r="KP140" s="5" t="s">
        <v>358</v>
      </c>
      <c r="KQ140" s="5" t="s">
        <v>7211</v>
      </c>
      <c r="KS140" s="5" t="s">
        <v>7212</v>
      </c>
      <c r="KT140" s="5" t="s">
        <v>7213</v>
      </c>
    </row>
    <row r="141" spans="1:306" ht="168" x14ac:dyDescent="0.2">
      <c r="A141" s="5" t="s">
        <v>7629</v>
      </c>
      <c r="B141" s="4" t="s">
        <v>455</v>
      </c>
      <c r="C141" s="7" t="s">
        <v>456</v>
      </c>
      <c r="D141" s="8" t="s">
        <v>457</v>
      </c>
      <c r="E141" s="44">
        <v>925059</v>
      </c>
      <c r="G141" s="4" t="s">
        <v>330</v>
      </c>
      <c r="H141" s="6">
        <v>120.627913608</v>
      </c>
      <c r="I141" s="6">
        <v>-25.654899621999999</v>
      </c>
      <c r="K141" s="4" t="s">
        <v>331</v>
      </c>
      <c r="L141" s="4" t="s">
        <v>2172</v>
      </c>
      <c r="Q141" s="8"/>
      <c r="Z141" s="4" t="s">
        <v>455</v>
      </c>
      <c r="AA141" s="7" t="s">
        <v>456</v>
      </c>
      <c r="AB141" s="8" t="s">
        <v>457</v>
      </c>
      <c r="AC141" s="4" t="s">
        <v>301</v>
      </c>
      <c r="AD141" s="4" t="s">
        <v>375</v>
      </c>
      <c r="AE141" s="8">
        <v>1833</v>
      </c>
      <c r="AG141" s="9" t="s">
        <v>379</v>
      </c>
      <c r="AH141" s="9" t="s">
        <v>304</v>
      </c>
      <c r="AI141" s="9" t="s">
        <v>1118</v>
      </c>
      <c r="AJ141" s="9" t="s">
        <v>1080</v>
      </c>
      <c r="AK141" s="9" t="s">
        <v>600</v>
      </c>
      <c r="AM141" s="8">
        <v>3</v>
      </c>
      <c r="BP141" s="7">
        <v>31</v>
      </c>
      <c r="BS141" s="7">
        <v>2.8</v>
      </c>
      <c r="BT141" s="7">
        <v>0.05</v>
      </c>
      <c r="BU141" s="7">
        <v>3.4</v>
      </c>
      <c r="DZ141" s="31"/>
      <c r="EI141" s="6">
        <f>BP141*BS141/100</f>
        <v>0.86799999999999999</v>
      </c>
      <c r="EJ141" s="9">
        <f t="shared" si="10"/>
        <v>1.55E-2</v>
      </c>
      <c r="EK141" s="6">
        <f>BP141*BU141/1000</f>
        <v>0.10539999999999999</v>
      </c>
      <c r="GP141" s="32"/>
      <c r="GY141" s="6" t="s">
        <v>338</v>
      </c>
      <c r="GZ141" s="6" t="s">
        <v>1049</v>
      </c>
      <c r="HB141" s="6" t="s">
        <v>3051</v>
      </c>
      <c r="HC141" s="6" t="s">
        <v>463</v>
      </c>
      <c r="HD141" s="9" t="s">
        <v>2173</v>
      </c>
      <c r="HE141" s="8">
        <v>6902</v>
      </c>
      <c r="HF141" s="8" t="s">
        <v>2174</v>
      </c>
      <c r="HG141" s="9" t="s">
        <v>538</v>
      </c>
      <c r="HH141" s="8" t="s">
        <v>2175</v>
      </c>
      <c r="HI141" s="8">
        <v>81551</v>
      </c>
      <c r="HJ141" s="9" t="s">
        <v>2176</v>
      </c>
      <c r="HK141" s="9" t="s">
        <v>538</v>
      </c>
      <c r="JV141" s="7" t="s">
        <v>1779</v>
      </c>
      <c r="JX141" s="7" t="s">
        <v>320</v>
      </c>
      <c r="KG141" s="4" t="s">
        <v>356</v>
      </c>
      <c r="KH141" s="4" t="s">
        <v>1317</v>
      </c>
      <c r="KP141" s="5" t="s">
        <v>2177</v>
      </c>
      <c r="KQ141" s="5" t="s">
        <v>7630</v>
      </c>
      <c r="KR141" s="5" t="s">
        <v>2179</v>
      </c>
      <c r="KS141" s="5" t="s">
        <v>2177</v>
      </c>
      <c r="KT141" s="5" t="s">
        <v>7631</v>
      </c>
    </row>
    <row r="142" spans="1:306" ht="36" x14ac:dyDescent="0.25">
      <c r="A142" s="12" t="s">
        <v>7806</v>
      </c>
      <c r="B142" s="4" t="s">
        <v>455</v>
      </c>
      <c r="C142" s="6" t="s">
        <v>456</v>
      </c>
      <c r="D142" s="4" t="s">
        <v>457</v>
      </c>
      <c r="E142" s="8">
        <v>333393</v>
      </c>
      <c r="F142" s="8"/>
      <c r="G142" s="8" t="s">
        <v>330</v>
      </c>
      <c r="H142" s="6">
        <v>124.626735</v>
      </c>
      <c r="I142" s="6">
        <v>-17.175031000000001</v>
      </c>
      <c r="J142" s="8" t="s">
        <v>1888</v>
      </c>
      <c r="K142" s="4" t="s">
        <v>331</v>
      </c>
      <c r="L142" s="4" t="s">
        <v>458</v>
      </c>
      <c r="M142" s="4" t="s">
        <v>1888</v>
      </c>
      <c r="O142" s="4"/>
      <c r="Q142" s="8"/>
      <c r="R142" s="8"/>
      <c r="S142" s="4"/>
      <c r="T142" s="4"/>
      <c r="U142" s="8"/>
      <c r="V142" s="8"/>
      <c r="W142" s="8"/>
      <c r="X142" s="8"/>
      <c r="Z142" s="4" t="s">
        <v>455</v>
      </c>
      <c r="AA142" s="6" t="s">
        <v>456</v>
      </c>
      <c r="AB142" s="4" t="s">
        <v>457</v>
      </c>
      <c r="AC142" s="4" t="s">
        <v>301</v>
      </c>
      <c r="AD142" s="4" t="s">
        <v>302</v>
      </c>
      <c r="AE142" s="8">
        <v>357</v>
      </c>
      <c r="AF142" s="8"/>
      <c r="AG142" s="4" t="s">
        <v>379</v>
      </c>
      <c r="AH142" s="4" t="s">
        <v>1156</v>
      </c>
      <c r="AI142" s="8"/>
      <c r="AJ142" s="8"/>
      <c r="AK142" s="8"/>
      <c r="AL142" s="8"/>
      <c r="AM142" s="8">
        <v>2</v>
      </c>
      <c r="AQ142" s="6"/>
      <c r="AR142" s="4"/>
      <c r="AS142" s="8"/>
      <c r="AT142" s="8"/>
      <c r="AU142" s="4"/>
      <c r="AV142" s="4"/>
      <c r="AW142" s="8"/>
      <c r="AX142" s="8"/>
      <c r="AY142" s="8"/>
      <c r="AZ142" s="8"/>
      <c r="BE142" s="6"/>
      <c r="BF142" s="4"/>
      <c r="BG142" s="8"/>
      <c r="BH142" s="8"/>
      <c r="BI142" s="4"/>
      <c r="BJ142" s="4"/>
      <c r="BK142" s="8"/>
      <c r="BL142" s="8"/>
      <c r="BM142" s="8"/>
      <c r="BN142" s="8"/>
      <c r="BP142" s="7">
        <v>0.75</v>
      </c>
      <c r="BS142" s="7">
        <v>5.8</v>
      </c>
      <c r="BT142" s="7">
        <v>7.2</v>
      </c>
      <c r="BU142" s="4">
        <v>54</v>
      </c>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31"/>
      <c r="EA142" s="4"/>
      <c r="EB142" s="4"/>
      <c r="EC142" s="4"/>
      <c r="ED142" s="4"/>
      <c r="EE142" s="4"/>
      <c r="EF142" s="4"/>
      <c r="EG142" s="4"/>
      <c r="EI142" s="10">
        <f>BP142*BS142/100</f>
        <v>4.3499999999999997E-2</v>
      </c>
      <c r="EJ142" s="10">
        <f t="shared" si="10"/>
        <v>5.4000000000000006E-2</v>
      </c>
      <c r="EK142" s="10">
        <f>BP142*BU142/1000</f>
        <v>4.0500000000000001E-2</v>
      </c>
      <c r="EL142" s="4"/>
      <c r="EN142" s="4"/>
      <c r="EO142" s="4"/>
      <c r="EP142" s="4"/>
      <c r="EQ142" s="4"/>
      <c r="ER142" s="4"/>
      <c r="ES142" s="4"/>
      <c r="ET142" s="4"/>
      <c r="EU142" s="4"/>
      <c r="EV142" s="4"/>
      <c r="EW142" s="4"/>
      <c r="EX142" s="4"/>
      <c r="EZ142" s="4"/>
      <c r="FA142" s="4"/>
      <c r="FB142" s="4"/>
      <c r="FC142" s="4"/>
      <c r="FF142" s="4"/>
      <c r="FG142" s="4"/>
      <c r="FH142" s="4"/>
      <c r="FI142" s="4"/>
      <c r="FJ142" s="4"/>
      <c r="FK142" s="4"/>
      <c r="FL142" s="4"/>
      <c r="FM142" s="4"/>
      <c r="FN142" s="4"/>
      <c r="FO142" s="4"/>
      <c r="FQ142" s="4"/>
      <c r="FR142" s="4"/>
      <c r="FS142" s="4"/>
      <c r="FT142" s="4"/>
      <c r="FU142" s="4"/>
      <c r="FV142" s="4"/>
      <c r="FW142" s="4"/>
      <c r="FX142" s="4"/>
      <c r="FY142" s="4"/>
      <c r="FZ142" s="4"/>
      <c r="GP142" s="32"/>
      <c r="GR142" s="4"/>
      <c r="GS142" s="4"/>
      <c r="GT142" s="4"/>
      <c r="GU142" s="4"/>
      <c r="GV142" s="4"/>
      <c r="GW142" s="4"/>
      <c r="GX142" s="4"/>
      <c r="GY142" s="4" t="s">
        <v>338</v>
      </c>
      <c r="GZ142" s="4" t="s">
        <v>1699</v>
      </c>
      <c r="HA142" s="4" t="s">
        <v>462</v>
      </c>
      <c r="HB142" s="4"/>
      <c r="HC142" s="4" t="s">
        <v>463</v>
      </c>
      <c r="HD142" s="4" t="s">
        <v>6149</v>
      </c>
      <c r="HE142" s="8">
        <v>27212</v>
      </c>
      <c r="HF142" s="4" t="s">
        <v>6150</v>
      </c>
      <c r="HG142" s="4" t="s">
        <v>318</v>
      </c>
      <c r="HH142" s="4"/>
      <c r="HJ142" s="4"/>
      <c r="HK142" s="4"/>
      <c r="HL142" s="4"/>
      <c r="HN142" s="4"/>
      <c r="HO142" s="4"/>
      <c r="HP142" s="4"/>
      <c r="HR142" s="4"/>
      <c r="HS142" s="4"/>
      <c r="HT142" s="4"/>
      <c r="HU142" s="4"/>
      <c r="HV142" s="4"/>
      <c r="HW142" s="4"/>
      <c r="HX142" s="4"/>
      <c r="HZ142" s="4"/>
      <c r="IA142" s="4"/>
      <c r="IB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t="s">
        <v>6151</v>
      </c>
      <c r="JW142" s="4" t="s">
        <v>469</v>
      </c>
      <c r="JX142" s="4" t="s">
        <v>320</v>
      </c>
      <c r="JY142" s="4" t="s">
        <v>354</v>
      </c>
      <c r="JZ142" s="4" t="s">
        <v>738</v>
      </c>
      <c r="KA142" s="4"/>
      <c r="KB142" s="4"/>
      <c r="KC142" s="4"/>
      <c r="KD142" s="4"/>
      <c r="KE142" s="4"/>
      <c r="KF142" s="4"/>
      <c r="KG142" s="4" t="s">
        <v>323</v>
      </c>
      <c r="KM142" s="4" t="s">
        <v>471</v>
      </c>
      <c r="KN142" s="4" t="s">
        <v>471</v>
      </c>
      <c r="KP142" s="5" t="s">
        <v>358</v>
      </c>
      <c r="KQ142" s="5" t="s">
        <v>7807</v>
      </c>
      <c r="KS142" s="5" t="s">
        <v>7808</v>
      </c>
      <c r="KT142" s="5" t="s">
        <v>4744</v>
      </c>
    </row>
    <row r="143" spans="1:306" ht="24" x14ac:dyDescent="0.2">
      <c r="A143" s="5" t="s">
        <v>7869</v>
      </c>
      <c r="B143" s="4" t="s">
        <v>455</v>
      </c>
      <c r="C143" s="6" t="s">
        <v>456</v>
      </c>
      <c r="D143" s="4" t="s">
        <v>457</v>
      </c>
      <c r="E143" s="44">
        <v>652967</v>
      </c>
      <c r="F143" s="8"/>
      <c r="G143" s="8" t="s">
        <v>330</v>
      </c>
      <c r="H143" s="6">
        <v>121.42581</v>
      </c>
      <c r="I143" s="6">
        <v>-21.18648</v>
      </c>
      <c r="J143" s="4" t="s">
        <v>7869</v>
      </c>
      <c r="K143" s="4" t="s">
        <v>1918</v>
      </c>
      <c r="L143" s="4" t="s">
        <v>580</v>
      </c>
      <c r="M143" s="4" t="s">
        <v>1919</v>
      </c>
      <c r="O143" s="4"/>
      <c r="Q143" s="8"/>
      <c r="R143" s="8"/>
      <c r="S143" s="4"/>
      <c r="T143" s="4"/>
      <c r="U143" s="4"/>
      <c r="V143" s="4"/>
      <c r="W143" s="4"/>
      <c r="Z143" s="4" t="s">
        <v>455</v>
      </c>
      <c r="AA143" s="6" t="s">
        <v>456</v>
      </c>
      <c r="AB143" s="4" t="s">
        <v>457</v>
      </c>
      <c r="AC143" s="4" t="s">
        <v>301</v>
      </c>
      <c r="AD143" s="4" t="s">
        <v>302</v>
      </c>
      <c r="AE143" s="8">
        <v>840</v>
      </c>
      <c r="AF143" s="8"/>
      <c r="AG143" s="4" t="s">
        <v>303</v>
      </c>
      <c r="AH143" s="4" t="s">
        <v>304</v>
      </c>
      <c r="AI143" s="4" t="s">
        <v>1118</v>
      </c>
      <c r="AJ143" s="4" t="s">
        <v>1080</v>
      </c>
      <c r="AK143" s="4" t="s">
        <v>1081</v>
      </c>
      <c r="AM143" s="8">
        <v>2</v>
      </c>
      <c r="AS143" s="8"/>
      <c r="AT143" s="8"/>
      <c r="AU143" s="4"/>
      <c r="AV143" s="4"/>
      <c r="AW143" s="4"/>
      <c r="AX143" s="4"/>
      <c r="AY143" s="4"/>
      <c r="BG143" s="8"/>
      <c r="BH143" s="8"/>
      <c r="BI143" s="4"/>
      <c r="BJ143" s="4"/>
      <c r="BK143" s="4"/>
      <c r="BL143" s="4"/>
      <c r="BM143" s="4"/>
      <c r="DZ143" s="31"/>
      <c r="FA143" s="6"/>
      <c r="GP143" s="32"/>
      <c r="GY143" s="6" t="s">
        <v>407</v>
      </c>
      <c r="HC143" s="6" t="s">
        <v>463</v>
      </c>
      <c r="HD143" s="8" t="s">
        <v>7870</v>
      </c>
      <c r="HE143" s="8">
        <v>8799</v>
      </c>
      <c r="HF143" s="8" t="s">
        <v>7871</v>
      </c>
      <c r="HG143" s="9" t="s">
        <v>876</v>
      </c>
      <c r="IM143" s="9"/>
      <c r="IR143" s="9"/>
      <c r="JV143" s="7" t="s">
        <v>469</v>
      </c>
      <c r="JW143" s="7" t="s">
        <v>469</v>
      </c>
      <c r="JX143" s="7" t="s">
        <v>320</v>
      </c>
      <c r="KG143" s="4" t="s">
        <v>323</v>
      </c>
      <c r="KM143" s="4" t="s">
        <v>391</v>
      </c>
      <c r="KN143" s="4" t="s">
        <v>391</v>
      </c>
      <c r="KQ143" s="5" t="s">
        <v>7872</v>
      </c>
    </row>
    <row r="144" spans="1:306" ht="36" x14ac:dyDescent="0.25">
      <c r="A144" s="5" t="s">
        <v>8198</v>
      </c>
      <c r="B144" s="4" t="s">
        <v>383</v>
      </c>
      <c r="C144" s="7" t="s">
        <v>384</v>
      </c>
      <c r="D144" s="8" t="s">
        <v>1048</v>
      </c>
      <c r="E144" s="4">
        <v>467238</v>
      </c>
      <c r="G144" s="4" t="s">
        <v>427</v>
      </c>
      <c r="H144" s="6">
        <f>145+(44+5.5/23)/60</f>
        <v>145.73731884057972</v>
      </c>
      <c r="I144" s="6">
        <f>-(32+(14+1/27.5)/60)</f>
        <v>-32.233939393939394</v>
      </c>
      <c r="J144" s="4" t="s">
        <v>8199</v>
      </c>
      <c r="K144" s="4" t="s">
        <v>298</v>
      </c>
      <c r="L144" s="4" t="s">
        <v>299</v>
      </c>
      <c r="M144" s="4" t="s">
        <v>428</v>
      </c>
      <c r="N144" s="4" t="s">
        <v>1757</v>
      </c>
      <c r="Z144" s="4" t="s">
        <v>455</v>
      </c>
      <c r="AA144" s="7" t="s">
        <v>456</v>
      </c>
      <c r="AB144" s="8" t="s">
        <v>457</v>
      </c>
      <c r="AC144" s="4" t="s">
        <v>301</v>
      </c>
      <c r="AD144" s="4" t="s">
        <v>382</v>
      </c>
      <c r="AN144" s="4" t="s">
        <v>381</v>
      </c>
      <c r="AO144" s="4" t="s">
        <v>375</v>
      </c>
      <c r="AP144" s="4" t="s">
        <v>383</v>
      </c>
      <c r="AQ144" s="7" t="s">
        <v>384</v>
      </c>
      <c r="AR144" s="8" t="s">
        <v>1048</v>
      </c>
      <c r="AS144" s="7">
        <v>0</v>
      </c>
      <c r="AT144" s="7">
        <v>0</v>
      </c>
      <c r="AU144" s="9" t="s">
        <v>303</v>
      </c>
      <c r="AV144" s="9" t="s">
        <v>406</v>
      </c>
      <c r="BA144" s="8">
        <v>5</v>
      </c>
      <c r="DZ144" s="31"/>
      <c r="EK144" s="10">
        <f>0.0881+2.58*78/1000</f>
        <v>0.28933999999999999</v>
      </c>
      <c r="GP144" s="32"/>
      <c r="GY144" s="6" t="s">
        <v>338</v>
      </c>
      <c r="GZ144" s="6" t="s">
        <v>462</v>
      </c>
      <c r="HC144" s="6" t="s">
        <v>463</v>
      </c>
      <c r="HD144" s="8" t="s">
        <v>8200</v>
      </c>
      <c r="HE144" s="8">
        <v>23410</v>
      </c>
      <c r="HF144" s="8" t="s">
        <v>8201</v>
      </c>
      <c r="HG144" s="9" t="s">
        <v>1507</v>
      </c>
      <c r="IW144" s="8"/>
      <c r="JB144" s="8"/>
      <c r="JX144" s="7" t="s">
        <v>320</v>
      </c>
      <c r="JY144" s="7" t="s">
        <v>354</v>
      </c>
      <c r="JZ144" s="7" t="s">
        <v>738</v>
      </c>
      <c r="KG144" s="4" t="s">
        <v>323</v>
      </c>
      <c r="KP144" s="5" t="s">
        <v>3066</v>
      </c>
      <c r="KQ144" s="5" t="s">
        <v>3066</v>
      </c>
      <c r="KS144" s="5" t="s">
        <v>3066</v>
      </c>
      <c r="KT144" s="5" t="s">
        <v>8202</v>
      </c>
    </row>
    <row r="145" spans="1:306" ht="108" x14ac:dyDescent="0.25">
      <c r="A145" s="5" t="s">
        <v>3739</v>
      </c>
      <c r="B145" s="4" t="s">
        <v>455</v>
      </c>
      <c r="C145" s="7" t="s">
        <v>3740</v>
      </c>
      <c r="D145" s="8" t="s">
        <v>3741</v>
      </c>
      <c r="E145" s="4">
        <v>436918</v>
      </c>
      <c r="G145" s="4" t="s">
        <v>296</v>
      </c>
      <c r="H145" s="6">
        <v>145.36684</v>
      </c>
      <c r="I145" s="6">
        <v>-41.99483</v>
      </c>
      <c r="J145" s="4" t="s">
        <v>3742</v>
      </c>
      <c r="K145" s="4" t="s">
        <v>298</v>
      </c>
      <c r="L145" s="4" t="s">
        <v>400</v>
      </c>
      <c r="M145" s="4" t="s">
        <v>401</v>
      </c>
      <c r="Q145" s="8"/>
      <c r="R145" s="8"/>
      <c r="Z145" s="4" t="s">
        <v>455</v>
      </c>
      <c r="AA145" s="7" t="s">
        <v>3740</v>
      </c>
      <c r="AB145" s="8" t="s">
        <v>3741</v>
      </c>
      <c r="AC145" s="4" t="s">
        <v>301</v>
      </c>
      <c r="AD145" s="4" t="s">
        <v>302</v>
      </c>
      <c r="AE145" s="8">
        <f>(461+457)/2</f>
        <v>459</v>
      </c>
      <c r="AF145" s="8">
        <f>(461-457)/2</f>
        <v>2</v>
      </c>
      <c r="AG145" s="9" t="s">
        <v>379</v>
      </c>
      <c r="AH145" s="9" t="s">
        <v>372</v>
      </c>
      <c r="AI145" s="9" t="s">
        <v>555</v>
      </c>
      <c r="AM145" s="8">
        <v>3</v>
      </c>
      <c r="AN145" s="4" t="s">
        <v>381</v>
      </c>
      <c r="AO145" s="4" t="s">
        <v>382</v>
      </c>
      <c r="AP145" s="4" t="s">
        <v>383</v>
      </c>
      <c r="AQ145" s="7" t="s">
        <v>384</v>
      </c>
      <c r="AR145" s="8" t="s">
        <v>556</v>
      </c>
      <c r="AS145" s="7">
        <v>0</v>
      </c>
      <c r="AT145" s="7">
        <v>0</v>
      </c>
      <c r="AU145" s="9" t="s">
        <v>379</v>
      </c>
      <c r="AV145" s="9" t="s">
        <v>406</v>
      </c>
      <c r="BA145" s="8">
        <v>5</v>
      </c>
      <c r="BP145" s="7">
        <v>0.40899999999999997</v>
      </c>
      <c r="BQ145" s="7"/>
      <c r="BR145" s="7"/>
      <c r="BS145" s="7">
        <v>3.9</v>
      </c>
      <c r="BT145" s="7">
        <v>0.3</v>
      </c>
      <c r="BU145" s="7">
        <v>1.8</v>
      </c>
      <c r="DZ145" s="31"/>
      <c r="EI145" s="10">
        <f>BP145*BS145/100</f>
        <v>1.5951E-2</v>
      </c>
      <c r="EJ145" s="10">
        <f>BP145*BT145/100</f>
        <v>1.2269999999999998E-3</v>
      </c>
      <c r="EK145" s="10">
        <f>BP145*BU145/1000</f>
        <v>7.3620000000000001E-4</v>
      </c>
      <c r="GP145" s="32"/>
      <c r="GY145" s="6" t="s">
        <v>338</v>
      </c>
      <c r="GZ145" s="6" t="s">
        <v>1049</v>
      </c>
      <c r="HB145" s="6" t="s">
        <v>2547</v>
      </c>
      <c r="HC145" s="6" t="s">
        <v>3743</v>
      </c>
      <c r="HD145" s="8" t="s">
        <v>3744</v>
      </c>
      <c r="HE145" s="8">
        <v>7586</v>
      </c>
      <c r="HF145" s="8" t="s">
        <v>3745</v>
      </c>
      <c r="HG145" s="9" t="s">
        <v>466</v>
      </c>
      <c r="KP145" s="18" t="s">
        <v>3746</v>
      </c>
      <c r="KQ145" s="5" t="s">
        <v>3747</v>
      </c>
      <c r="KR145" s="5" t="s">
        <v>3748</v>
      </c>
      <c r="KS145" s="5" t="s">
        <v>3749</v>
      </c>
      <c r="KT145" s="5" t="s">
        <v>3750</v>
      </c>
    </row>
    <row r="146" spans="1:306" ht="144" x14ac:dyDescent="0.25">
      <c r="A146" s="5" t="s">
        <v>3742</v>
      </c>
      <c r="B146" s="4" t="s">
        <v>455</v>
      </c>
      <c r="C146" s="7" t="s">
        <v>3740</v>
      </c>
      <c r="D146" s="8" t="s">
        <v>3741</v>
      </c>
      <c r="E146" s="4">
        <v>333912</v>
      </c>
      <c r="G146" s="4" t="s">
        <v>296</v>
      </c>
      <c r="H146" s="6">
        <v>145.33996999999999</v>
      </c>
      <c r="I146" s="6">
        <v>-41.92089</v>
      </c>
      <c r="J146" s="4" t="s">
        <v>3742</v>
      </c>
      <c r="K146" s="4" t="s">
        <v>298</v>
      </c>
      <c r="L146" s="4" t="s">
        <v>400</v>
      </c>
      <c r="M146" s="4" t="s">
        <v>401</v>
      </c>
      <c r="Q146" s="8"/>
      <c r="R146" s="8"/>
      <c r="Z146" s="4" t="s">
        <v>455</v>
      </c>
      <c r="AA146" s="7" t="s">
        <v>3740</v>
      </c>
      <c r="AB146" s="8" t="s">
        <v>3741</v>
      </c>
      <c r="AC146" s="4" t="s">
        <v>301</v>
      </c>
      <c r="AD146" s="4" t="s">
        <v>302</v>
      </c>
      <c r="AE146" s="8">
        <f>(461+457)/2</f>
        <v>459</v>
      </c>
      <c r="AF146" s="8">
        <f>(461-457)/2</f>
        <v>2</v>
      </c>
      <c r="AG146" s="9" t="s">
        <v>379</v>
      </c>
      <c r="AH146" s="9" t="s">
        <v>372</v>
      </c>
      <c r="AI146" s="9" t="s">
        <v>555</v>
      </c>
      <c r="AM146" s="8">
        <v>3</v>
      </c>
      <c r="BP146" s="7">
        <f>0.131821+0.665531+0.938147</f>
        <v>1.7354989999999999</v>
      </c>
      <c r="BQ146" s="7"/>
      <c r="BR146" s="7"/>
      <c r="BS146" s="7">
        <f>(0*0.131821+2.3*0.665531+1.2*0.938147)/(0.131821+0.665531+0.938147)</f>
        <v>1.5306823570627239</v>
      </c>
      <c r="BT146" s="7">
        <f>(11.5*0.131821+5.2*0.665531+2.6*0.938147)/(0.131821+0.665531+0.938147)</f>
        <v>4.273056279490798</v>
      </c>
      <c r="BU146" s="8">
        <f>(132*0.131821+29*0.665531+16.3*0.938147)/(0.131821+0.665531+0.938147)</f>
        <v>29.958281220559623</v>
      </c>
      <c r="DZ146" s="31"/>
      <c r="EI146" s="10">
        <f>BP146*BS146/100</f>
        <v>2.6564977E-2</v>
      </c>
      <c r="EJ146" s="10">
        <f>BP146*BT146/100</f>
        <v>7.4158848999999999E-2</v>
      </c>
      <c r="EK146" s="10">
        <f>BP146*BU146/1000</f>
        <v>5.1992567100000005E-2</v>
      </c>
      <c r="GP146" s="32"/>
      <c r="GY146" s="6" t="s">
        <v>338</v>
      </c>
      <c r="GZ146" s="6" t="s">
        <v>1699</v>
      </c>
      <c r="HA146" s="6" t="s">
        <v>462</v>
      </c>
      <c r="HC146" s="6" t="s">
        <v>3743</v>
      </c>
      <c r="HD146" s="8" t="s">
        <v>3744</v>
      </c>
      <c r="HE146" s="8">
        <v>7586</v>
      </c>
      <c r="HF146" s="8" t="s">
        <v>3745</v>
      </c>
      <c r="HG146" s="9" t="s">
        <v>466</v>
      </c>
      <c r="JX146" s="7" t="s">
        <v>320</v>
      </c>
      <c r="KG146" s="4" t="s">
        <v>323</v>
      </c>
      <c r="KP146" s="18" t="s">
        <v>6380</v>
      </c>
      <c r="KQ146" s="5" t="s">
        <v>6381</v>
      </c>
      <c r="KR146" s="5" t="s">
        <v>3748</v>
      </c>
      <c r="KS146" s="5" t="s">
        <v>6382</v>
      </c>
      <c r="KT146" s="5" t="s">
        <v>6383</v>
      </c>
    </row>
    <row r="147" spans="1:306" ht="144" x14ac:dyDescent="0.25">
      <c r="A147" s="5" t="s">
        <v>1613</v>
      </c>
      <c r="B147" s="4" t="s">
        <v>383</v>
      </c>
      <c r="C147" s="7" t="s">
        <v>384</v>
      </c>
      <c r="D147" s="7" t="s">
        <v>748</v>
      </c>
      <c r="E147" s="4">
        <v>335039</v>
      </c>
      <c r="G147" s="4" t="s">
        <v>530</v>
      </c>
      <c r="H147" s="6">
        <v>134.1268</v>
      </c>
      <c r="I147" s="6">
        <v>-18.6998</v>
      </c>
      <c r="J147" s="4" t="s">
        <v>1615</v>
      </c>
      <c r="K147" s="4" t="s">
        <v>481</v>
      </c>
      <c r="L147" s="4" t="s">
        <v>1616</v>
      </c>
      <c r="O147" s="7"/>
      <c r="Q147" s="8"/>
      <c r="R147" s="8"/>
      <c r="U147" s="4"/>
      <c r="V147" s="4"/>
      <c r="W147" s="4"/>
      <c r="X147" s="4"/>
      <c r="Z147" s="4" t="s">
        <v>455</v>
      </c>
      <c r="AA147" s="4" t="s">
        <v>708</v>
      </c>
      <c r="AB147" s="7" t="s">
        <v>1614</v>
      </c>
      <c r="AC147" s="4" t="s">
        <v>301</v>
      </c>
      <c r="AD147" s="4" t="s">
        <v>402</v>
      </c>
      <c r="AE147" s="8">
        <v>1757</v>
      </c>
      <c r="AF147" s="8">
        <v>52</v>
      </c>
      <c r="AG147" s="9" t="s">
        <v>379</v>
      </c>
      <c r="AH147" s="9" t="s">
        <v>372</v>
      </c>
      <c r="AI147" s="4" t="s">
        <v>373</v>
      </c>
      <c r="AJ147" s="4" t="s">
        <v>306</v>
      </c>
      <c r="AK147" s="4" t="s">
        <v>307</v>
      </c>
      <c r="AL147" s="4" t="s">
        <v>337</v>
      </c>
      <c r="AM147" s="8">
        <v>2</v>
      </c>
      <c r="AN147" s="4" t="s">
        <v>381</v>
      </c>
      <c r="AO147" s="4" t="s">
        <v>375</v>
      </c>
      <c r="AP147" s="4" t="s">
        <v>383</v>
      </c>
      <c r="AQ147" s="7" t="s">
        <v>384</v>
      </c>
      <c r="AR147" s="7" t="s">
        <v>748</v>
      </c>
      <c r="AS147" s="7">
        <v>0</v>
      </c>
      <c r="AT147" s="7">
        <v>0</v>
      </c>
      <c r="AU147" s="9" t="s">
        <v>303</v>
      </c>
      <c r="AV147" s="9" t="s">
        <v>406</v>
      </c>
      <c r="BA147" s="8">
        <v>5</v>
      </c>
      <c r="BG147" s="7"/>
      <c r="BH147" s="7"/>
      <c r="BP147" s="7">
        <f>0.01328+20.9+20.4-2.5</f>
        <v>38.813279999999999</v>
      </c>
      <c r="BQ147" s="7"/>
      <c r="CI147" s="7">
        <f>(0.01328*42+20.9*21.8+(20.4-2.5)*22.3)/(0.01328+20.9+20.4-2.5)</f>
        <v>22.037502627966507</v>
      </c>
      <c r="DZ147" s="31"/>
      <c r="EE147" s="7"/>
      <c r="EF147" s="7"/>
      <c r="EG147" s="7"/>
      <c r="EO147" s="8"/>
      <c r="EP147" s="8"/>
      <c r="EX147" s="7">
        <f>BP147*CI147/100</f>
        <v>8.553477599999999</v>
      </c>
      <c r="FA147" s="9"/>
      <c r="FG147" s="9"/>
      <c r="GP147" s="32"/>
      <c r="GT147" s="8"/>
      <c r="GW147" s="8"/>
      <c r="GY147" s="8" t="s">
        <v>435</v>
      </c>
      <c r="GZ147" s="41" t="s">
        <v>749</v>
      </c>
      <c r="HA147" s="8"/>
      <c r="HB147" s="8"/>
      <c r="HC147" s="8"/>
      <c r="HD147" s="8" t="s">
        <v>1617</v>
      </c>
      <c r="HE147" s="8">
        <v>32406</v>
      </c>
      <c r="HF147" s="8" t="s">
        <v>1618</v>
      </c>
      <c r="HG147" s="9" t="s">
        <v>538</v>
      </c>
      <c r="IB147" s="4"/>
      <c r="ID147" s="4"/>
      <c r="IE147" s="4"/>
      <c r="IF147" s="4"/>
      <c r="IW147" s="8"/>
      <c r="JB147" s="8"/>
      <c r="JW147" s="7" t="s">
        <v>1619</v>
      </c>
      <c r="KG147" s="4" t="s">
        <v>323</v>
      </c>
      <c r="KM147" s="4" t="s">
        <v>471</v>
      </c>
      <c r="KN147" s="4" t="s">
        <v>471</v>
      </c>
      <c r="KP147" s="5" t="s">
        <v>358</v>
      </c>
      <c r="KQ147" s="5" t="s">
        <v>1620</v>
      </c>
      <c r="KR147" s="5" t="s">
        <v>1621</v>
      </c>
      <c r="KS147" s="5" t="s">
        <v>1622</v>
      </c>
      <c r="KT147" s="5" t="s">
        <v>1623</v>
      </c>
    </row>
    <row r="148" spans="1:306" ht="96" x14ac:dyDescent="0.25">
      <c r="A148" s="5" t="s">
        <v>8212</v>
      </c>
      <c r="B148" s="4" t="s">
        <v>455</v>
      </c>
      <c r="C148" s="7" t="s">
        <v>708</v>
      </c>
      <c r="D148" s="8" t="s">
        <v>1614</v>
      </c>
      <c r="E148" s="4">
        <v>334388</v>
      </c>
      <c r="G148" s="4" t="s">
        <v>330</v>
      </c>
      <c r="H148" s="6">
        <v>121.2355</v>
      </c>
      <c r="I148" s="6">
        <v>-21.6388</v>
      </c>
      <c r="J148" s="4" t="s">
        <v>8212</v>
      </c>
      <c r="K148" s="4" t="s">
        <v>331</v>
      </c>
      <c r="L148" s="4" t="s">
        <v>368</v>
      </c>
      <c r="M148" s="4" t="s">
        <v>747</v>
      </c>
      <c r="Q148" s="8"/>
      <c r="R148" s="8"/>
      <c r="Z148" s="4" t="s">
        <v>455</v>
      </c>
      <c r="AA148" s="7" t="s">
        <v>708</v>
      </c>
      <c r="AB148" s="8" t="s">
        <v>1614</v>
      </c>
      <c r="AC148" s="4" t="s">
        <v>301</v>
      </c>
      <c r="AD148" s="4" t="s">
        <v>375</v>
      </c>
      <c r="AE148" s="8">
        <f>(1100+955)/2</f>
        <v>1027.5</v>
      </c>
      <c r="AF148" s="8">
        <f>(1100-955)/2</f>
        <v>72.5</v>
      </c>
      <c r="AG148" s="9" t="s">
        <v>303</v>
      </c>
      <c r="AH148" s="9" t="s">
        <v>304</v>
      </c>
      <c r="AI148" s="9" t="s">
        <v>1237</v>
      </c>
      <c r="AJ148" s="9" t="s">
        <v>1080</v>
      </c>
      <c r="AK148" s="9" t="s">
        <v>8213</v>
      </c>
      <c r="AL148" s="9" t="s">
        <v>1727</v>
      </c>
      <c r="AM148" s="8">
        <v>3</v>
      </c>
      <c r="AN148" s="4" t="s">
        <v>381</v>
      </c>
      <c r="AO148" s="4" t="s">
        <v>382</v>
      </c>
      <c r="AP148" s="4" t="s">
        <v>383</v>
      </c>
      <c r="AQ148" s="7" t="s">
        <v>384</v>
      </c>
      <c r="AR148" s="8" t="s">
        <v>8214</v>
      </c>
      <c r="AS148" s="7">
        <v>0</v>
      </c>
      <c r="AT148" s="7">
        <v>0</v>
      </c>
      <c r="AU148" s="9" t="s">
        <v>303</v>
      </c>
      <c r="AV148" s="9" t="s">
        <v>406</v>
      </c>
      <c r="BA148" s="8">
        <v>5</v>
      </c>
      <c r="BG148" s="8"/>
      <c r="BH148" s="8"/>
      <c r="BP148" s="7">
        <f>35+48.4</f>
        <v>83.4</v>
      </c>
      <c r="BQ148" s="8"/>
      <c r="CI148" s="7">
        <v>30.6</v>
      </c>
      <c r="CJ148" s="7">
        <v>10.8</v>
      </c>
      <c r="DZ148" s="31"/>
      <c r="ET148" s="7"/>
      <c r="EV148" s="7"/>
      <c r="EX148" s="6">
        <f>BP148*CI148/100</f>
        <v>25.520400000000006</v>
      </c>
      <c r="EY148" s="7">
        <f>BP148*CJ148/100</f>
        <v>9.007200000000001</v>
      </c>
      <c r="FB148" s="7"/>
      <c r="GP148" s="32"/>
      <c r="GY148" s="6" t="s">
        <v>435</v>
      </c>
      <c r="GZ148" s="40" t="s">
        <v>749</v>
      </c>
      <c r="HD148" s="9" t="s">
        <v>753</v>
      </c>
      <c r="HE148" s="8">
        <v>15260</v>
      </c>
      <c r="HF148" s="9" t="s">
        <v>8215</v>
      </c>
      <c r="HG148" s="9" t="s">
        <v>538</v>
      </c>
      <c r="HH148" s="8" t="s">
        <v>8216</v>
      </c>
      <c r="HI148" s="8">
        <v>29281</v>
      </c>
      <c r="HJ148" s="8" t="s">
        <v>8217</v>
      </c>
      <c r="HK148" s="9" t="s">
        <v>507</v>
      </c>
      <c r="HL148" s="9" t="s">
        <v>8218</v>
      </c>
      <c r="HM148" s="8">
        <v>4607</v>
      </c>
      <c r="HN148" s="8" t="s">
        <v>8219</v>
      </c>
      <c r="HO148" s="8" t="s">
        <v>349</v>
      </c>
      <c r="HP148" s="8" t="s">
        <v>8220</v>
      </c>
      <c r="HQ148" s="8">
        <v>25772</v>
      </c>
      <c r="HR148" s="9" t="s">
        <v>8221</v>
      </c>
      <c r="HS148" s="9" t="s">
        <v>349</v>
      </c>
      <c r="IB148" s="8" t="s">
        <v>8222</v>
      </c>
      <c r="IC148" s="8">
        <v>5276</v>
      </c>
      <c r="ID148" s="8" t="s">
        <v>8223</v>
      </c>
      <c r="IE148" s="8" t="s">
        <v>876</v>
      </c>
      <c r="IF148" s="8" t="s">
        <v>350</v>
      </c>
      <c r="JV148" s="7" t="s">
        <v>8224</v>
      </c>
      <c r="JX148" s="7" t="s">
        <v>355</v>
      </c>
      <c r="JY148" s="7" t="s">
        <v>321</v>
      </c>
      <c r="JZ148" s="7" t="s">
        <v>390</v>
      </c>
      <c r="KG148" s="4" t="s">
        <v>356</v>
      </c>
      <c r="KH148" s="4" t="s">
        <v>402</v>
      </c>
      <c r="KP148" s="5" t="s">
        <v>358</v>
      </c>
      <c r="KQ148" s="5" t="s">
        <v>8225</v>
      </c>
      <c r="KR148" s="5" t="s">
        <v>8226</v>
      </c>
      <c r="KS148" s="5" t="s">
        <v>8227</v>
      </c>
      <c r="KT148" s="5" t="s">
        <v>8228</v>
      </c>
    </row>
    <row r="149" spans="1:306" ht="48" x14ac:dyDescent="0.25">
      <c r="A149" s="5" t="s">
        <v>8229</v>
      </c>
      <c r="B149" s="4" t="s">
        <v>455</v>
      </c>
      <c r="C149" s="7" t="s">
        <v>708</v>
      </c>
      <c r="D149" s="8" t="s">
        <v>1614</v>
      </c>
      <c r="G149" s="4" t="s">
        <v>330</v>
      </c>
      <c r="H149" s="6">
        <v>120.969203841</v>
      </c>
      <c r="I149" s="6">
        <v>-21.070465714000001</v>
      </c>
      <c r="J149" s="4" t="s">
        <v>8212</v>
      </c>
      <c r="K149" s="4" t="s">
        <v>331</v>
      </c>
      <c r="L149" s="4" t="s">
        <v>368</v>
      </c>
      <c r="M149" s="4" t="s">
        <v>747</v>
      </c>
      <c r="Q149" s="8"/>
      <c r="Z149" s="4" t="s">
        <v>455</v>
      </c>
      <c r="AA149" s="7" t="s">
        <v>708</v>
      </c>
      <c r="AB149" s="8" t="s">
        <v>1614</v>
      </c>
      <c r="AC149" s="4" t="s">
        <v>301</v>
      </c>
      <c r="AD149" s="4" t="s">
        <v>382</v>
      </c>
      <c r="AE149" s="8">
        <v>1028</v>
      </c>
      <c r="AG149" s="9" t="s">
        <v>379</v>
      </c>
      <c r="AH149" s="9" t="s">
        <v>380</v>
      </c>
      <c r="AM149" s="8">
        <v>3</v>
      </c>
      <c r="AN149" s="4" t="s">
        <v>381</v>
      </c>
      <c r="AO149" s="4" t="s">
        <v>382</v>
      </c>
      <c r="AP149" s="4" t="s">
        <v>383</v>
      </c>
      <c r="AQ149" s="7" t="s">
        <v>384</v>
      </c>
      <c r="AR149" s="7" t="s">
        <v>748</v>
      </c>
      <c r="AS149" s="7">
        <v>0</v>
      </c>
      <c r="AT149" s="7">
        <v>0</v>
      </c>
      <c r="AU149" s="9" t="s">
        <v>303</v>
      </c>
      <c r="AV149" s="9" t="s">
        <v>406</v>
      </c>
      <c r="BA149" s="8">
        <v>5</v>
      </c>
      <c r="BP149" s="7">
        <v>0.7</v>
      </c>
      <c r="CI149" s="7">
        <v>15.6</v>
      </c>
      <c r="CJ149" s="7">
        <v>20.7</v>
      </c>
      <c r="DZ149" s="31"/>
      <c r="ET149" s="7"/>
      <c r="EV149" s="7"/>
      <c r="EX149" s="6">
        <f>BP149*CI149/100</f>
        <v>0.10920000000000001</v>
      </c>
      <c r="EY149" s="6">
        <f>BP149*CJ149/100</f>
        <v>0.14489999999999997</v>
      </c>
      <c r="FB149" s="7"/>
      <c r="GP149" s="32"/>
      <c r="GY149" s="6" t="s">
        <v>338</v>
      </c>
      <c r="GZ149" s="40" t="s">
        <v>749</v>
      </c>
      <c r="HD149" s="8" t="s">
        <v>753</v>
      </c>
      <c r="HE149" s="8">
        <v>15260</v>
      </c>
      <c r="HF149" s="8" t="s">
        <v>8215</v>
      </c>
      <c r="HG149" s="9" t="s">
        <v>538</v>
      </c>
      <c r="HH149" s="9" t="s">
        <v>8216</v>
      </c>
      <c r="HI149" s="8">
        <v>29281</v>
      </c>
      <c r="HJ149" s="9" t="s">
        <v>8217</v>
      </c>
      <c r="HK149" s="9" t="s">
        <v>507</v>
      </c>
      <c r="KP149" s="5" t="s">
        <v>8230</v>
      </c>
      <c r="KQ149" s="5" t="s">
        <v>8230</v>
      </c>
      <c r="KS149" s="5" t="s">
        <v>8230</v>
      </c>
      <c r="KT149" s="5" t="s">
        <v>8231</v>
      </c>
    </row>
    <row r="150" spans="1:306" ht="120" x14ac:dyDescent="0.25">
      <c r="A150" s="5" t="s">
        <v>707</v>
      </c>
      <c r="B150" s="4" t="s">
        <v>455</v>
      </c>
      <c r="C150" s="4" t="s">
        <v>708</v>
      </c>
      <c r="D150" s="8" t="s">
        <v>709</v>
      </c>
      <c r="E150" s="4">
        <v>334459</v>
      </c>
      <c r="G150" s="4" t="s">
        <v>530</v>
      </c>
      <c r="H150" s="6">
        <v>133.91999999999999</v>
      </c>
      <c r="I150" s="6">
        <v>-23.9191</v>
      </c>
      <c r="J150" s="4" t="s">
        <v>707</v>
      </c>
      <c r="K150" s="4" t="s">
        <v>481</v>
      </c>
      <c r="L150" s="4" t="s">
        <v>580</v>
      </c>
      <c r="M150" s="4" t="s">
        <v>710</v>
      </c>
      <c r="Q150" s="8"/>
      <c r="R150" s="8"/>
      <c r="Z150" s="4" t="s">
        <v>455</v>
      </c>
      <c r="AA150" s="4" t="s">
        <v>708</v>
      </c>
      <c r="AB150" s="8" t="s">
        <v>709</v>
      </c>
      <c r="AC150" s="4" t="s">
        <v>301</v>
      </c>
      <c r="AD150" s="4" t="s">
        <v>375</v>
      </c>
      <c r="AE150" s="8"/>
      <c r="AF150" s="8"/>
      <c r="AN150" s="4" t="s">
        <v>381</v>
      </c>
      <c r="AO150" s="4" t="s">
        <v>382</v>
      </c>
      <c r="AP150" s="4" t="s">
        <v>383</v>
      </c>
      <c r="AQ150" s="7" t="s">
        <v>384</v>
      </c>
      <c r="AR150" s="8" t="s">
        <v>711</v>
      </c>
      <c r="AS150" s="7">
        <v>0</v>
      </c>
      <c r="AT150" s="7">
        <v>0</v>
      </c>
      <c r="AU150" s="9" t="s">
        <v>303</v>
      </c>
      <c r="AV150" s="9" t="s">
        <v>406</v>
      </c>
      <c r="BA150" s="8">
        <v>5</v>
      </c>
      <c r="BP150" s="7">
        <v>10.7</v>
      </c>
      <c r="BQ150" s="7"/>
      <c r="DZ150" s="31"/>
      <c r="EB150" s="9">
        <v>0.13100000000000001</v>
      </c>
      <c r="GP150" s="32"/>
      <c r="GR150" s="6">
        <f>1000*BP150*EB150/100</f>
        <v>14.017000000000001</v>
      </c>
      <c r="GY150" s="6" t="s">
        <v>338</v>
      </c>
      <c r="GZ150" s="6" t="s">
        <v>654</v>
      </c>
      <c r="HC150" s="6" t="s">
        <v>712</v>
      </c>
      <c r="HD150" s="8" t="s">
        <v>713</v>
      </c>
      <c r="HE150" s="8">
        <v>26188</v>
      </c>
      <c r="HF150" s="8" t="s">
        <v>714</v>
      </c>
      <c r="HG150" s="9" t="s">
        <v>715</v>
      </c>
      <c r="IW150" s="8"/>
      <c r="JB150" s="8"/>
      <c r="JX150" s="7" t="s">
        <v>355</v>
      </c>
      <c r="JY150" s="7" t="s">
        <v>448</v>
      </c>
      <c r="JZ150" s="7" t="s">
        <v>320</v>
      </c>
      <c r="KG150" s="4" t="s">
        <v>323</v>
      </c>
      <c r="KM150" s="4" t="s">
        <v>471</v>
      </c>
      <c r="KN150" s="4" t="s">
        <v>471</v>
      </c>
      <c r="KP150" s="5" t="s">
        <v>358</v>
      </c>
      <c r="KQ150" s="5" t="s">
        <v>716</v>
      </c>
      <c r="KS150" s="5" t="s">
        <v>717</v>
      </c>
      <c r="KT150" s="5" t="s">
        <v>718</v>
      </c>
    </row>
    <row r="151" spans="1:306" ht="60" x14ac:dyDescent="0.25">
      <c r="A151" s="5" t="s">
        <v>1326</v>
      </c>
      <c r="B151" s="4" t="s">
        <v>455</v>
      </c>
      <c r="C151" s="7" t="s">
        <v>708</v>
      </c>
      <c r="D151" s="8" t="s">
        <v>709</v>
      </c>
      <c r="E151" s="4">
        <v>335289</v>
      </c>
      <c r="G151" s="4" t="s">
        <v>593</v>
      </c>
      <c r="H151" s="6">
        <v>139.60383060999999</v>
      </c>
      <c r="I151" s="6">
        <v>-30.191886109999999</v>
      </c>
      <c r="J151" s="4" t="s">
        <v>1327</v>
      </c>
      <c r="K151" s="4" t="s">
        <v>595</v>
      </c>
      <c r="L151" s="4" t="s">
        <v>942</v>
      </c>
      <c r="M151" s="4" t="s">
        <v>1328</v>
      </c>
      <c r="N151" s="4" t="s">
        <v>1329</v>
      </c>
      <c r="Q151" s="7"/>
      <c r="R151" s="7"/>
      <c r="V151" s="4"/>
      <c r="W151" s="4"/>
      <c r="X151" s="4"/>
      <c r="Z151" s="4" t="s">
        <v>455</v>
      </c>
      <c r="AA151" s="7" t="s">
        <v>708</v>
      </c>
      <c r="AB151" s="8" t="s">
        <v>709</v>
      </c>
      <c r="AC151" s="4" t="s">
        <v>301</v>
      </c>
      <c r="AD151" s="4" t="s">
        <v>302</v>
      </c>
      <c r="AE151" s="7">
        <v>6.7</v>
      </c>
      <c r="AF151" s="7">
        <v>0.2</v>
      </c>
      <c r="AG151" s="9" t="s">
        <v>303</v>
      </c>
      <c r="AH151" s="9" t="s">
        <v>304</v>
      </c>
      <c r="AI151" s="9" t="s">
        <v>1330</v>
      </c>
      <c r="AJ151" s="4" t="s">
        <v>306</v>
      </c>
      <c r="AK151" s="4" t="s">
        <v>307</v>
      </c>
      <c r="AL151" s="4" t="s">
        <v>308</v>
      </c>
      <c r="AM151" s="8">
        <v>5</v>
      </c>
      <c r="DZ151" s="31"/>
      <c r="EB151" s="10"/>
      <c r="EY151" s="6"/>
      <c r="FA151" s="6"/>
      <c r="GP151" s="32"/>
      <c r="GR151" s="7">
        <v>17.399999999999999</v>
      </c>
      <c r="GY151" s="6" t="s">
        <v>309</v>
      </c>
      <c r="GZ151" s="6" t="s">
        <v>654</v>
      </c>
      <c r="HC151" s="6" t="s">
        <v>712</v>
      </c>
      <c r="HD151" s="4" t="s">
        <v>1331</v>
      </c>
      <c r="HE151" s="4">
        <v>13307</v>
      </c>
      <c r="HF151" s="4" t="s">
        <v>1332</v>
      </c>
      <c r="HG151" s="4" t="s">
        <v>1333</v>
      </c>
      <c r="HY151" s="9"/>
      <c r="IM151" s="9"/>
      <c r="JV151" s="4"/>
      <c r="JX151" s="4" t="s">
        <v>320</v>
      </c>
      <c r="JY151" s="7" t="s">
        <v>321</v>
      </c>
      <c r="JZ151" s="7" t="s">
        <v>738</v>
      </c>
      <c r="KG151" s="4" t="s">
        <v>323</v>
      </c>
      <c r="KM151" s="4" t="s">
        <v>471</v>
      </c>
      <c r="KN151" s="4" t="s">
        <v>471</v>
      </c>
      <c r="KP151" s="5" t="s">
        <v>358</v>
      </c>
      <c r="KQ151" s="5" t="s">
        <v>1334</v>
      </c>
      <c r="KR151" s="5" t="s">
        <v>1334</v>
      </c>
      <c r="KS151" s="5" t="s">
        <v>1334</v>
      </c>
      <c r="KT151" s="5" t="s">
        <v>1335</v>
      </c>
    </row>
    <row r="152" spans="1:306" ht="60" x14ac:dyDescent="0.25">
      <c r="A152" s="5" t="s">
        <v>1399</v>
      </c>
      <c r="B152" s="4" t="s">
        <v>455</v>
      </c>
      <c r="C152" s="4" t="s">
        <v>708</v>
      </c>
      <c r="D152" s="8" t="s">
        <v>709</v>
      </c>
      <c r="E152" s="4">
        <v>334631</v>
      </c>
      <c r="G152" s="4" t="s">
        <v>530</v>
      </c>
      <c r="H152" s="6">
        <v>131.0445</v>
      </c>
      <c r="I152" s="6">
        <v>-22.218800000000002</v>
      </c>
      <c r="J152" s="4" t="s">
        <v>1399</v>
      </c>
      <c r="K152" s="4" t="s">
        <v>481</v>
      </c>
      <c r="L152" s="4" t="s">
        <v>580</v>
      </c>
      <c r="M152" s="4" t="s">
        <v>1400</v>
      </c>
      <c r="Q152" s="8"/>
      <c r="R152" s="8"/>
      <c r="Z152" s="4" t="s">
        <v>455</v>
      </c>
      <c r="AA152" s="4" t="s">
        <v>708</v>
      </c>
      <c r="AB152" s="8" t="s">
        <v>709</v>
      </c>
      <c r="AC152" s="4" t="s">
        <v>301</v>
      </c>
      <c r="AD152" s="4" t="s">
        <v>302</v>
      </c>
      <c r="AE152" s="8">
        <v>332</v>
      </c>
      <c r="AF152" s="8">
        <v>30</v>
      </c>
      <c r="AG152" s="9" t="s">
        <v>303</v>
      </c>
      <c r="AH152" s="9" t="s">
        <v>304</v>
      </c>
      <c r="AI152" s="9" t="s">
        <v>723</v>
      </c>
      <c r="AJ152" s="9" t="s">
        <v>306</v>
      </c>
      <c r="AK152" s="9" t="s">
        <v>307</v>
      </c>
      <c r="AL152" s="9" t="s">
        <v>1401</v>
      </c>
      <c r="AM152" s="8">
        <v>4</v>
      </c>
      <c r="AN152" s="4" t="s">
        <v>381</v>
      </c>
      <c r="AO152" s="4" t="s">
        <v>402</v>
      </c>
      <c r="AP152" s="4" t="s">
        <v>383</v>
      </c>
      <c r="AQ152" s="7" t="s">
        <v>384</v>
      </c>
      <c r="AR152" s="8" t="s">
        <v>711</v>
      </c>
      <c r="AS152" s="7">
        <v>0</v>
      </c>
      <c r="AT152" s="7">
        <v>0</v>
      </c>
      <c r="AU152" s="9" t="s">
        <v>303</v>
      </c>
      <c r="AV152" s="9" t="s">
        <v>406</v>
      </c>
      <c r="BA152" s="8">
        <v>5</v>
      </c>
      <c r="BP152" s="7">
        <v>7.46</v>
      </c>
      <c r="CE152" s="10"/>
      <c r="CG152" s="10">
        <v>0.1197</v>
      </c>
      <c r="CM152" s="10"/>
      <c r="DZ152" s="31"/>
      <c r="EB152" s="10">
        <v>0.1283</v>
      </c>
      <c r="EV152" s="6">
        <f>1000*BP152*CG152/100</f>
        <v>8.9296199999999999</v>
      </c>
      <c r="GP152" s="32"/>
      <c r="GR152" s="6">
        <f>1000*BP152*EB152/100</f>
        <v>9.57118</v>
      </c>
      <c r="GY152" s="6" t="s">
        <v>338</v>
      </c>
      <c r="GZ152" s="6" t="s">
        <v>654</v>
      </c>
      <c r="HA152" s="6" t="s">
        <v>1289</v>
      </c>
      <c r="HC152" s="6" t="s">
        <v>712</v>
      </c>
      <c r="HD152" s="8" t="s">
        <v>1402</v>
      </c>
      <c r="HE152" s="8">
        <v>12672</v>
      </c>
      <c r="HF152" s="8" t="s">
        <v>1403</v>
      </c>
      <c r="HG152" s="9" t="s">
        <v>715</v>
      </c>
      <c r="IW152" s="8"/>
      <c r="JB152" s="8"/>
      <c r="JV152" s="7" t="s">
        <v>1404</v>
      </c>
      <c r="JX152" s="7" t="s">
        <v>355</v>
      </c>
      <c r="JY152" s="7" t="s">
        <v>448</v>
      </c>
      <c r="JZ152" s="7" t="s">
        <v>320</v>
      </c>
      <c r="KG152" s="4" t="s">
        <v>1405</v>
      </c>
      <c r="KH152" s="4" t="s">
        <v>1317</v>
      </c>
      <c r="KM152" s="4" t="s">
        <v>471</v>
      </c>
      <c r="KN152" s="4" t="s">
        <v>471</v>
      </c>
      <c r="KP152" s="5" t="s">
        <v>358</v>
      </c>
      <c r="KQ152" s="5" t="s">
        <v>1406</v>
      </c>
      <c r="KR152" s="5" t="s">
        <v>1407</v>
      </c>
      <c r="KS152" s="5" t="s">
        <v>1407</v>
      </c>
      <c r="KT152" s="14" t="s">
        <v>1408</v>
      </c>
    </row>
    <row r="153" spans="1:306" ht="72" x14ac:dyDescent="0.25">
      <c r="A153" s="5" t="s">
        <v>3368</v>
      </c>
      <c r="B153" s="4" t="s">
        <v>455</v>
      </c>
      <c r="C153" s="7" t="s">
        <v>708</v>
      </c>
      <c r="D153" s="8" t="s">
        <v>709</v>
      </c>
      <c r="E153" s="4">
        <v>466201</v>
      </c>
      <c r="G153" s="4" t="s">
        <v>593</v>
      </c>
      <c r="H153" s="6">
        <v>139.5292</v>
      </c>
      <c r="I153" s="6">
        <v>-30.1417</v>
      </c>
      <c r="J153" s="4" t="s">
        <v>1327</v>
      </c>
      <c r="K153" s="4" t="s">
        <v>595</v>
      </c>
      <c r="L153" s="4" t="s">
        <v>942</v>
      </c>
      <c r="M153" s="4" t="s">
        <v>1328</v>
      </c>
      <c r="N153" s="4" t="s">
        <v>1329</v>
      </c>
      <c r="Q153" s="4"/>
      <c r="R153" s="4"/>
      <c r="S153" s="4"/>
      <c r="T153" s="4"/>
      <c r="U153" s="4"/>
      <c r="V153" s="4"/>
      <c r="W153" s="4"/>
      <c r="X153" s="4"/>
      <c r="Z153" s="4" t="s">
        <v>455</v>
      </c>
      <c r="AA153" s="7" t="s">
        <v>708</v>
      </c>
      <c r="AB153" s="8" t="s">
        <v>709</v>
      </c>
      <c r="AC153" s="4" t="s">
        <v>301</v>
      </c>
      <c r="AD153" s="4" t="s">
        <v>302</v>
      </c>
      <c r="AE153" s="4">
        <v>6.7</v>
      </c>
      <c r="AF153" s="4"/>
      <c r="AG153" s="4" t="s">
        <v>379</v>
      </c>
      <c r="AH153" s="4" t="s">
        <v>1156</v>
      </c>
      <c r="AI153" s="4"/>
      <c r="AJ153" s="4"/>
      <c r="AK153" s="4"/>
      <c r="AL153" s="4"/>
      <c r="AM153" s="8">
        <v>3</v>
      </c>
      <c r="BP153" s="7">
        <f>GR153/(EB153/100)/1000</f>
        <v>9.7616777883698749</v>
      </c>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31"/>
      <c r="EA153" s="4"/>
      <c r="EB153" s="6">
        <f>(13*0.31+19*0.34)/(13+19)</f>
        <v>0.32781250000000006</v>
      </c>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32"/>
      <c r="GQ153" s="4"/>
      <c r="GR153" s="8">
        <f>13+19</f>
        <v>32</v>
      </c>
      <c r="GS153" s="4"/>
      <c r="GT153" s="4"/>
      <c r="GU153" s="4"/>
      <c r="GV153" s="4"/>
      <c r="GW153" s="4"/>
      <c r="GX153" s="4"/>
      <c r="GY153" s="4" t="s">
        <v>435</v>
      </c>
      <c r="GZ153" s="4" t="s">
        <v>654</v>
      </c>
      <c r="HA153" s="4"/>
      <c r="HB153" s="4"/>
      <c r="HC153" s="4" t="s">
        <v>712</v>
      </c>
      <c r="HD153" s="4" t="s">
        <v>3369</v>
      </c>
      <c r="HE153" s="4">
        <v>6451</v>
      </c>
      <c r="HF153" s="4" t="s">
        <v>3370</v>
      </c>
      <c r="HG153" s="4" t="s">
        <v>3371</v>
      </c>
      <c r="HH153" s="4" t="s">
        <v>3372</v>
      </c>
      <c r="HI153" s="8">
        <v>2891</v>
      </c>
      <c r="HJ153" s="4" t="s">
        <v>3373</v>
      </c>
      <c r="HK153" s="4" t="s">
        <v>3374</v>
      </c>
      <c r="HL153" s="4"/>
      <c r="HN153" s="4"/>
      <c r="HO153" s="4"/>
      <c r="HP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t="s">
        <v>320</v>
      </c>
      <c r="JY153" s="4"/>
      <c r="JZ153" s="4"/>
      <c r="KA153" s="4"/>
      <c r="KB153" s="4"/>
      <c r="KC153" s="4"/>
      <c r="KD153" s="4"/>
      <c r="KE153" s="4"/>
      <c r="KF153" s="4"/>
      <c r="KG153" s="4" t="s">
        <v>323</v>
      </c>
      <c r="KM153" s="4" t="s">
        <v>471</v>
      </c>
      <c r="KN153" s="4" t="s">
        <v>471</v>
      </c>
      <c r="KP153" s="5" t="s">
        <v>358</v>
      </c>
      <c r="KQ153" s="5" t="s">
        <v>3375</v>
      </c>
      <c r="KR153" s="5" t="s">
        <v>3375</v>
      </c>
      <c r="KS153" s="5" t="s">
        <v>3375</v>
      </c>
      <c r="KT153" s="5" t="s">
        <v>3376</v>
      </c>
    </row>
    <row r="154" spans="1:306" ht="72" x14ac:dyDescent="0.25">
      <c r="A154" s="5" t="s">
        <v>3613</v>
      </c>
      <c r="B154" s="4" t="s">
        <v>455</v>
      </c>
      <c r="C154" s="7" t="s">
        <v>708</v>
      </c>
      <c r="D154" s="8" t="s">
        <v>709</v>
      </c>
      <c r="E154" s="4">
        <v>333972</v>
      </c>
      <c r="G154" s="4" t="s">
        <v>593</v>
      </c>
      <c r="H154" s="6">
        <v>139.9499871415</v>
      </c>
      <c r="I154" s="6">
        <v>-31.466999999999999</v>
      </c>
      <c r="J154" s="4" t="s">
        <v>1327</v>
      </c>
      <c r="K154" s="4" t="s">
        <v>595</v>
      </c>
      <c r="L154" s="4" t="s">
        <v>942</v>
      </c>
      <c r="M154" s="4" t="s">
        <v>1328</v>
      </c>
      <c r="N154" s="4" t="s">
        <v>1329</v>
      </c>
      <c r="Q154" s="4"/>
      <c r="R154" s="4"/>
      <c r="S154" s="4"/>
      <c r="T154" s="4"/>
      <c r="U154" s="4"/>
      <c r="V154" s="4"/>
      <c r="W154" s="4"/>
      <c r="X154" s="4"/>
      <c r="Z154" s="4" t="s">
        <v>455</v>
      </c>
      <c r="AA154" s="7" t="s">
        <v>708</v>
      </c>
      <c r="AB154" s="8" t="s">
        <v>709</v>
      </c>
      <c r="AC154" s="4" t="s">
        <v>301</v>
      </c>
      <c r="AD154" s="4" t="s">
        <v>302</v>
      </c>
      <c r="AE154" s="4">
        <v>6.7</v>
      </c>
      <c r="AF154" s="4"/>
      <c r="AG154" s="4" t="s">
        <v>379</v>
      </c>
      <c r="AH154" s="4" t="s">
        <v>1156</v>
      </c>
      <c r="AI154" s="4"/>
      <c r="AJ154" s="4"/>
      <c r="AK154" s="4"/>
      <c r="AL154" s="4"/>
      <c r="AM154" s="8">
        <v>3</v>
      </c>
      <c r="BP154" s="7">
        <v>22.1</v>
      </c>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31"/>
      <c r="EA154" s="4"/>
      <c r="EB154" s="10">
        <v>5.0999999999999997E-2</v>
      </c>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32"/>
      <c r="GQ154" s="4"/>
      <c r="GR154" s="7">
        <f>1000*BP154*EB154/100</f>
        <v>11.270999999999999</v>
      </c>
      <c r="GS154" s="4"/>
      <c r="GT154" s="4"/>
      <c r="GU154" s="4"/>
      <c r="GV154" s="4"/>
      <c r="GW154" s="4"/>
      <c r="GX154" s="4"/>
      <c r="GY154" s="31" t="s">
        <v>407</v>
      </c>
      <c r="GZ154" s="4" t="s">
        <v>654</v>
      </c>
      <c r="HA154" s="4"/>
      <c r="HB154" s="4"/>
      <c r="HC154" s="4" t="s">
        <v>712</v>
      </c>
      <c r="HD154" s="4" t="s">
        <v>3369</v>
      </c>
      <c r="HE154" s="4">
        <v>6451</v>
      </c>
      <c r="HF154" s="4" t="s">
        <v>3614</v>
      </c>
      <c r="HG154" s="4" t="s">
        <v>3371</v>
      </c>
      <c r="HH154" s="4"/>
      <c r="HJ154" s="4"/>
      <c r="HK154" s="4"/>
      <c r="HL154" s="4"/>
      <c r="HN154" s="4"/>
      <c r="HO154" s="4"/>
      <c r="HP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t="s">
        <v>3615</v>
      </c>
      <c r="JW154" s="4"/>
      <c r="JX154" s="4" t="s">
        <v>320</v>
      </c>
      <c r="JY154" s="4"/>
      <c r="JZ154" s="4"/>
      <c r="KA154" s="4"/>
      <c r="KB154" s="4"/>
      <c r="KC154" s="4"/>
      <c r="KD154" s="4"/>
      <c r="KE154" s="4"/>
      <c r="KF154" s="4"/>
      <c r="KG154" s="4" t="s">
        <v>323</v>
      </c>
      <c r="KM154" s="4" t="s">
        <v>471</v>
      </c>
      <c r="KN154" s="4" t="s">
        <v>471</v>
      </c>
      <c r="KP154" s="5" t="s">
        <v>358</v>
      </c>
      <c r="KQ154" s="5" t="s">
        <v>3616</v>
      </c>
      <c r="KS154" s="5" t="s">
        <v>3616</v>
      </c>
      <c r="KT154" s="5" t="s">
        <v>3617</v>
      </c>
    </row>
    <row r="155" spans="1:306" ht="72" x14ac:dyDescent="0.25">
      <c r="A155" s="5" t="s">
        <v>4120</v>
      </c>
      <c r="B155" s="4" t="s">
        <v>455</v>
      </c>
      <c r="C155" s="7" t="s">
        <v>708</v>
      </c>
      <c r="D155" s="8" t="s">
        <v>709</v>
      </c>
      <c r="E155" s="4">
        <v>333288</v>
      </c>
      <c r="G155" s="4" t="s">
        <v>593</v>
      </c>
      <c r="H155" s="6">
        <v>140.66239999999999</v>
      </c>
      <c r="I155" s="6">
        <v>-31.741</v>
      </c>
      <c r="J155" s="4" t="s">
        <v>1327</v>
      </c>
      <c r="K155" s="4" t="s">
        <v>595</v>
      </c>
      <c r="L155" s="4" t="s">
        <v>942</v>
      </c>
      <c r="M155" s="4" t="s">
        <v>1328</v>
      </c>
      <c r="N155" s="4" t="s">
        <v>1329</v>
      </c>
      <c r="Q155" s="4"/>
      <c r="R155" s="4"/>
      <c r="S155" s="4"/>
      <c r="T155" s="4"/>
      <c r="U155" s="4"/>
      <c r="V155" s="4"/>
      <c r="W155" s="4"/>
      <c r="X155" s="4"/>
      <c r="Z155" s="4" t="s">
        <v>455</v>
      </c>
      <c r="AA155" s="7" t="s">
        <v>708</v>
      </c>
      <c r="AB155" s="8" t="s">
        <v>709</v>
      </c>
      <c r="AC155" s="4" t="s">
        <v>301</v>
      </c>
      <c r="AD155" s="4" t="s">
        <v>302</v>
      </c>
      <c r="AE155" s="4">
        <v>6.7</v>
      </c>
      <c r="AF155" s="4"/>
      <c r="AG155" s="4" t="s">
        <v>379</v>
      </c>
      <c r="AH155" s="4" t="s">
        <v>1156</v>
      </c>
      <c r="AI155" s="4"/>
      <c r="AJ155" s="4"/>
      <c r="AK155" s="4"/>
      <c r="AL155" s="4"/>
      <c r="AM155" s="8">
        <v>3</v>
      </c>
      <c r="BP155" s="7">
        <f>3.1+14+7</f>
        <v>24.1</v>
      </c>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31"/>
      <c r="EA155" s="4"/>
      <c r="EB155" s="9">
        <f>(0.11*3.1+0.061*14+0.059*7)/(3.1+14+7)</f>
        <v>6.6721991701244807E-2</v>
      </c>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32"/>
      <c r="GQ155" s="4"/>
      <c r="GR155" s="7">
        <f>1000*BP155*EB155/100</f>
        <v>16.079999999999998</v>
      </c>
      <c r="GS155" s="4"/>
      <c r="GT155" s="4"/>
      <c r="GU155" s="4"/>
      <c r="GV155" s="4"/>
      <c r="GW155" s="4"/>
      <c r="GX155" s="4"/>
      <c r="GY155" s="4" t="s">
        <v>338</v>
      </c>
      <c r="GZ155" s="4" t="s">
        <v>654</v>
      </c>
      <c r="HA155" s="4"/>
      <c r="HB155" s="4"/>
      <c r="HC155" s="4" t="s">
        <v>712</v>
      </c>
      <c r="HD155" s="4" t="s">
        <v>3369</v>
      </c>
      <c r="HE155" s="4">
        <v>6451</v>
      </c>
      <c r="HF155" s="4" t="s">
        <v>3614</v>
      </c>
      <c r="HG155" s="4" t="s">
        <v>3371</v>
      </c>
      <c r="HH155" s="4"/>
      <c r="HJ155" s="4"/>
      <c r="HK155" s="4"/>
      <c r="HL155" s="4"/>
      <c r="HN155" s="4"/>
      <c r="HO155" s="4"/>
      <c r="HP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t="s">
        <v>3615</v>
      </c>
      <c r="JW155" s="4"/>
      <c r="JX155" s="4" t="s">
        <v>320</v>
      </c>
      <c r="JY155" s="4"/>
      <c r="JZ155" s="4"/>
      <c r="KA155" s="4"/>
      <c r="KB155" s="4"/>
      <c r="KC155" s="4"/>
      <c r="KD155" s="4"/>
      <c r="KE155" s="4"/>
      <c r="KF155" s="4"/>
      <c r="KG155" s="4" t="s">
        <v>323</v>
      </c>
      <c r="KM155" s="4" t="s">
        <v>471</v>
      </c>
      <c r="KN155" s="4" t="s">
        <v>471</v>
      </c>
      <c r="KP155" s="5" t="s">
        <v>358</v>
      </c>
      <c r="KQ155" s="5" t="s">
        <v>3616</v>
      </c>
      <c r="KS155" s="5" t="s">
        <v>4121</v>
      </c>
      <c r="KT155" s="5" t="s">
        <v>4122</v>
      </c>
    </row>
    <row r="156" spans="1:306" ht="84" x14ac:dyDescent="0.25">
      <c r="A156" s="5" t="s">
        <v>824</v>
      </c>
      <c r="B156" s="4" t="s">
        <v>455</v>
      </c>
      <c r="C156" s="7" t="s">
        <v>686</v>
      </c>
      <c r="D156" s="7" t="s">
        <v>825</v>
      </c>
      <c r="E156" s="4">
        <v>435559</v>
      </c>
      <c r="G156" s="4" t="s">
        <v>530</v>
      </c>
      <c r="H156" s="6">
        <v>130.96794139599999</v>
      </c>
      <c r="I156" s="6">
        <v>-13.014284026</v>
      </c>
      <c r="J156" s="4" t="s">
        <v>826</v>
      </c>
      <c r="K156" s="4" t="s">
        <v>481</v>
      </c>
      <c r="L156" s="4" t="s">
        <v>532</v>
      </c>
      <c r="O156" s="7"/>
      <c r="Q156" s="8"/>
      <c r="R156" s="8"/>
      <c r="U156" s="4"/>
      <c r="V156" s="4"/>
      <c r="W156" s="4"/>
      <c r="X156" s="4"/>
      <c r="Z156" s="4" t="s">
        <v>455</v>
      </c>
      <c r="AA156" s="7" t="s">
        <v>686</v>
      </c>
      <c r="AB156" s="7" t="s">
        <v>825</v>
      </c>
      <c r="AC156" s="4" t="s">
        <v>301</v>
      </c>
      <c r="AD156" s="4" t="s">
        <v>375</v>
      </c>
      <c r="AE156" s="8">
        <v>1632</v>
      </c>
      <c r="AF156" s="8"/>
      <c r="AG156" s="9" t="s">
        <v>379</v>
      </c>
      <c r="AH156" s="9" t="s">
        <v>380</v>
      </c>
      <c r="AI156" s="4"/>
      <c r="AJ156" s="4"/>
      <c r="AK156" s="4"/>
      <c r="AL156" s="4"/>
      <c r="AM156" s="8">
        <v>2</v>
      </c>
      <c r="AN156" s="4" t="s">
        <v>381</v>
      </c>
      <c r="AO156" s="4" t="s">
        <v>382</v>
      </c>
      <c r="AP156" s="4" t="s">
        <v>383</v>
      </c>
      <c r="AQ156" s="7" t="s">
        <v>384</v>
      </c>
      <c r="AR156" s="7" t="s">
        <v>827</v>
      </c>
      <c r="AS156" s="7">
        <v>0</v>
      </c>
      <c r="AT156" s="7">
        <v>0</v>
      </c>
      <c r="AU156" s="9" t="s">
        <v>303</v>
      </c>
      <c r="AV156" s="9" t="s">
        <v>406</v>
      </c>
      <c r="BA156" s="8">
        <v>5</v>
      </c>
      <c r="BG156" s="7"/>
      <c r="BH156" s="7"/>
      <c r="BP156" s="7">
        <f>12.2+5.48</f>
        <v>17.68</v>
      </c>
      <c r="BR156" s="6">
        <f>(0.49*12.2+0.78*5.48)/(12.2+5.48)</f>
        <v>0.57988687782805437</v>
      </c>
      <c r="BT156" s="6">
        <f>(0.56*12.2+0*5.48)/(12.2+5.48)</f>
        <v>0.38642533936651585</v>
      </c>
      <c r="CK156" s="6">
        <f>(0.14*12.2+0.14*5.48)/(12.2+5.48)</f>
        <v>0.14000000000000001</v>
      </c>
      <c r="CL156" s="6">
        <f>(0.14*12.2+0.15*5.48)/(12.2+5.48)</f>
        <v>0.14309954751131224</v>
      </c>
      <c r="DZ156" s="31"/>
      <c r="EH156" s="10">
        <f>BP156*BR156/100</f>
        <v>0.10252400000000002</v>
      </c>
      <c r="EJ156" s="10">
        <f>BP156*BT156/100</f>
        <v>6.8319999999999992E-2</v>
      </c>
      <c r="EZ156" s="6">
        <f>1000*BP156*CK156/100</f>
        <v>24.752000000000002</v>
      </c>
      <c r="FA156" s="9">
        <f>BP156*CL156/100</f>
        <v>2.5300000000000003E-2</v>
      </c>
      <c r="GP156" s="32"/>
      <c r="GY156" s="6" t="s">
        <v>338</v>
      </c>
      <c r="GZ156" s="6" t="s">
        <v>828</v>
      </c>
      <c r="HB156" s="6" t="s">
        <v>339</v>
      </c>
      <c r="HC156" s="6" t="s">
        <v>829</v>
      </c>
      <c r="HD156" s="8" t="s">
        <v>830</v>
      </c>
      <c r="HE156" s="8">
        <v>24572</v>
      </c>
      <c r="HF156" s="8" t="s">
        <v>831</v>
      </c>
      <c r="HG156" s="9" t="s">
        <v>538</v>
      </c>
      <c r="IB156" s="4" t="s">
        <v>832</v>
      </c>
      <c r="IC156" s="8">
        <v>16439</v>
      </c>
      <c r="ID156" s="4" t="s">
        <v>833</v>
      </c>
      <c r="IE156" s="4" t="s">
        <v>507</v>
      </c>
      <c r="IF156" s="4" t="s">
        <v>445</v>
      </c>
      <c r="IW156" s="8"/>
      <c r="JB156" s="8"/>
      <c r="JU156" s="7" t="s">
        <v>834</v>
      </c>
      <c r="JV156" s="7" t="s">
        <v>835</v>
      </c>
      <c r="JX156" s="7" t="s">
        <v>320</v>
      </c>
      <c r="KG156" s="4" t="s">
        <v>323</v>
      </c>
      <c r="KM156" s="4" t="s">
        <v>471</v>
      </c>
      <c r="KN156" s="4" t="s">
        <v>836</v>
      </c>
      <c r="KP156" s="5" t="s">
        <v>358</v>
      </c>
      <c r="KQ156" s="5" t="s">
        <v>837</v>
      </c>
      <c r="KS156" s="5" t="s">
        <v>838</v>
      </c>
      <c r="KT156" s="5" t="s">
        <v>839</v>
      </c>
    </row>
    <row r="157" spans="1:306" ht="96" x14ac:dyDescent="0.25">
      <c r="A157" s="5" t="s">
        <v>1726</v>
      </c>
      <c r="B157" s="4" t="s">
        <v>455</v>
      </c>
      <c r="C157" s="7" t="s">
        <v>686</v>
      </c>
      <c r="D157" s="7" t="s">
        <v>825</v>
      </c>
      <c r="E157" s="4">
        <v>336105</v>
      </c>
      <c r="G157" s="4" t="s">
        <v>530</v>
      </c>
      <c r="H157" s="6">
        <v>130.99631400000001</v>
      </c>
      <c r="I157" s="6">
        <v>-12.995279999999999</v>
      </c>
      <c r="J157" s="4" t="s">
        <v>826</v>
      </c>
      <c r="K157" s="4" t="s">
        <v>481</v>
      </c>
      <c r="L157" s="4" t="s">
        <v>532</v>
      </c>
      <c r="O157" s="7"/>
      <c r="Q157" s="8"/>
      <c r="R157" s="8"/>
      <c r="S157" s="4"/>
      <c r="T157" s="4"/>
      <c r="U157" s="4"/>
      <c r="V157" s="4"/>
      <c r="W157" s="4"/>
      <c r="X157" s="4"/>
      <c r="Z157" s="4" t="s">
        <v>455</v>
      </c>
      <c r="AA157" s="7" t="s">
        <v>686</v>
      </c>
      <c r="AB157" s="7" t="s">
        <v>825</v>
      </c>
      <c r="AC157" s="4" t="s">
        <v>301</v>
      </c>
      <c r="AD157" s="4" t="s">
        <v>375</v>
      </c>
      <c r="AE157" s="8">
        <v>1632</v>
      </c>
      <c r="AF157" s="8"/>
      <c r="AG157" s="4" t="s">
        <v>1236</v>
      </c>
      <c r="AH157" s="4" t="s">
        <v>304</v>
      </c>
      <c r="AI157" s="4" t="s">
        <v>1118</v>
      </c>
      <c r="AJ157" s="4" t="s">
        <v>1080</v>
      </c>
      <c r="AK157" s="4" t="s">
        <v>600</v>
      </c>
      <c r="AL157" s="4" t="s">
        <v>1727</v>
      </c>
      <c r="AM157" s="8">
        <v>2</v>
      </c>
      <c r="AN157" s="4" t="s">
        <v>381</v>
      </c>
      <c r="AO157" s="4" t="s">
        <v>382</v>
      </c>
      <c r="AP157" s="4" t="s">
        <v>383</v>
      </c>
      <c r="AQ157" s="7" t="s">
        <v>384</v>
      </c>
      <c r="AR157" s="7" t="s">
        <v>827</v>
      </c>
      <c r="AS157" s="7">
        <v>0</v>
      </c>
      <c r="AT157" s="7">
        <v>0</v>
      </c>
      <c r="AU157" s="9" t="s">
        <v>303</v>
      </c>
      <c r="AV157" s="9" t="s">
        <v>406</v>
      </c>
      <c r="BA157" s="8">
        <v>5</v>
      </c>
      <c r="BG157" s="7"/>
      <c r="BH157" s="7"/>
      <c r="BP157" s="7">
        <f>60.9+2.64+0.7</f>
        <v>64.239999999999995</v>
      </c>
      <c r="BQ157" s="7"/>
      <c r="BR157" s="6">
        <f>(0.51*60.9+1.02*2.64+0.14*0.7)/(60.9+2.64+0.7)</f>
        <v>0.52692714819427156</v>
      </c>
      <c r="BS157" s="6">
        <f>(0.62*60.9+0*2.64+0*0.7)/(60.9+2.64+0.7)</f>
        <v>0.58776463262764633</v>
      </c>
      <c r="BT157" s="6">
        <f>(3.28*60.9+0*2.64+4.36*0.7)/(60.9+2.64+0.7)</f>
        <v>3.1569738480697382</v>
      </c>
      <c r="BV157" s="4"/>
      <c r="BW157" s="4"/>
      <c r="BX157" s="4"/>
      <c r="BY157" s="4"/>
      <c r="BZ157" s="4"/>
      <c r="CA157" s="4"/>
      <c r="CB157" s="4"/>
      <c r="CC157" s="4"/>
      <c r="CD157" s="4"/>
      <c r="CE157" s="4"/>
      <c r="CF157" s="4"/>
      <c r="CG157" s="4"/>
      <c r="CH157" s="4"/>
      <c r="CI157" s="4"/>
      <c r="CJ157" s="4"/>
      <c r="CK157" s="6">
        <f>(0.1*60.9+0.12*2.64+0.04*0.7)/(60.9+2.64+0.7)</f>
        <v>0.10016811955168119</v>
      </c>
      <c r="CL157" s="6">
        <f>(0.09*60.9+0.1*2.64+0.04*0.7)/(60.9+2.64+0.7)</f>
        <v>8.9866127023661271E-2</v>
      </c>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31"/>
      <c r="EA157" s="4"/>
      <c r="EB157" s="4"/>
      <c r="EC157" s="4"/>
      <c r="ED157" s="4"/>
      <c r="EE157" s="4"/>
      <c r="EF157" s="4"/>
      <c r="EG157" s="4"/>
      <c r="EH157" s="10">
        <f>BP157*BR157/100</f>
        <v>0.33849800000000002</v>
      </c>
      <c r="EI157" s="10">
        <f>BP157*BS157/100</f>
        <v>0.37757999999999997</v>
      </c>
      <c r="EJ157" s="10">
        <f>BP157*BT157/100</f>
        <v>2.0280399999999998</v>
      </c>
      <c r="EK157" s="6"/>
      <c r="EY157" s="6"/>
      <c r="EZ157" s="6">
        <f>1000*BP157*CK157/100</f>
        <v>64.347999999999985</v>
      </c>
      <c r="FA157" s="9">
        <f>BP157*CL157/100</f>
        <v>5.7729999999999997E-2</v>
      </c>
      <c r="GP157" s="32"/>
      <c r="GY157" s="6" t="s">
        <v>338</v>
      </c>
      <c r="GZ157" s="6" t="s">
        <v>1728</v>
      </c>
      <c r="HA157" s="6" t="s">
        <v>750</v>
      </c>
      <c r="HB157" s="6" t="s">
        <v>1049</v>
      </c>
      <c r="HC157" s="6" t="s">
        <v>829</v>
      </c>
      <c r="HD157" s="4" t="s">
        <v>830</v>
      </c>
      <c r="HE157" s="4">
        <v>24572</v>
      </c>
      <c r="HF157" s="4" t="s">
        <v>1729</v>
      </c>
      <c r="HG157" s="4" t="s">
        <v>538</v>
      </c>
      <c r="HH157" s="4"/>
      <c r="HJ157" s="4"/>
      <c r="HK157" s="4"/>
      <c r="HL157" s="4"/>
      <c r="HN157" s="4"/>
      <c r="HO157" s="4"/>
      <c r="HP157" s="4"/>
      <c r="HR157" s="4"/>
      <c r="HS157" s="4"/>
      <c r="HT157" s="4"/>
      <c r="HU157" s="4"/>
      <c r="HV157" s="4"/>
      <c r="HW157" s="4"/>
      <c r="HX157" s="4"/>
      <c r="HY157" s="4"/>
      <c r="HZ157" s="4"/>
      <c r="IA157" s="4"/>
      <c r="IB157" s="4" t="s">
        <v>832</v>
      </c>
      <c r="IC157" s="8">
        <v>16439</v>
      </c>
      <c r="ID157" s="4" t="s">
        <v>833</v>
      </c>
      <c r="IE157" s="4" t="s">
        <v>507</v>
      </c>
      <c r="IF157" s="4" t="s">
        <v>445</v>
      </c>
      <c r="IG157" s="4"/>
      <c r="IH157" s="4"/>
      <c r="II157" s="4"/>
      <c r="IJ157" s="4"/>
      <c r="IK157" s="4"/>
      <c r="IL157" s="4"/>
      <c r="IN157" s="4"/>
      <c r="IO157" s="4"/>
      <c r="IP157" s="4"/>
      <c r="IQ157" s="4"/>
      <c r="IS157" s="4"/>
      <c r="IT157" s="4"/>
      <c r="IU157" s="4"/>
      <c r="IV157" s="4"/>
      <c r="IW157" s="8"/>
      <c r="IX157" s="4"/>
      <c r="IY157" s="4"/>
      <c r="IZ157" s="4"/>
      <c r="JA157" s="4"/>
      <c r="JB157" s="8"/>
      <c r="JC157" s="4"/>
      <c r="JD157" s="4"/>
      <c r="JE157" s="4"/>
      <c r="JF157" s="4"/>
      <c r="JG157" s="4"/>
      <c r="JH157" s="4"/>
      <c r="JI157" s="4"/>
      <c r="JJ157" s="4"/>
      <c r="JK157" s="4"/>
      <c r="JL157" s="4"/>
      <c r="JM157" s="4"/>
      <c r="JN157" s="4"/>
      <c r="JO157" s="4"/>
      <c r="JP157" s="4"/>
      <c r="JQ157" s="4"/>
      <c r="JR157" s="4"/>
      <c r="JS157" s="4"/>
      <c r="JT157" s="4"/>
      <c r="JU157" s="4" t="s">
        <v>834</v>
      </c>
      <c r="JV157" s="4" t="s">
        <v>1730</v>
      </c>
      <c r="JW157" s="4"/>
      <c r="JX157" s="4" t="s">
        <v>320</v>
      </c>
      <c r="JY157" s="4"/>
      <c r="JZ157" s="4"/>
      <c r="KA157" s="4"/>
      <c r="KB157" s="4"/>
      <c r="KC157" s="4"/>
      <c r="KD157" s="4"/>
      <c r="KE157" s="4"/>
      <c r="KF157" s="4"/>
      <c r="KG157" s="4" t="s">
        <v>323</v>
      </c>
      <c r="KM157" s="4" t="s">
        <v>471</v>
      </c>
      <c r="KN157" s="4" t="s">
        <v>836</v>
      </c>
      <c r="KP157" s="5" t="s">
        <v>358</v>
      </c>
      <c r="KQ157" s="5" t="s">
        <v>1731</v>
      </c>
      <c r="KR157" s="5" t="s">
        <v>1732</v>
      </c>
      <c r="KS157" s="5" t="s">
        <v>1733</v>
      </c>
      <c r="KT157" s="5" t="s">
        <v>1734</v>
      </c>
    </row>
    <row r="158" spans="1:306" ht="132" x14ac:dyDescent="0.25">
      <c r="A158" s="5" t="s">
        <v>1846</v>
      </c>
      <c r="B158" s="4" t="s">
        <v>383</v>
      </c>
      <c r="C158" s="7" t="s">
        <v>384</v>
      </c>
      <c r="D158" s="8" t="s">
        <v>827</v>
      </c>
      <c r="E158" s="4">
        <v>336034</v>
      </c>
      <c r="G158" s="4" t="s">
        <v>593</v>
      </c>
      <c r="H158" s="6">
        <v>138.931961</v>
      </c>
      <c r="I158" s="6">
        <v>-33.681832</v>
      </c>
      <c r="J158" s="4" t="s">
        <v>1846</v>
      </c>
      <c r="K158" s="4" t="s">
        <v>595</v>
      </c>
      <c r="L158" s="4" t="s">
        <v>689</v>
      </c>
      <c r="O158" s="7"/>
      <c r="Q158" s="8"/>
      <c r="R158" s="8"/>
      <c r="Z158" s="4" t="s">
        <v>455</v>
      </c>
      <c r="AA158" s="7" t="s">
        <v>686</v>
      </c>
      <c r="AB158" s="7" t="s">
        <v>825</v>
      </c>
      <c r="AC158" s="4" t="s">
        <v>301</v>
      </c>
      <c r="AD158" s="4" t="s">
        <v>402</v>
      </c>
      <c r="AE158" s="8">
        <v>794</v>
      </c>
      <c r="AF158" s="8">
        <v>4</v>
      </c>
      <c r="AG158" s="9" t="s">
        <v>379</v>
      </c>
      <c r="AH158" s="9" t="s">
        <v>483</v>
      </c>
      <c r="AI158" s="9" t="s">
        <v>373</v>
      </c>
      <c r="AJ158" s="9" t="s">
        <v>306</v>
      </c>
      <c r="AK158" s="9" t="s">
        <v>307</v>
      </c>
      <c r="AL158" s="9" t="s">
        <v>308</v>
      </c>
      <c r="AM158" s="8">
        <v>4</v>
      </c>
      <c r="AN158" s="4" t="s">
        <v>381</v>
      </c>
      <c r="AO158" s="4" t="s">
        <v>375</v>
      </c>
      <c r="AP158" s="4" t="s">
        <v>383</v>
      </c>
      <c r="AQ158" s="7" t="s">
        <v>384</v>
      </c>
      <c r="AR158" s="8" t="s">
        <v>827</v>
      </c>
      <c r="AS158" s="7">
        <v>0</v>
      </c>
      <c r="AT158" s="7">
        <v>0</v>
      </c>
      <c r="AU158" s="9" t="s">
        <v>303</v>
      </c>
      <c r="AV158" s="9" t="s">
        <v>406</v>
      </c>
      <c r="BA158" s="8">
        <v>5</v>
      </c>
      <c r="BP158" s="7">
        <f>0.7+1.89</f>
        <v>2.59</v>
      </c>
      <c r="BR158" s="6">
        <f>(0.7*7.1+1.89*1.71)/(0.7+1.89)</f>
        <v>3.1667567567567563</v>
      </c>
      <c r="DZ158" s="31"/>
      <c r="EB158" s="10"/>
      <c r="EH158" s="10">
        <f>BP158*BR158/100</f>
        <v>8.2018999999999981E-2</v>
      </c>
      <c r="EK158" s="6"/>
      <c r="EY158" s="6"/>
      <c r="FA158" s="6"/>
      <c r="GP158" s="32"/>
      <c r="GY158" s="6" t="s">
        <v>338</v>
      </c>
      <c r="GZ158" s="6" t="s">
        <v>994</v>
      </c>
      <c r="HC158" s="6" t="s">
        <v>1847</v>
      </c>
      <c r="HD158" s="8" t="s">
        <v>1848</v>
      </c>
      <c r="HE158" s="8">
        <v>25481</v>
      </c>
      <c r="HF158" s="8" t="s">
        <v>1849</v>
      </c>
      <c r="HG158" s="9" t="s">
        <v>876</v>
      </c>
      <c r="HY158" s="9"/>
      <c r="IB158" s="8" t="s">
        <v>1850</v>
      </c>
      <c r="ID158" s="8" t="s">
        <v>1851</v>
      </c>
      <c r="IE158" s="8" t="s">
        <v>876</v>
      </c>
      <c r="IF158" s="8" t="s">
        <v>319</v>
      </c>
      <c r="IM158" s="9"/>
      <c r="JV158" s="7" t="s">
        <v>1852</v>
      </c>
      <c r="JX158" s="7" t="s">
        <v>320</v>
      </c>
      <c r="KG158" s="4" t="s">
        <v>323</v>
      </c>
      <c r="KP158" s="5" t="s">
        <v>358</v>
      </c>
      <c r="KQ158" s="5" t="s">
        <v>1853</v>
      </c>
      <c r="KR158" s="5" t="s">
        <v>1854</v>
      </c>
      <c r="KS158" s="5" t="s">
        <v>1516</v>
      </c>
      <c r="KT158" s="5" t="s">
        <v>1855</v>
      </c>
    </row>
    <row r="159" spans="1:306" ht="84" x14ac:dyDescent="0.25">
      <c r="A159" s="5" t="s">
        <v>2887</v>
      </c>
      <c r="B159" s="4" t="s">
        <v>455</v>
      </c>
      <c r="C159" s="7" t="s">
        <v>686</v>
      </c>
      <c r="D159" s="7" t="s">
        <v>825</v>
      </c>
      <c r="E159" s="4">
        <v>336215</v>
      </c>
      <c r="G159" s="4" t="s">
        <v>530</v>
      </c>
      <c r="H159" s="6">
        <v>131.02000000000001</v>
      </c>
      <c r="I159" s="6">
        <v>-12.98</v>
      </c>
      <c r="J159" s="4" t="s">
        <v>826</v>
      </c>
      <c r="K159" s="4" t="s">
        <v>481</v>
      </c>
      <c r="L159" s="4" t="s">
        <v>532</v>
      </c>
      <c r="O159" s="7"/>
      <c r="Q159" s="8"/>
      <c r="R159" s="8"/>
      <c r="Z159" s="4" t="s">
        <v>455</v>
      </c>
      <c r="AA159" s="7" t="s">
        <v>686</v>
      </c>
      <c r="AB159" s="7" t="s">
        <v>825</v>
      </c>
      <c r="AC159" s="4" t="s">
        <v>301</v>
      </c>
      <c r="AD159" s="4" t="s">
        <v>375</v>
      </c>
      <c r="AE159" s="8">
        <v>1627</v>
      </c>
      <c r="AF159" s="8"/>
      <c r="AG159" s="9" t="s">
        <v>379</v>
      </c>
      <c r="AH159" s="9" t="s">
        <v>380</v>
      </c>
      <c r="AM159" s="8">
        <v>2</v>
      </c>
      <c r="AN159" s="4" t="s">
        <v>381</v>
      </c>
      <c r="AO159" s="4" t="s">
        <v>402</v>
      </c>
      <c r="AP159" s="4" t="s">
        <v>383</v>
      </c>
      <c r="AQ159" s="7" t="s">
        <v>384</v>
      </c>
      <c r="AR159" s="8" t="s">
        <v>711</v>
      </c>
      <c r="AS159" s="7">
        <v>0</v>
      </c>
      <c r="AT159" s="7">
        <v>0</v>
      </c>
      <c r="AU159" s="9" t="s">
        <v>303</v>
      </c>
      <c r="AV159" s="9" t="s">
        <v>406</v>
      </c>
      <c r="BA159" s="8">
        <v>5</v>
      </c>
      <c r="BP159" s="7">
        <v>0.157</v>
      </c>
      <c r="BQ159" s="9"/>
      <c r="DZ159" s="31"/>
      <c r="EB159" s="6">
        <v>0.34</v>
      </c>
      <c r="GP159" s="32"/>
      <c r="GR159" s="9">
        <f>1000*BP159*EB159/100</f>
        <v>0.53380000000000005</v>
      </c>
      <c r="GY159" s="6" t="s">
        <v>338</v>
      </c>
      <c r="GZ159" s="6" t="s">
        <v>654</v>
      </c>
      <c r="HC159" s="6" t="s">
        <v>1847</v>
      </c>
      <c r="HD159" s="8" t="s">
        <v>830</v>
      </c>
      <c r="HE159" s="8">
        <v>24572</v>
      </c>
      <c r="HF159" s="8" t="s">
        <v>1729</v>
      </c>
      <c r="HG159" s="9" t="s">
        <v>538</v>
      </c>
      <c r="IB159" s="4" t="s">
        <v>832</v>
      </c>
      <c r="IC159" s="8">
        <v>16439</v>
      </c>
      <c r="ID159" s="4" t="s">
        <v>833</v>
      </c>
      <c r="IE159" s="4" t="s">
        <v>507</v>
      </c>
      <c r="IF159" s="4" t="s">
        <v>445</v>
      </c>
      <c r="IW159" s="8"/>
      <c r="JB159" s="8"/>
      <c r="JU159" s="7" t="s">
        <v>834</v>
      </c>
      <c r="KG159" s="4" t="s">
        <v>323</v>
      </c>
      <c r="KM159" s="4" t="s">
        <v>471</v>
      </c>
      <c r="KN159" s="4" t="s">
        <v>836</v>
      </c>
      <c r="KP159" s="5" t="s">
        <v>358</v>
      </c>
      <c r="KQ159" s="5" t="s">
        <v>2485</v>
      </c>
      <c r="KS159" s="5" t="s">
        <v>2888</v>
      </c>
      <c r="KT159" s="5" t="s">
        <v>2889</v>
      </c>
    </row>
    <row r="160" spans="1:306" ht="120" x14ac:dyDescent="0.25">
      <c r="A160" s="5" t="s">
        <v>3043</v>
      </c>
      <c r="B160" s="4" t="s">
        <v>455</v>
      </c>
      <c r="C160" s="7" t="s">
        <v>686</v>
      </c>
      <c r="D160" s="7" t="s">
        <v>825</v>
      </c>
      <c r="E160" s="4">
        <v>335512</v>
      </c>
      <c r="G160" s="4" t="s">
        <v>593</v>
      </c>
      <c r="H160" s="6">
        <v>137.15441200000001</v>
      </c>
      <c r="I160" s="6">
        <v>-31.105136000000002</v>
      </c>
      <c r="J160" s="4" t="s">
        <v>3043</v>
      </c>
      <c r="K160" s="4" t="s">
        <v>595</v>
      </c>
      <c r="L160" s="4" t="s">
        <v>689</v>
      </c>
      <c r="O160" s="7"/>
      <c r="Z160" s="4" t="s">
        <v>455</v>
      </c>
      <c r="AA160" s="7" t="s">
        <v>686</v>
      </c>
      <c r="AB160" s="7" t="s">
        <v>825</v>
      </c>
      <c r="AC160" s="4" t="s">
        <v>301</v>
      </c>
      <c r="AD160" s="4" t="s">
        <v>302</v>
      </c>
      <c r="AS160" s="7"/>
      <c r="AT160" s="7"/>
      <c r="BP160" s="7">
        <v>40.200000000000003</v>
      </c>
      <c r="BR160" s="7">
        <v>1.27</v>
      </c>
      <c r="BS160" s="6">
        <v>0.17</v>
      </c>
      <c r="BU160" s="8">
        <v>16.8</v>
      </c>
      <c r="CK160" s="6">
        <v>5.6899999999999999E-2</v>
      </c>
      <c r="DZ160" s="31"/>
      <c r="EB160" s="10"/>
      <c r="EH160" s="10">
        <f>BP160*BR160/100</f>
        <v>0.51053999999999999</v>
      </c>
      <c r="EK160" s="6">
        <f>BP160*BU160/1000</f>
        <v>0.67536000000000018</v>
      </c>
      <c r="EZ160" s="6">
        <f>1000*BP160*CK160/100</f>
        <v>22.873800000000003</v>
      </c>
      <c r="GP160" s="32"/>
      <c r="GY160" s="6" t="s">
        <v>338</v>
      </c>
      <c r="GZ160" s="6" t="s">
        <v>994</v>
      </c>
      <c r="HA160" s="6" t="s">
        <v>929</v>
      </c>
      <c r="HB160" s="6" t="s">
        <v>462</v>
      </c>
      <c r="HC160" s="6" t="s">
        <v>829</v>
      </c>
      <c r="HD160" s="8" t="s">
        <v>3044</v>
      </c>
      <c r="HE160" s="8">
        <v>17814</v>
      </c>
      <c r="HF160" s="8" t="s">
        <v>3045</v>
      </c>
      <c r="HG160" s="9" t="s">
        <v>876</v>
      </c>
      <c r="JX160" s="7" t="s">
        <v>320</v>
      </c>
      <c r="KG160" s="4" t="s">
        <v>323</v>
      </c>
      <c r="KP160" s="5" t="s">
        <v>358</v>
      </c>
      <c r="KQ160" s="5" t="s">
        <v>3046</v>
      </c>
      <c r="KS160" s="5" t="s">
        <v>3047</v>
      </c>
      <c r="KT160" s="5" t="s">
        <v>3048</v>
      </c>
    </row>
    <row r="161" spans="1:306" ht="84" x14ac:dyDescent="0.25">
      <c r="A161" s="5" t="s">
        <v>4188</v>
      </c>
      <c r="B161" s="4" t="s">
        <v>455</v>
      </c>
      <c r="C161" s="7" t="s">
        <v>686</v>
      </c>
      <c r="D161" s="7" t="s">
        <v>825</v>
      </c>
      <c r="E161" s="4">
        <v>804183</v>
      </c>
      <c r="G161" s="4" t="s">
        <v>530</v>
      </c>
      <c r="H161" s="6">
        <v>131.00280940900001</v>
      </c>
      <c r="I161" s="6">
        <v>-12.990130442</v>
      </c>
      <c r="J161" s="4" t="s">
        <v>826</v>
      </c>
      <c r="K161" s="4" t="s">
        <v>481</v>
      </c>
      <c r="L161" s="4" t="s">
        <v>532</v>
      </c>
      <c r="O161" s="7"/>
      <c r="Q161" s="8"/>
      <c r="R161" s="8"/>
      <c r="Z161" s="4" t="s">
        <v>455</v>
      </c>
      <c r="AA161" s="7" t="s">
        <v>686</v>
      </c>
      <c r="AB161" s="7" t="s">
        <v>825</v>
      </c>
      <c r="AC161" s="4" t="s">
        <v>301</v>
      </c>
      <c r="AD161" s="4" t="s">
        <v>375</v>
      </c>
      <c r="AE161" s="8">
        <v>1627</v>
      </c>
      <c r="AF161" s="8"/>
      <c r="AG161" s="9" t="s">
        <v>379</v>
      </c>
      <c r="AH161" s="9" t="s">
        <v>380</v>
      </c>
      <c r="AM161" s="8">
        <v>2</v>
      </c>
      <c r="AN161" s="4" t="s">
        <v>381</v>
      </c>
      <c r="AO161" s="4" t="s">
        <v>402</v>
      </c>
      <c r="AP161" s="4" t="s">
        <v>383</v>
      </c>
      <c r="AQ161" s="7" t="s">
        <v>384</v>
      </c>
      <c r="AR161" s="7" t="s">
        <v>827</v>
      </c>
      <c r="AS161" s="7">
        <v>0</v>
      </c>
      <c r="AT161" s="7">
        <v>0</v>
      </c>
      <c r="AU161" s="9" t="s">
        <v>303</v>
      </c>
      <c r="AV161" s="9" t="s">
        <v>406</v>
      </c>
      <c r="BA161" s="8">
        <v>5</v>
      </c>
      <c r="BP161" s="7">
        <f>0.373+0.36</f>
        <v>0.73299999999999998</v>
      </c>
      <c r="BQ161" s="9"/>
      <c r="BR161" s="6">
        <f>(0.373*2.45+0.36*1.8)/0.733</f>
        <v>2.1307639836289227</v>
      </c>
      <c r="DZ161" s="31"/>
      <c r="EH161" s="10">
        <f>BP161*BR161/100</f>
        <v>1.5618500000000004E-2</v>
      </c>
      <c r="GP161" s="32"/>
      <c r="GY161" s="6" t="s">
        <v>338</v>
      </c>
      <c r="GZ161" s="6" t="s">
        <v>994</v>
      </c>
      <c r="HC161" s="6" t="s">
        <v>1847</v>
      </c>
      <c r="HD161" s="8" t="s">
        <v>830</v>
      </c>
      <c r="HE161" s="8">
        <v>24572</v>
      </c>
      <c r="HF161" s="8" t="s">
        <v>1729</v>
      </c>
      <c r="HG161" s="9" t="s">
        <v>538</v>
      </c>
      <c r="IB161" s="4" t="s">
        <v>832</v>
      </c>
      <c r="IC161" s="8">
        <v>16439</v>
      </c>
      <c r="ID161" s="4" t="s">
        <v>833</v>
      </c>
      <c r="IE161" s="4" t="s">
        <v>507</v>
      </c>
      <c r="IF161" s="4" t="s">
        <v>445</v>
      </c>
      <c r="IW161" s="8"/>
      <c r="JB161" s="8"/>
      <c r="JU161" s="7" t="s">
        <v>834</v>
      </c>
      <c r="KG161" s="4" t="s">
        <v>323</v>
      </c>
      <c r="KM161" s="4" t="s">
        <v>471</v>
      </c>
      <c r="KN161" s="4" t="s">
        <v>836</v>
      </c>
      <c r="KP161" s="5" t="s">
        <v>358</v>
      </c>
      <c r="KQ161" s="5" t="s">
        <v>4189</v>
      </c>
      <c r="KS161" s="5" t="s">
        <v>4190</v>
      </c>
      <c r="KT161" s="5" t="s">
        <v>1517</v>
      </c>
    </row>
    <row r="162" spans="1:306" ht="96" x14ac:dyDescent="0.25">
      <c r="A162" s="5" t="s">
        <v>4411</v>
      </c>
      <c r="B162" s="4" t="s">
        <v>455</v>
      </c>
      <c r="C162" s="7" t="s">
        <v>686</v>
      </c>
      <c r="D162" s="8" t="s">
        <v>825</v>
      </c>
      <c r="E162" s="4">
        <v>351641</v>
      </c>
      <c r="G162" s="4" t="s">
        <v>593</v>
      </c>
      <c r="H162" s="6">
        <v>140.52500000000001</v>
      </c>
      <c r="I162" s="6">
        <v>-31.728999999999999</v>
      </c>
      <c r="J162" s="4" t="s">
        <v>4412</v>
      </c>
      <c r="K162" s="4" t="s">
        <v>595</v>
      </c>
      <c r="L162" s="4" t="s">
        <v>1422</v>
      </c>
      <c r="Q162" s="8"/>
      <c r="R162" s="8"/>
      <c r="Z162" s="4" t="s">
        <v>455</v>
      </c>
      <c r="AA162" s="7" t="s">
        <v>686</v>
      </c>
      <c r="AB162" s="8" t="s">
        <v>825</v>
      </c>
      <c r="AC162" s="4" t="s">
        <v>301</v>
      </c>
      <c r="AD162" s="4" t="s">
        <v>375</v>
      </c>
      <c r="AE162" s="8">
        <v>1592</v>
      </c>
      <c r="AF162" s="8">
        <v>21</v>
      </c>
      <c r="AG162" s="9" t="s">
        <v>379</v>
      </c>
      <c r="AH162" s="9" t="s">
        <v>335</v>
      </c>
      <c r="AI162" s="9" t="s">
        <v>504</v>
      </c>
      <c r="AJ162" s="9" t="s">
        <v>306</v>
      </c>
      <c r="AK162" s="9" t="s">
        <v>307</v>
      </c>
      <c r="AL162" s="9" t="s">
        <v>337</v>
      </c>
      <c r="AM162" s="8">
        <v>4</v>
      </c>
      <c r="AN162" s="4" t="s">
        <v>381</v>
      </c>
      <c r="AO162" s="4" t="s">
        <v>402</v>
      </c>
      <c r="AP162" s="4" t="s">
        <v>383</v>
      </c>
      <c r="AQ162" s="7" t="s">
        <v>384</v>
      </c>
      <c r="AR162" s="8" t="s">
        <v>827</v>
      </c>
      <c r="AS162" s="7">
        <v>0</v>
      </c>
      <c r="AT162" s="7">
        <v>0</v>
      </c>
      <c r="AU162" s="9" t="s">
        <v>379</v>
      </c>
      <c r="AV162" s="9" t="s">
        <v>406</v>
      </c>
      <c r="BA162" s="8">
        <v>5</v>
      </c>
      <c r="BB162" s="4" t="s">
        <v>381</v>
      </c>
      <c r="BC162" s="4" t="s">
        <v>382</v>
      </c>
      <c r="BD162" s="4" t="s">
        <v>383</v>
      </c>
      <c r="BE162" s="7" t="s">
        <v>384</v>
      </c>
      <c r="BF162" s="8" t="s">
        <v>433</v>
      </c>
      <c r="BG162" s="7">
        <v>0</v>
      </c>
      <c r="BH162" s="7">
        <v>0</v>
      </c>
      <c r="BI162" s="9" t="s">
        <v>379</v>
      </c>
      <c r="BJ162" s="9" t="s">
        <v>406</v>
      </c>
      <c r="BO162" s="8">
        <v>5</v>
      </c>
      <c r="BP162" s="7">
        <f>90.2+9.9+21.68+223.8</f>
        <v>345.58000000000004</v>
      </c>
      <c r="BR162" s="7">
        <f>((90.2*0.48)+(9.9*0.45)+(21.68*0)+(223.8*0.49))/BP162</f>
        <v>0.45550379072863012</v>
      </c>
      <c r="BV162" s="7">
        <f>((90.2*0.44)+(9.9*0.39)+(21.68*0.74)+(223.8*0.36))/BP162</f>
        <v>0.40557960530123266</v>
      </c>
      <c r="CK162" s="6">
        <f>23200/(245.48*1000000)*100</f>
        <v>9.4508717614469606E-3</v>
      </c>
      <c r="DZ162" s="31"/>
      <c r="EB162" s="10"/>
      <c r="EH162" s="10">
        <f>BP162*BR162/100</f>
        <v>1.57413</v>
      </c>
      <c r="EL162" s="6">
        <f>BP162*BV162</f>
        <v>140.1602</v>
      </c>
      <c r="EY162" s="6"/>
      <c r="EZ162" s="6">
        <v>23.2</v>
      </c>
      <c r="FA162" s="6"/>
      <c r="GP162" s="32"/>
      <c r="GY162" s="6" t="s">
        <v>338</v>
      </c>
      <c r="GZ162" s="6" t="s">
        <v>1361</v>
      </c>
      <c r="HB162" s="6" t="s">
        <v>929</v>
      </c>
      <c r="HC162" s="6" t="s">
        <v>829</v>
      </c>
      <c r="HD162" s="8" t="s">
        <v>4413</v>
      </c>
      <c r="HE162" s="8">
        <v>70269</v>
      </c>
      <c r="HF162" s="8" t="s">
        <v>4414</v>
      </c>
      <c r="HG162" s="9" t="s">
        <v>538</v>
      </c>
      <c r="HY162" s="9"/>
      <c r="IM162" s="9"/>
      <c r="JU162" s="7" t="s">
        <v>4003</v>
      </c>
      <c r="JV162" s="7" t="s">
        <v>4415</v>
      </c>
      <c r="JX162" s="7" t="s">
        <v>320</v>
      </c>
      <c r="JY162" s="7" t="s">
        <v>354</v>
      </c>
      <c r="JZ162" s="7" t="s">
        <v>353</v>
      </c>
      <c r="KG162" s="4" t="s">
        <v>323</v>
      </c>
      <c r="KP162" s="5" t="s">
        <v>358</v>
      </c>
      <c r="KQ162" s="5" t="s">
        <v>4416</v>
      </c>
      <c r="KR162" s="5" t="s">
        <v>4417</v>
      </c>
      <c r="KS162" s="5" t="s">
        <v>4418</v>
      </c>
      <c r="KT162" s="5" t="s">
        <v>4419</v>
      </c>
    </row>
    <row r="163" spans="1:306" ht="120" x14ac:dyDescent="0.25">
      <c r="A163" s="5" t="s">
        <v>4514</v>
      </c>
      <c r="B163" s="4" t="s">
        <v>383</v>
      </c>
      <c r="C163" s="7" t="s">
        <v>384</v>
      </c>
      <c r="D163" s="8" t="s">
        <v>827</v>
      </c>
      <c r="E163" s="4">
        <v>335014</v>
      </c>
      <c r="G163" s="4" t="s">
        <v>593</v>
      </c>
      <c r="H163" s="6">
        <v>138.9183172418</v>
      </c>
      <c r="I163" s="6">
        <v>-34.351467016900003</v>
      </c>
      <c r="J163" s="4" t="s">
        <v>4514</v>
      </c>
      <c r="K163" s="4" t="s">
        <v>595</v>
      </c>
      <c r="L163" s="4" t="s">
        <v>689</v>
      </c>
      <c r="O163" s="7"/>
      <c r="Z163" s="4" t="s">
        <v>455</v>
      </c>
      <c r="AA163" s="7" t="s">
        <v>686</v>
      </c>
      <c r="AB163" s="7" t="s">
        <v>825</v>
      </c>
      <c r="AC163" s="4" t="s">
        <v>301</v>
      </c>
      <c r="AD163" s="4" t="s">
        <v>382</v>
      </c>
      <c r="AN163" s="4" t="s">
        <v>381</v>
      </c>
      <c r="AO163" s="4" t="s">
        <v>375</v>
      </c>
      <c r="AP163" s="4" t="s">
        <v>383</v>
      </c>
      <c r="AQ163" s="7" t="s">
        <v>384</v>
      </c>
      <c r="AR163" s="8" t="s">
        <v>827</v>
      </c>
      <c r="AS163" s="7">
        <v>0</v>
      </c>
      <c r="AT163" s="7">
        <v>0</v>
      </c>
      <c r="AU163" s="9" t="s">
        <v>303</v>
      </c>
      <c r="AV163" s="9" t="s">
        <v>406</v>
      </c>
      <c r="BA163" s="8">
        <v>5</v>
      </c>
      <c r="BP163" s="7">
        <f>47.4+0.069</f>
        <v>47.469000000000001</v>
      </c>
      <c r="BR163" s="7">
        <f>(47.4*0.25+0.069*29.9)/BP163</f>
        <v>0.29309865385830752</v>
      </c>
      <c r="DZ163" s="31"/>
      <c r="EB163" s="10"/>
      <c r="EH163" s="10">
        <f>BP163*BR163/100</f>
        <v>0.139131</v>
      </c>
      <c r="EK163" s="6"/>
      <c r="GP163" s="32"/>
      <c r="GY163" s="6" t="s">
        <v>338</v>
      </c>
      <c r="GZ163" s="6" t="s">
        <v>994</v>
      </c>
      <c r="HC163" s="6" t="s">
        <v>1847</v>
      </c>
      <c r="HD163" s="8" t="s">
        <v>3044</v>
      </c>
      <c r="HE163" s="8">
        <v>17814</v>
      </c>
      <c r="HF163" s="8" t="s">
        <v>3045</v>
      </c>
      <c r="HG163" s="9" t="s">
        <v>876</v>
      </c>
      <c r="JV163" s="7" t="s">
        <v>4515</v>
      </c>
      <c r="JX163" s="7" t="s">
        <v>320</v>
      </c>
      <c r="JY163" s="7" t="s">
        <v>321</v>
      </c>
      <c r="JZ163" s="7" t="s">
        <v>322</v>
      </c>
      <c r="KG163" s="4" t="s">
        <v>323</v>
      </c>
      <c r="KP163" s="5" t="s">
        <v>358</v>
      </c>
      <c r="KQ163" s="5" t="s">
        <v>4516</v>
      </c>
      <c r="KS163" s="5" t="s">
        <v>4517</v>
      </c>
      <c r="KT163" s="5" t="s">
        <v>4518</v>
      </c>
    </row>
    <row r="164" spans="1:306" ht="84" x14ac:dyDescent="0.25">
      <c r="A164" s="5" t="s">
        <v>4745</v>
      </c>
      <c r="B164" s="4" t="s">
        <v>455</v>
      </c>
      <c r="C164" s="7" t="s">
        <v>686</v>
      </c>
      <c r="D164" s="7" t="s">
        <v>825</v>
      </c>
      <c r="E164" s="4">
        <v>437431</v>
      </c>
      <c r="G164" s="4" t="s">
        <v>530</v>
      </c>
      <c r="H164" s="6">
        <v>130.96213800000001</v>
      </c>
      <c r="I164" s="6">
        <v>-13.19781</v>
      </c>
      <c r="J164" s="4" t="s">
        <v>826</v>
      </c>
      <c r="K164" s="4" t="s">
        <v>481</v>
      </c>
      <c r="L164" s="4" t="s">
        <v>532</v>
      </c>
      <c r="O164" s="7"/>
      <c r="Q164" s="8"/>
      <c r="R164" s="8"/>
      <c r="Z164" s="4" t="s">
        <v>455</v>
      </c>
      <c r="AA164" s="7" t="s">
        <v>686</v>
      </c>
      <c r="AB164" s="7" t="s">
        <v>825</v>
      </c>
      <c r="AC164" s="4" t="s">
        <v>301</v>
      </c>
      <c r="AD164" s="4" t="s">
        <v>375</v>
      </c>
      <c r="AE164" s="8">
        <v>1627</v>
      </c>
      <c r="AF164" s="8">
        <v>45</v>
      </c>
      <c r="AG164" s="9" t="s">
        <v>379</v>
      </c>
      <c r="AH164" s="9" t="s">
        <v>429</v>
      </c>
      <c r="AI164" s="9" t="s">
        <v>1079</v>
      </c>
      <c r="AJ164" s="9" t="s">
        <v>306</v>
      </c>
      <c r="AK164" s="9" t="s">
        <v>864</v>
      </c>
      <c r="AM164" s="8">
        <v>3</v>
      </c>
      <c r="AN164" s="4" t="s">
        <v>381</v>
      </c>
      <c r="AO164" s="4" t="s">
        <v>402</v>
      </c>
      <c r="AP164" s="4" t="s">
        <v>383</v>
      </c>
      <c r="AQ164" s="7" t="s">
        <v>384</v>
      </c>
      <c r="AR164" s="8" t="s">
        <v>711</v>
      </c>
      <c r="AS164" s="7">
        <v>0</v>
      </c>
      <c r="AT164" s="7">
        <v>0</v>
      </c>
      <c r="AU164" s="9" t="s">
        <v>303</v>
      </c>
      <c r="AV164" s="9" t="s">
        <v>406</v>
      </c>
      <c r="BA164" s="8">
        <v>5</v>
      </c>
      <c r="DZ164" s="31"/>
      <c r="EY164" s="6"/>
      <c r="FA164" s="6"/>
      <c r="GP164" s="32"/>
      <c r="GY164" s="6" t="s">
        <v>407</v>
      </c>
      <c r="HD164" s="8" t="s">
        <v>4746</v>
      </c>
      <c r="HE164" s="8">
        <v>42256</v>
      </c>
      <c r="HF164" s="8" t="s">
        <v>4747</v>
      </c>
      <c r="HG164" s="9" t="s">
        <v>538</v>
      </c>
      <c r="HY164" s="9"/>
      <c r="IB164" s="4" t="s">
        <v>832</v>
      </c>
      <c r="IC164" s="8">
        <v>16439</v>
      </c>
      <c r="ID164" s="4" t="s">
        <v>833</v>
      </c>
      <c r="IE164" s="4" t="s">
        <v>507</v>
      </c>
      <c r="IF164" s="4" t="s">
        <v>445</v>
      </c>
      <c r="IW164" s="8"/>
      <c r="JB164" s="8"/>
      <c r="JU164" s="7" t="s">
        <v>834</v>
      </c>
      <c r="JV164" s="7" t="s">
        <v>783</v>
      </c>
      <c r="JX164" s="7" t="s">
        <v>320</v>
      </c>
      <c r="KG164" s="4" t="s">
        <v>323</v>
      </c>
      <c r="KM164" s="4" t="s">
        <v>471</v>
      </c>
      <c r="KN164" s="4" t="s">
        <v>836</v>
      </c>
      <c r="KP164" s="5" t="s">
        <v>358</v>
      </c>
      <c r="KQ164" s="5" t="s">
        <v>4748</v>
      </c>
      <c r="KT164" s="5" t="s">
        <v>4749</v>
      </c>
    </row>
    <row r="165" spans="1:306" ht="48" x14ac:dyDescent="0.25">
      <c r="A165" s="5" t="s">
        <v>5031</v>
      </c>
      <c r="B165" s="4" t="s">
        <v>455</v>
      </c>
      <c r="C165" s="7" t="s">
        <v>686</v>
      </c>
      <c r="D165" s="8" t="s">
        <v>825</v>
      </c>
      <c r="E165" s="4">
        <v>335631</v>
      </c>
      <c r="G165" s="4" t="s">
        <v>330</v>
      </c>
      <c r="H165" s="6">
        <v>122.31278500000001</v>
      </c>
      <c r="I165" s="6">
        <v>-22.200445999999999</v>
      </c>
      <c r="J165" s="4" t="s">
        <v>5031</v>
      </c>
      <c r="K165" s="4" t="s">
        <v>1918</v>
      </c>
      <c r="L165" s="4" t="s">
        <v>580</v>
      </c>
      <c r="M165" s="4" t="s">
        <v>1919</v>
      </c>
      <c r="Q165" s="8"/>
      <c r="R165" s="8"/>
      <c r="S165" s="4"/>
      <c r="T165" s="4"/>
      <c r="U165" s="4"/>
      <c r="V165" s="4"/>
      <c r="W165" s="4"/>
      <c r="Z165" s="4" t="s">
        <v>455</v>
      </c>
      <c r="AA165" s="7" t="s">
        <v>686</v>
      </c>
      <c r="AB165" s="8" t="s">
        <v>825</v>
      </c>
      <c r="AC165" s="4" t="s">
        <v>301</v>
      </c>
      <c r="AD165" s="4" t="s">
        <v>375</v>
      </c>
      <c r="AE165" s="8">
        <v>822</v>
      </c>
      <c r="AF165" s="8"/>
      <c r="AG165" s="4" t="s">
        <v>379</v>
      </c>
      <c r="AH165" s="4" t="s">
        <v>1156</v>
      </c>
      <c r="AI165" s="4"/>
      <c r="AJ165" s="4"/>
      <c r="AK165" s="4"/>
      <c r="AM165" s="8">
        <v>2</v>
      </c>
      <c r="AN165" s="4" t="s">
        <v>381</v>
      </c>
      <c r="AO165" s="4" t="s">
        <v>382</v>
      </c>
      <c r="AP165" s="4" t="s">
        <v>383</v>
      </c>
      <c r="AQ165" s="7" t="s">
        <v>384</v>
      </c>
      <c r="AR165" s="8" t="s">
        <v>827</v>
      </c>
      <c r="AS165" s="7">
        <v>0</v>
      </c>
      <c r="AT165" s="7">
        <v>0</v>
      </c>
      <c r="AU165" s="9" t="s">
        <v>303</v>
      </c>
      <c r="AV165" s="9" t="s">
        <v>406</v>
      </c>
      <c r="BA165" s="8">
        <v>5</v>
      </c>
      <c r="BF165" s="7"/>
      <c r="BG165" s="7"/>
      <c r="BH165" s="7"/>
      <c r="BP165" s="7">
        <v>48.63</v>
      </c>
      <c r="BQ165" s="7"/>
      <c r="BR165" s="7">
        <v>1</v>
      </c>
      <c r="CK165" s="9">
        <v>3.7999999999999999E-2</v>
      </c>
      <c r="DZ165" s="31"/>
      <c r="EH165" s="10">
        <f t="shared" ref="EH165:EH171" si="11">BP165*BR165/100</f>
        <v>0.48630000000000001</v>
      </c>
      <c r="EZ165" s="6">
        <f>1000*BP165*CK165/100</f>
        <v>18.479400000000002</v>
      </c>
      <c r="FA165" s="6"/>
      <c r="GP165" s="32"/>
      <c r="GY165" s="6" t="s">
        <v>338</v>
      </c>
      <c r="GZ165" s="6" t="s">
        <v>994</v>
      </c>
      <c r="HA165" s="6" t="s">
        <v>929</v>
      </c>
      <c r="HC165" s="6" t="s">
        <v>829</v>
      </c>
      <c r="HD165" s="8" t="s">
        <v>5032</v>
      </c>
      <c r="HE165" s="8">
        <v>2592</v>
      </c>
      <c r="HF165" s="8" t="s">
        <v>5033</v>
      </c>
      <c r="HG165" s="9" t="s">
        <v>876</v>
      </c>
      <c r="IM165" s="9"/>
      <c r="IR165" s="9"/>
      <c r="JV165" s="7" t="s">
        <v>5034</v>
      </c>
      <c r="JW165" s="7" t="s">
        <v>1490</v>
      </c>
      <c r="JX165" s="7" t="s">
        <v>320</v>
      </c>
      <c r="JY165" s="7" t="s">
        <v>354</v>
      </c>
      <c r="JZ165" s="7" t="s">
        <v>322</v>
      </c>
      <c r="KG165" s="4" t="s">
        <v>323</v>
      </c>
      <c r="KM165" s="4" t="s">
        <v>391</v>
      </c>
      <c r="KN165" s="4" t="s">
        <v>391</v>
      </c>
      <c r="KP165" s="5" t="s">
        <v>358</v>
      </c>
      <c r="KQ165" s="5" t="s">
        <v>5035</v>
      </c>
      <c r="KR165" s="5" t="s">
        <v>5036</v>
      </c>
      <c r="KS165" s="5" t="s">
        <v>5037</v>
      </c>
      <c r="KT165" s="5" t="s">
        <v>5038</v>
      </c>
    </row>
    <row r="166" spans="1:306" ht="120" x14ac:dyDescent="0.25">
      <c r="A166" s="5" t="s">
        <v>5495</v>
      </c>
      <c r="B166" s="4" t="s">
        <v>383</v>
      </c>
      <c r="C166" s="7" t="s">
        <v>384</v>
      </c>
      <c r="D166" s="8" t="s">
        <v>827</v>
      </c>
      <c r="E166" s="4">
        <v>333725</v>
      </c>
      <c r="G166" s="4" t="s">
        <v>593</v>
      </c>
      <c r="H166" s="6">
        <v>138.51794845270001</v>
      </c>
      <c r="I166" s="6">
        <v>-30.512266477499999</v>
      </c>
      <c r="J166" s="4" t="s">
        <v>5496</v>
      </c>
      <c r="K166" s="4" t="s">
        <v>595</v>
      </c>
      <c r="L166" s="4" t="s">
        <v>689</v>
      </c>
      <c r="O166" s="7"/>
      <c r="Z166" s="4" t="s">
        <v>455</v>
      </c>
      <c r="AA166" s="7" t="s">
        <v>686</v>
      </c>
      <c r="AB166" s="7" t="s">
        <v>825</v>
      </c>
      <c r="AC166" s="4" t="s">
        <v>301</v>
      </c>
      <c r="AD166" s="4" t="s">
        <v>371</v>
      </c>
      <c r="AN166" s="4" t="s">
        <v>381</v>
      </c>
      <c r="AO166" s="4" t="s">
        <v>302</v>
      </c>
      <c r="AP166" s="4" t="s">
        <v>383</v>
      </c>
      <c r="AQ166" s="7" t="s">
        <v>384</v>
      </c>
      <c r="AR166" s="8" t="s">
        <v>827</v>
      </c>
      <c r="AS166" s="7">
        <v>0</v>
      </c>
      <c r="AT166" s="7">
        <v>0</v>
      </c>
      <c r="AU166" s="9" t="s">
        <v>303</v>
      </c>
      <c r="AV166" s="9" t="s">
        <v>406</v>
      </c>
      <c r="BA166" s="8">
        <v>5</v>
      </c>
      <c r="BP166" s="7">
        <f>2+0.12</f>
        <v>2.12</v>
      </c>
      <c r="BR166" s="6">
        <f>(2*0.9+0.12*0.97)/(2+0.12)</f>
        <v>0.90396226415094338</v>
      </c>
      <c r="DZ166" s="31"/>
      <c r="EB166" s="10"/>
      <c r="EH166" s="10">
        <f t="shared" si="11"/>
        <v>1.9164E-2</v>
      </c>
      <c r="EK166" s="6"/>
      <c r="GP166" s="32"/>
      <c r="GY166" s="6" t="s">
        <v>309</v>
      </c>
      <c r="GZ166" s="6" t="s">
        <v>994</v>
      </c>
      <c r="HC166" s="6" t="s">
        <v>1847</v>
      </c>
      <c r="HD166" s="8" t="s">
        <v>3044</v>
      </c>
      <c r="HE166" s="8">
        <v>17814</v>
      </c>
      <c r="HF166" s="8" t="s">
        <v>3045</v>
      </c>
      <c r="HG166" s="9" t="s">
        <v>876</v>
      </c>
      <c r="KG166" s="4" t="s">
        <v>323</v>
      </c>
      <c r="KP166" s="5" t="s">
        <v>358</v>
      </c>
      <c r="KQ166" s="5" t="s">
        <v>5497</v>
      </c>
      <c r="KS166" s="5" t="s">
        <v>1516</v>
      </c>
      <c r="KT166" s="5" t="s">
        <v>5498</v>
      </c>
    </row>
    <row r="167" spans="1:306" ht="84" x14ac:dyDescent="0.25">
      <c r="A167" s="5" t="s">
        <v>5573</v>
      </c>
      <c r="B167" s="4" t="s">
        <v>455</v>
      </c>
      <c r="C167" s="7" t="s">
        <v>686</v>
      </c>
      <c r="D167" s="7" t="s">
        <v>825</v>
      </c>
      <c r="E167" s="4">
        <v>334818</v>
      </c>
      <c r="G167" s="4" t="s">
        <v>530</v>
      </c>
      <c r="H167" s="6">
        <v>130.94999999999999</v>
      </c>
      <c r="I167" s="6">
        <v>-12.95</v>
      </c>
      <c r="J167" s="4" t="s">
        <v>826</v>
      </c>
      <c r="K167" s="4" t="s">
        <v>481</v>
      </c>
      <c r="L167" s="4" t="s">
        <v>532</v>
      </c>
      <c r="O167" s="7"/>
      <c r="Q167" s="8"/>
      <c r="R167" s="8"/>
      <c r="Z167" s="4" t="s">
        <v>455</v>
      </c>
      <c r="AA167" s="7" t="s">
        <v>686</v>
      </c>
      <c r="AB167" s="7" t="s">
        <v>825</v>
      </c>
      <c r="AC167" s="4" t="s">
        <v>301</v>
      </c>
      <c r="AD167" s="4" t="s">
        <v>375</v>
      </c>
      <c r="AE167" s="8">
        <v>1627</v>
      </c>
      <c r="AF167" s="8"/>
      <c r="AG167" s="9" t="s">
        <v>379</v>
      </c>
      <c r="AH167" s="9" t="s">
        <v>380</v>
      </c>
      <c r="AM167" s="8">
        <v>2</v>
      </c>
      <c r="AN167" s="4" t="s">
        <v>381</v>
      </c>
      <c r="AO167" s="4" t="s">
        <v>382</v>
      </c>
      <c r="AP167" s="4" t="s">
        <v>383</v>
      </c>
      <c r="AQ167" s="7" t="s">
        <v>384</v>
      </c>
      <c r="AR167" s="7" t="s">
        <v>827</v>
      </c>
      <c r="AS167" s="7">
        <v>0</v>
      </c>
      <c r="AT167" s="7">
        <v>0</v>
      </c>
      <c r="AU167" s="9" t="s">
        <v>303</v>
      </c>
      <c r="AV167" s="9" t="s">
        <v>406</v>
      </c>
      <c r="BA167" s="8">
        <v>5</v>
      </c>
      <c r="BP167" s="7">
        <f>1.3+18.3</f>
        <v>19.600000000000001</v>
      </c>
      <c r="BQ167" s="7"/>
      <c r="BR167" s="9">
        <f>(0.62*1.3+0*18.3)/(1.3+18.3)</f>
        <v>4.1122448979591837E-2</v>
      </c>
      <c r="CK167" s="9">
        <f>(0.21*1.3+0*18.3)/(1.3+18.3)</f>
        <v>1.3928571428571429E-2</v>
      </c>
      <c r="CL167" s="9">
        <f>(0.2*1.3+0*18.3)/(1.3+18.3)</f>
        <v>1.3265306122448979E-2</v>
      </c>
      <c r="DZ167" s="31"/>
      <c r="EB167" s="9">
        <f>(0*1.3+0.036*18.3)/(1.3+18.3)</f>
        <v>3.3612244897959179E-2</v>
      </c>
      <c r="EH167" s="10">
        <f t="shared" si="11"/>
        <v>8.0600000000000012E-3</v>
      </c>
      <c r="EZ167" s="6">
        <f>1000*BP167*CK167/100</f>
        <v>2.73</v>
      </c>
      <c r="FA167" s="9">
        <f>BP167*CL167/100</f>
        <v>2.5999999999999999E-3</v>
      </c>
      <c r="GP167" s="32"/>
      <c r="GR167" s="6">
        <f>1000*BP167*EB167/100</f>
        <v>6.5879999999999992</v>
      </c>
      <c r="GY167" s="6" t="s">
        <v>338</v>
      </c>
      <c r="GZ167" s="6" t="s">
        <v>654</v>
      </c>
      <c r="HB167" s="6" t="s">
        <v>5574</v>
      </c>
      <c r="HC167" s="6" t="s">
        <v>829</v>
      </c>
      <c r="HD167" s="8" t="s">
        <v>830</v>
      </c>
      <c r="HE167" s="8">
        <v>24572</v>
      </c>
      <c r="HF167" s="8" t="s">
        <v>1729</v>
      </c>
      <c r="HG167" s="9" t="s">
        <v>538</v>
      </c>
      <c r="IB167" s="4" t="s">
        <v>832</v>
      </c>
      <c r="IC167" s="8">
        <v>16439</v>
      </c>
      <c r="ID167" s="4" t="s">
        <v>833</v>
      </c>
      <c r="IE167" s="4" t="s">
        <v>507</v>
      </c>
      <c r="IF167" s="4" t="s">
        <v>445</v>
      </c>
      <c r="IW167" s="8"/>
      <c r="JB167" s="8"/>
      <c r="JU167" s="7" t="s">
        <v>834</v>
      </c>
      <c r="KG167" s="4" t="s">
        <v>323</v>
      </c>
      <c r="KM167" s="4" t="s">
        <v>471</v>
      </c>
      <c r="KN167" s="4" t="s">
        <v>836</v>
      </c>
      <c r="KP167" s="5" t="s">
        <v>358</v>
      </c>
      <c r="KQ167" s="5" t="s">
        <v>5575</v>
      </c>
      <c r="KS167" s="5" t="s">
        <v>838</v>
      </c>
      <c r="KT167" s="5" t="s">
        <v>5576</v>
      </c>
    </row>
    <row r="168" spans="1:306" ht="132" x14ac:dyDescent="0.25">
      <c r="A168" s="5" t="s">
        <v>5639</v>
      </c>
      <c r="B168" s="4" t="s">
        <v>455</v>
      </c>
      <c r="C168" s="7" t="s">
        <v>686</v>
      </c>
      <c r="D168" s="7" t="s">
        <v>825</v>
      </c>
      <c r="E168" s="4">
        <v>333290</v>
      </c>
      <c r="G168" s="4" t="s">
        <v>593</v>
      </c>
      <c r="H168" s="6">
        <v>137.17200500000001</v>
      </c>
      <c r="I168" s="6">
        <v>-31.449940999999999</v>
      </c>
      <c r="J168" s="4" t="s">
        <v>5640</v>
      </c>
      <c r="K168" s="4" t="s">
        <v>595</v>
      </c>
      <c r="L168" s="4" t="s">
        <v>689</v>
      </c>
      <c r="O168" s="7"/>
      <c r="Z168" s="4" t="s">
        <v>455</v>
      </c>
      <c r="AA168" s="7" t="s">
        <v>686</v>
      </c>
      <c r="AB168" s="7" t="s">
        <v>825</v>
      </c>
      <c r="AC168" s="4" t="s">
        <v>301</v>
      </c>
      <c r="AD168" s="4" t="s">
        <v>375</v>
      </c>
      <c r="AN168" s="4" t="s">
        <v>381</v>
      </c>
      <c r="AO168" s="4" t="s">
        <v>382</v>
      </c>
      <c r="AP168" s="4" t="s">
        <v>383</v>
      </c>
      <c r="AQ168" s="7" t="s">
        <v>384</v>
      </c>
      <c r="AR168" s="8" t="s">
        <v>827</v>
      </c>
      <c r="AS168" s="7">
        <v>0</v>
      </c>
      <c r="AT168" s="7">
        <v>0</v>
      </c>
      <c r="AU168" s="9" t="s">
        <v>303</v>
      </c>
      <c r="AV168" s="9" t="s">
        <v>406</v>
      </c>
      <c r="BA168" s="8">
        <v>5</v>
      </c>
      <c r="BP168" s="7">
        <f>7.5+0.7+0.032+0.234+7.2+1.83+17.67</f>
        <v>35.166000000000004</v>
      </c>
      <c r="BR168" s="6">
        <f>((7.5*1.9)+(0.7*1.7)+(0.032*3.5)+(0.234*0.79)+(7.2*0.14)+(1.83*1.24)+(17.67*0.77))/BP168</f>
        <v>0.9275993857703464</v>
      </c>
      <c r="BU168" s="8">
        <f>((7.5*8.3)+(0.7*10)+(0.032*12)+(0.234*12)+(7.2*0)+(1.83*14)+(17.67*8))/BP168</f>
        <v>6.8083375988170394</v>
      </c>
      <c r="CK168" s="6">
        <f>((7.5*0)+(0.7*0)+(0.032*0)+(0.234*0)+(7.2*0.01)+(1.83*0.0334)+(17.67*0.0492))/BP168</f>
        <v>2.8507251322299951E-2</v>
      </c>
      <c r="DZ168" s="31"/>
      <c r="EB168" s="10"/>
      <c r="EH168" s="10">
        <f t="shared" si="11"/>
        <v>0.32619960000000003</v>
      </c>
      <c r="EK168" s="6">
        <f>BP168*BU168/1000</f>
        <v>0.23942200000000002</v>
      </c>
      <c r="EZ168" s="6">
        <f>1000*BP168*CK168/100</f>
        <v>10.024860000000004</v>
      </c>
      <c r="GP168" s="32"/>
      <c r="GY168" s="6" t="s">
        <v>338</v>
      </c>
      <c r="GZ168" s="6" t="s">
        <v>994</v>
      </c>
      <c r="HA168" s="6" t="s">
        <v>929</v>
      </c>
      <c r="HB168" s="6" t="s">
        <v>462</v>
      </c>
      <c r="HC168" s="6" t="s">
        <v>829</v>
      </c>
      <c r="HD168" s="8" t="s">
        <v>3044</v>
      </c>
      <c r="HE168" s="8">
        <v>17814</v>
      </c>
      <c r="HF168" s="8" t="s">
        <v>3045</v>
      </c>
      <c r="HG168" s="9" t="s">
        <v>876</v>
      </c>
      <c r="HH168" s="9" t="s">
        <v>5641</v>
      </c>
      <c r="HI168" s="8">
        <v>19942</v>
      </c>
      <c r="HJ168" s="9" t="s">
        <v>5642</v>
      </c>
      <c r="HK168" s="9" t="s">
        <v>876</v>
      </c>
      <c r="HL168" s="9" t="s">
        <v>5643</v>
      </c>
      <c r="HM168" s="8">
        <v>14818</v>
      </c>
      <c r="HN168" s="8" t="s">
        <v>5644</v>
      </c>
      <c r="HO168" s="9" t="s">
        <v>349</v>
      </c>
      <c r="JX168" s="7" t="s">
        <v>320</v>
      </c>
      <c r="KG168" s="4" t="s">
        <v>323</v>
      </c>
      <c r="KP168" s="5" t="s">
        <v>358</v>
      </c>
      <c r="KQ168" s="5" t="s">
        <v>3046</v>
      </c>
      <c r="KS168" s="5" t="s">
        <v>5645</v>
      </c>
      <c r="KT168" s="5" t="s">
        <v>5646</v>
      </c>
    </row>
    <row r="169" spans="1:306" ht="120" x14ac:dyDescent="0.25">
      <c r="A169" s="5" t="s">
        <v>5956</v>
      </c>
      <c r="B169" s="4" t="s">
        <v>455</v>
      </c>
      <c r="C169" s="7" t="s">
        <v>686</v>
      </c>
      <c r="D169" s="8" t="s">
        <v>825</v>
      </c>
      <c r="E169" s="4">
        <v>435968</v>
      </c>
      <c r="G169" s="4" t="s">
        <v>479</v>
      </c>
      <c r="H169" s="6">
        <v>139.88876500000001</v>
      </c>
      <c r="I169" s="6">
        <v>-19.771708</v>
      </c>
      <c r="J169" s="4" t="s">
        <v>5956</v>
      </c>
      <c r="K169" s="4" t="s">
        <v>481</v>
      </c>
      <c r="L169" s="4" t="s">
        <v>651</v>
      </c>
      <c r="M169" s="4" t="s">
        <v>1972</v>
      </c>
      <c r="Q169" s="8"/>
      <c r="R169" s="8"/>
      <c r="S169" s="4"/>
      <c r="Z169" s="4" t="s">
        <v>455</v>
      </c>
      <c r="AA169" s="7" t="s">
        <v>686</v>
      </c>
      <c r="AB169" s="8" t="s">
        <v>825</v>
      </c>
      <c r="AC169" s="4" t="s">
        <v>301</v>
      </c>
      <c r="AD169" s="4" t="s">
        <v>382</v>
      </c>
      <c r="AE169" s="8">
        <v>1688</v>
      </c>
      <c r="AF169" s="8">
        <v>5</v>
      </c>
      <c r="AG169" s="4" t="s">
        <v>379</v>
      </c>
      <c r="AH169" s="9" t="s">
        <v>372</v>
      </c>
      <c r="AM169" s="8">
        <v>2</v>
      </c>
      <c r="AN169" s="4" t="s">
        <v>381</v>
      </c>
      <c r="AO169" s="4" t="s">
        <v>382</v>
      </c>
      <c r="AP169" s="4" t="s">
        <v>383</v>
      </c>
      <c r="AQ169" s="7" t="s">
        <v>384</v>
      </c>
      <c r="AR169" s="8" t="s">
        <v>827</v>
      </c>
      <c r="AS169" s="7">
        <v>0</v>
      </c>
      <c r="AT169" s="7">
        <v>0</v>
      </c>
      <c r="AU169" s="9" t="s">
        <v>303</v>
      </c>
      <c r="AV169" s="9" t="s">
        <v>406</v>
      </c>
      <c r="BA169" s="8">
        <v>5</v>
      </c>
      <c r="BG169" s="7"/>
      <c r="BH169" s="7"/>
      <c r="BP169" s="7">
        <v>11.6</v>
      </c>
      <c r="BR169" s="6">
        <v>0.75</v>
      </c>
      <c r="DZ169" s="31"/>
      <c r="EH169" s="10">
        <f t="shared" si="11"/>
        <v>8.6999999999999994E-2</v>
      </c>
      <c r="EY169" s="6"/>
      <c r="FA169" s="6"/>
      <c r="GP169" s="32"/>
      <c r="GY169" s="6" t="s">
        <v>338</v>
      </c>
      <c r="GZ169" s="6" t="s">
        <v>994</v>
      </c>
      <c r="HC169" s="6" t="s">
        <v>1847</v>
      </c>
      <c r="HD169" s="8" t="s">
        <v>5957</v>
      </c>
      <c r="HE169" s="8">
        <v>17511</v>
      </c>
      <c r="HF169" s="8" t="s">
        <v>5958</v>
      </c>
      <c r="HG169" s="4" t="s">
        <v>490</v>
      </c>
      <c r="HY169" s="9"/>
      <c r="IR169" s="9"/>
      <c r="JX169" s="7" t="s">
        <v>320</v>
      </c>
      <c r="KG169" s="4" t="s">
        <v>323</v>
      </c>
      <c r="KM169" s="4" t="s">
        <v>471</v>
      </c>
      <c r="KN169" s="4" t="s">
        <v>471</v>
      </c>
      <c r="KP169" s="5" t="s">
        <v>358</v>
      </c>
      <c r="KQ169" s="5" t="s">
        <v>5959</v>
      </c>
      <c r="KR169" s="5" t="s">
        <v>5960</v>
      </c>
      <c r="KT169" s="5" t="s">
        <v>5961</v>
      </c>
    </row>
    <row r="170" spans="1:306" ht="180" x14ac:dyDescent="0.2">
      <c r="A170" s="14" t="s">
        <v>6077</v>
      </c>
      <c r="B170" s="29" t="s">
        <v>455</v>
      </c>
      <c r="C170" s="30" t="s">
        <v>686</v>
      </c>
      <c r="D170" s="26" t="s">
        <v>825</v>
      </c>
      <c r="E170" s="44">
        <v>859620</v>
      </c>
      <c r="F170" s="29">
        <v>625223</v>
      </c>
      <c r="G170" s="29" t="s">
        <v>296</v>
      </c>
      <c r="H170" s="31">
        <v>144.904878161</v>
      </c>
      <c r="I170" s="31">
        <v>-41.26705303</v>
      </c>
      <c r="J170" s="29" t="s">
        <v>6078</v>
      </c>
      <c r="K170" s="29" t="s">
        <v>298</v>
      </c>
      <c r="L170" s="29" t="s">
        <v>400</v>
      </c>
      <c r="M170" s="29" t="s">
        <v>401</v>
      </c>
      <c r="N170" s="29"/>
      <c r="O170" s="26"/>
      <c r="P170" s="29"/>
      <c r="Q170" s="30"/>
      <c r="R170" s="30"/>
      <c r="S170" s="29"/>
      <c r="T170" s="27"/>
      <c r="U170" s="29"/>
      <c r="V170" s="29"/>
      <c r="W170" s="29"/>
      <c r="X170" s="29"/>
      <c r="Y170" s="26"/>
      <c r="Z170" s="29" t="s">
        <v>455</v>
      </c>
      <c r="AA170" s="30" t="s">
        <v>686</v>
      </c>
      <c r="AB170" s="26" t="s">
        <v>825</v>
      </c>
      <c r="AC170" s="29" t="s">
        <v>301</v>
      </c>
      <c r="AD170" s="29" t="s">
        <v>375</v>
      </c>
      <c r="AE170" s="30"/>
      <c r="AF170" s="30"/>
      <c r="AG170" s="29"/>
      <c r="AH170" s="27"/>
      <c r="AI170" s="29"/>
      <c r="AJ170" s="29"/>
      <c r="AK170" s="29"/>
      <c r="AL170" s="29"/>
      <c r="AM170" s="26">
        <v>4</v>
      </c>
      <c r="AN170" s="29" t="s">
        <v>381</v>
      </c>
      <c r="AO170" s="29" t="s">
        <v>382</v>
      </c>
      <c r="AP170" s="29" t="s">
        <v>383</v>
      </c>
      <c r="AQ170" s="30" t="s">
        <v>384</v>
      </c>
      <c r="AR170" s="26" t="s">
        <v>827</v>
      </c>
      <c r="AS170" s="30">
        <v>0</v>
      </c>
      <c r="AT170" s="30">
        <v>0</v>
      </c>
      <c r="AU170" s="27" t="s">
        <v>303</v>
      </c>
      <c r="AV170" s="27" t="s">
        <v>406</v>
      </c>
      <c r="AW170" s="27"/>
      <c r="AX170" s="27"/>
      <c r="AY170" s="27"/>
      <c r="AZ170" s="27"/>
      <c r="BA170" s="26">
        <v>5</v>
      </c>
      <c r="BB170" s="29"/>
      <c r="BC170" s="29"/>
      <c r="BD170" s="29"/>
      <c r="BE170" s="30"/>
      <c r="BF170" s="26"/>
      <c r="BG170" s="27"/>
      <c r="BH170" s="27"/>
      <c r="BI170" s="27"/>
      <c r="BJ170" s="27"/>
      <c r="BK170" s="27"/>
      <c r="BL170" s="27"/>
      <c r="BM170" s="27"/>
      <c r="BN170" s="27"/>
      <c r="BO170" s="26"/>
      <c r="BP170" s="30">
        <v>0.5</v>
      </c>
      <c r="BQ170" s="30"/>
      <c r="BR170" s="30">
        <v>0.8</v>
      </c>
      <c r="BS170" s="30"/>
      <c r="BT170" s="30"/>
      <c r="BU170" s="26"/>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1"/>
      <c r="EA170" s="30"/>
      <c r="EB170" s="30"/>
      <c r="EC170" s="30"/>
      <c r="ED170" s="30"/>
      <c r="EE170" s="30"/>
      <c r="EF170" s="30"/>
      <c r="EG170" s="30"/>
      <c r="EH170" s="32">
        <f t="shared" si="11"/>
        <v>4.0000000000000001E-3</v>
      </c>
      <c r="EI170" s="32"/>
      <c r="EJ170" s="32"/>
      <c r="EK170" s="31"/>
      <c r="EL170" s="31"/>
      <c r="EM170" s="31"/>
      <c r="EN170" s="31"/>
      <c r="EO170" s="31"/>
      <c r="EP170" s="31"/>
      <c r="EQ170" s="31"/>
      <c r="ER170" s="31"/>
      <c r="ES170" s="31"/>
      <c r="ET170" s="31"/>
      <c r="EU170" s="31"/>
      <c r="EV170" s="31"/>
      <c r="EW170" s="31"/>
      <c r="EX170" s="31"/>
      <c r="EY170" s="31"/>
      <c r="EZ170" s="31"/>
      <c r="FA170" s="31"/>
      <c r="FB170" s="31"/>
      <c r="FC170" s="31"/>
      <c r="FD170" s="31"/>
      <c r="FE170" s="31"/>
      <c r="FF170" s="31"/>
      <c r="FG170" s="31"/>
      <c r="FH170" s="31"/>
      <c r="FI170" s="31"/>
      <c r="FJ170" s="31"/>
      <c r="FK170" s="31"/>
      <c r="FL170" s="31"/>
      <c r="FM170" s="31"/>
      <c r="FN170" s="31"/>
      <c r="FO170" s="31"/>
      <c r="FP170" s="31"/>
      <c r="FQ170" s="31"/>
      <c r="FR170" s="31"/>
      <c r="FS170" s="31"/>
      <c r="FT170" s="31"/>
      <c r="FU170" s="31"/>
      <c r="FV170" s="31"/>
      <c r="FW170" s="31"/>
      <c r="FX170" s="31"/>
      <c r="FY170" s="31"/>
      <c r="FZ170" s="31"/>
      <c r="GA170" s="31"/>
      <c r="GB170" s="31"/>
      <c r="GC170" s="31"/>
      <c r="GD170" s="31"/>
      <c r="GE170" s="31"/>
      <c r="GF170" s="31"/>
      <c r="GG170" s="31"/>
      <c r="GH170" s="31"/>
      <c r="GI170" s="31"/>
      <c r="GJ170" s="31"/>
      <c r="GK170" s="31"/>
      <c r="GL170" s="31"/>
      <c r="GM170" s="31"/>
      <c r="GN170" s="31"/>
      <c r="GO170" s="31"/>
      <c r="GP170" s="32"/>
      <c r="GQ170" s="31"/>
      <c r="GR170" s="31"/>
      <c r="GS170" s="31"/>
      <c r="GT170" s="31"/>
      <c r="GU170" s="31"/>
      <c r="GV170" s="31"/>
      <c r="GW170" s="31"/>
      <c r="GX170" s="31"/>
      <c r="GY170" s="31" t="s">
        <v>309</v>
      </c>
      <c r="GZ170" s="31" t="s">
        <v>994</v>
      </c>
      <c r="HA170" s="31"/>
      <c r="HB170" s="31"/>
      <c r="HC170" s="31" t="s">
        <v>1847</v>
      </c>
      <c r="HD170" s="30" t="s">
        <v>6079</v>
      </c>
      <c r="HE170" s="26">
        <v>40970</v>
      </c>
      <c r="HF170" s="30" t="s">
        <v>6080</v>
      </c>
      <c r="HG170" s="30" t="s">
        <v>6081</v>
      </c>
      <c r="HH170" s="30"/>
      <c r="HI170" s="26"/>
      <c r="HJ170" s="30"/>
      <c r="HK170" s="30"/>
      <c r="HL170" s="30"/>
      <c r="HM170" s="26"/>
      <c r="HN170" s="30"/>
      <c r="HO170" s="30"/>
      <c r="HP170" s="30"/>
      <c r="HQ170" s="30"/>
      <c r="HR170" s="30"/>
      <c r="HS170" s="30"/>
      <c r="HT170" s="30"/>
      <c r="HU170" s="30"/>
      <c r="HV170" s="30"/>
      <c r="HW170" s="30"/>
      <c r="HX170" s="30"/>
      <c r="HY170" s="30"/>
      <c r="HZ170" s="30"/>
      <c r="IA170" s="30"/>
      <c r="IB170" s="30" t="s">
        <v>6082</v>
      </c>
      <c r="IC170" s="26">
        <v>8743</v>
      </c>
      <c r="ID170" s="30" t="s">
        <v>6083</v>
      </c>
      <c r="IE170" s="30" t="s">
        <v>318</v>
      </c>
      <c r="IF170" s="30" t="s">
        <v>329</v>
      </c>
      <c r="IG170" s="30"/>
      <c r="IH170" s="30"/>
      <c r="II170" s="30"/>
      <c r="IJ170" s="30"/>
      <c r="IK170" s="30"/>
      <c r="IL170" s="30"/>
      <c r="IM170" s="30"/>
      <c r="IN170" s="30"/>
      <c r="IO170" s="30"/>
      <c r="IP170" s="30"/>
      <c r="IQ170" s="30"/>
      <c r="IR170" s="30"/>
      <c r="IS170" s="30"/>
      <c r="IT170" s="30"/>
      <c r="IU170" s="30"/>
      <c r="IV170" s="30"/>
      <c r="IW170" s="30"/>
      <c r="IX170" s="30"/>
      <c r="IY170" s="30"/>
      <c r="IZ170" s="30"/>
      <c r="JA170" s="30"/>
      <c r="JB170" s="30"/>
      <c r="JC170" s="30"/>
      <c r="JD170" s="30"/>
      <c r="JE170" s="30"/>
      <c r="JF170" s="30"/>
      <c r="JG170" s="30"/>
      <c r="JH170" s="30"/>
      <c r="JI170" s="30"/>
      <c r="JJ170" s="30"/>
      <c r="JK170" s="30"/>
      <c r="JL170" s="30"/>
      <c r="JM170" s="30"/>
      <c r="JN170" s="30"/>
      <c r="JO170" s="30"/>
      <c r="JP170" s="30"/>
      <c r="JQ170" s="30"/>
      <c r="JR170" s="30"/>
      <c r="JS170" s="30"/>
      <c r="JT170" s="30"/>
      <c r="JU170" s="30"/>
      <c r="JV170" s="29" t="s">
        <v>6084</v>
      </c>
      <c r="JW170" s="29"/>
      <c r="JX170" s="30" t="s">
        <v>320</v>
      </c>
      <c r="JY170" s="30"/>
      <c r="JZ170" s="30"/>
      <c r="KA170" s="29"/>
      <c r="KB170" s="29"/>
      <c r="KC170" s="29"/>
      <c r="KD170" s="29"/>
      <c r="KE170" s="29"/>
      <c r="KF170" s="29"/>
      <c r="KG170" s="29" t="s">
        <v>323</v>
      </c>
      <c r="KH170" s="30"/>
      <c r="KI170" s="30"/>
      <c r="KJ170" s="30"/>
      <c r="KK170" s="30"/>
      <c r="KL170" s="30"/>
      <c r="KM170" s="27" t="s">
        <v>391</v>
      </c>
      <c r="KN170" s="27" t="s">
        <v>391</v>
      </c>
      <c r="KO170" s="27"/>
      <c r="KP170" s="36" t="s">
        <v>324</v>
      </c>
      <c r="KQ170" s="28" t="s">
        <v>6085</v>
      </c>
      <c r="KR170" s="28"/>
      <c r="KS170" s="28" t="s">
        <v>324</v>
      </c>
      <c r="KT170" s="28" t="s">
        <v>6086</v>
      </c>
    </row>
    <row r="171" spans="1:306" ht="48" x14ac:dyDescent="0.25">
      <c r="A171" s="5" t="s">
        <v>6221</v>
      </c>
      <c r="B171" s="4" t="s">
        <v>455</v>
      </c>
      <c r="C171" s="7" t="s">
        <v>686</v>
      </c>
      <c r="D171" s="8" t="s">
        <v>825</v>
      </c>
      <c r="E171" s="4">
        <v>335579</v>
      </c>
      <c r="G171" s="4" t="s">
        <v>330</v>
      </c>
      <c r="H171" s="6">
        <v>121.56953300000001</v>
      </c>
      <c r="I171" s="6">
        <v>-21.656195</v>
      </c>
      <c r="J171" s="4" t="s">
        <v>6221</v>
      </c>
      <c r="K171" s="4" t="s">
        <v>1918</v>
      </c>
      <c r="L171" s="4" t="s">
        <v>580</v>
      </c>
      <c r="M171" s="4" t="s">
        <v>1919</v>
      </c>
      <c r="Q171" s="8"/>
      <c r="R171" s="8"/>
      <c r="Z171" s="4" t="s">
        <v>455</v>
      </c>
      <c r="AA171" s="7" t="s">
        <v>686</v>
      </c>
      <c r="AB171" s="8" t="s">
        <v>825</v>
      </c>
      <c r="AC171" s="4" t="s">
        <v>301</v>
      </c>
      <c r="AD171" s="4" t="s">
        <v>375</v>
      </c>
      <c r="AE171" s="8">
        <v>822</v>
      </c>
      <c r="AF171" s="8">
        <v>23</v>
      </c>
      <c r="AG171" s="9" t="s">
        <v>379</v>
      </c>
      <c r="AH171" s="9" t="s">
        <v>335</v>
      </c>
      <c r="AI171" s="9" t="s">
        <v>3240</v>
      </c>
      <c r="AJ171" s="9" t="s">
        <v>1080</v>
      </c>
      <c r="AK171" s="9" t="s">
        <v>1081</v>
      </c>
      <c r="AL171" s="9" t="s">
        <v>4906</v>
      </c>
      <c r="AM171" s="8">
        <v>4</v>
      </c>
      <c r="AN171" s="4" t="s">
        <v>381</v>
      </c>
      <c r="AO171" s="4" t="s">
        <v>382</v>
      </c>
      <c r="AP171" s="4" t="s">
        <v>383</v>
      </c>
      <c r="AQ171" s="7" t="s">
        <v>384</v>
      </c>
      <c r="AR171" s="8" t="s">
        <v>827</v>
      </c>
      <c r="AS171" s="7">
        <v>0</v>
      </c>
      <c r="AT171" s="7">
        <v>0</v>
      </c>
      <c r="AU171" s="9" t="s">
        <v>303</v>
      </c>
      <c r="AV171" s="9" t="s">
        <v>406</v>
      </c>
      <c r="BA171" s="8">
        <v>5</v>
      </c>
      <c r="BF171" s="7"/>
      <c r="BG171" s="7"/>
      <c r="BH171" s="7"/>
      <c r="BP171" s="7">
        <f>16+16.1+95.1</f>
        <v>127.19999999999999</v>
      </c>
      <c r="BR171" s="6">
        <f>((16*2.4)+(16.1*0.9)+(95.1*1))/BP171</f>
        <v>1.1634433962264152</v>
      </c>
      <c r="DZ171" s="31"/>
      <c r="EH171" s="10">
        <f t="shared" si="11"/>
        <v>1.4799</v>
      </c>
      <c r="FA171" s="6"/>
      <c r="GP171" s="32"/>
      <c r="GY171" s="6" t="s">
        <v>338</v>
      </c>
      <c r="GZ171" s="6" t="s">
        <v>994</v>
      </c>
      <c r="HC171" s="6" t="s">
        <v>1847</v>
      </c>
      <c r="HD171" s="8" t="s">
        <v>5032</v>
      </c>
      <c r="HE171" s="8">
        <v>2592</v>
      </c>
      <c r="HF171" s="8" t="s">
        <v>6222</v>
      </c>
      <c r="HG171" s="9" t="s">
        <v>876</v>
      </c>
      <c r="IM171" s="9"/>
      <c r="IR171" s="9"/>
      <c r="JV171" s="7" t="s">
        <v>6223</v>
      </c>
      <c r="JW171" s="7" t="s">
        <v>1490</v>
      </c>
      <c r="JX171" s="7" t="s">
        <v>320</v>
      </c>
      <c r="KG171" s="4" t="s">
        <v>323</v>
      </c>
      <c r="KM171" s="4" t="s">
        <v>391</v>
      </c>
      <c r="KN171" s="4" t="s">
        <v>391</v>
      </c>
      <c r="KP171" s="5" t="s">
        <v>358</v>
      </c>
      <c r="KQ171" s="5" t="s">
        <v>6224</v>
      </c>
      <c r="KR171" s="5" t="s">
        <v>6225</v>
      </c>
      <c r="KS171" s="5" t="s">
        <v>6226</v>
      </c>
      <c r="KT171" s="5" t="s">
        <v>6227</v>
      </c>
    </row>
    <row r="172" spans="1:306" ht="84" x14ac:dyDescent="0.25">
      <c r="A172" s="5" t="s">
        <v>6287</v>
      </c>
      <c r="B172" s="4" t="s">
        <v>455</v>
      </c>
      <c r="C172" s="7" t="s">
        <v>686</v>
      </c>
      <c r="D172" s="8" t="s">
        <v>825</v>
      </c>
      <c r="E172" s="4">
        <v>534769</v>
      </c>
      <c r="G172" s="4" t="s">
        <v>593</v>
      </c>
      <c r="H172" s="6">
        <v>140.453306</v>
      </c>
      <c r="I172" s="6">
        <v>-31.426169000000002</v>
      </c>
      <c r="J172" s="4" t="s">
        <v>4412</v>
      </c>
      <c r="K172" s="4" t="s">
        <v>595</v>
      </c>
      <c r="L172" s="4" t="s">
        <v>1422</v>
      </c>
      <c r="Q172" s="8"/>
      <c r="R172" s="7"/>
      <c r="S172" s="4"/>
      <c r="Z172" s="4" t="s">
        <v>455</v>
      </c>
      <c r="AA172" s="7" t="s">
        <v>686</v>
      </c>
      <c r="AB172" s="8" t="s">
        <v>825</v>
      </c>
      <c r="AC172" s="4" t="s">
        <v>301</v>
      </c>
      <c r="AD172" s="4" t="s">
        <v>375</v>
      </c>
      <c r="AE172" s="8">
        <v>1615</v>
      </c>
      <c r="AF172" s="7"/>
      <c r="AG172" s="4" t="s">
        <v>303</v>
      </c>
      <c r="AH172" s="9" t="s">
        <v>304</v>
      </c>
      <c r="AI172" s="9" t="s">
        <v>598</v>
      </c>
      <c r="AJ172" s="9" t="s">
        <v>599</v>
      </c>
      <c r="AK172" s="9" t="s">
        <v>600</v>
      </c>
      <c r="AM172" s="8">
        <v>4</v>
      </c>
      <c r="AN172" s="4" t="s">
        <v>381</v>
      </c>
      <c r="AO172" s="4" t="s">
        <v>402</v>
      </c>
      <c r="AP172" s="4" t="s">
        <v>383</v>
      </c>
      <c r="AQ172" s="7" t="s">
        <v>384</v>
      </c>
      <c r="AR172" s="8" t="s">
        <v>827</v>
      </c>
      <c r="AS172" s="7">
        <v>0</v>
      </c>
      <c r="AT172" s="7">
        <v>0</v>
      </c>
      <c r="AU172" s="9" t="s">
        <v>379</v>
      </c>
      <c r="AV172" s="9" t="s">
        <v>406</v>
      </c>
      <c r="BA172" s="8">
        <v>5</v>
      </c>
      <c r="BB172" s="4" t="s">
        <v>381</v>
      </c>
      <c r="BC172" s="4" t="s">
        <v>382</v>
      </c>
      <c r="BD172" s="4" t="s">
        <v>383</v>
      </c>
      <c r="BE172" s="7" t="s">
        <v>403</v>
      </c>
      <c r="BF172" s="8" t="s">
        <v>434</v>
      </c>
      <c r="BG172" s="7"/>
      <c r="BH172" s="7"/>
      <c r="BP172" s="7">
        <v>12.956</v>
      </c>
      <c r="BR172" s="6">
        <f>EH172/BP172*100</f>
        <v>0.78264896573016374</v>
      </c>
      <c r="BU172" s="6"/>
      <c r="BV172" s="6">
        <f>((258800*31.1034768)/(BP172*1000000))</f>
        <v>0.62130131181228776</v>
      </c>
      <c r="CK172" s="9">
        <f>((EZ172/1000)/BP172)*100</f>
        <v>4.5847483791293612E-3</v>
      </c>
      <c r="CT172" s="9">
        <f>((FI172/1000)/BP172)*100</f>
        <v>4.3454769990737885E-2</v>
      </c>
      <c r="DF172" s="9"/>
      <c r="DI172" s="9"/>
      <c r="DZ172" s="31"/>
      <c r="EB172" s="10"/>
      <c r="EH172" s="10">
        <v>0.1014</v>
      </c>
      <c r="EL172" s="6">
        <f>(258800*31.1034768)/1000000</f>
        <v>8.0495797958399997</v>
      </c>
      <c r="EY172" s="6"/>
      <c r="EZ172" s="6">
        <v>0.59399999999999997</v>
      </c>
      <c r="FA172" s="6"/>
      <c r="FI172" s="6">
        <v>5.63</v>
      </c>
      <c r="GP172" s="32"/>
      <c r="GY172" s="6" t="s">
        <v>338</v>
      </c>
      <c r="GZ172" s="6" t="s">
        <v>1361</v>
      </c>
      <c r="HA172" s="6" t="s">
        <v>763</v>
      </c>
      <c r="HB172" s="6" t="s">
        <v>929</v>
      </c>
      <c r="HC172" s="6" t="s">
        <v>829</v>
      </c>
      <c r="HD172" s="8" t="s">
        <v>4413</v>
      </c>
      <c r="HE172" s="8">
        <v>70269</v>
      </c>
      <c r="HF172" s="8" t="s">
        <v>4414</v>
      </c>
      <c r="HG172" s="9" t="s">
        <v>538</v>
      </c>
      <c r="HY172" s="9"/>
      <c r="IM172" s="9"/>
      <c r="JX172" s="7" t="s">
        <v>320</v>
      </c>
      <c r="KP172" s="5" t="s">
        <v>358</v>
      </c>
      <c r="KQ172" s="5" t="s">
        <v>6288</v>
      </c>
      <c r="KR172" s="5" t="s">
        <v>6289</v>
      </c>
      <c r="KS172" s="5" t="s">
        <v>6290</v>
      </c>
      <c r="KT172" s="5" t="s">
        <v>6291</v>
      </c>
    </row>
    <row r="173" spans="1:306" ht="84" x14ac:dyDescent="0.25">
      <c r="A173" s="5" t="s">
        <v>7030</v>
      </c>
      <c r="B173" s="4" t="s">
        <v>455</v>
      </c>
      <c r="C173" s="7" t="s">
        <v>686</v>
      </c>
      <c r="D173" s="7" t="s">
        <v>825</v>
      </c>
      <c r="E173" s="4">
        <v>334376</v>
      </c>
      <c r="G173" s="4" t="s">
        <v>530</v>
      </c>
      <c r="H173" s="6">
        <v>131</v>
      </c>
      <c r="I173" s="6">
        <v>-13.04</v>
      </c>
      <c r="J173" s="4" t="s">
        <v>826</v>
      </c>
      <c r="K173" s="4" t="s">
        <v>481</v>
      </c>
      <c r="L173" s="4" t="s">
        <v>532</v>
      </c>
      <c r="O173" s="7"/>
      <c r="Q173" s="8"/>
      <c r="R173" s="8"/>
      <c r="Z173" s="4" t="s">
        <v>455</v>
      </c>
      <c r="AA173" s="7" t="s">
        <v>686</v>
      </c>
      <c r="AB173" s="7" t="s">
        <v>825</v>
      </c>
      <c r="AC173" s="4" t="s">
        <v>301</v>
      </c>
      <c r="AD173" s="4" t="s">
        <v>375</v>
      </c>
      <c r="AE173" s="8">
        <v>1627</v>
      </c>
      <c r="AF173" s="8"/>
      <c r="AG173" s="9" t="s">
        <v>379</v>
      </c>
      <c r="AH173" s="9" t="s">
        <v>380</v>
      </c>
      <c r="AM173" s="8">
        <v>2</v>
      </c>
      <c r="AN173" s="4" t="s">
        <v>381</v>
      </c>
      <c r="AO173" s="4" t="s">
        <v>402</v>
      </c>
      <c r="AP173" s="4" t="s">
        <v>383</v>
      </c>
      <c r="AQ173" s="7" t="s">
        <v>384</v>
      </c>
      <c r="AR173" s="7" t="s">
        <v>827</v>
      </c>
      <c r="AS173" s="7">
        <v>0</v>
      </c>
      <c r="AT173" s="7">
        <v>0</v>
      </c>
      <c r="AU173" s="9" t="s">
        <v>303</v>
      </c>
      <c r="AV173" s="9" t="s">
        <v>406</v>
      </c>
      <c r="BA173" s="8">
        <v>5</v>
      </c>
      <c r="BP173" s="7">
        <v>0.66300000000000003</v>
      </c>
      <c r="DZ173" s="31"/>
      <c r="EB173" s="6">
        <v>0.44</v>
      </c>
      <c r="GP173" s="32"/>
      <c r="GR173" s="9">
        <f>1000*BP173*EB173/100</f>
        <v>2.9172000000000002</v>
      </c>
      <c r="GY173" s="6" t="s">
        <v>338</v>
      </c>
      <c r="GZ173" s="6" t="s">
        <v>654</v>
      </c>
      <c r="HC173" s="6" t="s">
        <v>1847</v>
      </c>
      <c r="HD173" s="8" t="s">
        <v>830</v>
      </c>
      <c r="HE173" s="8">
        <v>24572</v>
      </c>
      <c r="HF173" s="8" t="s">
        <v>1729</v>
      </c>
      <c r="HG173" s="9" t="s">
        <v>538</v>
      </c>
      <c r="IB173" s="4" t="s">
        <v>832</v>
      </c>
      <c r="IC173" s="8">
        <v>16439</v>
      </c>
      <c r="ID173" s="4" t="s">
        <v>833</v>
      </c>
      <c r="IE173" s="4" t="s">
        <v>507</v>
      </c>
      <c r="IF173" s="4" t="s">
        <v>445</v>
      </c>
      <c r="IW173" s="8"/>
      <c r="JB173" s="8"/>
      <c r="JU173" s="7" t="s">
        <v>834</v>
      </c>
      <c r="JV173" s="7" t="s">
        <v>783</v>
      </c>
      <c r="JX173" s="7" t="s">
        <v>320</v>
      </c>
      <c r="KG173" s="4" t="s">
        <v>323</v>
      </c>
      <c r="KM173" s="4" t="s">
        <v>471</v>
      </c>
      <c r="KN173" s="4" t="s">
        <v>836</v>
      </c>
      <c r="KP173" s="5" t="s">
        <v>358</v>
      </c>
      <c r="KQ173" s="5" t="s">
        <v>7031</v>
      </c>
      <c r="KS173" s="5" t="s">
        <v>4190</v>
      </c>
      <c r="KT173" s="5" t="s">
        <v>1517</v>
      </c>
    </row>
    <row r="174" spans="1:306" ht="120" x14ac:dyDescent="0.25">
      <c r="A174" s="5" t="s">
        <v>7159</v>
      </c>
      <c r="B174" s="4" t="s">
        <v>455</v>
      </c>
      <c r="C174" s="7" t="s">
        <v>686</v>
      </c>
      <c r="D174" s="8" t="s">
        <v>825</v>
      </c>
      <c r="G174" s="4" t="s">
        <v>296</v>
      </c>
      <c r="K174" s="4" t="s">
        <v>298</v>
      </c>
      <c r="L174" s="4" t="s">
        <v>400</v>
      </c>
      <c r="M174" s="4" t="s">
        <v>401</v>
      </c>
      <c r="N174" s="4" t="s">
        <v>7160</v>
      </c>
      <c r="Q174" s="8"/>
      <c r="R174" s="8"/>
      <c r="Z174" s="4" t="s">
        <v>455</v>
      </c>
      <c r="AA174" s="7" t="s">
        <v>686</v>
      </c>
      <c r="AB174" s="8" t="s">
        <v>825</v>
      </c>
      <c r="AC174" s="4" t="s">
        <v>301</v>
      </c>
      <c r="AD174" s="4" t="s">
        <v>382</v>
      </c>
      <c r="AE174" s="8">
        <v>1354</v>
      </c>
      <c r="AF174" s="8">
        <v>8</v>
      </c>
      <c r="AG174" s="9" t="s">
        <v>379</v>
      </c>
      <c r="AH174" s="9" t="s">
        <v>335</v>
      </c>
      <c r="AI174" s="9" t="s">
        <v>504</v>
      </c>
      <c r="AJ174" s="9" t="s">
        <v>306</v>
      </c>
      <c r="AK174" s="9" t="s">
        <v>307</v>
      </c>
      <c r="AL174" s="9" t="s">
        <v>337</v>
      </c>
      <c r="AM174" s="8">
        <v>4</v>
      </c>
      <c r="AN174" s="4" t="s">
        <v>381</v>
      </c>
      <c r="AO174" s="4" t="s">
        <v>382</v>
      </c>
      <c r="AP174" s="4" t="s">
        <v>383</v>
      </c>
      <c r="AQ174" s="7" t="s">
        <v>384</v>
      </c>
      <c r="AR174" s="8" t="s">
        <v>827</v>
      </c>
      <c r="AS174" s="7">
        <v>0</v>
      </c>
      <c r="AT174" s="7">
        <v>0</v>
      </c>
      <c r="AU174" s="9" t="s">
        <v>303</v>
      </c>
      <c r="AV174" s="9" t="s">
        <v>406</v>
      </c>
      <c r="BA174" s="8">
        <v>5</v>
      </c>
      <c r="DZ174" s="31"/>
      <c r="GP174" s="32"/>
      <c r="GY174" s="6" t="s">
        <v>407</v>
      </c>
      <c r="HD174" s="8" t="s">
        <v>7161</v>
      </c>
      <c r="HE174" s="8">
        <v>40970</v>
      </c>
      <c r="HF174" s="8" t="s">
        <v>7162</v>
      </c>
      <c r="HG174" s="9" t="s">
        <v>349</v>
      </c>
      <c r="IB174" s="8" t="s">
        <v>6082</v>
      </c>
      <c r="IC174" s="8">
        <v>8743</v>
      </c>
      <c r="ID174" s="8" t="s">
        <v>7163</v>
      </c>
      <c r="IE174" s="8" t="s">
        <v>1507</v>
      </c>
      <c r="IF174" s="8" t="s">
        <v>350</v>
      </c>
      <c r="KP174" s="5" t="s">
        <v>6142</v>
      </c>
      <c r="KQ174" s="5" t="s">
        <v>7164</v>
      </c>
      <c r="KR174" s="5" t="s">
        <v>7165</v>
      </c>
      <c r="KT174" s="5" t="s">
        <v>7166</v>
      </c>
    </row>
    <row r="175" spans="1:306" ht="96" x14ac:dyDescent="0.2">
      <c r="A175" s="5" t="s">
        <v>7333</v>
      </c>
      <c r="B175" s="4" t="s">
        <v>455</v>
      </c>
      <c r="C175" s="7" t="s">
        <v>686</v>
      </c>
      <c r="D175" s="8" t="s">
        <v>825</v>
      </c>
      <c r="E175" s="44">
        <v>688225</v>
      </c>
      <c r="G175" s="4" t="s">
        <v>296</v>
      </c>
      <c r="H175" s="42">
        <v>144.72800000000001</v>
      </c>
      <c r="I175" s="42">
        <v>-41.226100000000002</v>
      </c>
      <c r="K175" s="4" t="s">
        <v>298</v>
      </c>
      <c r="L175" s="4" t="s">
        <v>400</v>
      </c>
      <c r="M175" s="4" t="s">
        <v>401</v>
      </c>
      <c r="N175" s="4" t="s">
        <v>7160</v>
      </c>
      <c r="Q175" s="8"/>
      <c r="R175" s="8"/>
      <c r="Z175" s="4" t="s">
        <v>455</v>
      </c>
      <c r="AA175" s="7" t="s">
        <v>686</v>
      </c>
      <c r="AB175" s="8" t="s">
        <v>825</v>
      </c>
      <c r="AC175" s="4" t="s">
        <v>301</v>
      </c>
      <c r="AD175" s="4" t="s">
        <v>382</v>
      </c>
      <c r="AE175" s="8">
        <v>1284</v>
      </c>
      <c r="AF175" s="8">
        <v>33</v>
      </c>
      <c r="AG175" s="9" t="s">
        <v>379</v>
      </c>
      <c r="AH175" s="9" t="s">
        <v>335</v>
      </c>
      <c r="AI175" s="9" t="s">
        <v>504</v>
      </c>
      <c r="AJ175" s="9" t="s">
        <v>306</v>
      </c>
      <c r="AK175" s="9" t="s">
        <v>1903</v>
      </c>
      <c r="AL175" s="9" t="s">
        <v>308</v>
      </c>
      <c r="AM175" s="8">
        <v>4</v>
      </c>
      <c r="AN175" s="4" t="s">
        <v>381</v>
      </c>
      <c r="AO175" s="4" t="s">
        <v>382</v>
      </c>
      <c r="AP175" s="4" t="s">
        <v>383</v>
      </c>
      <c r="AQ175" s="7" t="s">
        <v>384</v>
      </c>
      <c r="AR175" s="8" t="s">
        <v>827</v>
      </c>
      <c r="AS175" s="7">
        <v>0</v>
      </c>
      <c r="AT175" s="7">
        <v>0</v>
      </c>
      <c r="AU175" s="9" t="s">
        <v>303</v>
      </c>
      <c r="AV175" s="9" t="s">
        <v>406</v>
      </c>
      <c r="BA175" s="8">
        <v>5</v>
      </c>
      <c r="DZ175" s="31"/>
      <c r="GP175" s="32"/>
      <c r="GY175" s="6" t="s">
        <v>407</v>
      </c>
      <c r="HD175" s="8" t="s">
        <v>7334</v>
      </c>
      <c r="HE175" s="8">
        <v>40960</v>
      </c>
      <c r="HF175" s="8" t="s">
        <v>7335</v>
      </c>
      <c r="HG175" s="9" t="s">
        <v>349</v>
      </c>
      <c r="KP175" s="5" t="s">
        <v>6142</v>
      </c>
      <c r="KQ175" s="5" t="s">
        <v>7164</v>
      </c>
      <c r="KR175" s="5" t="s">
        <v>7165</v>
      </c>
      <c r="KT175" s="5" t="s">
        <v>7336</v>
      </c>
    </row>
    <row r="176" spans="1:306" ht="120" x14ac:dyDescent="0.25">
      <c r="A176" s="5" t="s">
        <v>7388</v>
      </c>
      <c r="B176" s="4" t="s">
        <v>455</v>
      </c>
      <c r="C176" s="7" t="s">
        <v>686</v>
      </c>
      <c r="D176" s="7" t="s">
        <v>825</v>
      </c>
      <c r="E176" s="4">
        <v>695092</v>
      </c>
      <c r="G176" s="4" t="s">
        <v>593</v>
      </c>
      <c r="H176" s="6">
        <v>137.15889999999999</v>
      </c>
      <c r="I176" s="6">
        <v>-31.681899999999999</v>
      </c>
      <c r="J176" s="4" t="s">
        <v>7388</v>
      </c>
      <c r="K176" s="4" t="s">
        <v>595</v>
      </c>
      <c r="L176" s="4" t="s">
        <v>689</v>
      </c>
      <c r="O176" s="7"/>
      <c r="Z176" s="4" t="s">
        <v>455</v>
      </c>
      <c r="AA176" s="7" t="s">
        <v>686</v>
      </c>
      <c r="AB176" s="7" t="s">
        <v>825</v>
      </c>
      <c r="AC176" s="4" t="s">
        <v>301</v>
      </c>
      <c r="AD176" s="4" t="s">
        <v>302</v>
      </c>
      <c r="AS176" s="7"/>
      <c r="AT176" s="7"/>
      <c r="BP176" s="7">
        <v>0.35</v>
      </c>
      <c r="BR176" s="7">
        <v>1.2</v>
      </c>
      <c r="BU176" s="8">
        <v>12</v>
      </c>
      <c r="DZ176" s="31"/>
      <c r="EB176" s="10"/>
      <c r="EH176" s="10">
        <f>BP176*BR176/100</f>
        <v>4.1999999999999997E-3</v>
      </c>
      <c r="EK176" s="10">
        <f>BP176*BU176/1000</f>
        <v>4.1999999999999989E-3</v>
      </c>
      <c r="GP176" s="32"/>
      <c r="GY176" s="6" t="s">
        <v>338</v>
      </c>
      <c r="GZ176" s="6" t="s">
        <v>994</v>
      </c>
      <c r="HB176" s="6" t="s">
        <v>462</v>
      </c>
      <c r="HC176" s="6" t="s">
        <v>1847</v>
      </c>
      <c r="HD176" s="8" t="s">
        <v>3044</v>
      </c>
      <c r="HE176" s="8">
        <v>17814</v>
      </c>
      <c r="HF176" s="8" t="s">
        <v>3045</v>
      </c>
      <c r="HG176" s="9" t="s">
        <v>876</v>
      </c>
      <c r="JX176" s="7" t="s">
        <v>320</v>
      </c>
      <c r="KG176" s="4" t="s">
        <v>323</v>
      </c>
      <c r="KP176" s="5" t="s">
        <v>358</v>
      </c>
      <c r="KQ176" s="5" t="s">
        <v>3046</v>
      </c>
      <c r="KS176" s="5" t="s">
        <v>1516</v>
      </c>
      <c r="KT176" s="5" t="s">
        <v>3048</v>
      </c>
    </row>
    <row r="177" spans="1:306" ht="108" x14ac:dyDescent="0.25">
      <c r="A177" s="5" t="s">
        <v>7809</v>
      </c>
      <c r="B177" s="4" t="s">
        <v>455</v>
      </c>
      <c r="C177" s="7" t="s">
        <v>686</v>
      </c>
      <c r="D177" s="8" t="s">
        <v>825</v>
      </c>
      <c r="E177" s="4">
        <v>362773</v>
      </c>
      <c r="G177" s="4" t="s">
        <v>479</v>
      </c>
      <c r="H177" s="6">
        <v>138.26666667000001</v>
      </c>
      <c r="I177" s="6">
        <v>-17.783333330000001</v>
      </c>
      <c r="J177" s="4" t="s">
        <v>7809</v>
      </c>
      <c r="K177" s="4" t="s">
        <v>481</v>
      </c>
      <c r="L177" s="4" t="s">
        <v>651</v>
      </c>
      <c r="M177" s="4" t="s">
        <v>1972</v>
      </c>
      <c r="Q177" s="4"/>
      <c r="R177" s="4"/>
      <c r="S177" s="4"/>
      <c r="T177" s="4"/>
      <c r="U177" s="4"/>
      <c r="V177" s="4"/>
      <c r="W177" s="4"/>
      <c r="X177" s="4"/>
      <c r="Z177" s="4" t="s">
        <v>455</v>
      </c>
      <c r="AA177" s="7" t="s">
        <v>686</v>
      </c>
      <c r="AB177" s="8" t="s">
        <v>825</v>
      </c>
      <c r="AC177" s="4" t="s">
        <v>301</v>
      </c>
      <c r="AD177" s="4" t="s">
        <v>375</v>
      </c>
      <c r="AE177" s="4">
        <v>1575</v>
      </c>
      <c r="AF177" s="4"/>
      <c r="AG177" s="4" t="s">
        <v>303</v>
      </c>
      <c r="AH177" s="4" t="s">
        <v>304</v>
      </c>
      <c r="AI177" s="4" t="s">
        <v>1118</v>
      </c>
      <c r="AJ177" s="4" t="s">
        <v>1080</v>
      </c>
      <c r="AK177" s="4" t="s">
        <v>600</v>
      </c>
      <c r="AL177" s="4"/>
      <c r="AM177" s="8">
        <v>3</v>
      </c>
      <c r="BP177" s="7">
        <f>18.4+17.4+5.1</f>
        <v>40.9</v>
      </c>
      <c r="BQ177" s="4"/>
      <c r="BR177" s="6">
        <f>((1.05*18.4)+(0.26*17.4)+(1.25*5.1))/(18.4+17.4+5.1)</f>
        <v>0.73885085574572129</v>
      </c>
      <c r="BS177" s="6">
        <f>((0.72*18.4)+(1.11*17.4)+(0.63*5.1))/(18.4+17.4+5.1)</f>
        <v>0.87469437652811732</v>
      </c>
      <c r="BT177" s="6">
        <f>((0.9*18.4)+(0.8*17.4)+(1.35*5.1))/(18.4+17.4+5.1)</f>
        <v>0.91356968215158918</v>
      </c>
      <c r="BU177" s="7">
        <f>((29.1*18.4)+(20.3*17.4)+(36.9*5.1))/(18.4+17.4+5.1)</f>
        <v>26.328850855745721</v>
      </c>
      <c r="BV177" s="4"/>
      <c r="BW177" s="4"/>
      <c r="BX177" s="4"/>
      <c r="BY177" s="4"/>
      <c r="BZ177" s="4"/>
      <c r="CA177" s="4"/>
      <c r="CB177" s="4"/>
      <c r="CC177" s="4"/>
      <c r="CD177" s="4"/>
      <c r="CE177" s="4"/>
      <c r="CF177" s="4"/>
      <c r="CG177" s="4"/>
      <c r="CH177" s="4"/>
      <c r="CI177" s="4"/>
      <c r="CJ177" s="4"/>
      <c r="CK177" s="6">
        <f>((0.14*18.4)+(0.09*17.4)+(0.14*5.1))/(18.4+17.4+5.1)</f>
        <v>0.11872860635696822</v>
      </c>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31"/>
      <c r="EA177" s="4"/>
      <c r="EB177" s="4"/>
      <c r="EC177" s="4"/>
      <c r="ED177" s="4"/>
      <c r="EE177" s="4"/>
      <c r="EF177" s="4"/>
      <c r="EG177" s="4"/>
      <c r="EH177" s="10">
        <f>BP177*BR177/100</f>
        <v>0.30219000000000001</v>
      </c>
      <c r="EI177" s="10">
        <f>BP177*BS177/100</f>
        <v>0.35775000000000001</v>
      </c>
      <c r="EJ177" s="10">
        <f>BP177*BT177/100</f>
        <v>0.37364999999999993</v>
      </c>
      <c r="EK177" s="10">
        <f>BP177*BU177/1000</f>
        <v>1.0768499999999999</v>
      </c>
      <c r="EL177" s="4"/>
      <c r="EM177" s="4"/>
      <c r="EN177" s="4"/>
      <c r="EO177" s="4"/>
      <c r="EP177" s="4"/>
      <c r="EQ177" s="4"/>
      <c r="ER177" s="4"/>
      <c r="ES177" s="4"/>
      <c r="ET177" s="4"/>
      <c r="EU177" s="4"/>
      <c r="EV177" s="4"/>
      <c r="EW177" s="4"/>
      <c r="EX177" s="4"/>
      <c r="EY177" s="4"/>
      <c r="EZ177" s="4">
        <f>1000*BP177*CK177/100</f>
        <v>48.56</v>
      </c>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32"/>
      <c r="GQ177" s="4"/>
      <c r="GR177" s="4"/>
      <c r="GS177" s="4"/>
      <c r="GT177" s="4"/>
      <c r="GU177" s="4"/>
      <c r="GV177" s="4"/>
      <c r="GW177" s="4"/>
      <c r="GX177" s="4"/>
      <c r="GY177" s="4" t="s">
        <v>338</v>
      </c>
      <c r="GZ177" s="4" t="s">
        <v>1187</v>
      </c>
      <c r="HA177" s="4" t="s">
        <v>7547</v>
      </c>
      <c r="HB177" s="4"/>
      <c r="HC177" s="4" t="s">
        <v>829</v>
      </c>
      <c r="HD177" s="4" t="s">
        <v>7810</v>
      </c>
      <c r="HE177" s="8">
        <v>12886</v>
      </c>
      <c r="HF177" s="4" t="s">
        <v>7811</v>
      </c>
      <c r="HG177" s="4" t="s">
        <v>490</v>
      </c>
      <c r="HH177" s="4"/>
      <c r="HJ177" s="4"/>
      <c r="HK177" s="4"/>
      <c r="HL177" s="4"/>
      <c r="HN177" s="4"/>
      <c r="HO177" s="4"/>
      <c r="HP177" s="4"/>
      <c r="HR177" s="4"/>
      <c r="HS177" s="4"/>
      <c r="HT177" s="4"/>
      <c r="HU177" s="4"/>
      <c r="HV177" s="4"/>
      <c r="HW177" s="4"/>
      <c r="HX177" s="4"/>
      <c r="HY177" s="4"/>
      <c r="HZ177" s="4"/>
      <c r="IA177" s="4"/>
      <c r="IB177" s="4" t="s">
        <v>7812</v>
      </c>
      <c r="IC177" s="8">
        <v>15114</v>
      </c>
      <c r="ID177" s="4" t="s">
        <v>7813</v>
      </c>
      <c r="IE177" s="4" t="s">
        <v>490</v>
      </c>
      <c r="IF177" s="4" t="s">
        <v>445</v>
      </c>
      <c r="IG177" s="4"/>
      <c r="IH177" s="4"/>
      <c r="II177" s="4"/>
      <c r="IJ177" s="4"/>
      <c r="IK177" s="4"/>
      <c r="IL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t="s">
        <v>7814</v>
      </c>
      <c r="JW177" s="4"/>
      <c r="JX177" s="4" t="s">
        <v>320</v>
      </c>
      <c r="JY177" s="4" t="s">
        <v>448</v>
      </c>
      <c r="JZ177" s="4" t="s">
        <v>738</v>
      </c>
      <c r="KA177" s="4"/>
      <c r="KB177" s="4"/>
      <c r="KC177" s="4"/>
      <c r="KD177" s="4"/>
      <c r="KE177" s="4"/>
      <c r="KF177" s="4"/>
      <c r="KG177" s="4" t="s">
        <v>323</v>
      </c>
      <c r="KM177" s="4" t="s">
        <v>471</v>
      </c>
      <c r="KN177" s="4" t="s">
        <v>471</v>
      </c>
      <c r="KO177" s="4" t="s">
        <v>350</v>
      </c>
      <c r="KP177" s="5" t="s">
        <v>358</v>
      </c>
      <c r="KQ177" s="5" t="s">
        <v>7815</v>
      </c>
      <c r="KR177" s="5" t="s">
        <v>1825</v>
      </c>
      <c r="KS177" s="5" t="s">
        <v>7816</v>
      </c>
      <c r="KT177" s="5" t="s">
        <v>7817</v>
      </c>
    </row>
    <row r="178" spans="1:306" ht="84" x14ac:dyDescent="0.25">
      <c r="A178" s="5" t="s">
        <v>8034</v>
      </c>
      <c r="B178" s="4" t="s">
        <v>455</v>
      </c>
      <c r="C178" s="7" t="s">
        <v>686</v>
      </c>
      <c r="D178" s="7" t="s">
        <v>825</v>
      </c>
      <c r="E178" s="4">
        <v>334180</v>
      </c>
      <c r="G178" s="4" t="s">
        <v>530</v>
      </c>
      <c r="H178" s="6">
        <v>131.01</v>
      </c>
      <c r="I178" s="6">
        <v>-12.99</v>
      </c>
      <c r="J178" s="4" t="s">
        <v>826</v>
      </c>
      <c r="K178" s="4" t="s">
        <v>481</v>
      </c>
      <c r="L178" s="4" t="s">
        <v>532</v>
      </c>
      <c r="O178" s="7"/>
      <c r="Q178" s="8"/>
      <c r="R178" s="8"/>
      <c r="Z178" s="4" t="s">
        <v>455</v>
      </c>
      <c r="AA178" s="7" t="s">
        <v>686</v>
      </c>
      <c r="AB178" s="7" t="s">
        <v>825</v>
      </c>
      <c r="AC178" s="4" t="s">
        <v>301</v>
      </c>
      <c r="AD178" s="4" t="s">
        <v>375</v>
      </c>
      <c r="AE178" s="8">
        <v>1627</v>
      </c>
      <c r="AF178" s="8"/>
      <c r="AG178" s="9" t="s">
        <v>379</v>
      </c>
      <c r="AH178" s="9" t="s">
        <v>380</v>
      </c>
      <c r="AM178" s="8">
        <v>2</v>
      </c>
      <c r="AN178" s="4" t="s">
        <v>381</v>
      </c>
      <c r="AO178" s="4" t="s">
        <v>402</v>
      </c>
      <c r="AP178" s="4" t="s">
        <v>383</v>
      </c>
      <c r="AQ178" s="7" t="s">
        <v>384</v>
      </c>
      <c r="AR178" s="7" t="s">
        <v>827</v>
      </c>
      <c r="AS178" s="7">
        <v>0</v>
      </c>
      <c r="AT178" s="7">
        <v>0</v>
      </c>
      <c r="AU178" s="9" t="s">
        <v>303</v>
      </c>
      <c r="AV178" s="9" t="s">
        <v>406</v>
      </c>
      <c r="BA178" s="8">
        <v>5</v>
      </c>
      <c r="BP178" s="7">
        <f>0.396+0.295</f>
        <v>0.69100000000000006</v>
      </c>
      <c r="BQ178" s="9"/>
      <c r="BR178" s="6">
        <f>(0.396*2.7+0.295*2.8)/0.691</f>
        <v>2.7426917510853839</v>
      </c>
      <c r="CK178" s="6">
        <f>(0.396*0+0.295*0.3)/0.691</f>
        <v>0.12807525325615052</v>
      </c>
      <c r="DZ178" s="31"/>
      <c r="EB178" s="6">
        <f>(0.396*0.27+0.295*0)/0.691</f>
        <v>0.15473227206946458</v>
      </c>
      <c r="EH178" s="10">
        <f>BP178*BR178/100</f>
        <v>1.8952000000000004E-2</v>
      </c>
      <c r="EZ178" s="6">
        <f>1000*BP178*CK178/100</f>
        <v>0.88500000000000023</v>
      </c>
      <c r="GP178" s="32"/>
      <c r="GR178" s="9">
        <f>1000*BP178*EB178/100</f>
        <v>1.0692000000000004</v>
      </c>
      <c r="GY178" s="6" t="s">
        <v>338</v>
      </c>
      <c r="GZ178" s="6" t="s">
        <v>8035</v>
      </c>
      <c r="HB178" s="6" t="s">
        <v>929</v>
      </c>
      <c r="HC178" s="6" t="s">
        <v>829</v>
      </c>
      <c r="HD178" s="8" t="s">
        <v>830</v>
      </c>
      <c r="HE178" s="8">
        <v>24572</v>
      </c>
      <c r="HF178" s="8" t="s">
        <v>1729</v>
      </c>
      <c r="HG178" s="9" t="s">
        <v>538</v>
      </c>
      <c r="IB178" s="4" t="s">
        <v>832</v>
      </c>
      <c r="IC178" s="8">
        <v>16439</v>
      </c>
      <c r="ID178" s="4" t="s">
        <v>833</v>
      </c>
      <c r="IE178" s="4" t="s">
        <v>507</v>
      </c>
      <c r="IF178" s="4" t="s">
        <v>445</v>
      </c>
      <c r="IW178" s="8"/>
      <c r="JB178" s="8"/>
      <c r="JU178" s="7" t="s">
        <v>834</v>
      </c>
      <c r="JV178" s="7" t="s">
        <v>8036</v>
      </c>
      <c r="JX178" s="7" t="s">
        <v>355</v>
      </c>
      <c r="JY178" s="7" t="s">
        <v>354</v>
      </c>
      <c r="JZ178" s="7" t="s">
        <v>320</v>
      </c>
      <c r="KG178" s="4" t="s">
        <v>323</v>
      </c>
      <c r="KM178" s="4" t="s">
        <v>471</v>
      </c>
      <c r="KN178" s="4" t="s">
        <v>836</v>
      </c>
      <c r="KP178" s="5" t="s">
        <v>358</v>
      </c>
      <c r="KQ178" s="5" t="s">
        <v>7031</v>
      </c>
      <c r="KS178" s="5" t="s">
        <v>4190</v>
      </c>
      <c r="KT178" s="5" t="s">
        <v>1517</v>
      </c>
    </row>
    <row r="179" spans="1:306" ht="132" x14ac:dyDescent="0.25">
      <c r="A179" s="5" t="s">
        <v>6136</v>
      </c>
      <c r="B179" s="4" t="s">
        <v>455</v>
      </c>
      <c r="C179" s="7" t="s">
        <v>686</v>
      </c>
      <c r="D179" s="8" t="s">
        <v>6137</v>
      </c>
      <c r="E179" s="4">
        <v>806246</v>
      </c>
      <c r="G179" s="4" t="s">
        <v>530</v>
      </c>
      <c r="H179" s="6">
        <v>132.09790000000001</v>
      </c>
      <c r="I179" s="6">
        <v>-13.3415</v>
      </c>
      <c r="J179" s="4" t="s">
        <v>6138</v>
      </c>
      <c r="K179" s="4" t="s">
        <v>481</v>
      </c>
      <c r="L179" s="4" t="s">
        <v>532</v>
      </c>
      <c r="Q179" s="8"/>
      <c r="R179" s="8"/>
      <c r="Z179" s="4" t="s">
        <v>455</v>
      </c>
      <c r="AA179" s="7" t="s">
        <v>686</v>
      </c>
      <c r="AB179" s="8" t="s">
        <v>6137</v>
      </c>
      <c r="AC179" s="4" t="s">
        <v>301</v>
      </c>
      <c r="AD179" s="4" t="s">
        <v>302</v>
      </c>
      <c r="AE179" s="8">
        <v>2021</v>
      </c>
      <c r="AF179" s="8">
        <v>10</v>
      </c>
      <c r="AG179" s="9" t="s">
        <v>379</v>
      </c>
      <c r="AH179" s="9" t="s">
        <v>460</v>
      </c>
      <c r="AI179" s="9" t="s">
        <v>373</v>
      </c>
      <c r="AJ179" s="9" t="s">
        <v>306</v>
      </c>
      <c r="AK179" s="9" t="s">
        <v>307</v>
      </c>
      <c r="AL179" s="9" t="s">
        <v>337</v>
      </c>
      <c r="AM179" s="8">
        <v>3</v>
      </c>
      <c r="DZ179" s="31"/>
      <c r="GP179" s="32"/>
      <c r="GY179" s="6" t="s">
        <v>407</v>
      </c>
      <c r="HD179" s="8" t="s">
        <v>2201</v>
      </c>
      <c r="HE179" s="8">
        <v>11438</v>
      </c>
      <c r="HF179" s="8" t="s">
        <v>6139</v>
      </c>
      <c r="HG179" s="9" t="s">
        <v>538</v>
      </c>
      <c r="IB179" s="8" t="s">
        <v>832</v>
      </c>
      <c r="IE179" s="8" t="s">
        <v>507</v>
      </c>
      <c r="IF179" s="8" t="s">
        <v>445</v>
      </c>
      <c r="IG179" s="8" t="s">
        <v>6140</v>
      </c>
      <c r="IH179" s="8">
        <v>17326</v>
      </c>
      <c r="II179" s="8" t="s">
        <v>6141</v>
      </c>
      <c r="IJ179" s="8" t="s">
        <v>538</v>
      </c>
      <c r="IK179" s="8" t="s">
        <v>350</v>
      </c>
      <c r="IW179" s="8"/>
      <c r="JB179" s="8"/>
      <c r="JX179" s="7" t="s">
        <v>320</v>
      </c>
      <c r="KG179" s="4" t="s">
        <v>323</v>
      </c>
      <c r="KP179" s="5" t="s">
        <v>6142</v>
      </c>
      <c r="KQ179" s="5" t="s">
        <v>6143</v>
      </c>
      <c r="KR179" s="5" t="s">
        <v>6144</v>
      </c>
      <c r="KT179" s="5" t="s">
        <v>6145</v>
      </c>
    </row>
    <row r="180" spans="1:306" ht="24" x14ac:dyDescent="0.25">
      <c r="A180" s="5" t="s">
        <v>7153</v>
      </c>
      <c r="B180" s="4" t="s">
        <v>455</v>
      </c>
      <c r="C180" s="7" t="s">
        <v>686</v>
      </c>
      <c r="D180" s="8" t="s">
        <v>6137</v>
      </c>
      <c r="E180" s="4">
        <v>334936</v>
      </c>
      <c r="G180" s="4" t="s">
        <v>479</v>
      </c>
      <c r="H180" s="6">
        <v>138.589</v>
      </c>
      <c r="I180" s="6">
        <v>-18.7441</v>
      </c>
      <c r="J180" s="4" t="s">
        <v>2087</v>
      </c>
      <c r="K180" s="4" t="s">
        <v>481</v>
      </c>
      <c r="L180" s="4" t="s">
        <v>651</v>
      </c>
      <c r="M180" s="4" t="s">
        <v>1972</v>
      </c>
      <c r="Q180" s="4"/>
      <c r="R180" s="4"/>
      <c r="S180" s="4"/>
      <c r="T180" s="4"/>
      <c r="U180" s="4"/>
      <c r="V180" s="4"/>
      <c r="W180" s="4"/>
      <c r="X180" s="4"/>
      <c r="Z180" s="4" t="s">
        <v>455</v>
      </c>
      <c r="AA180" s="7" t="s">
        <v>686</v>
      </c>
      <c r="AB180" s="8" t="s">
        <v>6137</v>
      </c>
      <c r="AC180" s="4" t="s">
        <v>301</v>
      </c>
      <c r="AE180" s="4">
        <v>1565</v>
      </c>
      <c r="AF180" s="4"/>
      <c r="AG180" s="4" t="s">
        <v>303</v>
      </c>
      <c r="AH180" s="4" t="s">
        <v>304</v>
      </c>
      <c r="AI180" s="4" t="s">
        <v>1118</v>
      </c>
      <c r="AJ180" s="4" t="s">
        <v>1080</v>
      </c>
      <c r="AK180" s="4" t="s">
        <v>600</v>
      </c>
      <c r="AL180" s="4"/>
      <c r="AM180" s="8">
        <v>3</v>
      </c>
      <c r="BP180" s="7">
        <v>2.7</v>
      </c>
      <c r="BQ180" s="4"/>
      <c r="BR180" s="4"/>
      <c r="BS180" s="4">
        <v>6.9</v>
      </c>
      <c r="BT180" s="4">
        <v>12.5</v>
      </c>
      <c r="BU180" s="4">
        <v>120</v>
      </c>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31"/>
      <c r="EA180" s="4"/>
      <c r="EB180" s="4"/>
      <c r="EC180" s="4"/>
      <c r="ED180" s="4"/>
      <c r="EE180" s="4"/>
      <c r="EF180" s="4"/>
      <c r="EG180" s="4"/>
      <c r="EI180" s="10">
        <f>BP180*BS180/100</f>
        <v>0.18630000000000002</v>
      </c>
      <c r="EJ180" s="10">
        <f>BP180*BT180/100</f>
        <v>0.33750000000000002</v>
      </c>
      <c r="EK180" s="10">
        <f>BP180*BU180/1000</f>
        <v>0.32400000000000001</v>
      </c>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32"/>
      <c r="GQ180" s="4"/>
      <c r="GR180" s="4"/>
      <c r="GS180" s="4"/>
      <c r="GT180" s="4"/>
      <c r="GU180" s="4"/>
      <c r="GV180" s="4"/>
      <c r="GW180" s="4"/>
      <c r="GX180" s="4"/>
      <c r="GY180" s="4" t="s">
        <v>338</v>
      </c>
      <c r="GZ180" s="4" t="s">
        <v>1699</v>
      </c>
      <c r="HA180" s="4" t="s">
        <v>462</v>
      </c>
      <c r="HB180" s="4"/>
      <c r="HC180" s="4" t="s">
        <v>2089</v>
      </c>
      <c r="HD180" s="4" t="s">
        <v>7154</v>
      </c>
      <c r="HE180" s="8">
        <v>10261</v>
      </c>
      <c r="HF180" s="4" t="s">
        <v>2091</v>
      </c>
      <c r="HG180" s="4" t="s">
        <v>487</v>
      </c>
      <c r="HL180" s="4"/>
      <c r="HN180" s="4"/>
      <c r="HO180" s="4"/>
      <c r="HP180" s="4"/>
      <c r="HR180" s="4"/>
      <c r="HS180" s="4"/>
      <c r="HT180" s="4"/>
      <c r="HU180" s="4"/>
      <c r="HV180" s="4"/>
      <c r="HW180" s="4"/>
      <c r="HX180" s="4"/>
      <c r="HY180" s="4"/>
      <c r="HZ180" s="4"/>
      <c r="IA180" s="4"/>
      <c r="IB180" s="4"/>
      <c r="ID180" s="4"/>
      <c r="IE180" s="4"/>
      <c r="IF180" s="4"/>
      <c r="IG180" s="4"/>
      <c r="IH180" s="4"/>
      <c r="II180" s="4"/>
      <c r="IJ180" s="4"/>
      <c r="IK180" s="4"/>
      <c r="IL180" s="4"/>
      <c r="IN180" s="4"/>
      <c r="IO180" s="4"/>
      <c r="IP180" s="4"/>
      <c r="IQ180" s="4"/>
      <c r="IR180" s="4"/>
      <c r="IS180" s="4"/>
      <c r="IT180" s="4"/>
      <c r="IU180" s="4"/>
      <c r="IV180" s="4"/>
      <c r="IW180" s="4"/>
      <c r="IX180" s="4"/>
      <c r="IY180" s="4"/>
      <c r="IZ180" s="4"/>
      <c r="JA180" s="4"/>
      <c r="JB180" s="4"/>
      <c r="JC180" s="4"/>
      <c r="JD180" s="4"/>
      <c r="JE180" s="4"/>
      <c r="JF180" s="4"/>
      <c r="JG180" s="4"/>
      <c r="JH180" s="4"/>
      <c r="JI180" s="4"/>
      <c r="JJ180" s="4"/>
      <c r="JK180" s="4"/>
      <c r="JL180" s="4"/>
      <c r="JM180" s="4"/>
      <c r="JN180" s="4"/>
      <c r="JO180" s="4"/>
      <c r="JP180" s="4"/>
      <c r="JQ180" s="4"/>
      <c r="JR180" s="4"/>
      <c r="JS180" s="4"/>
      <c r="JT180" s="4"/>
      <c r="JU180" s="4"/>
      <c r="JV180" s="4"/>
      <c r="JW180" s="4"/>
      <c r="JX180" s="4" t="s">
        <v>320</v>
      </c>
      <c r="JY180" s="4"/>
      <c r="JZ180" s="4"/>
      <c r="KA180" s="4"/>
      <c r="KB180" s="4"/>
      <c r="KC180" s="4"/>
      <c r="KD180" s="4"/>
      <c r="KE180" s="4"/>
      <c r="KF180" s="4"/>
      <c r="KG180" s="4" t="s">
        <v>323</v>
      </c>
      <c r="KM180" s="4" t="s">
        <v>471</v>
      </c>
      <c r="KN180" s="4" t="s">
        <v>471</v>
      </c>
      <c r="KP180" s="5" t="s">
        <v>358</v>
      </c>
      <c r="KQ180" s="5" t="s">
        <v>7155</v>
      </c>
      <c r="KR180" s="5" t="s">
        <v>7156</v>
      </c>
      <c r="KS180" s="5" t="s">
        <v>7157</v>
      </c>
      <c r="KT180" s="5" t="s">
        <v>7158</v>
      </c>
    </row>
    <row r="181" spans="1:306" ht="48" x14ac:dyDescent="0.25">
      <c r="A181" s="5" t="s">
        <v>2087</v>
      </c>
      <c r="B181" s="4" t="s">
        <v>455</v>
      </c>
      <c r="C181" s="7" t="s">
        <v>686</v>
      </c>
      <c r="D181" s="8" t="s">
        <v>2088</v>
      </c>
      <c r="E181" s="4">
        <v>335378</v>
      </c>
      <c r="G181" s="4" t="s">
        <v>479</v>
      </c>
      <c r="H181" s="6">
        <v>138.625</v>
      </c>
      <c r="I181" s="6">
        <v>-18.738099999999999</v>
      </c>
      <c r="J181" s="4" t="s">
        <v>2087</v>
      </c>
      <c r="K181" s="4" t="s">
        <v>481</v>
      </c>
      <c r="L181" s="4" t="s">
        <v>651</v>
      </c>
      <c r="M181" s="4" t="s">
        <v>1972</v>
      </c>
      <c r="Q181" s="4"/>
      <c r="R181" s="4"/>
      <c r="S181" s="4"/>
      <c r="T181" s="4"/>
      <c r="U181" s="4"/>
      <c r="V181" s="4"/>
      <c r="W181" s="4"/>
      <c r="X181" s="4"/>
      <c r="Z181" s="4" t="s">
        <v>455</v>
      </c>
      <c r="AA181" s="7" t="s">
        <v>686</v>
      </c>
      <c r="AB181" s="8" t="s">
        <v>2088</v>
      </c>
      <c r="AC181" s="4" t="s">
        <v>301</v>
      </c>
      <c r="AD181" s="4" t="s">
        <v>302</v>
      </c>
      <c r="AE181" s="4">
        <v>1573</v>
      </c>
      <c r="AF181" s="4"/>
      <c r="AG181" s="4" t="s">
        <v>303</v>
      </c>
      <c r="AH181" s="4" t="s">
        <v>304</v>
      </c>
      <c r="AI181" s="4" t="s">
        <v>1118</v>
      </c>
      <c r="AJ181" s="4" t="s">
        <v>1080</v>
      </c>
      <c r="AK181" s="4" t="s">
        <v>600</v>
      </c>
      <c r="AL181" s="4"/>
      <c r="AM181" s="8">
        <v>3</v>
      </c>
      <c r="BP181" s="7">
        <v>167.5</v>
      </c>
      <c r="BQ181" s="4"/>
      <c r="BR181" s="4"/>
      <c r="BS181" s="4">
        <v>8.1999999999999993</v>
      </c>
      <c r="BT181" s="4">
        <v>1.2</v>
      </c>
      <c r="BU181" s="4">
        <v>33</v>
      </c>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31"/>
      <c r="EA181" s="4"/>
      <c r="EB181" s="4"/>
      <c r="EC181" s="4"/>
      <c r="ED181" s="4"/>
      <c r="EE181" s="4"/>
      <c r="EF181" s="4"/>
      <c r="EG181" s="4"/>
      <c r="EI181" s="10">
        <f>BP181*BS181/100</f>
        <v>13.734999999999998</v>
      </c>
      <c r="EJ181" s="10">
        <f>BP181*BT181/100</f>
        <v>2.0099999999999998</v>
      </c>
      <c r="EK181" s="10">
        <f>BP181*BU181/1000</f>
        <v>5.5274999999999999</v>
      </c>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32"/>
      <c r="GQ181" s="4"/>
      <c r="GR181" s="4"/>
      <c r="GS181" s="4"/>
      <c r="GT181" s="4"/>
      <c r="GU181" s="4"/>
      <c r="GV181" s="4"/>
      <c r="GW181" s="4"/>
      <c r="GX181" s="4"/>
      <c r="GY181" s="4" t="s">
        <v>338</v>
      </c>
      <c r="GZ181" s="4" t="s">
        <v>1049</v>
      </c>
      <c r="HA181" s="4" t="s">
        <v>339</v>
      </c>
      <c r="HB181" s="4" t="s">
        <v>462</v>
      </c>
      <c r="HC181" s="4" t="s">
        <v>2089</v>
      </c>
      <c r="HD181" s="4" t="s">
        <v>2090</v>
      </c>
      <c r="HE181" s="8">
        <v>10261</v>
      </c>
      <c r="HF181" s="4" t="s">
        <v>2091</v>
      </c>
      <c r="HG181" s="4" t="s">
        <v>487</v>
      </c>
      <c r="HL181" s="4"/>
      <c r="HN181" s="4"/>
      <c r="HO181" s="4"/>
      <c r="HP181" s="4"/>
      <c r="HR181" s="4"/>
      <c r="HS181" s="4"/>
      <c r="HT181" s="4"/>
      <c r="HU181" s="4"/>
      <c r="HV181" s="4"/>
      <c r="HW181" s="4"/>
      <c r="HX181" s="4"/>
      <c r="HY181" s="4"/>
      <c r="HZ181" s="4"/>
      <c r="IA181" s="4"/>
      <c r="IB181" s="4"/>
      <c r="ID181" s="4"/>
      <c r="IE181" s="4"/>
      <c r="IF181" s="4"/>
      <c r="IG181" s="4"/>
      <c r="IH181" s="4"/>
      <c r="II181" s="4"/>
      <c r="IJ181" s="4"/>
      <c r="IK181" s="4"/>
      <c r="IL181" s="4"/>
      <c r="IN181" s="4"/>
      <c r="IO181" s="4"/>
      <c r="IP181" s="4"/>
      <c r="IQ181" s="4"/>
      <c r="IR181" s="4"/>
      <c r="IS181" s="4"/>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t="s">
        <v>2092</v>
      </c>
      <c r="JW181" s="4"/>
      <c r="JX181" s="4" t="s">
        <v>320</v>
      </c>
      <c r="JY181" s="4"/>
      <c r="JZ181" s="4"/>
      <c r="KA181" s="4"/>
      <c r="KB181" s="4"/>
      <c r="KC181" s="4"/>
      <c r="KD181" s="4"/>
      <c r="KE181" s="4"/>
      <c r="KF181" s="4"/>
      <c r="KG181" s="4" t="s">
        <v>323</v>
      </c>
      <c r="KM181" s="4" t="s">
        <v>471</v>
      </c>
      <c r="KN181" s="4" t="s">
        <v>471</v>
      </c>
      <c r="KP181" s="5" t="s">
        <v>358</v>
      </c>
      <c r="KQ181" s="5" t="s">
        <v>2093</v>
      </c>
      <c r="KR181" s="5" t="s">
        <v>2094</v>
      </c>
      <c r="KS181" s="5" t="s">
        <v>2095</v>
      </c>
      <c r="KT181" s="5" t="s">
        <v>2096</v>
      </c>
    </row>
    <row r="182" spans="1:306" ht="60" x14ac:dyDescent="0.25">
      <c r="A182" s="5" t="s">
        <v>2853</v>
      </c>
      <c r="B182" s="4" t="s">
        <v>455</v>
      </c>
      <c r="C182" s="7" t="s">
        <v>686</v>
      </c>
      <c r="D182" s="8" t="s">
        <v>2088</v>
      </c>
      <c r="E182" s="4">
        <v>335006</v>
      </c>
      <c r="G182" s="4" t="s">
        <v>479</v>
      </c>
      <c r="H182" s="6">
        <v>140.1558</v>
      </c>
      <c r="I182" s="6">
        <v>-20.2545</v>
      </c>
      <c r="J182" s="4" t="s">
        <v>1949</v>
      </c>
      <c r="K182" s="4" t="s">
        <v>481</v>
      </c>
      <c r="L182" s="4" t="s">
        <v>651</v>
      </c>
      <c r="M182" s="4" t="s">
        <v>1950</v>
      </c>
      <c r="Q182" s="4"/>
      <c r="R182" s="4"/>
      <c r="S182" s="4"/>
      <c r="T182" s="4"/>
      <c r="U182" s="4"/>
      <c r="V182" s="4"/>
      <c r="W182" s="4"/>
      <c r="X182" s="4"/>
      <c r="Z182" s="4" t="s">
        <v>455</v>
      </c>
      <c r="AA182" s="7" t="s">
        <v>686</v>
      </c>
      <c r="AB182" s="8" t="s">
        <v>2088</v>
      </c>
      <c r="AC182" s="4" t="s">
        <v>301</v>
      </c>
      <c r="AD182" s="4" t="s">
        <v>375</v>
      </c>
      <c r="AE182" s="4">
        <v>1662</v>
      </c>
      <c r="AF182" s="4"/>
      <c r="AG182" s="4" t="s">
        <v>303</v>
      </c>
      <c r="AH182" s="4" t="s">
        <v>304</v>
      </c>
      <c r="AI182" s="4" t="s">
        <v>1118</v>
      </c>
      <c r="AJ182" s="4" t="s">
        <v>1080</v>
      </c>
      <c r="AK182" s="4" t="s">
        <v>600</v>
      </c>
      <c r="AL182" s="4"/>
      <c r="AM182" s="8">
        <v>3</v>
      </c>
      <c r="AN182" s="4" t="s">
        <v>381</v>
      </c>
      <c r="AO182" s="4" t="s">
        <v>402</v>
      </c>
      <c r="AP182" s="4" t="s">
        <v>383</v>
      </c>
      <c r="AQ182" s="7" t="s">
        <v>384</v>
      </c>
      <c r="AR182" s="8" t="s">
        <v>1048</v>
      </c>
      <c r="AS182" s="7">
        <v>0</v>
      </c>
      <c r="AT182" s="7">
        <v>0</v>
      </c>
      <c r="AU182" s="9" t="s">
        <v>303</v>
      </c>
      <c r="AV182" s="9" t="s">
        <v>406</v>
      </c>
      <c r="BA182" s="8">
        <v>5</v>
      </c>
      <c r="BP182" s="7">
        <v>72.497</v>
      </c>
      <c r="BQ182" s="4"/>
      <c r="BR182" s="7">
        <v>0.11</v>
      </c>
      <c r="BS182" s="7">
        <v>10.52</v>
      </c>
      <c r="BT182" s="7">
        <v>1.38</v>
      </c>
      <c r="BU182" s="8">
        <v>21.15</v>
      </c>
      <c r="BV182" s="6">
        <v>0.01</v>
      </c>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31"/>
      <c r="EA182" s="4"/>
      <c r="EB182" s="4"/>
      <c r="EC182" s="4"/>
      <c r="ED182" s="4"/>
      <c r="EE182" s="4"/>
      <c r="EF182" s="4"/>
      <c r="EG182" s="4"/>
      <c r="EH182" s="10">
        <f>BP182*BR182/100</f>
        <v>7.9746700000000004E-2</v>
      </c>
      <c r="EI182" s="10">
        <f>BP182*BS182/100</f>
        <v>7.6266843999999994</v>
      </c>
      <c r="EJ182" s="10">
        <f>BP182*BT182/100</f>
        <v>1.0004586</v>
      </c>
      <c r="EK182" s="10">
        <f>BP182*BU182/1000</f>
        <v>1.5333115499999999</v>
      </c>
      <c r="EL182" s="6">
        <f>BP182*BV182</f>
        <v>0.72497</v>
      </c>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32"/>
      <c r="GQ182" s="4"/>
      <c r="GR182" s="4"/>
      <c r="GS182" s="4"/>
      <c r="GT182" s="4"/>
      <c r="GU182" s="4"/>
      <c r="GV182" s="4"/>
      <c r="GW182" s="4"/>
      <c r="GX182" s="4"/>
      <c r="GY182" s="4" t="s">
        <v>338</v>
      </c>
      <c r="GZ182" s="4" t="s">
        <v>1049</v>
      </c>
      <c r="HA182" s="4" t="s">
        <v>339</v>
      </c>
      <c r="HB182" s="4" t="s">
        <v>2854</v>
      </c>
      <c r="HC182" s="4"/>
      <c r="HD182" s="4" t="s">
        <v>2855</v>
      </c>
      <c r="HE182" s="8">
        <v>5776</v>
      </c>
      <c r="HF182" s="4" t="s">
        <v>2856</v>
      </c>
      <c r="HG182" s="4" t="s">
        <v>490</v>
      </c>
      <c r="HH182" s="4"/>
      <c r="HJ182" s="4"/>
      <c r="HK182" s="4"/>
      <c r="HL182" s="4"/>
      <c r="HN182" s="4"/>
      <c r="HO182" s="4"/>
      <c r="HP182" s="4"/>
      <c r="HR182" s="4"/>
      <c r="HS182" s="4"/>
      <c r="HT182" s="4"/>
      <c r="HU182" s="4"/>
      <c r="HV182" s="4"/>
      <c r="HW182" s="4"/>
      <c r="HX182" s="4"/>
      <c r="HY182" s="4"/>
      <c r="HZ182" s="4"/>
      <c r="IA182" s="4"/>
      <c r="IB182" s="4"/>
      <c r="ID182" s="4" t="s">
        <v>702</v>
      </c>
      <c r="IE182" s="4" t="s">
        <v>538</v>
      </c>
      <c r="IF182" s="4" t="s">
        <v>350</v>
      </c>
      <c r="IG182" s="4"/>
      <c r="IH182" s="4"/>
      <c r="II182" s="4"/>
      <c r="IJ182" s="4"/>
      <c r="IK182" s="4"/>
      <c r="IL182" s="4"/>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t="s">
        <v>2857</v>
      </c>
      <c r="JW182" s="4"/>
      <c r="JX182" s="4" t="s">
        <v>322</v>
      </c>
      <c r="JY182" s="4" t="s">
        <v>354</v>
      </c>
      <c r="JZ182" s="4" t="s">
        <v>320</v>
      </c>
      <c r="KA182" s="4"/>
      <c r="KB182" s="4"/>
      <c r="KC182" s="4"/>
      <c r="KD182" s="4"/>
      <c r="KE182" s="4"/>
      <c r="KF182" s="4"/>
      <c r="KG182" s="4" t="s">
        <v>323</v>
      </c>
      <c r="KM182" s="4" t="s">
        <v>521</v>
      </c>
      <c r="KN182" s="4" t="s">
        <v>522</v>
      </c>
      <c r="KO182" s="4" t="s">
        <v>350</v>
      </c>
      <c r="KP182" s="5" t="s">
        <v>358</v>
      </c>
      <c r="KQ182" s="5" t="s">
        <v>2858</v>
      </c>
      <c r="KR182" s="5" t="s">
        <v>1958</v>
      </c>
      <c r="KS182" s="5" t="s">
        <v>2859</v>
      </c>
      <c r="KT182" s="5" t="s">
        <v>2860</v>
      </c>
    </row>
    <row r="183" spans="1:306" ht="72" x14ac:dyDescent="0.2">
      <c r="A183" s="5" t="s">
        <v>3732</v>
      </c>
      <c r="B183" s="4" t="s">
        <v>455</v>
      </c>
      <c r="C183" s="7" t="s">
        <v>686</v>
      </c>
      <c r="D183" s="8" t="s">
        <v>2088</v>
      </c>
      <c r="E183" s="44">
        <v>859607</v>
      </c>
      <c r="F183" s="4">
        <v>1166951</v>
      </c>
      <c r="G183" s="4" t="s">
        <v>479</v>
      </c>
      <c r="H183" s="6">
        <v>138.80392499999999</v>
      </c>
      <c r="I183" s="6">
        <v>-19.074580000000001</v>
      </c>
      <c r="J183" s="4" t="s">
        <v>2087</v>
      </c>
      <c r="K183" s="4" t="s">
        <v>481</v>
      </c>
      <c r="L183" s="4" t="s">
        <v>651</v>
      </c>
      <c r="M183" s="4" t="s">
        <v>1972</v>
      </c>
      <c r="Q183" s="4"/>
      <c r="R183" s="4"/>
      <c r="S183" s="4"/>
      <c r="T183" s="4"/>
      <c r="U183" s="4"/>
      <c r="V183" s="4"/>
      <c r="W183" s="4"/>
      <c r="X183" s="4"/>
      <c r="Z183" s="4" t="s">
        <v>455</v>
      </c>
      <c r="AA183" s="7" t="s">
        <v>686</v>
      </c>
      <c r="AB183" s="8" t="s">
        <v>2088</v>
      </c>
      <c r="AC183" s="4" t="s">
        <v>301</v>
      </c>
      <c r="AD183" s="4" t="s">
        <v>375</v>
      </c>
      <c r="AE183" s="4">
        <v>1602</v>
      </c>
      <c r="AF183" s="4"/>
      <c r="AG183" s="4" t="s">
        <v>303</v>
      </c>
      <c r="AH183" s="4" t="s">
        <v>304</v>
      </c>
      <c r="AI183" s="4" t="s">
        <v>1118</v>
      </c>
      <c r="AJ183" s="4" t="s">
        <v>1080</v>
      </c>
      <c r="AK183" s="4" t="s">
        <v>600</v>
      </c>
      <c r="AL183" s="4"/>
      <c r="AM183" s="8">
        <v>3</v>
      </c>
      <c r="AN183" s="4" t="s">
        <v>381</v>
      </c>
      <c r="AO183" s="4" t="s">
        <v>402</v>
      </c>
      <c r="AP183" s="4" t="s">
        <v>383</v>
      </c>
      <c r="AQ183" s="7" t="s">
        <v>384</v>
      </c>
      <c r="AR183" s="8" t="s">
        <v>827</v>
      </c>
      <c r="AS183" s="7">
        <v>0</v>
      </c>
      <c r="AT183" s="7">
        <v>0</v>
      </c>
      <c r="AU183" s="9" t="s">
        <v>303</v>
      </c>
      <c r="AV183" s="9" t="s">
        <v>406</v>
      </c>
      <c r="BA183" s="8">
        <v>5</v>
      </c>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31"/>
      <c r="EA183" s="4"/>
      <c r="EB183" s="4"/>
      <c r="EC183" s="4"/>
      <c r="ED183" s="4"/>
      <c r="EE183" s="4"/>
      <c r="EF183" s="4"/>
      <c r="EG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32"/>
      <c r="GQ183" s="4"/>
      <c r="GR183" s="4"/>
      <c r="GS183" s="4"/>
      <c r="GT183" s="4"/>
      <c r="GU183" s="4"/>
      <c r="GV183" s="4"/>
      <c r="GW183" s="4"/>
      <c r="GX183" s="4"/>
      <c r="GY183" s="4" t="s">
        <v>407</v>
      </c>
      <c r="GZ183" s="4"/>
      <c r="HA183" s="4"/>
      <c r="HB183" s="4"/>
      <c r="HC183" s="4"/>
      <c r="HD183" s="4" t="s">
        <v>3733</v>
      </c>
      <c r="HE183" s="8">
        <v>24472</v>
      </c>
      <c r="HF183" s="4" t="s">
        <v>3734</v>
      </c>
      <c r="HG183" s="4" t="s">
        <v>490</v>
      </c>
      <c r="HJ183" s="4"/>
      <c r="HK183" s="4"/>
      <c r="HL183" s="4"/>
      <c r="HN183" s="4"/>
      <c r="HO183" s="4"/>
      <c r="HP183" s="4"/>
      <c r="HR183" s="4"/>
      <c r="HS183" s="4"/>
      <c r="HT183" s="4"/>
      <c r="HU183" s="4"/>
      <c r="HV183" s="4"/>
      <c r="HW183" s="4"/>
      <c r="HX183" s="4"/>
      <c r="HY183" s="4"/>
      <c r="HZ183" s="4"/>
      <c r="IA183" s="4"/>
      <c r="IB183" s="4"/>
      <c r="ID183" s="4"/>
      <c r="IE183" s="4"/>
      <c r="IF183" s="4"/>
      <c r="IG183" s="4"/>
      <c r="IH183" s="4"/>
      <c r="II183" s="4"/>
      <c r="IJ183" s="4"/>
      <c r="IK183" s="4"/>
      <c r="IL183" s="4"/>
      <c r="IN183" s="4"/>
      <c r="IO183" s="4"/>
      <c r="IP183" s="4"/>
      <c r="IQ183" s="4"/>
      <c r="IR183" s="4"/>
      <c r="IS183" s="4"/>
      <c r="IT183" s="4"/>
      <c r="IU183" s="4"/>
      <c r="IV183" s="4"/>
      <c r="IW183" s="4"/>
      <c r="IX183" s="4"/>
      <c r="IY183" s="4"/>
      <c r="IZ183" s="4"/>
      <c r="JA183" s="4"/>
      <c r="JB183" s="4"/>
      <c r="JC183" s="4"/>
      <c r="JD183" s="4"/>
      <c r="JE183" s="4"/>
      <c r="JF183" s="4"/>
      <c r="JG183" s="4"/>
      <c r="JH183" s="4"/>
      <c r="JI183" s="4"/>
      <c r="JJ183" s="4"/>
      <c r="JK183" s="4"/>
      <c r="JL183" s="4"/>
      <c r="JM183" s="4"/>
      <c r="JN183" s="4"/>
      <c r="JO183" s="4"/>
      <c r="JP183" s="4"/>
      <c r="JQ183" s="4"/>
      <c r="JR183" s="4"/>
      <c r="JS183" s="4"/>
      <c r="JT183" s="4"/>
      <c r="JU183" s="4"/>
      <c r="JV183" s="4" t="s">
        <v>3735</v>
      </c>
      <c r="JW183" s="4"/>
      <c r="JX183" s="4" t="s">
        <v>320</v>
      </c>
      <c r="JY183" s="4"/>
      <c r="JZ183" s="4"/>
      <c r="KA183" s="4"/>
      <c r="KB183" s="4"/>
      <c r="KC183" s="4"/>
      <c r="KD183" s="4"/>
      <c r="KE183" s="4"/>
      <c r="KF183" s="4"/>
      <c r="KG183" s="4" t="s">
        <v>356</v>
      </c>
      <c r="KH183" s="4" t="s">
        <v>1317</v>
      </c>
      <c r="KM183" s="4" t="s">
        <v>471</v>
      </c>
      <c r="KN183" s="4" t="s">
        <v>471</v>
      </c>
      <c r="KO183" s="4" t="s">
        <v>350</v>
      </c>
      <c r="KP183" s="5" t="s">
        <v>3736</v>
      </c>
      <c r="KQ183" s="5" t="s">
        <v>3737</v>
      </c>
      <c r="KR183" s="5" t="s">
        <v>1825</v>
      </c>
      <c r="KT183" s="5" t="s">
        <v>3738</v>
      </c>
    </row>
    <row r="184" spans="1:306" ht="84" x14ac:dyDescent="0.25">
      <c r="A184" s="5" t="s">
        <v>4065</v>
      </c>
      <c r="B184" s="4" t="s">
        <v>455</v>
      </c>
      <c r="C184" s="7" t="s">
        <v>686</v>
      </c>
      <c r="D184" s="8" t="s">
        <v>2088</v>
      </c>
      <c r="E184" s="4">
        <v>333688</v>
      </c>
      <c r="G184" s="4" t="s">
        <v>479</v>
      </c>
      <c r="H184" s="6">
        <v>139.47200000000001</v>
      </c>
      <c r="I184" s="6">
        <v>-20.571100000000001</v>
      </c>
      <c r="J184" s="4" t="s">
        <v>4066</v>
      </c>
      <c r="K184" s="4" t="s">
        <v>481</v>
      </c>
      <c r="L184" s="4" t="s">
        <v>651</v>
      </c>
      <c r="M184" s="4" t="s">
        <v>1972</v>
      </c>
      <c r="Q184" s="4"/>
      <c r="R184" s="4"/>
      <c r="S184" s="4"/>
      <c r="T184" s="4"/>
      <c r="U184" s="4"/>
      <c r="V184" s="4"/>
      <c r="W184" s="4"/>
      <c r="X184" s="4"/>
      <c r="Z184" s="4" t="s">
        <v>455</v>
      </c>
      <c r="AA184" s="7" t="s">
        <v>686</v>
      </c>
      <c r="AB184" s="8" t="s">
        <v>2088</v>
      </c>
      <c r="AC184" s="4" t="s">
        <v>301</v>
      </c>
      <c r="AD184" s="4" t="s">
        <v>375</v>
      </c>
      <c r="AE184" s="4">
        <v>1655</v>
      </c>
      <c r="AF184" s="4">
        <v>4</v>
      </c>
      <c r="AG184" s="4" t="s">
        <v>379</v>
      </c>
      <c r="AH184" s="4" t="s">
        <v>372</v>
      </c>
      <c r="AI184" s="4" t="s">
        <v>373</v>
      </c>
      <c r="AJ184" s="4" t="s">
        <v>306</v>
      </c>
      <c r="AK184" s="4" t="s">
        <v>307</v>
      </c>
      <c r="AL184" s="4" t="s">
        <v>337</v>
      </c>
      <c r="AM184" s="8">
        <v>4</v>
      </c>
      <c r="AN184" s="4" t="s">
        <v>381</v>
      </c>
      <c r="AO184" s="4" t="s">
        <v>402</v>
      </c>
      <c r="AP184" s="4" t="s">
        <v>383</v>
      </c>
      <c r="AQ184" s="7" t="s">
        <v>384</v>
      </c>
      <c r="AR184" s="8" t="s">
        <v>1048</v>
      </c>
      <c r="AS184" s="7">
        <v>0</v>
      </c>
      <c r="AT184" s="7">
        <v>0</v>
      </c>
      <c r="AU184" s="9" t="s">
        <v>303</v>
      </c>
      <c r="AV184" s="9" t="s">
        <v>406</v>
      </c>
      <c r="BA184" s="8">
        <v>5</v>
      </c>
      <c r="BP184" s="7">
        <f>108+120</f>
        <v>228</v>
      </c>
      <c r="BQ184" s="4"/>
      <c r="BR184" s="4"/>
      <c r="BS184" s="7">
        <f>(11.1*108+10.2*120)/(108+120)</f>
        <v>10.626315789473685</v>
      </c>
      <c r="BT184" s="7">
        <f>(5.4*108+5.5*120)/(108+120)</f>
        <v>5.4526315789473685</v>
      </c>
      <c r="BU184" s="8">
        <f>(93*108+100*120)/(108+120)</f>
        <v>96.684210526315795</v>
      </c>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31"/>
      <c r="EA184" s="4"/>
      <c r="EB184" s="4"/>
      <c r="EC184" s="4"/>
      <c r="ED184" s="4"/>
      <c r="EE184" s="4"/>
      <c r="EF184" s="4"/>
      <c r="EG184" s="4"/>
      <c r="EI184" s="7">
        <f t="shared" ref="EI184:EI194" si="12">BP184*BS184/100</f>
        <v>24.228000000000002</v>
      </c>
      <c r="EJ184" s="7">
        <f t="shared" ref="EJ184:EJ194" si="13">BP184*BT184/100</f>
        <v>12.432</v>
      </c>
      <c r="EK184" s="7">
        <f>BP184*BU184/1000</f>
        <v>22.044</v>
      </c>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32"/>
      <c r="GQ184" s="4"/>
      <c r="GR184" s="4"/>
      <c r="GS184" s="4"/>
      <c r="GT184" s="4"/>
      <c r="GU184" s="4"/>
      <c r="GV184" s="4"/>
      <c r="GW184" s="4"/>
      <c r="GX184" s="4"/>
      <c r="GY184" s="4" t="s">
        <v>309</v>
      </c>
      <c r="GZ184" s="4" t="s">
        <v>461</v>
      </c>
      <c r="HA184" s="4" t="s">
        <v>462</v>
      </c>
      <c r="HB184" s="4"/>
      <c r="HC184" s="4" t="s">
        <v>2089</v>
      </c>
      <c r="HD184" s="4" t="s">
        <v>4067</v>
      </c>
      <c r="HE184" s="8">
        <v>19007</v>
      </c>
      <c r="HF184" s="4" t="s">
        <v>4068</v>
      </c>
      <c r="HG184" s="4" t="s">
        <v>490</v>
      </c>
      <c r="HH184" s="4"/>
      <c r="HJ184" s="4"/>
      <c r="HK184" s="4"/>
      <c r="HL184" s="4"/>
      <c r="HN184" s="4"/>
      <c r="HO184" s="4"/>
      <c r="HP184" s="4"/>
      <c r="HR184" s="4"/>
      <c r="HS184" s="4"/>
      <c r="HT184" s="4"/>
      <c r="HU184" s="4"/>
      <c r="HV184" s="4"/>
      <c r="HW184" s="4"/>
      <c r="HX184" s="4"/>
      <c r="HY184" s="4"/>
      <c r="HZ184" s="4"/>
      <c r="IA184" s="4"/>
      <c r="IB184" s="4" t="s">
        <v>4069</v>
      </c>
      <c r="IC184" s="8">
        <v>74109</v>
      </c>
      <c r="ID184" s="4" t="s">
        <v>4070</v>
      </c>
      <c r="IE184" s="4" t="s">
        <v>490</v>
      </c>
      <c r="IF184" s="4" t="s">
        <v>445</v>
      </c>
      <c r="IG184" s="4" t="s">
        <v>4071</v>
      </c>
      <c r="IH184" s="4"/>
      <c r="II184" s="4" t="s">
        <v>4072</v>
      </c>
      <c r="IJ184" s="4"/>
      <c r="IK184" s="4" t="s">
        <v>350</v>
      </c>
      <c r="IL184" s="4"/>
      <c r="IN184" s="4"/>
      <c r="IO184" s="4"/>
      <c r="IP184" s="4"/>
      <c r="IQ184" s="4"/>
      <c r="IR184" s="4"/>
      <c r="IS184" s="4"/>
      <c r="IT184" s="4"/>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t="s">
        <v>4073</v>
      </c>
      <c r="JW184" s="4"/>
      <c r="JX184" s="7" t="s">
        <v>320</v>
      </c>
      <c r="JY184" s="7" t="s">
        <v>354</v>
      </c>
      <c r="JZ184" s="7" t="s">
        <v>322</v>
      </c>
      <c r="KA184" s="4"/>
      <c r="KB184" s="4"/>
      <c r="KC184" s="4"/>
      <c r="KD184" s="4"/>
      <c r="KE184" s="4"/>
      <c r="KF184" s="4"/>
      <c r="KG184" s="4" t="s">
        <v>323</v>
      </c>
      <c r="KM184" s="4" t="s">
        <v>391</v>
      </c>
      <c r="KN184" s="4" t="s">
        <v>391</v>
      </c>
      <c r="KO184" s="4" t="s">
        <v>350</v>
      </c>
      <c r="KP184" s="5" t="s">
        <v>358</v>
      </c>
      <c r="KQ184" s="5" t="s">
        <v>4074</v>
      </c>
      <c r="KR184" s="5" t="s">
        <v>4075</v>
      </c>
      <c r="KS184" s="5" t="s">
        <v>4076</v>
      </c>
      <c r="KT184" s="5" t="s">
        <v>4077</v>
      </c>
    </row>
    <row r="185" spans="1:306" ht="84" x14ac:dyDescent="0.25">
      <c r="A185" s="5" t="s">
        <v>4441</v>
      </c>
      <c r="B185" s="4" t="s">
        <v>455</v>
      </c>
      <c r="C185" s="7" t="s">
        <v>686</v>
      </c>
      <c r="D185" s="8" t="s">
        <v>2088</v>
      </c>
      <c r="E185" s="4">
        <v>334682</v>
      </c>
      <c r="G185" s="4" t="s">
        <v>479</v>
      </c>
      <c r="H185" s="6">
        <v>138.81790000000001</v>
      </c>
      <c r="I185" s="6">
        <v>-18.7956</v>
      </c>
      <c r="J185" s="4" t="s">
        <v>2087</v>
      </c>
      <c r="K185" s="4" t="s">
        <v>481</v>
      </c>
      <c r="L185" s="4" t="s">
        <v>651</v>
      </c>
      <c r="M185" s="4" t="s">
        <v>1972</v>
      </c>
      <c r="Q185" s="4"/>
      <c r="R185" s="4"/>
      <c r="S185" s="4"/>
      <c r="T185" s="4"/>
      <c r="U185" s="4"/>
      <c r="V185" s="4"/>
      <c r="W185" s="4"/>
      <c r="X185" s="4"/>
      <c r="Z185" s="4" t="s">
        <v>455</v>
      </c>
      <c r="AA185" s="7" t="s">
        <v>686</v>
      </c>
      <c r="AB185" s="8" t="s">
        <v>2088</v>
      </c>
      <c r="AC185" s="4" t="s">
        <v>301</v>
      </c>
      <c r="AD185" s="4" t="s">
        <v>375</v>
      </c>
      <c r="AE185" s="4">
        <v>1614</v>
      </c>
      <c r="AF185" s="4"/>
      <c r="AG185" s="4" t="s">
        <v>303</v>
      </c>
      <c r="AH185" s="4" t="s">
        <v>304</v>
      </c>
      <c r="AI185" s="4" t="s">
        <v>1118</v>
      </c>
      <c r="AJ185" s="4" t="s">
        <v>1080</v>
      </c>
      <c r="AK185" s="4" t="s">
        <v>600</v>
      </c>
      <c r="AL185" s="4"/>
      <c r="AM185" s="8">
        <v>3</v>
      </c>
      <c r="AN185" s="4" t="s">
        <v>381</v>
      </c>
      <c r="AO185" s="4" t="s">
        <v>402</v>
      </c>
      <c r="AP185" s="4" t="s">
        <v>383</v>
      </c>
      <c r="AQ185" s="7" t="s">
        <v>384</v>
      </c>
      <c r="AR185" s="8" t="s">
        <v>1048</v>
      </c>
      <c r="AS185" s="7">
        <v>0</v>
      </c>
      <c r="AT185" s="7">
        <v>0</v>
      </c>
      <c r="AU185" s="9" t="s">
        <v>303</v>
      </c>
      <c r="AV185" s="9" t="s">
        <v>406</v>
      </c>
      <c r="BA185" s="8">
        <v>5</v>
      </c>
      <c r="BP185" s="7">
        <v>10.4</v>
      </c>
      <c r="BQ185" s="4"/>
      <c r="BR185" s="4"/>
      <c r="BS185" s="4">
        <v>2.7</v>
      </c>
      <c r="BT185" s="4">
        <v>0.2</v>
      </c>
      <c r="BU185" s="7">
        <v>1</v>
      </c>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31"/>
      <c r="EA185" s="4"/>
      <c r="EB185" s="4"/>
      <c r="EC185" s="4"/>
      <c r="ED185" s="4"/>
      <c r="EE185" s="4"/>
      <c r="EF185" s="4"/>
      <c r="EG185" s="4"/>
      <c r="EI185" s="10">
        <f t="shared" si="12"/>
        <v>0.28079999999999999</v>
      </c>
      <c r="EJ185" s="10">
        <f t="shared" si="13"/>
        <v>2.0799999999999999E-2</v>
      </c>
      <c r="EK185" s="10">
        <f>BP185*BU185/1000</f>
        <v>1.04E-2</v>
      </c>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32"/>
      <c r="GQ185" s="4"/>
      <c r="GR185" s="4"/>
      <c r="GS185" s="4"/>
      <c r="GT185" s="4"/>
      <c r="GU185" s="4"/>
      <c r="GV185" s="4"/>
      <c r="GW185" s="4"/>
      <c r="GX185" s="4"/>
      <c r="GY185" s="4" t="s">
        <v>338</v>
      </c>
      <c r="GZ185" s="4" t="s">
        <v>1049</v>
      </c>
      <c r="HA185" s="4"/>
      <c r="HB185" s="4" t="s">
        <v>2547</v>
      </c>
      <c r="HC185" s="4" t="s">
        <v>2089</v>
      </c>
      <c r="HD185" s="4" t="s">
        <v>4442</v>
      </c>
      <c r="HE185" s="8">
        <v>25038</v>
      </c>
      <c r="HF185" s="4" t="s">
        <v>4443</v>
      </c>
      <c r="HG185" s="4" t="s">
        <v>490</v>
      </c>
      <c r="HH185" s="4"/>
      <c r="HJ185" s="4"/>
      <c r="HK185" s="4"/>
      <c r="HL185" s="4"/>
      <c r="HN185" s="4"/>
      <c r="HO185" s="4"/>
      <c r="HP185" s="4"/>
      <c r="HR185" s="4"/>
      <c r="HS185" s="4"/>
      <c r="HT185" s="4"/>
      <c r="HU185" s="4"/>
      <c r="HV185" s="4"/>
      <c r="HW185" s="4"/>
      <c r="HX185" s="4"/>
      <c r="HY185" s="4"/>
      <c r="HZ185" s="4"/>
      <c r="IA185" s="4"/>
      <c r="IB185" s="4" t="s">
        <v>4444</v>
      </c>
      <c r="IC185" s="8">
        <v>20928</v>
      </c>
      <c r="ID185" s="4" t="s">
        <v>4445</v>
      </c>
      <c r="IE185" s="4" t="s">
        <v>490</v>
      </c>
      <c r="IF185" s="4" t="s">
        <v>445</v>
      </c>
      <c r="IG185" s="4" t="s">
        <v>4446</v>
      </c>
      <c r="IH185" s="4">
        <v>9156</v>
      </c>
      <c r="II185" s="4" t="s">
        <v>4447</v>
      </c>
      <c r="IJ185" s="4" t="s">
        <v>490</v>
      </c>
      <c r="IK185" s="4" t="s">
        <v>445</v>
      </c>
      <c r="IL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t="s">
        <v>4448</v>
      </c>
      <c r="JW185" s="4"/>
      <c r="JX185" s="4" t="s">
        <v>320</v>
      </c>
      <c r="JY185" s="4"/>
      <c r="JZ185" s="4"/>
      <c r="KA185" s="4"/>
      <c r="KB185" s="4"/>
      <c r="KC185" s="4"/>
      <c r="KD185" s="4"/>
      <c r="KE185" s="4"/>
      <c r="KF185" s="4"/>
      <c r="KG185" s="4" t="s">
        <v>323</v>
      </c>
      <c r="KM185" s="4" t="s">
        <v>471</v>
      </c>
      <c r="KN185" s="4" t="s">
        <v>471</v>
      </c>
      <c r="KO185" s="4" t="s">
        <v>350</v>
      </c>
      <c r="KP185" s="5" t="s">
        <v>358</v>
      </c>
      <c r="KQ185" s="5" t="s">
        <v>4449</v>
      </c>
      <c r="KR185" s="5" t="s">
        <v>1825</v>
      </c>
      <c r="KS185" s="5" t="s">
        <v>4450</v>
      </c>
      <c r="KT185" s="5" t="s">
        <v>4451</v>
      </c>
    </row>
    <row r="186" spans="1:306" ht="48" x14ac:dyDescent="0.25">
      <c r="A186" s="5" t="s">
        <v>4778</v>
      </c>
      <c r="B186" s="4" t="s">
        <v>455</v>
      </c>
      <c r="C186" s="7" t="s">
        <v>686</v>
      </c>
      <c r="D186" s="8" t="s">
        <v>2088</v>
      </c>
      <c r="E186" s="4">
        <v>333870</v>
      </c>
      <c r="G186" s="4" t="s">
        <v>479</v>
      </c>
      <c r="H186" s="6">
        <v>139.0702</v>
      </c>
      <c r="I186" s="6">
        <v>-19.768599999999999</v>
      </c>
      <c r="J186" s="4" t="s">
        <v>4751</v>
      </c>
      <c r="K186" s="4" t="s">
        <v>481</v>
      </c>
      <c r="L186" s="4" t="s">
        <v>651</v>
      </c>
      <c r="M186" s="4" t="s">
        <v>1972</v>
      </c>
      <c r="Q186" s="4"/>
      <c r="R186" s="4"/>
      <c r="S186" s="4"/>
      <c r="T186" s="4"/>
      <c r="U186" s="4"/>
      <c r="V186" s="4"/>
      <c r="W186" s="4"/>
      <c r="X186" s="4"/>
      <c r="Z186" s="4" t="s">
        <v>455</v>
      </c>
      <c r="AA186" s="7" t="s">
        <v>686</v>
      </c>
      <c r="AB186" s="8" t="s">
        <v>2088</v>
      </c>
      <c r="AC186" s="4" t="s">
        <v>301</v>
      </c>
      <c r="AD186" s="4" t="s">
        <v>375</v>
      </c>
      <c r="AE186" s="4">
        <v>1633</v>
      </c>
      <c r="AF186" s="4"/>
      <c r="AG186" s="4" t="s">
        <v>303</v>
      </c>
      <c r="AH186" s="4" t="s">
        <v>304</v>
      </c>
      <c r="AI186" s="4" t="s">
        <v>1118</v>
      </c>
      <c r="AJ186" s="4" t="s">
        <v>1080</v>
      </c>
      <c r="AK186" s="4" t="s">
        <v>600</v>
      </c>
      <c r="AL186" s="4"/>
      <c r="AM186" s="8">
        <v>3</v>
      </c>
      <c r="AN186" s="4" t="s">
        <v>381</v>
      </c>
      <c r="AO186" s="4" t="s">
        <v>402</v>
      </c>
      <c r="AP186" s="4" t="s">
        <v>383</v>
      </c>
      <c r="AQ186" s="7" t="s">
        <v>384</v>
      </c>
      <c r="AR186" s="8" t="s">
        <v>1048</v>
      </c>
      <c r="AS186" s="7">
        <v>0</v>
      </c>
      <c r="AT186" s="7">
        <v>0</v>
      </c>
      <c r="AU186" s="9" t="s">
        <v>303</v>
      </c>
      <c r="AV186" s="9" t="s">
        <v>406</v>
      </c>
      <c r="BA186" s="8">
        <v>5</v>
      </c>
      <c r="BP186" s="7">
        <f>7+6.3+2</f>
        <v>15.3</v>
      </c>
      <c r="BQ186" s="4"/>
      <c r="BR186" s="4"/>
      <c r="BS186" s="7">
        <f>(16.6*7+16.2*6.3+14*2)/(7+6.3+2)</f>
        <v>16.095424836601307</v>
      </c>
      <c r="BT186" s="7">
        <f>(6.5*7+4.8*6.3+6*2)/(7+6.3+2)</f>
        <v>5.7346405228758162</v>
      </c>
      <c r="BU186" s="8">
        <f>(102*7+84*6.3+92*2)/(7+6.3+2)</f>
        <v>93.281045751633968</v>
      </c>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31"/>
      <c r="EA186" s="4"/>
      <c r="EB186" s="4"/>
      <c r="EC186" s="4"/>
      <c r="ED186" s="4"/>
      <c r="EE186" s="4"/>
      <c r="EF186" s="4"/>
      <c r="EG186" s="4"/>
      <c r="EI186" s="10">
        <f t="shared" si="12"/>
        <v>2.4626000000000001</v>
      </c>
      <c r="EJ186" s="10">
        <f t="shared" si="13"/>
        <v>0.87739999999999996</v>
      </c>
      <c r="EK186" s="10">
        <f>BP186*BU186/1000</f>
        <v>1.4271999999999998</v>
      </c>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32"/>
      <c r="GQ186" s="4"/>
      <c r="GR186" s="4"/>
      <c r="GS186" s="4"/>
      <c r="GT186" s="4"/>
      <c r="GU186" s="4"/>
      <c r="GV186" s="4"/>
      <c r="GW186" s="4"/>
      <c r="GX186" s="4"/>
      <c r="GY186" s="4" t="s">
        <v>338</v>
      </c>
      <c r="GZ186" s="4" t="s">
        <v>461</v>
      </c>
      <c r="HA186" s="4" t="s">
        <v>462</v>
      </c>
      <c r="HB186" s="4"/>
      <c r="HC186" s="4" t="s">
        <v>2089</v>
      </c>
      <c r="HD186" s="4" t="s">
        <v>4779</v>
      </c>
      <c r="HE186" s="8">
        <v>10002</v>
      </c>
      <c r="HF186" s="4" t="s">
        <v>4780</v>
      </c>
      <c r="HG186" s="4" t="s">
        <v>490</v>
      </c>
      <c r="HH186" s="4"/>
      <c r="HJ186" s="4"/>
      <c r="HK186" s="4"/>
      <c r="HL186" s="4"/>
      <c r="HN186" s="4"/>
      <c r="HO186" s="4"/>
      <c r="HP186" s="4"/>
      <c r="HR186" s="4"/>
      <c r="HS186" s="4"/>
      <c r="HT186" s="4"/>
      <c r="HU186" s="4"/>
      <c r="HV186" s="4"/>
      <c r="HW186" s="4"/>
      <c r="HX186" s="4"/>
      <c r="HY186" s="4"/>
      <c r="HZ186" s="4"/>
      <c r="IA186" s="4"/>
      <c r="IB186" s="4"/>
      <c r="ID186" s="4"/>
      <c r="IE186" s="4"/>
      <c r="IF186" s="4"/>
      <c r="IG186" s="4"/>
      <c r="IH186" s="4"/>
      <c r="II186" s="4"/>
      <c r="IJ186" s="4"/>
      <c r="IK186" s="4"/>
      <c r="IL186" s="4"/>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t="s">
        <v>4781</v>
      </c>
      <c r="JW186" s="4"/>
      <c r="JX186" s="7" t="s">
        <v>320</v>
      </c>
      <c r="JY186" s="7" t="s">
        <v>448</v>
      </c>
      <c r="JZ186" s="7" t="s">
        <v>322</v>
      </c>
      <c r="KA186" s="4"/>
      <c r="KB186" s="4"/>
      <c r="KC186" s="4"/>
      <c r="KD186" s="4"/>
      <c r="KE186" s="4"/>
      <c r="KF186" s="4"/>
      <c r="KG186" s="4" t="s">
        <v>356</v>
      </c>
      <c r="KH186" s="4" t="s">
        <v>357</v>
      </c>
      <c r="KM186" s="4" t="s">
        <v>836</v>
      </c>
      <c r="KN186" s="4" t="s">
        <v>836</v>
      </c>
      <c r="KO186" s="4" t="s">
        <v>350</v>
      </c>
      <c r="KP186" s="5" t="s">
        <v>358</v>
      </c>
      <c r="KQ186" s="5" t="s">
        <v>4782</v>
      </c>
      <c r="KR186" s="5" t="s">
        <v>1825</v>
      </c>
      <c r="KS186" s="5" t="s">
        <v>4754</v>
      </c>
      <c r="KT186" s="5" t="s">
        <v>4783</v>
      </c>
    </row>
    <row r="187" spans="1:306" ht="96" x14ac:dyDescent="0.25">
      <c r="A187" s="5" t="s">
        <v>5150</v>
      </c>
      <c r="B187" s="4" t="s">
        <v>455</v>
      </c>
      <c r="C187" s="7" t="s">
        <v>686</v>
      </c>
      <c r="D187" s="8" t="s">
        <v>2088</v>
      </c>
      <c r="E187" s="4">
        <v>333587</v>
      </c>
      <c r="G187" s="4" t="s">
        <v>530</v>
      </c>
      <c r="H187" s="6">
        <v>136.0985</v>
      </c>
      <c r="I187" s="6">
        <v>-16.436</v>
      </c>
      <c r="J187" s="4" t="s">
        <v>2325</v>
      </c>
      <c r="K187" s="4" t="s">
        <v>481</v>
      </c>
      <c r="L187" s="4" t="s">
        <v>651</v>
      </c>
      <c r="M187" s="4" t="s">
        <v>1972</v>
      </c>
      <c r="Q187" s="7"/>
      <c r="R187" s="7"/>
      <c r="S187" s="4"/>
      <c r="T187" s="4"/>
      <c r="U187" s="4"/>
      <c r="V187" s="4"/>
      <c r="W187" s="4"/>
      <c r="X187" s="4"/>
      <c r="Z187" s="4" t="s">
        <v>455</v>
      </c>
      <c r="AA187" s="7" t="s">
        <v>686</v>
      </c>
      <c r="AB187" s="8" t="s">
        <v>2088</v>
      </c>
      <c r="AC187" s="4" t="s">
        <v>301</v>
      </c>
      <c r="AD187" s="4" t="s">
        <v>302</v>
      </c>
      <c r="AE187" s="7">
        <v>1637</v>
      </c>
      <c r="AF187" s="7">
        <v>2</v>
      </c>
      <c r="AG187" s="4" t="s">
        <v>379</v>
      </c>
      <c r="AH187" s="4" t="s">
        <v>4508</v>
      </c>
      <c r="AI187" s="4"/>
      <c r="AJ187" s="4"/>
      <c r="AK187" s="4"/>
      <c r="AL187" s="4"/>
      <c r="AM187" s="8">
        <v>4</v>
      </c>
      <c r="BP187" s="7">
        <v>227</v>
      </c>
      <c r="BQ187" s="4"/>
      <c r="BR187" s="4">
        <v>0.2</v>
      </c>
      <c r="BS187" s="4">
        <v>9.25</v>
      </c>
      <c r="BT187" s="4">
        <v>4.0999999999999996</v>
      </c>
      <c r="BU187" s="4">
        <v>92</v>
      </c>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31"/>
      <c r="EA187" s="4"/>
      <c r="EB187" s="4"/>
      <c r="EC187" s="4"/>
      <c r="ED187" s="4"/>
      <c r="EE187" s="4"/>
      <c r="EF187" s="4"/>
      <c r="EG187" s="4"/>
      <c r="EH187" s="4">
        <f>BP187*BR187/100</f>
        <v>0.45400000000000007</v>
      </c>
      <c r="EI187" s="4">
        <f t="shared" si="12"/>
        <v>20.997499999999999</v>
      </c>
      <c r="EJ187" s="4">
        <f t="shared" si="13"/>
        <v>9.3069999999999986</v>
      </c>
      <c r="EK187" s="4">
        <f>BP187*BU187/1000</f>
        <v>20.884</v>
      </c>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32"/>
      <c r="GQ187" s="4"/>
      <c r="GR187" s="4"/>
      <c r="GS187" s="4"/>
      <c r="GT187" s="4"/>
      <c r="GU187" s="4"/>
      <c r="GV187" s="4"/>
      <c r="GW187" s="4"/>
      <c r="GX187" s="4"/>
      <c r="GY187" s="31" t="s">
        <v>407</v>
      </c>
      <c r="GZ187" s="4" t="s">
        <v>461</v>
      </c>
      <c r="HA187" s="4" t="s">
        <v>462</v>
      </c>
      <c r="HB187" s="4" t="s">
        <v>994</v>
      </c>
      <c r="HC187" s="4" t="s">
        <v>2089</v>
      </c>
      <c r="HD187" s="4" t="s">
        <v>5151</v>
      </c>
      <c r="HE187" s="4">
        <v>27791</v>
      </c>
      <c r="HF187" s="4" t="s">
        <v>5152</v>
      </c>
      <c r="HG187" s="4" t="s">
        <v>538</v>
      </c>
      <c r="HH187" s="4"/>
      <c r="HJ187" s="4"/>
      <c r="HK187" s="4"/>
      <c r="HL187" s="4"/>
      <c r="HN187" s="4"/>
      <c r="HO187" s="4"/>
      <c r="HP187" s="4"/>
      <c r="HR187" s="4"/>
      <c r="HS187" s="4"/>
      <c r="HT187" s="4"/>
      <c r="HU187" s="4"/>
      <c r="HV187" s="4"/>
      <c r="HW187" s="4"/>
      <c r="HX187" s="4"/>
      <c r="HY187" s="4"/>
      <c r="HZ187" s="4"/>
      <c r="IA187" s="4"/>
      <c r="IB187" s="4"/>
      <c r="ID187" s="4"/>
      <c r="IE187" s="4"/>
      <c r="IF187" s="4"/>
      <c r="IG187" s="4"/>
      <c r="IH187" s="4"/>
      <c r="II187" s="4"/>
      <c r="IJ187" s="4"/>
      <c r="IK187" s="4"/>
      <c r="IL187" s="4"/>
      <c r="IN187" s="4"/>
      <c r="IO187" s="4"/>
      <c r="IP187" s="4"/>
      <c r="IQ187" s="4"/>
      <c r="IS187" s="4"/>
      <c r="IT187" s="4"/>
      <c r="IU187" s="4"/>
      <c r="IV187" s="4"/>
      <c r="IW187" s="8"/>
      <c r="IX187" s="4"/>
      <c r="IY187" s="4"/>
      <c r="IZ187" s="4"/>
      <c r="JA187" s="4"/>
      <c r="JB187" s="8"/>
      <c r="JC187" s="4"/>
      <c r="JD187" s="4"/>
      <c r="JE187" s="4"/>
      <c r="JF187" s="4"/>
      <c r="JG187" s="4"/>
      <c r="JH187" s="4"/>
      <c r="JI187" s="4"/>
      <c r="JJ187" s="4"/>
      <c r="JK187" s="4"/>
      <c r="JL187" s="4"/>
      <c r="JM187" s="4"/>
      <c r="JN187" s="4"/>
      <c r="JO187" s="4"/>
      <c r="JP187" s="4"/>
      <c r="JQ187" s="4"/>
      <c r="JR187" s="4"/>
      <c r="JS187" s="4"/>
      <c r="JT187" s="4"/>
      <c r="JU187" s="4" t="s">
        <v>5153</v>
      </c>
      <c r="JV187" s="4" t="s">
        <v>5154</v>
      </c>
      <c r="JW187" s="4"/>
      <c r="JX187" s="4" t="s">
        <v>320</v>
      </c>
      <c r="JY187" s="4"/>
      <c r="JZ187" s="4"/>
      <c r="KA187" s="4"/>
      <c r="KB187" s="4"/>
      <c r="KC187" s="4"/>
      <c r="KD187" s="4"/>
      <c r="KE187" s="4"/>
      <c r="KF187" s="4"/>
      <c r="KG187" s="4" t="s">
        <v>323</v>
      </c>
      <c r="KM187" s="4" t="s">
        <v>471</v>
      </c>
      <c r="KN187" s="4" t="s">
        <v>471</v>
      </c>
      <c r="KP187" s="5" t="s">
        <v>358</v>
      </c>
      <c r="KQ187" s="5" t="s">
        <v>5155</v>
      </c>
      <c r="KR187" s="5" t="s">
        <v>5156</v>
      </c>
      <c r="KS187" s="5" t="s">
        <v>5157</v>
      </c>
      <c r="KT187" s="5" t="s">
        <v>5158</v>
      </c>
    </row>
    <row r="188" spans="1:306" ht="48" x14ac:dyDescent="0.25">
      <c r="A188" s="5" t="s">
        <v>5704</v>
      </c>
      <c r="B188" s="4" t="s">
        <v>455</v>
      </c>
      <c r="C188" s="7" t="s">
        <v>686</v>
      </c>
      <c r="D188" s="8" t="s">
        <v>2088</v>
      </c>
      <c r="E188" s="4">
        <v>333873</v>
      </c>
      <c r="G188" s="4" t="s">
        <v>479</v>
      </c>
      <c r="H188" s="6">
        <v>139.47819999999999</v>
      </c>
      <c r="I188" s="6">
        <v>-20.721599999999999</v>
      </c>
      <c r="J188" s="4" t="s">
        <v>4066</v>
      </c>
      <c r="K188" s="4" t="s">
        <v>481</v>
      </c>
      <c r="L188" s="4" t="s">
        <v>651</v>
      </c>
      <c r="M188" s="4" t="s">
        <v>1972</v>
      </c>
      <c r="Q188" s="4"/>
      <c r="R188" s="4"/>
      <c r="S188" s="4"/>
      <c r="T188" s="4"/>
      <c r="U188" s="4"/>
      <c r="V188" s="4"/>
      <c r="W188" s="4"/>
      <c r="X188" s="4"/>
      <c r="Z188" s="4" t="s">
        <v>455</v>
      </c>
      <c r="AA188" s="7" t="s">
        <v>686</v>
      </c>
      <c r="AB188" s="8" t="s">
        <v>2088</v>
      </c>
      <c r="AC188" s="4" t="s">
        <v>301</v>
      </c>
      <c r="AD188" s="4" t="s">
        <v>375</v>
      </c>
      <c r="AE188" s="4">
        <v>1652</v>
      </c>
      <c r="AF188" s="4">
        <v>7</v>
      </c>
      <c r="AG188" s="4" t="s">
        <v>379</v>
      </c>
      <c r="AH188" s="4" t="s">
        <v>372</v>
      </c>
      <c r="AI188" s="4" t="s">
        <v>373</v>
      </c>
      <c r="AJ188" s="4" t="s">
        <v>306</v>
      </c>
      <c r="AK188" s="4" t="s">
        <v>307</v>
      </c>
      <c r="AL188" s="4" t="s">
        <v>337</v>
      </c>
      <c r="AM188" s="8">
        <v>4</v>
      </c>
      <c r="AN188" s="4" t="s">
        <v>381</v>
      </c>
      <c r="AO188" s="4" t="s">
        <v>402</v>
      </c>
      <c r="AP188" s="4" t="s">
        <v>383</v>
      </c>
      <c r="AQ188" s="7" t="s">
        <v>384</v>
      </c>
      <c r="AR188" s="8" t="s">
        <v>1048</v>
      </c>
      <c r="AS188" s="7">
        <v>0</v>
      </c>
      <c r="AT188" s="7">
        <v>0</v>
      </c>
      <c r="AU188" s="9" t="s">
        <v>303</v>
      </c>
      <c r="AV188" s="9" t="s">
        <v>406</v>
      </c>
      <c r="BA188" s="8">
        <v>5</v>
      </c>
      <c r="BB188" s="9"/>
      <c r="BC188" s="8"/>
      <c r="BP188" s="7">
        <v>150</v>
      </c>
      <c r="BQ188" s="4"/>
      <c r="BR188" s="4"/>
      <c r="BS188" s="4">
        <v>7</v>
      </c>
      <c r="BT188" s="4">
        <v>6</v>
      </c>
      <c r="BU188" s="4">
        <v>150</v>
      </c>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31"/>
      <c r="EA188" s="4"/>
      <c r="EB188" s="4"/>
      <c r="EC188" s="4"/>
      <c r="ED188" s="4"/>
      <c r="EE188" s="4"/>
      <c r="EF188" s="4"/>
      <c r="EG188" s="4"/>
      <c r="EI188" s="7">
        <f t="shared" si="12"/>
        <v>10.5</v>
      </c>
      <c r="EJ188" s="7">
        <f t="shared" si="13"/>
        <v>9</v>
      </c>
      <c r="EK188" s="7">
        <f>BP188*BU188/1000</f>
        <v>22.5</v>
      </c>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32"/>
      <c r="GQ188" s="4"/>
      <c r="GR188" s="4"/>
      <c r="GS188" s="4"/>
      <c r="GT188" s="4"/>
      <c r="GU188" s="4"/>
      <c r="GV188" s="4"/>
      <c r="GW188" s="4"/>
      <c r="GX188" s="4"/>
      <c r="GY188" s="4" t="s">
        <v>309</v>
      </c>
      <c r="GZ188" s="4" t="s">
        <v>5705</v>
      </c>
      <c r="HA188" s="4"/>
      <c r="HB188" s="4"/>
      <c r="HC188" s="4" t="s">
        <v>2089</v>
      </c>
      <c r="HD188" s="4" t="s">
        <v>4067</v>
      </c>
      <c r="HE188" s="8">
        <v>19007</v>
      </c>
      <c r="HF188" s="4" t="s">
        <v>4068</v>
      </c>
      <c r="HG188" s="4" t="s">
        <v>490</v>
      </c>
      <c r="HH188" s="4"/>
      <c r="HJ188" s="4"/>
      <c r="HK188" s="4"/>
      <c r="HL188" s="4"/>
      <c r="HN188" s="4"/>
      <c r="HO188" s="4"/>
      <c r="HP188" s="4"/>
      <c r="HR188" s="4"/>
      <c r="HS188" s="4"/>
      <c r="HT188" s="4"/>
      <c r="HU188" s="4"/>
      <c r="HV188" s="4"/>
      <c r="HW188" s="4"/>
      <c r="HX188" s="4"/>
      <c r="HY188" s="4"/>
      <c r="HZ188" s="4"/>
      <c r="IA188" s="4"/>
      <c r="IB188" s="4" t="s">
        <v>5697</v>
      </c>
      <c r="IC188" s="8">
        <v>17589</v>
      </c>
      <c r="ID188" s="4" t="s">
        <v>5699</v>
      </c>
      <c r="IE188" s="4" t="s">
        <v>490</v>
      </c>
      <c r="IF188" s="4" t="s">
        <v>445</v>
      </c>
      <c r="IG188" s="4" t="s">
        <v>4067</v>
      </c>
      <c r="IH188" s="4">
        <v>19007</v>
      </c>
      <c r="II188" s="4" t="s">
        <v>5699</v>
      </c>
      <c r="IJ188" s="4" t="s">
        <v>538</v>
      </c>
      <c r="IK188" s="4" t="s">
        <v>319</v>
      </c>
      <c r="IL188" s="4"/>
      <c r="IN188" s="4"/>
      <c r="IO188" s="4"/>
      <c r="IP188" s="4"/>
      <c r="IQ188" s="4"/>
      <c r="IR188" s="4"/>
      <c r="IS188" s="4"/>
      <c r="IT188" s="4"/>
      <c r="IU188" s="4"/>
      <c r="IV188" s="4"/>
      <c r="IW188" s="4"/>
      <c r="IX188" s="4"/>
      <c r="IY188" s="4"/>
      <c r="IZ188" s="4"/>
      <c r="JA188" s="4"/>
      <c r="JB188" s="4"/>
      <c r="JC188" s="4"/>
      <c r="JD188" s="4"/>
      <c r="JE188" s="4"/>
      <c r="JF188" s="4"/>
      <c r="JG188" s="4"/>
      <c r="JH188" s="4"/>
      <c r="JI188" s="4"/>
      <c r="JJ188" s="4"/>
      <c r="JK188" s="4"/>
      <c r="JL188" s="4"/>
      <c r="JM188" s="4"/>
      <c r="JN188" s="4"/>
      <c r="JO188" s="4"/>
      <c r="JP188" s="4"/>
      <c r="JQ188" s="4"/>
      <c r="JR188" s="4"/>
      <c r="JS188" s="4"/>
      <c r="JT188" s="4"/>
      <c r="JU188" s="4"/>
      <c r="JV188" s="4"/>
      <c r="JW188" s="4"/>
      <c r="JX188" s="7" t="s">
        <v>320</v>
      </c>
      <c r="JY188" s="7" t="s">
        <v>354</v>
      </c>
      <c r="JZ188" s="7" t="s">
        <v>322</v>
      </c>
      <c r="KA188" s="4"/>
      <c r="KB188" s="4"/>
      <c r="KC188" s="4"/>
      <c r="KD188" s="4"/>
      <c r="KE188" s="4"/>
      <c r="KF188" s="4"/>
      <c r="KG188" s="4" t="s">
        <v>323</v>
      </c>
      <c r="KM188" s="4" t="s">
        <v>391</v>
      </c>
      <c r="KN188" s="4" t="s">
        <v>391</v>
      </c>
      <c r="KO188" s="4" t="s">
        <v>350</v>
      </c>
      <c r="KP188" s="5" t="s">
        <v>358</v>
      </c>
      <c r="KQ188" s="5" t="s">
        <v>5706</v>
      </c>
      <c r="KR188" s="5" t="s">
        <v>4075</v>
      </c>
      <c r="KS188" s="5" t="s">
        <v>5707</v>
      </c>
      <c r="KT188" s="5" t="s">
        <v>5708</v>
      </c>
    </row>
    <row r="189" spans="1:306" ht="132" x14ac:dyDescent="0.25">
      <c r="A189" s="5" t="s">
        <v>6105</v>
      </c>
      <c r="B189" s="4" t="s">
        <v>455</v>
      </c>
      <c r="C189" s="7" t="s">
        <v>686</v>
      </c>
      <c r="D189" s="8" t="s">
        <v>2088</v>
      </c>
      <c r="E189" s="4">
        <v>467236</v>
      </c>
      <c r="G189" s="4" t="s">
        <v>530</v>
      </c>
      <c r="H189" s="6">
        <v>136.0326</v>
      </c>
      <c r="I189" s="6">
        <v>-16.575399999999998</v>
      </c>
      <c r="J189" s="4" t="s">
        <v>2325</v>
      </c>
      <c r="K189" s="4" t="s">
        <v>481</v>
      </c>
      <c r="L189" s="4" t="s">
        <v>651</v>
      </c>
      <c r="M189" s="4" t="s">
        <v>1972</v>
      </c>
      <c r="Q189" s="8"/>
      <c r="R189" s="8"/>
      <c r="S189" s="4"/>
      <c r="T189" s="4"/>
      <c r="U189" s="4"/>
      <c r="V189" s="4"/>
      <c r="W189" s="4"/>
      <c r="X189" s="4"/>
      <c r="Z189" s="4" t="s">
        <v>455</v>
      </c>
      <c r="AA189" s="7" t="s">
        <v>686</v>
      </c>
      <c r="AB189" s="8" t="s">
        <v>2088</v>
      </c>
      <c r="AC189" s="4" t="s">
        <v>301</v>
      </c>
      <c r="AD189" s="4" t="s">
        <v>302</v>
      </c>
      <c r="AE189" s="8">
        <v>1639</v>
      </c>
      <c r="AF189" s="8"/>
      <c r="AG189" s="4" t="s">
        <v>303</v>
      </c>
      <c r="AH189" s="4" t="s">
        <v>304</v>
      </c>
      <c r="AI189" s="4" t="s">
        <v>1118</v>
      </c>
      <c r="AJ189" s="4" t="s">
        <v>1080</v>
      </c>
      <c r="AK189" s="4" t="s">
        <v>600</v>
      </c>
      <c r="AL189" s="4"/>
      <c r="AM189" s="8">
        <v>4</v>
      </c>
      <c r="BP189" s="7">
        <v>43.6</v>
      </c>
      <c r="BQ189" s="4"/>
      <c r="BR189" s="4"/>
      <c r="BS189" s="4">
        <v>4.09</v>
      </c>
      <c r="BT189" s="4">
        <v>0.95</v>
      </c>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31"/>
      <c r="EA189" s="4"/>
      <c r="EB189" s="4"/>
      <c r="EC189" s="4"/>
      <c r="ED189" s="4"/>
      <c r="EE189" s="4"/>
      <c r="EF189" s="4"/>
      <c r="EG189" s="4"/>
      <c r="EH189" s="4"/>
      <c r="EI189" s="4">
        <f t="shared" si="12"/>
        <v>1.7832400000000002</v>
      </c>
      <c r="EJ189" s="4">
        <f t="shared" si="13"/>
        <v>0.41420000000000001</v>
      </c>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32"/>
      <c r="GQ189" s="4"/>
      <c r="GR189" s="4"/>
      <c r="GS189" s="4"/>
      <c r="GT189" s="4"/>
      <c r="GU189" s="4"/>
      <c r="GV189" s="4"/>
      <c r="GW189" s="4"/>
      <c r="GX189" s="4"/>
      <c r="GY189" s="4" t="s">
        <v>338</v>
      </c>
      <c r="GZ189" s="4" t="s">
        <v>1049</v>
      </c>
      <c r="HA189" s="4" t="s">
        <v>339</v>
      </c>
      <c r="HB189" s="4"/>
      <c r="HC189" s="4" t="s">
        <v>2089</v>
      </c>
      <c r="HD189" s="4" t="s">
        <v>6106</v>
      </c>
      <c r="HE189" s="4">
        <v>1130</v>
      </c>
      <c r="HF189" s="4" t="s">
        <v>6107</v>
      </c>
      <c r="HG189" s="4" t="s">
        <v>538</v>
      </c>
      <c r="HH189" s="4"/>
      <c r="HJ189" s="4"/>
      <c r="HK189" s="4"/>
      <c r="HL189" s="4"/>
      <c r="HN189" s="4"/>
      <c r="HO189" s="4"/>
      <c r="HP189" s="4"/>
      <c r="HR189" s="4"/>
      <c r="HS189" s="4"/>
      <c r="HT189" s="4"/>
      <c r="HU189" s="4"/>
      <c r="HV189" s="4"/>
      <c r="HW189" s="4"/>
      <c r="HX189" s="4"/>
      <c r="HY189" s="4"/>
      <c r="HZ189" s="4"/>
      <c r="IA189" s="4"/>
      <c r="IB189" s="4"/>
      <c r="ID189" s="4"/>
      <c r="IE189" s="4"/>
      <c r="IF189" s="4"/>
      <c r="IG189" s="4"/>
      <c r="IH189" s="4"/>
      <c r="II189" s="4"/>
      <c r="IJ189" s="4"/>
      <c r="IK189" s="4"/>
      <c r="IL189" s="4"/>
      <c r="IN189" s="4"/>
      <c r="IO189" s="4"/>
      <c r="IP189" s="4"/>
      <c r="IQ189" s="4"/>
      <c r="IS189" s="4"/>
      <c r="IT189" s="4"/>
      <c r="IU189" s="4"/>
      <c r="IV189" s="4"/>
      <c r="IW189" s="8"/>
      <c r="IX189" s="4"/>
      <c r="IY189" s="4"/>
      <c r="IZ189" s="4"/>
      <c r="JA189" s="4"/>
      <c r="JB189" s="8"/>
      <c r="JC189" s="4"/>
      <c r="JD189" s="4"/>
      <c r="JE189" s="4"/>
      <c r="JF189" s="4"/>
      <c r="JG189" s="4"/>
      <c r="JH189" s="4"/>
      <c r="JI189" s="4"/>
      <c r="JJ189" s="4"/>
      <c r="JK189" s="4"/>
      <c r="JL189" s="4"/>
      <c r="JM189" s="4"/>
      <c r="JN189" s="4"/>
      <c r="JO189" s="4"/>
      <c r="JP189" s="4"/>
      <c r="JQ189" s="4"/>
      <c r="JR189" s="4"/>
      <c r="JS189" s="4"/>
      <c r="JT189" s="4"/>
      <c r="JU189" s="4"/>
      <c r="JV189" s="4"/>
      <c r="JW189" s="4"/>
      <c r="JX189" s="4" t="s">
        <v>320</v>
      </c>
      <c r="JY189" s="4"/>
      <c r="JZ189" s="4"/>
      <c r="KA189" s="4"/>
      <c r="KB189" s="4"/>
      <c r="KC189" s="4"/>
      <c r="KD189" s="4"/>
      <c r="KE189" s="4"/>
      <c r="KF189" s="4"/>
      <c r="KG189" s="4" t="s">
        <v>323</v>
      </c>
      <c r="KM189" s="4" t="s">
        <v>471</v>
      </c>
      <c r="KN189" s="4" t="s">
        <v>471</v>
      </c>
      <c r="KP189" s="5" t="s">
        <v>358</v>
      </c>
      <c r="KQ189" s="5" t="s">
        <v>6108</v>
      </c>
      <c r="KR189" s="5" t="s">
        <v>6109</v>
      </c>
      <c r="KS189" s="5" t="s">
        <v>1826</v>
      </c>
      <c r="KT189" s="5" t="s">
        <v>6110</v>
      </c>
    </row>
    <row r="190" spans="1:306" ht="60" x14ac:dyDescent="0.25">
      <c r="A190" s="5" t="s">
        <v>7501</v>
      </c>
      <c r="B190" s="4" t="s">
        <v>455</v>
      </c>
      <c r="C190" s="7" t="s">
        <v>686</v>
      </c>
      <c r="D190" s="8" t="s">
        <v>2088</v>
      </c>
      <c r="E190" s="4">
        <v>606101</v>
      </c>
      <c r="G190" s="4" t="s">
        <v>530</v>
      </c>
      <c r="H190" s="6">
        <v>136.01</v>
      </c>
      <c r="I190" s="6">
        <v>-16.440000000000001</v>
      </c>
      <c r="J190" s="4" t="s">
        <v>2325</v>
      </c>
      <c r="K190" s="4" t="s">
        <v>481</v>
      </c>
      <c r="L190" s="4" t="s">
        <v>651</v>
      </c>
      <c r="M190" s="4" t="s">
        <v>1972</v>
      </c>
      <c r="Q190" s="8"/>
      <c r="R190" s="8"/>
      <c r="S190" s="4"/>
      <c r="T190" s="4"/>
      <c r="U190" s="4"/>
      <c r="V190" s="4"/>
      <c r="W190" s="4"/>
      <c r="X190" s="4"/>
      <c r="Z190" s="4" t="s">
        <v>455</v>
      </c>
      <c r="AA190" s="7" t="s">
        <v>686</v>
      </c>
      <c r="AB190" s="8" t="s">
        <v>2088</v>
      </c>
      <c r="AC190" s="4" t="s">
        <v>301</v>
      </c>
      <c r="AD190" s="4" t="s">
        <v>302</v>
      </c>
      <c r="AE190" s="8">
        <v>1637</v>
      </c>
      <c r="AF190" s="8"/>
      <c r="AG190" s="4" t="s">
        <v>379</v>
      </c>
      <c r="AH190" s="4" t="s">
        <v>1156</v>
      </c>
      <c r="AI190" s="4"/>
      <c r="AJ190" s="4"/>
      <c r="AK190" s="4"/>
      <c r="AL190" s="4"/>
      <c r="AM190" s="8">
        <v>3</v>
      </c>
      <c r="BP190" s="7">
        <v>58</v>
      </c>
      <c r="BQ190" s="4"/>
      <c r="BR190" s="4"/>
      <c r="BS190" s="4">
        <v>11.1</v>
      </c>
      <c r="BT190" s="4">
        <v>1.6</v>
      </c>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31"/>
      <c r="EA190" s="4"/>
      <c r="EB190" s="4"/>
      <c r="EC190" s="4"/>
      <c r="ED190" s="4"/>
      <c r="EE190" s="4"/>
      <c r="EF190" s="4"/>
      <c r="EG190" s="4"/>
      <c r="EH190" s="4"/>
      <c r="EI190" s="4">
        <f t="shared" si="12"/>
        <v>6.4379999999999997</v>
      </c>
      <c r="EJ190" s="4">
        <f t="shared" si="13"/>
        <v>0.92800000000000016</v>
      </c>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32"/>
      <c r="GQ190" s="4"/>
      <c r="GR190" s="4"/>
      <c r="GS190" s="4"/>
      <c r="GT190" s="4"/>
      <c r="GU190" s="4"/>
      <c r="GV190" s="4"/>
      <c r="GW190" s="4"/>
      <c r="GX190" s="4"/>
      <c r="GY190" s="4" t="s">
        <v>338</v>
      </c>
      <c r="GZ190" s="4" t="s">
        <v>1049</v>
      </c>
      <c r="HA190" s="4" t="s">
        <v>339</v>
      </c>
      <c r="HB190" s="4"/>
      <c r="HC190" s="4" t="s">
        <v>2089</v>
      </c>
      <c r="HD190" s="4" t="s">
        <v>5151</v>
      </c>
      <c r="HE190" s="4">
        <v>27791</v>
      </c>
      <c r="HF190" s="4" t="s">
        <v>5152</v>
      </c>
      <c r="HG190" s="4" t="s">
        <v>538</v>
      </c>
      <c r="HH190" s="4"/>
      <c r="HJ190" s="4"/>
      <c r="HK190" s="4"/>
      <c r="HL190" s="4"/>
      <c r="HN190" s="4"/>
      <c r="HO190" s="4"/>
      <c r="HP190" s="4"/>
      <c r="HR190" s="4"/>
      <c r="HS190" s="4"/>
      <c r="HT190" s="4"/>
      <c r="HU190" s="4"/>
      <c r="HV190" s="4"/>
      <c r="HW190" s="4"/>
      <c r="HX190" s="4"/>
      <c r="HY190" s="4"/>
      <c r="HZ190" s="4"/>
      <c r="IA190" s="4"/>
      <c r="IB190" s="4"/>
      <c r="ID190" s="4"/>
      <c r="IE190" s="4"/>
      <c r="IF190" s="4"/>
      <c r="IG190" s="4"/>
      <c r="IH190" s="4"/>
      <c r="II190" s="4"/>
      <c r="IJ190" s="4"/>
      <c r="IK190" s="4"/>
      <c r="IL190" s="4"/>
      <c r="IN190" s="4"/>
      <c r="IO190" s="4"/>
      <c r="IP190" s="4"/>
      <c r="IQ190" s="4"/>
      <c r="IS190" s="4"/>
      <c r="IT190" s="4"/>
      <c r="IU190" s="4"/>
      <c r="IV190" s="4"/>
      <c r="IW190" s="8"/>
      <c r="IX190" s="4"/>
      <c r="IY190" s="4"/>
      <c r="IZ190" s="4"/>
      <c r="JA190" s="4"/>
      <c r="JB190" s="8"/>
      <c r="JC190" s="4"/>
      <c r="JD190" s="4"/>
      <c r="JE190" s="4"/>
      <c r="JF190" s="4"/>
      <c r="JG190" s="4"/>
      <c r="JH190" s="4"/>
      <c r="JI190" s="4"/>
      <c r="JJ190" s="4"/>
      <c r="JK190" s="4"/>
      <c r="JL190" s="4"/>
      <c r="JM190" s="4"/>
      <c r="JN190" s="4"/>
      <c r="JO190" s="4"/>
      <c r="JP190" s="4"/>
      <c r="JQ190" s="4"/>
      <c r="JR190" s="4"/>
      <c r="JS190" s="4"/>
      <c r="JT190" s="4"/>
      <c r="JU190" s="4"/>
      <c r="JV190" s="4"/>
      <c r="JW190" s="4"/>
      <c r="JX190" s="4" t="s">
        <v>320</v>
      </c>
      <c r="JY190" s="4"/>
      <c r="JZ190" s="4"/>
      <c r="KA190" s="4"/>
      <c r="KB190" s="4"/>
      <c r="KC190" s="4"/>
      <c r="KD190" s="4"/>
      <c r="KE190" s="4"/>
      <c r="KF190" s="4"/>
      <c r="KG190" s="4" t="s">
        <v>323</v>
      </c>
      <c r="KM190" s="4" t="s">
        <v>471</v>
      </c>
      <c r="KN190" s="4" t="s">
        <v>471</v>
      </c>
      <c r="KP190" s="5" t="s">
        <v>358</v>
      </c>
      <c r="KQ190" s="5" t="s">
        <v>7502</v>
      </c>
      <c r="KS190" s="5" t="s">
        <v>7502</v>
      </c>
      <c r="KT190" s="5" t="s">
        <v>7503</v>
      </c>
    </row>
    <row r="191" spans="1:306" ht="156" x14ac:dyDescent="0.25">
      <c r="A191" s="5" t="s">
        <v>685</v>
      </c>
      <c r="B191" s="4" t="s">
        <v>455</v>
      </c>
      <c r="C191" s="7" t="s">
        <v>686</v>
      </c>
      <c r="D191" s="8" t="s">
        <v>687</v>
      </c>
      <c r="E191" s="4">
        <v>333802</v>
      </c>
      <c r="G191" s="4" t="s">
        <v>593</v>
      </c>
      <c r="H191" s="6">
        <v>138.914559</v>
      </c>
      <c r="I191" s="6">
        <v>-35.252518000000002</v>
      </c>
      <c r="J191" s="4" t="s">
        <v>688</v>
      </c>
      <c r="K191" s="4" t="s">
        <v>298</v>
      </c>
      <c r="L191" s="4" t="s">
        <v>689</v>
      </c>
      <c r="M191" s="4" t="s">
        <v>688</v>
      </c>
      <c r="Q191" s="4"/>
      <c r="R191" s="4"/>
      <c r="S191" s="4"/>
      <c r="U191" s="4"/>
      <c r="V191" s="4"/>
      <c r="W191" s="4"/>
      <c r="X191" s="4"/>
      <c r="Z191" s="4" t="s">
        <v>455</v>
      </c>
      <c r="AA191" s="7" t="s">
        <v>686</v>
      </c>
      <c r="AB191" s="8" t="s">
        <v>687</v>
      </c>
      <c r="AC191" s="4" t="s">
        <v>301</v>
      </c>
      <c r="AD191" s="4" t="s">
        <v>302</v>
      </c>
      <c r="AE191" s="4">
        <v>518</v>
      </c>
      <c r="AF191" s="4">
        <v>6</v>
      </c>
      <c r="AG191" s="4" t="s">
        <v>379</v>
      </c>
      <c r="AH191" s="9" t="s">
        <v>690</v>
      </c>
      <c r="AI191" s="4"/>
      <c r="AJ191" s="4" t="s">
        <v>306</v>
      </c>
      <c r="AK191" s="4"/>
      <c r="AL191" s="4"/>
      <c r="AM191" s="8">
        <v>3</v>
      </c>
      <c r="BP191" s="7">
        <v>3.04</v>
      </c>
      <c r="BQ191" s="4"/>
      <c r="BR191" s="4">
        <v>0.3</v>
      </c>
      <c r="BS191" s="4">
        <v>8</v>
      </c>
      <c r="BT191" s="4">
        <v>3.1</v>
      </c>
      <c r="BU191" s="4">
        <v>34</v>
      </c>
      <c r="BV191" s="4">
        <v>0.5</v>
      </c>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31"/>
      <c r="EA191" s="4"/>
      <c r="EB191" s="10"/>
      <c r="EC191" s="4"/>
      <c r="ED191" s="4"/>
      <c r="EE191" s="4"/>
      <c r="EF191" s="4"/>
      <c r="EG191" s="4"/>
      <c r="EH191" s="4">
        <f>BP191*BR191/100</f>
        <v>9.1199999999999996E-3</v>
      </c>
      <c r="EI191" s="4">
        <f t="shared" si="12"/>
        <v>0.2432</v>
      </c>
      <c r="EJ191" s="4">
        <f t="shared" si="13"/>
        <v>9.4240000000000018E-2</v>
      </c>
      <c r="EK191" s="4">
        <f>BP191*BU191/1000</f>
        <v>0.10335999999999999</v>
      </c>
      <c r="EL191" s="4">
        <f>BP191*BV191</f>
        <v>1.52</v>
      </c>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32"/>
      <c r="GQ191" s="4"/>
      <c r="GR191" s="4"/>
      <c r="GS191" s="4"/>
      <c r="GT191" s="4"/>
      <c r="GU191" s="4"/>
      <c r="GV191" s="4"/>
      <c r="GW191" s="4"/>
      <c r="GX191" s="4"/>
      <c r="GY191" s="4" t="s">
        <v>338</v>
      </c>
      <c r="GZ191" s="4" t="s">
        <v>461</v>
      </c>
      <c r="HA191" s="4"/>
      <c r="HB191" s="4" t="s">
        <v>691</v>
      </c>
      <c r="HC191" s="4" t="s">
        <v>692</v>
      </c>
      <c r="HD191" s="4" t="s">
        <v>693</v>
      </c>
      <c r="HE191" s="4">
        <v>26926</v>
      </c>
      <c r="HF191" s="4" t="s">
        <v>694</v>
      </c>
      <c r="HG191" s="4" t="s">
        <v>695</v>
      </c>
      <c r="HH191" s="4"/>
      <c r="HJ191" s="4"/>
      <c r="HK191" s="4"/>
      <c r="HL191" s="4"/>
      <c r="HN191" s="4"/>
      <c r="HO191" s="4"/>
      <c r="HP191" s="4"/>
      <c r="HR191" s="4"/>
      <c r="HS191" s="4"/>
      <c r="HT191" s="4"/>
      <c r="HU191" s="4"/>
      <c r="HV191" s="4"/>
      <c r="HW191" s="4"/>
      <c r="HX191" s="4"/>
      <c r="HY191" s="4"/>
      <c r="HZ191" s="4"/>
      <c r="IA191" s="4"/>
      <c r="IB191" s="4" t="s">
        <v>696</v>
      </c>
      <c r="IC191" s="4">
        <v>26184</v>
      </c>
      <c r="ID191" s="4" t="s">
        <v>697</v>
      </c>
      <c r="IE191" s="4" t="s">
        <v>698</v>
      </c>
      <c r="IF191" s="4" t="s">
        <v>445</v>
      </c>
      <c r="IG191" s="4" t="s">
        <v>699</v>
      </c>
      <c r="IH191" s="4">
        <v>79296</v>
      </c>
      <c r="II191" s="4" t="s">
        <v>700</v>
      </c>
      <c r="IJ191" s="4" t="s">
        <v>698</v>
      </c>
      <c r="IK191" s="4" t="s">
        <v>329</v>
      </c>
      <c r="IL191" s="4"/>
      <c r="IM191" s="4"/>
      <c r="IN191" s="4"/>
      <c r="IO191" s="4"/>
      <c r="IP191" s="4"/>
      <c r="IQ191" s="4"/>
      <c r="IS191" s="4"/>
      <c r="IT191" s="4"/>
      <c r="IU191" s="4"/>
      <c r="IV191" s="4"/>
      <c r="IW191" s="4"/>
      <c r="IX191" s="4"/>
      <c r="IY191" s="4"/>
      <c r="IZ191" s="4"/>
      <c r="JA191" s="4"/>
      <c r="JB191" s="4"/>
      <c r="JC191" s="4"/>
      <c r="JD191" s="4"/>
      <c r="JE191" s="4"/>
      <c r="JF191" s="4"/>
      <c r="JG191" s="4"/>
      <c r="JH191" s="4"/>
      <c r="JI191" s="4"/>
      <c r="JJ191" s="4"/>
      <c r="JK191" s="4"/>
      <c r="JL191" s="4"/>
      <c r="JM191" s="4"/>
      <c r="JN191" s="4"/>
      <c r="JO191" s="4"/>
      <c r="JP191" s="4"/>
      <c r="JQ191" s="4"/>
      <c r="JR191" s="4"/>
      <c r="JS191" s="4"/>
      <c r="JT191" s="4"/>
      <c r="JU191" s="4"/>
      <c r="JV191" s="4" t="s">
        <v>701</v>
      </c>
      <c r="JW191" s="4"/>
      <c r="JX191" s="4" t="s">
        <v>322</v>
      </c>
      <c r="JY191" s="4" t="s">
        <v>354</v>
      </c>
      <c r="JZ191" s="4" t="s">
        <v>320</v>
      </c>
      <c r="KA191" s="4"/>
      <c r="KB191" s="4"/>
      <c r="KC191" s="4"/>
      <c r="KD191" s="4"/>
      <c r="KE191" s="4"/>
      <c r="KF191" s="4"/>
      <c r="KG191" s="4" t="s">
        <v>323</v>
      </c>
      <c r="KM191" s="4" t="s">
        <v>702</v>
      </c>
      <c r="KN191" s="4" t="s">
        <v>702</v>
      </c>
      <c r="KP191" s="5" t="s">
        <v>358</v>
      </c>
      <c r="KQ191" s="5" t="s">
        <v>703</v>
      </c>
      <c r="KR191" s="5" t="s">
        <v>704</v>
      </c>
      <c r="KS191" s="5" t="s">
        <v>705</v>
      </c>
      <c r="KT191" s="5" t="s">
        <v>706</v>
      </c>
    </row>
    <row r="192" spans="1:306" ht="72" x14ac:dyDescent="0.25">
      <c r="A192" s="5" t="s">
        <v>1698</v>
      </c>
      <c r="B192" s="4" t="s">
        <v>455</v>
      </c>
      <c r="C192" s="7" t="s">
        <v>686</v>
      </c>
      <c r="D192" s="8" t="s">
        <v>687</v>
      </c>
      <c r="E192" s="4">
        <v>335554</v>
      </c>
      <c r="G192" s="4" t="s">
        <v>427</v>
      </c>
      <c r="H192" s="6">
        <v>141.465</v>
      </c>
      <c r="I192" s="6">
        <v>-31.9665</v>
      </c>
      <c r="J192" s="4" t="s">
        <v>1698</v>
      </c>
      <c r="K192" s="4" t="s">
        <v>595</v>
      </c>
      <c r="L192" s="4" t="s">
        <v>1422</v>
      </c>
      <c r="Q192" s="4"/>
      <c r="R192" s="4"/>
      <c r="S192" s="4"/>
      <c r="U192" s="4"/>
      <c r="V192" s="4"/>
      <c r="W192" s="4"/>
      <c r="X192" s="4"/>
      <c r="Z192" s="4" t="s">
        <v>455</v>
      </c>
      <c r="AA192" s="7" t="s">
        <v>686</v>
      </c>
      <c r="AB192" s="8" t="s">
        <v>687</v>
      </c>
      <c r="AC192" s="4" t="s">
        <v>301</v>
      </c>
      <c r="AD192" s="4" t="s">
        <v>375</v>
      </c>
      <c r="AE192" s="4">
        <v>1685</v>
      </c>
      <c r="AF192" s="4">
        <v>3</v>
      </c>
      <c r="AG192" s="4" t="s">
        <v>379</v>
      </c>
      <c r="AH192" s="9" t="s">
        <v>690</v>
      </c>
      <c r="AI192" s="4" t="s">
        <v>373</v>
      </c>
      <c r="AJ192" s="4" t="s">
        <v>306</v>
      </c>
      <c r="AK192" s="4" t="s">
        <v>307</v>
      </c>
      <c r="AL192" s="4" t="s">
        <v>337</v>
      </c>
      <c r="AM192" s="8">
        <v>4</v>
      </c>
      <c r="AN192" s="4" t="s">
        <v>381</v>
      </c>
      <c r="AO192" s="4" t="s">
        <v>382</v>
      </c>
      <c r="AP192" s="4" t="s">
        <v>383</v>
      </c>
      <c r="AQ192" s="7" t="s">
        <v>384</v>
      </c>
      <c r="AR192" s="8" t="s">
        <v>1048</v>
      </c>
      <c r="AS192" s="7">
        <v>0</v>
      </c>
      <c r="AT192" s="7">
        <v>0</v>
      </c>
      <c r="AU192" s="9" t="s">
        <v>303</v>
      </c>
      <c r="AV192" s="9" t="s">
        <v>406</v>
      </c>
      <c r="BA192" s="8">
        <v>5</v>
      </c>
      <c r="BP192" s="7">
        <v>280</v>
      </c>
      <c r="BQ192" s="4"/>
      <c r="BR192" s="4">
        <v>0.14000000000000001</v>
      </c>
      <c r="BS192" s="4">
        <v>8.5</v>
      </c>
      <c r="BT192" s="4">
        <v>10</v>
      </c>
      <c r="BU192" s="4">
        <v>148</v>
      </c>
      <c r="BV192" s="4">
        <v>0.47</v>
      </c>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31"/>
      <c r="EA192" s="4"/>
      <c r="EB192" s="4"/>
      <c r="EC192" s="4"/>
      <c r="ED192" s="4"/>
      <c r="EE192" s="4"/>
      <c r="EF192" s="4"/>
      <c r="EG192" s="4"/>
      <c r="EH192" s="4">
        <f>BP192*BR192/100</f>
        <v>0.39200000000000002</v>
      </c>
      <c r="EI192" s="4">
        <f t="shared" si="12"/>
        <v>23.8</v>
      </c>
      <c r="EJ192" s="4">
        <f t="shared" si="13"/>
        <v>28</v>
      </c>
      <c r="EK192" s="4">
        <f>BP192*BU192/1000</f>
        <v>41.44</v>
      </c>
      <c r="EL192" s="4">
        <f>BP192*BV192</f>
        <v>131.6</v>
      </c>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32"/>
      <c r="GQ192" s="4"/>
      <c r="GR192" s="4"/>
      <c r="GS192" s="4"/>
      <c r="GT192" s="4"/>
      <c r="GU192" s="4"/>
      <c r="GV192" s="4"/>
      <c r="GW192" s="4"/>
      <c r="GX192" s="4"/>
      <c r="GY192" s="4" t="s">
        <v>309</v>
      </c>
      <c r="GZ192" s="4" t="s">
        <v>1699</v>
      </c>
      <c r="HA192" s="4" t="s">
        <v>462</v>
      </c>
      <c r="HB192" s="4" t="s">
        <v>1528</v>
      </c>
      <c r="HC192" s="4" t="s">
        <v>692</v>
      </c>
      <c r="HD192" s="4" t="s">
        <v>1700</v>
      </c>
      <c r="HE192" s="8">
        <v>8489</v>
      </c>
      <c r="HF192" s="4" t="s">
        <v>1701</v>
      </c>
      <c r="HG192" s="4" t="s">
        <v>1702</v>
      </c>
      <c r="HH192" s="4"/>
      <c r="HJ192" s="4"/>
      <c r="HK192" s="4"/>
      <c r="HL192" s="4"/>
      <c r="HN192" s="4"/>
      <c r="HO192" s="4"/>
      <c r="HP192" s="4"/>
      <c r="HR192" s="4"/>
      <c r="HS192" s="4"/>
      <c r="HT192" s="4"/>
      <c r="HU192" s="4"/>
      <c r="HV192" s="4"/>
      <c r="HW192" s="4"/>
      <c r="HX192" s="4"/>
      <c r="HY192" s="4"/>
      <c r="HZ192" s="4"/>
      <c r="IA192" s="4"/>
      <c r="IB192" s="4" t="s">
        <v>1700</v>
      </c>
      <c r="IC192" s="8">
        <v>8489</v>
      </c>
      <c r="ID192" s="4" t="s">
        <v>1701</v>
      </c>
      <c r="IE192" s="4" t="s">
        <v>1702</v>
      </c>
      <c r="IF192" s="4" t="s">
        <v>319</v>
      </c>
      <c r="IG192" s="4"/>
      <c r="IH192" s="4"/>
      <c r="II192" s="4" t="s">
        <v>1703</v>
      </c>
      <c r="IJ192" s="4" t="s">
        <v>1702</v>
      </c>
      <c r="IK192" s="4" t="s">
        <v>319</v>
      </c>
      <c r="IL192" s="4"/>
      <c r="IN192" s="4"/>
      <c r="IO192" s="4"/>
      <c r="IP192" s="4"/>
      <c r="IQ192" s="4"/>
      <c r="IS192" s="4"/>
      <c r="IT192" s="4"/>
      <c r="IU192" s="4"/>
      <c r="IV192" s="4"/>
      <c r="IW192" s="8"/>
      <c r="IX192" s="4"/>
      <c r="IY192" s="4"/>
      <c r="IZ192" s="4"/>
      <c r="JA192" s="4"/>
      <c r="JB192" s="8"/>
      <c r="JC192" s="4"/>
      <c r="JD192" s="4"/>
      <c r="JE192" s="4"/>
      <c r="JF192" s="4"/>
      <c r="JG192" s="4"/>
      <c r="JH192" s="4"/>
      <c r="JI192" s="4"/>
      <c r="JJ192" s="4"/>
      <c r="JK192" s="4"/>
      <c r="JL192" s="4"/>
      <c r="JM192" s="4"/>
      <c r="JN192" s="4"/>
      <c r="JO192" s="4"/>
      <c r="JP192" s="4"/>
      <c r="JQ192" s="4"/>
      <c r="JR192" s="4"/>
      <c r="JS192" s="4"/>
      <c r="JT192" s="4"/>
      <c r="JU192" s="4" t="s">
        <v>1704</v>
      </c>
      <c r="JV192" s="4" t="s">
        <v>1705</v>
      </c>
      <c r="JW192" s="4"/>
      <c r="JX192" s="4" t="s">
        <v>322</v>
      </c>
      <c r="JY192" s="4" t="s">
        <v>354</v>
      </c>
      <c r="JZ192" s="4" t="s">
        <v>320</v>
      </c>
      <c r="KA192" s="4"/>
      <c r="KB192" s="4"/>
      <c r="KC192" s="4"/>
      <c r="KD192" s="4"/>
      <c r="KE192" s="4"/>
      <c r="KF192" s="4"/>
      <c r="KG192" s="4" t="s">
        <v>323</v>
      </c>
      <c r="KM192" s="4" t="s">
        <v>888</v>
      </c>
      <c r="KN192" s="4" t="s">
        <v>888</v>
      </c>
      <c r="KO192" s="4" t="s">
        <v>350</v>
      </c>
      <c r="KP192" s="5" t="s">
        <v>358</v>
      </c>
      <c r="KQ192" s="5" t="s">
        <v>1706</v>
      </c>
      <c r="KR192" s="5" t="s">
        <v>1707</v>
      </c>
      <c r="KS192" s="5" t="s">
        <v>1708</v>
      </c>
      <c r="KT192" s="5" t="s">
        <v>1709</v>
      </c>
    </row>
    <row r="193" spans="1:306" ht="125.25" customHeight="1" x14ac:dyDescent="0.25">
      <c r="A193" s="5" t="s">
        <v>1948</v>
      </c>
      <c r="B193" s="4" t="s">
        <v>455</v>
      </c>
      <c r="C193" s="7" t="s">
        <v>686</v>
      </c>
      <c r="D193" s="8" t="s">
        <v>687</v>
      </c>
      <c r="E193" s="4">
        <v>335562</v>
      </c>
      <c r="G193" s="4" t="s">
        <v>479</v>
      </c>
      <c r="H193" s="6">
        <v>140.91990000000001</v>
      </c>
      <c r="I193" s="6">
        <v>-21.8658</v>
      </c>
      <c r="J193" s="4" t="s">
        <v>1949</v>
      </c>
      <c r="K193" s="4" t="s">
        <v>481</v>
      </c>
      <c r="L193" s="4" t="s">
        <v>651</v>
      </c>
      <c r="M193" s="4" t="s">
        <v>1950</v>
      </c>
      <c r="Q193" s="4"/>
      <c r="R193" s="4"/>
      <c r="S193" s="4"/>
      <c r="T193" s="4"/>
      <c r="U193" s="4"/>
      <c r="V193" s="4"/>
      <c r="W193" s="4"/>
      <c r="X193" s="4"/>
      <c r="Z193" s="4" t="s">
        <v>455</v>
      </c>
      <c r="AA193" s="7" t="s">
        <v>686</v>
      </c>
      <c r="AB193" s="8" t="s">
        <v>687</v>
      </c>
      <c r="AC193" s="4" t="s">
        <v>301</v>
      </c>
      <c r="AD193" s="4" t="s">
        <v>302</v>
      </c>
      <c r="AE193" s="4">
        <v>1665</v>
      </c>
      <c r="AF193" s="4"/>
      <c r="AG193" s="4" t="s">
        <v>303</v>
      </c>
      <c r="AH193" s="4" t="s">
        <v>304</v>
      </c>
      <c r="AI193" s="4" t="s">
        <v>1118</v>
      </c>
      <c r="AJ193" s="4" t="s">
        <v>1080</v>
      </c>
      <c r="AK193" s="4" t="s">
        <v>600</v>
      </c>
      <c r="AL193" s="4"/>
      <c r="AM193" s="8">
        <v>3</v>
      </c>
      <c r="BP193" s="7">
        <v>138.904</v>
      </c>
      <c r="BQ193" s="4"/>
      <c r="BR193" s="4"/>
      <c r="BS193" s="7">
        <v>4.7</v>
      </c>
      <c r="BT193" s="7">
        <v>3.3</v>
      </c>
      <c r="BU193" s="8">
        <v>219</v>
      </c>
      <c r="BV193" s="8"/>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31"/>
      <c r="EA193" s="4"/>
      <c r="EB193" s="4"/>
      <c r="EC193" s="4"/>
      <c r="ED193" s="4"/>
      <c r="EE193" s="4"/>
      <c r="EF193" s="4"/>
      <c r="EG193" s="4"/>
      <c r="EI193" s="10">
        <f t="shared" si="12"/>
        <v>6.5284879999999994</v>
      </c>
      <c r="EJ193" s="10">
        <f t="shared" si="13"/>
        <v>4.5838320000000001</v>
      </c>
      <c r="EK193" s="10">
        <f>BP193*BU193/1000</f>
        <v>30.419975999999998</v>
      </c>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32"/>
      <c r="GQ193" s="4"/>
      <c r="GR193" s="4"/>
      <c r="GS193" s="4"/>
      <c r="GT193" s="4"/>
      <c r="GU193" s="4"/>
      <c r="GV193" s="4"/>
      <c r="GW193" s="4"/>
      <c r="GX193" s="4"/>
      <c r="GY193" s="4" t="s">
        <v>338</v>
      </c>
      <c r="GZ193" s="4" t="s">
        <v>1951</v>
      </c>
      <c r="HA193" s="4"/>
      <c r="HB193" s="4"/>
      <c r="HC193" s="4" t="s">
        <v>692</v>
      </c>
      <c r="HD193" s="4" t="s">
        <v>1952</v>
      </c>
      <c r="HE193" s="8">
        <v>12978</v>
      </c>
      <c r="HF193" s="4" t="s">
        <v>1953</v>
      </c>
      <c r="HG193" s="4" t="s">
        <v>490</v>
      </c>
      <c r="HH193" s="4"/>
      <c r="HJ193" s="4"/>
      <c r="HK193" s="4"/>
      <c r="HL193" s="4"/>
      <c r="HN193" s="4"/>
      <c r="HO193" s="4"/>
      <c r="HP193" s="4"/>
      <c r="HR193" s="4"/>
      <c r="HS193" s="4"/>
      <c r="HT193" s="4"/>
      <c r="HU193" s="4"/>
      <c r="HV193" s="4"/>
      <c r="HW193" s="4"/>
      <c r="HX193" s="4"/>
      <c r="HY193" s="4"/>
      <c r="HZ193" s="4"/>
      <c r="IA193" s="4"/>
      <c r="IB193" s="4"/>
      <c r="ID193" s="4" t="s">
        <v>1954</v>
      </c>
      <c r="IE193" s="4" t="s">
        <v>538</v>
      </c>
      <c r="IF193" s="4" t="s">
        <v>319</v>
      </c>
      <c r="IG193" s="4"/>
      <c r="IH193" s="4"/>
      <c r="II193" s="4" t="s">
        <v>528</v>
      </c>
      <c r="IJ193" s="4" t="s">
        <v>538</v>
      </c>
      <c r="IK193" s="4" t="s">
        <v>329</v>
      </c>
      <c r="IL193" s="4"/>
      <c r="IN193" s="4"/>
      <c r="IO193" s="4"/>
      <c r="IP193" s="4"/>
      <c r="IQ193" s="4"/>
      <c r="IR193" s="4"/>
      <c r="IS193" s="4"/>
      <c r="IT193" s="4"/>
      <c r="IU193" s="4"/>
      <c r="IV193" s="4"/>
      <c r="IW193" s="4"/>
      <c r="IX193" s="4"/>
      <c r="IY193" s="4"/>
      <c r="IZ193" s="4"/>
      <c r="JA193" s="4"/>
      <c r="JB193" s="4"/>
      <c r="JC193" s="4"/>
      <c r="JD193" s="4"/>
      <c r="JE193" s="4"/>
      <c r="JF193" s="4"/>
      <c r="JG193" s="4"/>
      <c r="JH193" s="4"/>
      <c r="JI193" s="4"/>
      <c r="JJ193" s="4"/>
      <c r="JK193" s="4"/>
      <c r="JL193" s="4"/>
      <c r="JM193" s="4"/>
      <c r="JN193" s="4"/>
      <c r="JO193" s="4"/>
      <c r="JP193" s="4"/>
      <c r="JQ193" s="4"/>
      <c r="JR193" s="4"/>
      <c r="JS193" s="4"/>
      <c r="JT193" s="4"/>
      <c r="JU193" s="4"/>
      <c r="JV193" s="4" t="s">
        <v>1955</v>
      </c>
      <c r="JW193" s="4"/>
      <c r="JX193" s="4" t="s">
        <v>353</v>
      </c>
      <c r="JY193" s="4" t="s">
        <v>354</v>
      </c>
      <c r="JZ193" s="4" t="s">
        <v>322</v>
      </c>
      <c r="KA193" s="4" t="s">
        <v>354</v>
      </c>
      <c r="KB193" s="4" t="s">
        <v>320</v>
      </c>
      <c r="KC193" s="4"/>
      <c r="KD193" s="4"/>
      <c r="KE193" s="4"/>
      <c r="KF193" s="4"/>
      <c r="KG193" s="4" t="s">
        <v>323</v>
      </c>
      <c r="KM193" s="4" t="s">
        <v>1192</v>
      </c>
      <c r="KN193" s="4" t="s">
        <v>1192</v>
      </c>
      <c r="KO193" s="4" t="s">
        <v>350</v>
      </c>
      <c r="KP193" s="5" t="s">
        <v>1956</v>
      </c>
      <c r="KQ193" s="5" t="s">
        <v>1957</v>
      </c>
      <c r="KR193" s="5" t="s">
        <v>1958</v>
      </c>
      <c r="KS193" s="5" t="s">
        <v>1959</v>
      </c>
      <c r="KT193" s="5" t="s">
        <v>1960</v>
      </c>
    </row>
    <row r="194" spans="1:306" ht="72" x14ac:dyDescent="0.25">
      <c r="A194" s="5" t="s">
        <v>2181</v>
      </c>
      <c r="B194" s="4" t="s">
        <v>455</v>
      </c>
      <c r="C194" s="7" t="s">
        <v>686</v>
      </c>
      <c r="D194" s="8" t="s">
        <v>687</v>
      </c>
      <c r="E194" s="4">
        <v>334950</v>
      </c>
      <c r="G194" s="4" t="s">
        <v>479</v>
      </c>
      <c r="H194" s="6">
        <v>143.991882</v>
      </c>
      <c r="I194" s="6">
        <v>-18.610481</v>
      </c>
      <c r="J194" s="4" t="s">
        <v>2182</v>
      </c>
      <c r="K194" s="4" t="s">
        <v>481</v>
      </c>
      <c r="L194" s="4" t="s">
        <v>482</v>
      </c>
      <c r="Q194" s="4"/>
      <c r="R194" s="4"/>
      <c r="S194" s="4"/>
      <c r="T194" s="4"/>
      <c r="U194" s="4"/>
      <c r="V194" s="4"/>
      <c r="W194" s="4"/>
      <c r="X194" s="4"/>
      <c r="Z194" s="4" t="s">
        <v>455</v>
      </c>
      <c r="AA194" s="7" t="s">
        <v>686</v>
      </c>
      <c r="AB194" s="8" t="s">
        <v>687</v>
      </c>
      <c r="AC194" s="4" t="s">
        <v>301</v>
      </c>
      <c r="AD194" s="4" t="s">
        <v>375</v>
      </c>
      <c r="AE194" s="4">
        <v>1673</v>
      </c>
      <c r="AF194" s="4"/>
      <c r="AG194" s="4" t="s">
        <v>303</v>
      </c>
      <c r="AH194" s="4" t="s">
        <v>304</v>
      </c>
      <c r="AI194" s="4" t="s">
        <v>1118</v>
      </c>
      <c r="AJ194" s="4" t="s">
        <v>1080</v>
      </c>
      <c r="AK194" s="4" t="s">
        <v>600</v>
      </c>
      <c r="AL194" s="4"/>
      <c r="AM194" s="8">
        <v>3</v>
      </c>
      <c r="AN194" s="4" t="s">
        <v>301</v>
      </c>
      <c r="AO194" s="4" t="s">
        <v>402</v>
      </c>
      <c r="AP194" s="8" t="s">
        <v>3797</v>
      </c>
      <c r="AQ194" s="8" t="s">
        <v>3797</v>
      </c>
      <c r="AR194" s="8" t="s">
        <v>3797</v>
      </c>
      <c r="AS194" s="7">
        <v>412.8</v>
      </c>
      <c r="AT194" s="7">
        <v>1.9</v>
      </c>
      <c r="AU194" s="9" t="s">
        <v>303</v>
      </c>
      <c r="AV194" s="9" t="s">
        <v>304</v>
      </c>
      <c r="AW194" s="9" t="s">
        <v>598</v>
      </c>
      <c r="AX194" s="9" t="s">
        <v>599</v>
      </c>
      <c r="AY194" s="9" t="s">
        <v>600</v>
      </c>
      <c r="BA194" s="8">
        <v>5</v>
      </c>
      <c r="BB194" s="4" t="s">
        <v>381</v>
      </c>
      <c r="BC194" s="4" t="s">
        <v>402</v>
      </c>
      <c r="BD194" s="4" t="s">
        <v>383</v>
      </c>
      <c r="BE194" s="7" t="s">
        <v>384</v>
      </c>
      <c r="BF194" s="8" t="s">
        <v>1048</v>
      </c>
      <c r="BG194" s="7">
        <v>0</v>
      </c>
      <c r="BH194" s="7">
        <v>0</v>
      </c>
      <c r="BI194" s="9" t="s">
        <v>303</v>
      </c>
      <c r="BJ194" s="9" t="s">
        <v>406</v>
      </c>
      <c r="BO194" s="8">
        <v>5</v>
      </c>
      <c r="BP194" s="7">
        <v>8.01</v>
      </c>
      <c r="BQ194" s="4"/>
      <c r="BR194" s="4">
        <v>0.18</v>
      </c>
      <c r="BS194" s="4">
        <v>3.95</v>
      </c>
      <c r="BT194" s="6">
        <v>1.5</v>
      </c>
      <c r="BU194" s="4">
        <v>36.01</v>
      </c>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31"/>
      <c r="EA194" s="4"/>
      <c r="EB194" s="4"/>
      <c r="EC194" s="4"/>
      <c r="ED194" s="4"/>
      <c r="EE194" s="4"/>
      <c r="EF194" s="4"/>
      <c r="EG194" s="4"/>
      <c r="EH194" s="10">
        <f>BP194*BR194/100</f>
        <v>1.4418E-2</v>
      </c>
      <c r="EI194" s="10">
        <f t="shared" si="12"/>
        <v>0.31639500000000004</v>
      </c>
      <c r="EJ194" s="10">
        <f t="shared" si="13"/>
        <v>0.12015000000000001</v>
      </c>
      <c r="EK194" s="10">
        <f>BP194*BU194/1000</f>
        <v>0.28844009999999998</v>
      </c>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32"/>
      <c r="GQ194" s="4"/>
      <c r="GR194" s="4"/>
      <c r="GS194" s="4"/>
      <c r="GT194" s="4"/>
      <c r="GU194" s="4"/>
      <c r="GV194" s="4"/>
      <c r="GW194" s="4"/>
      <c r="GX194" s="4"/>
      <c r="GY194" s="4" t="s">
        <v>338</v>
      </c>
      <c r="GZ194" s="4" t="s">
        <v>461</v>
      </c>
      <c r="HA194" s="4" t="s">
        <v>462</v>
      </c>
      <c r="HB194" s="4" t="s">
        <v>994</v>
      </c>
      <c r="HC194" s="4" t="s">
        <v>692</v>
      </c>
      <c r="HD194" s="4" t="s">
        <v>2183</v>
      </c>
      <c r="HE194" s="8">
        <v>6018</v>
      </c>
      <c r="HF194" s="4" t="s">
        <v>2184</v>
      </c>
      <c r="HG194" s="4" t="s">
        <v>490</v>
      </c>
      <c r="HH194" s="4"/>
      <c r="HJ194" s="4"/>
      <c r="HK194" s="4"/>
      <c r="HL194" s="4"/>
      <c r="HN194" s="4"/>
      <c r="HO194" s="4"/>
      <c r="HP194" s="4"/>
      <c r="HR194" s="4"/>
      <c r="HS194" s="4"/>
      <c r="HT194" s="4"/>
      <c r="HU194" s="4"/>
      <c r="HV194" s="4"/>
      <c r="HW194" s="4"/>
      <c r="HX194" s="4"/>
      <c r="HY194" s="4"/>
      <c r="HZ194" s="4"/>
      <c r="IA194" s="4"/>
      <c r="IB194" s="4"/>
      <c r="ID194" s="4"/>
      <c r="IE194" s="4"/>
      <c r="IF194" s="4"/>
      <c r="IG194" s="4"/>
      <c r="IH194" s="4"/>
      <c r="II194" s="4"/>
      <c r="IJ194" s="4"/>
      <c r="IK194" s="4"/>
      <c r="IL194" s="4"/>
      <c r="IN194" s="4"/>
      <c r="IO194" s="4"/>
      <c r="IP194" s="4"/>
      <c r="IQ194" s="4"/>
      <c r="IR194" s="4"/>
      <c r="IS194" s="4"/>
      <c r="IT194" s="4"/>
      <c r="IU194" s="4"/>
      <c r="IV194" s="4"/>
      <c r="IW194" s="4"/>
      <c r="IX194" s="4"/>
      <c r="IY194" s="4"/>
      <c r="IZ194" s="4"/>
      <c r="JA194" s="4"/>
      <c r="JB194" s="4"/>
      <c r="JC194" s="4"/>
      <c r="JD194" s="4"/>
      <c r="JE194" s="4"/>
      <c r="JF194" s="4"/>
      <c r="JG194" s="4"/>
      <c r="JH194" s="4"/>
      <c r="JI194" s="4"/>
      <c r="JJ194" s="4"/>
      <c r="JK194" s="4"/>
      <c r="JL194" s="4"/>
      <c r="JM194" s="4"/>
      <c r="JN194" s="4"/>
      <c r="JO194" s="4"/>
      <c r="JP194" s="4"/>
      <c r="JQ194" s="4"/>
      <c r="JR194" s="4"/>
      <c r="JS194" s="4"/>
      <c r="JT194" s="4"/>
      <c r="JU194" s="4" t="s">
        <v>1704</v>
      </c>
      <c r="JV194" s="4" t="s">
        <v>2185</v>
      </c>
      <c r="JW194" s="4"/>
      <c r="JX194" s="4" t="s">
        <v>322</v>
      </c>
      <c r="JY194" s="4" t="s">
        <v>354</v>
      </c>
      <c r="JZ194" s="4" t="s">
        <v>320</v>
      </c>
      <c r="KA194" s="4"/>
      <c r="KB194" s="4"/>
      <c r="KC194" s="4"/>
      <c r="KD194" s="4"/>
      <c r="KE194" s="4"/>
      <c r="KF194" s="4"/>
      <c r="KG194" s="4" t="s">
        <v>323</v>
      </c>
      <c r="KM194" s="4" t="s">
        <v>702</v>
      </c>
      <c r="KN194" s="4" t="s">
        <v>888</v>
      </c>
      <c r="KO194" s="4" t="s">
        <v>350</v>
      </c>
      <c r="KP194" s="5" t="s">
        <v>1956</v>
      </c>
      <c r="KQ194" s="5" t="s">
        <v>2186</v>
      </c>
      <c r="KR194" s="5" t="s">
        <v>2187</v>
      </c>
      <c r="KS194" s="5" t="s">
        <v>2188</v>
      </c>
      <c r="KT194" s="5" t="s">
        <v>2189</v>
      </c>
    </row>
    <row r="195" spans="1:306" ht="48" x14ac:dyDescent="0.25">
      <c r="A195" s="5" t="s">
        <v>2957</v>
      </c>
      <c r="B195" s="4" t="s">
        <v>455</v>
      </c>
      <c r="C195" s="7" t="s">
        <v>686</v>
      </c>
      <c r="D195" s="8" t="s">
        <v>687</v>
      </c>
      <c r="E195" s="4">
        <v>334081</v>
      </c>
      <c r="G195" s="4" t="s">
        <v>479</v>
      </c>
      <c r="H195" s="6">
        <v>144.09989999999999</v>
      </c>
      <c r="I195" s="6">
        <v>-18.507400000000001</v>
      </c>
      <c r="J195" s="4" t="s">
        <v>2182</v>
      </c>
      <c r="K195" s="4" t="s">
        <v>481</v>
      </c>
      <c r="L195" s="4" t="s">
        <v>482</v>
      </c>
      <c r="Q195" s="4"/>
      <c r="R195" s="4"/>
      <c r="S195" s="4"/>
      <c r="T195" s="4"/>
      <c r="U195" s="4"/>
      <c r="V195" s="4"/>
      <c r="W195" s="4"/>
      <c r="X195" s="4"/>
      <c r="Z195" s="4" t="s">
        <v>455</v>
      </c>
      <c r="AA195" s="7" t="s">
        <v>686</v>
      </c>
      <c r="AB195" s="8" t="s">
        <v>687</v>
      </c>
      <c r="AC195" s="4" t="s">
        <v>301</v>
      </c>
      <c r="AD195" s="4" t="s">
        <v>375</v>
      </c>
      <c r="AE195" s="4">
        <v>1686</v>
      </c>
      <c r="AF195" s="4"/>
      <c r="AG195" s="4" t="s">
        <v>303</v>
      </c>
      <c r="AH195" s="4" t="s">
        <v>304</v>
      </c>
      <c r="AI195" s="4" t="s">
        <v>1118</v>
      </c>
      <c r="AJ195" s="4" t="s">
        <v>1080</v>
      </c>
      <c r="AK195" s="4" t="s">
        <v>600</v>
      </c>
      <c r="AL195" s="4"/>
      <c r="AM195" s="8">
        <v>3</v>
      </c>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31"/>
      <c r="EA195" s="4"/>
      <c r="EB195" s="4"/>
      <c r="EC195" s="4"/>
      <c r="ED195" s="4"/>
      <c r="EE195" s="4"/>
      <c r="EF195" s="4"/>
      <c r="EG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32"/>
      <c r="GQ195" s="4"/>
      <c r="GR195" s="4"/>
      <c r="GS195" s="4"/>
      <c r="GT195" s="4"/>
      <c r="GU195" s="4"/>
      <c r="GV195" s="4"/>
      <c r="GW195" s="4"/>
      <c r="GX195" s="4"/>
      <c r="GY195" s="4" t="s">
        <v>407</v>
      </c>
      <c r="GZ195" s="4"/>
      <c r="HA195" s="4"/>
      <c r="HB195" s="4"/>
      <c r="HC195" s="4" t="s">
        <v>692</v>
      </c>
      <c r="HD195" s="4" t="s">
        <v>2183</v>
      </c>
      <c r="HE195" s="8">
        <v>6018</v>
      </c>
      <c r="HF195" s="4" t="s">
        <v>2958</v>
      </c>
      <c r="HG195" s="4" t="s">
        <v>490</v>
      </c>
      <c r="HH195" s="4"/>
      <c r="HJ195" s="4"/>
      <c r="HK195" s="4"/>
      <c r="HL195" s="4"/>
      <c r="HN195" s="4"/>
      <c r="HO195" s="4"/>
      <c r="HP195" s="4"/>
      <c r="HR195" s="4"/>
      <c r="HS195" s="4"/>
      <c r="HT195" s="4"/>
      <c r="HU195" s="4"/>
      <c r="HV195" s="4"/>
      <c r="HW195" s="4"/>
      <c r="HX195" s="4"/>
      <c r="HY195" s="4"/>
      <c r="HZ195" s="4"/>
      <c r="IA195" s="4"/>
      <c r="IB195" s="4"/>
      <c r="ID195" s="4"/>
      <c r="IE195" s="4"/>
      <c r="IF195" s="4"/>
      <c r="IG195" s="4"/>
      <c r="IH195" s="4"/>
      <c r="II195" s="4"/>
      <c r="IJ195" s="4"/>
      <c r="IK195" s="4"/>
      <c r="IL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t="s">
        <v>1704</v>
      </c>
      <c r="JV195" s="4" t="s">
        <v>2959</v>
      </c>
      <c r="JW195" s="4"/>
      <c r="JX195" s="4" t="s">
        <v>322</v>
      </c>
      <c r="JY195" s="4" t="s">
        <v>470</v>
      </c>
      <c r="JZ195" s="4" t="s">
        <v>322</v>
      </c>
      <c r="KA195" s="4" t="s">
        <v>354</v>
      </c>
      <c r="KB195" s="4" t="s">
        <v>353</v>
      </c>
      <c r="KC195" s="4"/>
      <c r="KD195" s="4"/>
      <c r="KE195" s="4"/>
      <c r="KF195" s="4"/>
      <c r="KG195" s="4" t="s">
        <v>356</v>
      </c>
      <c r="KH195" s="4" t="s">
        <v>1317</v>
      </c>
      <c r="KM195" s="4" t="s">
        <v>702</v>
      </c>
      <c r="KN195" s="4" t="s">
        <v>888</v>
      </c>
      <c r="KP195" s="5" t="s">
        <v>1956</v>
      </c>
      <c r="KQ195" s="5" t="s">
        <v>2960</v>
      </c>
      <c r="KR195" s="5" t="s">
        <v>1958</v>
      </c>
      <c r="KT195" s="5" t="s">
        <v>2961</v>
      </c>
    </row>
    <row r="196" spans="1:306" ht="96" x14ac:dyDescent="0.25">
      <c r="A196" s="5" t="s">
        <v>4289</v>
      </c>
      <c r="B196" s="4" t="s">
        <v>455</v>
      </c>
      <c r="C196" s="7" t="s">
        <v>686</v>
      </c>
      <c r="D196" s="8" t="s">
        <v>687</v>
      </c>
      <c r="E196" s="4">
        <v>334762</v>
      </c>
      <c r="G196" s="4" t="s">
        <v>530</v>
      </c>
      <c r="H196" s="6">
        <v>136.26801</v>
      </c>
      <c r="I196" s="6">
        <v>-22.651319999999998</v>
      </c>
      <c r="J196" s="4" t="s">
        <v>4274</v>
      </c>
      <c r="K196" s="4" t="s">
        <v>481</v>
      </c>
      <c r="L196" s="4" t="s">
        <v>1498</v>
      </c>
      <c r="Q196" s="8"/>
      <c r="R196" s="8"/>
      <c r="S196" s="4"/>
      <c r="T196" s="4"/>
      <c r="U196" s="4"/>
      <c r="V196" s="4"/>
      <c r="W196" s="4"/>
      <c r="X196" s="4"/>
      <c r="Z196" s="4" t="s">
        <v>455</v>
      </c>
      <c r="AA196" s="7" t="s">
        <v>686</v>
      </c>
      <c r="AB196" s="8" t="s">
        <v>687</v>
      </c>
      <c r="AC196" s="4" t="s">
        <v>301</v>
      </c>
      <c r="AD196" s="4" t="s">
        <v>375</v>
      </c>
      <c r="AE196" s="8">
        <v>1789</v>
      </c>
      <c r="AF196" s="8"/>
      <c r="AG196" s="4" t="s">
        <v>1236</v>
      </c>
      <c r="AH196" s="4" t="s">
        <v>304</v>
      </c>
      <c r="AI196" s="4" t="s">
        <v>1118</v>
      </c>
      <c r="AJ196" s="4" t="s">
        <v>1080</v>
      </c>
      <c r="AK196" s="4" t="s">
        <v>600</v>
      </c>
      <c r="AL196" s="4" t="s">
        <v>4290</v>
      </c>
      <c r="AM196" s="8">
        <v>3</v>
      </c>
      <c r="AN196" s="4" t="s">
        <v>381</v>
      </c>
      <c r="AO196" s="4" t="s">
        <v>402</v>
      </c>
      <c r="AP196" s="4" t="s">
        <v>383</v>
      </c>
      <c r="AQ196" s="7" t="s">
        <v>384</v>
      </c>
      <c r="AR196" s="8" t="s">
        <v>1048</v>
      </c>
      <c r="AS196" s="7">
        <v>0</v>
      </c>
      <c r="AT196" s="7">
        <v>0</v>
      </c>
      <c r="AU196" s="9" t="s">
        <v>303</v>
      </c>
      <c r="AV196" s="9" t="s">
        <v>406</v>
      </c>
      <c r="BA196" s="8">
        <v>5</v>
      </c>
      <c r="BP196" s="7">
        <f>3.3+0.044</f>
        <v>3.3439999999999999</v>
      </c>
      <c r="BQ196" s="7"/>
      <c r="BR196" s="6">
        <f>(0.73*3.3+0*0.044)/(3.3+0.044)</f>
        <v>0.7203947368421052</v>
      </c>
      <c r="BS196" s="6">
        <f>(1.35*3.3+2.5*0.044)/(3.3+0.044)</f>
        <v>1.3651315789473686</v>
      </c>
      <c r="BT196" s="6">
        <f>(2.07*3.3+8.5*0.044)/(3.3+0.044)</f>
        <v>2.1546052631578947</v>
      </c>
      <c r="BU196" s="7">
        <f>(64.4*3.3+0*0.044)/(3.3+0.044)</f>
        <v>63.552631578947377</v>
      </c>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31"/>
      <c r="EA196" s="4"/>
      <c r="EB196" s="4"/>
      <c r="EC196" s="4"/>
      <c r="ED196" s="4"/>
      <c r="EE196" s="4"/>
      <c r="EF196" s="4"/>
      <c r="EG196" s="4"/>
      <c r="EH196" s="10">
        <f>BP196*BR196/100</f>
        <v>2.4089999999999997E-2</v>
      </c>
      <c r="EI196" s="10">
        <f>BP196*BS196/100</f>
        <v>4.5650000000000003E-2</v>
      </c>
      <c r="EJ196" s="10">
        <f>BP196*BT196/100</f>
        <v>7.2049999999999989E-2</v>
      </c>
      <c r="EK196" s="6">
        <f>BP196*BU196/1000</f>
        <v>0.21252000000000001</v>
      </c>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32"/>
      <c r="GQ196" s="4"/>
      <c r="GR196" s="4"/>
      <c r="GS196" s="4"/>
      <c r="GT196" s="4"/>
      <c r="GU196" s="4"/>
      <c r="GV196" s="4"/>
      <c r="GW196" s="4"/>
      <c r="GX196" s="4"/>
      <c r="GY196" s="4" t="s">
        <v>338</v>
      </c>
      <c r="GZ196" s="4" t="s">
        <v>4291</v>
      </c>
      <c r="HA196" s="4" t="s">
        <v>1049</v>
      </c>
      <c r="HB196" s="4"/>
      <c r="HC196" s="4" t="s">
        <v>692</v>
      </c>
      <c r="HD196" s="4" t="s">
        <v>4275</v>
      </c>
      <c r="HE196" s="4">
        <v>28387</v>
      </c>
      <c r="HF196" s="4" t="s">
        <v>4276</v>
      </c>
      <c r="HG196" s="4" t="s">
        <v>538</v>
      </c>
      <c r="HH196" s="4"/>
      <c r="HJ196" s="4"/>
      <c r="HK196" s="4"/>
      <c r="HL196" s="4"/>
      <c r="HN196" s="4"/>
      <c r="HO196" s="4"/>
      <c r="HP196" s="4"/>
      <c r="HR196" s="4"/>
      <c r="HS196" s="4"/>
      <c r="HT196" s="4"/>
      <c r="HU196" s="4"/>
      <c r="HV196" s="4"/>
      <c r="HW196" s="4"/>
      <c r="HX196" s="4"/>
      <c r="HY196" s="4"/>
      <c r="HZ196" s="4"/>
      <c r="IA196" s="4"/>
      <c r="IB196" s="4" t="s">
        <v>4277</v>
      </c>
      <c r="IC196" s="8">
        <v>23345</v>
      </c>
      <c r="ID196" s="4" t="s">
        <v>4278</v>
      </c>
      <c r="IE196" s="4" t="s">
        <v>538</v>
      </c>
      <c r="IF196" s="4" t="s">
        <v>319</v>
      </c>
      <c r="IG196" s="4" t="s">
        <v>4279</v>
      </c>
      <c r="IH196" s="4">
        <v>80334</v>
      </c>
      <c r="II196" s="4" t="s">
        <v>4280</v>
      </c>
      <c r="IJ196" s="4" t="s">
        <v>538</v>
      </c>
      <c r="IK196" s="4" t="s">
        <v>319</v>
      </c>
      <c r="IL196" s="4" t="s">
        <v>4292</v>
      </c>
      <c r="IM196" s="8">
        <v>80345</v>
      </c>
      <c r="IN196" s="4" t="s">
        <v>4282</v>
      </c>
      <c r="IO196" s="4" t="s">
        <v>538</v>
      </c>
      <c r="IP196" s="4" t="s">
        <v>319</v>
      </c>
      <c r="IQ196" s="4"/>
      <c r="IS196" s="4" t="s">
        <v>4283</v>
      </c>
      <c r="IT196" s="4" t="s">
        <v>538</v>
      </c>
      <c r="IU196" s="4" t="s">
        <v>319</v>
      </c>
      <c r="IV196" s="4"/>
      <c r="IW196" s="8"/>
      <c r="IX196" s="4"/>
      <c r="IY196" s="4"/>
      <c r="IZ196" s="4"/>
      <c r="JA196" s="4"/>
      <c r="JB196" s="8"/>
      <c r="JC196" s="4"/>
      <c r="JD196" s="4"/>
      <c r="JE196" s="4"/>
      <c r="JF196" s="4"/>
      <c r="JG196" s="4"/>
      <c r="JH196" s="4"/>
      <c r="JI196" s="4"/>
      <c r="JJ196" s="4"/>
      <c r="JK196" s="4"/>
      <c r="JL196" s="4"/>
      <c r="JM196" s="4"/>
      <c r="JN196" s="4"/>
      <c r="JO196" s="4"/>
      <c r="JP196" s="4"/>
      <c r="JQ196" s="4"/>
      <c r="JR196" s="4"/>
      <c r="JS196" s="4"/>
      <c r="JT196" s="4"/>
      <c r="JU196" s="4"/>
      <c r="JV196" s="4" t="s">
        <v>4293</v>
      </c>
      <c r="JW196" s="4" t="s">
        <v>910</v>
      </c>
      <c r="JX196" s="4" t="s">
        <v>320</v>
      </c>
      <c r="JY196" s="4" t="s">
        <v>448</v>
      </c>
      <c r="JZ196" s="4" t="s">
        <v>353</v>
      </c>
      <c r="KA196" s="4"/>
      <c r="KB196" s="4"/>
      <c r="KC196" s="4"/>
      <c r="KD196" s="4"/>
      <c r="KE196" s="4"/>
      <c r="KF196" s="4"/>
      <c r="KG196" s="4" t="s">
        <v>323</v>
      </c>
      <c r="KM196" s="4" t="s">
        <v>702</v>
      </c>
      <c r="KN196" s="4" t="s">
        <v>702</v>
      </c>
      <c r="KP196" s="5" t="s">
        <v>358</v>
      </c>
      <c r="KQ196" s="5" t="s">
        <v>4294</v>
      </c>
      <c r="KR196" s="5" t="s">
        <v>2268</v>
      </c>
      <c r="KS196" s="5" t="s">
        <v>4295</v>
      </c>
      <c r="KT196" s="5" t="s">
        <v>4296</v>
      </c>
    </row>
    <row r="197" spans="1:306" ht="36" x14ac:dyDescent="0.25">
      <c r="A197" s="5" t="s">
        <v>5006</v>
      </c>
      <c r="B197" s="4" t="s">
        <v>455</v>
      </c>
      <c r="C197" s="7" t="s">
        <v>686</v>
      </c>
      <c r="D197" s="8" t="s">
        <v>687</v>
      </c>
      <c r="E197" s="4">
        <v>333601</v>
      </c>
      <c r="G197" s="4" t="s">
        <v>479</v>
      </c>
      <c r="H197" s="6">
        <v>140.909008</v>
      </c>
      <c r="I197" s="6">
        <v>-21.574031999999999</v>
      </c>
      <c r="J197" s="4" t="s">
        <v>1949</v>
      </c>
      <c r="K197" s="4" t="s">
        <v>481</v>
      </c>
      <c r="L197" s="4" t="s">
        <v>651</v>
      </c>
      <c r="M197" s="4" t="s">
        <v>1950</v>
      </c>
      <c r="Q197" s="4"/>
      <c r="R197" s="4"/>
      <c r="S197" s="4"/>
      <c r="T197" s="4"/>
      <c r="U197" s="4"/>
      <c r="V197" s="4"/>
      <c r="W197" s="4"/>
      <c r="X197" s="4"/>
      <c r="Z197" s="4" t="s">
        <v>455</v>
      </c>
      <c r="AA197" s="7" t="s">
        <v>686</v>
      </c>
      <c r="AB197" s="8" t="s">
        <v>687</v>
      </c>
      <c r="AC197" s="4" t="s">
        <v>301</v>
      </c>
      <c r="AD197" s="4" t="s">
        <v>375</v>
      </c>
      <c r="AE197" s="4">
        <v>1675</v>
      </c>
      <c r="AF197" s="4"/>
      <c r="AG197" s="4" t="s">
        <v>379</v>
      </c>
      <c r="AH197" s="4" t="s">
        <v>1156</v>
      </c>
      <c r="AI197" s="4"/>
      <c r="AJ197" s="4"/>
      <c r="AK197" s="4"/>
      <c r="AL197" s="4"/>
      <c r="AM197" s="8">
        <v>2</v>
      </c>
      <c r="BP197" s="7">
        <v>1.8</v>
      </c>
      <c r="BQ197" s="4"/>
      <c r="BR197" s="4"/>
      <c r="BS197" s="4">
        <v>4.4000000000000004</v>
      </c>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31"/>
      <c r="EA197" s="4"/>
      <c r="EB197" s="4"/>
      <c r="EC197" s="4"/>
      <c r="ED197" s="4"/>
      <c r="EE197" s="4"/>
      <c r="EF197" s="4"/>
      <c r="EG197" s="4"/>
      <c r="EI197" s="10">
        <f>BP197*BS197/100</f>
        <v>7.9200000000000007E-2</v>
      </c>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32"/>
      <c r="GQ197" s="4"/>
      <c r="GR197" s="4"/>
      <c r="GS197" s="4"/>
      <c r="GT197" s="4"/>
      <c r="GU197" s="4"/>
      <c r="GV197" s="4"/>
      <c r="GW197" s="4"/>
      <c r="GX197" s="4"/>
      <c r="GY197" s="4" t="s">
        <v>309</v>
      </c>
      <c r="GZ197" s="4" t="s">
        <v>1049</v>
      </c>
      <c r="HA197" s="4"/>
      <c r="HB197" s="4"/>
      <c r="HC197" s="4" t="s">
        <v>692</v>
      </c>
      <c r="HD197" s="4" t="s">
        <v>5007</v>
      </c>
      <c r="HE197" s="8">
        <v>34809</v>
      </c>
      <c r="HF197" s="4" t="s">
        <v>5008</v>
      </c>
      <c r="HG197" s="4" t="s">
        <v>490</v>
      </c>
      <c r="HH197" s="4"/>
      <c r="HJ197" s="4"/>
      <c r="HK197" s="4"/>
      <c r="HL197" s="4"/>
      <c r="HN197" s="4"/>
      <c r="HO197" s="4"/>
      <c r="HP197" s="4"/>
      <c r="HR197" s="4"/>
      <c r="HS197" s="4"/>
      <c r="HT197" s="4"/>
      <c r="HU197" s="4"/>
      <c r="HV197" s="4"/>
      <c r="HW197" s="4"/>
      <c r="HX197" s="4"/>
      <c r="HY197" s="4"/>
      <c r="HZ197" s="4"/>
      <c r="IA197" s="4"/>
      <c r="IB197" s="4"/>
      <c r="ID197" s="4"/>
      <c r="IE197" s="4"/>
      <c r="IF197" s="4"/>
      <c r="IG197" s="4"/>
      <c r="IH197" s="4"/>
      <c r="II197" s="4"/>
      <c r="IJ197" s="4"/>
      <c r="IK197" s="4"/>
      <c r="IL197" s="4"/>
      <c r="IN197" s="4"/>
      <c r="IO197" s="4"/>
      <c r="IP197" s="4"/>
      <c r="IQ197" s="4"/>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t="s">
        <v>5009</v>
      </c>
      <c r="JW197" s="4"/>
      <c r="JX197" s="4" t="s">
        <v>322</v>
      </c>
      <c r="JY197" s="4" t="s">
        <v>354</v>
      </c>
      <c r="JZ197" s="4" t="s">
        <v>320</v>
      </c>
      <c r="KA197" s="4"/>
      <c r="KB197" s="4"/>
      <c r="KC197" s="4"/>
      <c r="KD197" s="4"/>
      <c r="KE197" s="4"/>
      <c r="KF197" s="4"/>
      <c r="KG197" s="4" t="s">
        <v>323</v>
      </c>
      <c r="KM197" s="4" t="s">
        <v>1192</v>
      </c>
      <c r="KN197" s="4" t="s">
        <v>1192</v>
      </c>
      <c r="KP197" s="5" t="s">
        <v>1956</v>
      </c>
      <c r="KQ197" s="5" t="s">
        <v>5010</v>
      </c>
      <c r="KS197" s="5" t="s">
        <v>5011</v>
      </c>
      <c r="KT197" s="5" t="s">
        <v>5012</v>
      </c>
    </row>
    <row r="198" spans="1:306" ht="120" x14ac:dyDescent="0.25">
      <c r="A198" s="5" t="s">
        <v>5025</v>
      </c>
      <c r="B198" s="4" t="s">
        <v>455</v>
      </c>
      <c r="C198" s="7" t="s">
        <v>686</v>
      </c>
      <c r="D198" s="8" t="s">
        <v>687</v>
      </c>
      <c r="E198" s="4">
        <v>600533</v>
      </c>
      <c r="G198" s="4" t="s">
        <v>479</v>
      </c>
      <c r="H198" s="6">
        <v>140.92814999999999</v>
      </c>
      <c r="I198" s="6">
        <v>-21.06371</v>
      </c>
      <c r="J198" s="4" t="s">
        <v>1949</v>
      </c>
      <c r="K198" s="4" t="s">
        <v>481</v>
      </c>
      <c r="L198" s="4" t="s">
        <v>651</v>
      </c>
      <c r="M198" s="4" t="s">
        <v>1950</v>
      </c>
      <c r="Q198" s="4"/>
      <c r="R198" s="4"/>
      <c r="S198" s="4"/>
      <c r="T198" s="4"/>
      <c r="U198" s="4"/>
      <c r="V198" s="4"/>
      <c r="W198" s="4"/>
      <c r="X198" s="4"/>
      <c r="Z198" s="4" t="s">
        <v>455</v>
      </c>
      <c r="AA198" s="7" t="s">
        <v>686</v>
      </c>
      <c r="AB198" s="8" t="s">
        <v>687</v>
      </c>
      <c r="AC198" s="4" t="s">
        <v>301</v>
      </c>
      <c r="AD198" s="4" t="s">
        <v>375</v>
      </c>
      <c r="AE198" s="4">
        <v>1658</v>
      </c>
      <c r="AF198" s="4"/>
      <c r="AG198" s="4" t="s">
        <v>303</v>
      </c>
      <c r="AH198" s="4" t="s">
        <v>304</v>
      </c>
      <c r="AI198" s="4" t="s">
        <v>1118</v>
      </c>
      <c r="AJ198" s="4" t="s">
        <v>1080</v>
      </c>
      <c r="AK198" s="4" t="s">
        <v>600</v>
      </c>
      <c r="AL198" s="4"/>
      <c r="AM198" s="8">
        <v>3</v>
      </c>
      <c r="AN198" s="4" t="s">
        <v>381</v>
      </c>
      <c r="AO198" s="4" t="s">
        <v>402</v>
      </c>
      <c r="AP198" s="4" t="s">
        <v>383</v>
      </c>
      <c r="AQ198" s="7" t="s">
        <v>384</v>
      </c>
      <c r="AR198" s="8" t="s">
        <v>827</v>
      </c>
      <c r="AS198" s="7">
        <v>0</v>
      </c>
      <c r="AT198" s="7">
        <v>0</v>
      </c>
      <c r="AU198" s="9" t="s">
        <v>303</v>
      </c>
      <c r="AV198" s="9" t="s">
        <v>406</v>
      </c>
      <c r="BA198" s="8">
        <v>5</v>
      </c>
      <c r="BG198" s="7"/>
      <c r="BH198" s="7"/>
      <c r="BP198" s="7">
        <f>31.1+32.5+1.8</f>
        <v>65.400000000000006</v>
      </c>
      <c r="BQ198" s="4"/>
      <c r="BR198" s="7">
        <f>((0*32.1)+(0.84*32.5)+(0*1.8))/BP198</f>
        <v>0.41743119266055045</v>
      </c>
      <c r="BS198" s="4"/>
      <c r="BT198" s="7">
        <f>((6.1*32.1)+(0*32.5)+(0*1.8))/BP198</f>
        <v>2.9940366972477062</v>
      </c>
      <c r="BU198" s="7">
        <f>((107*32.1)+(7*32.5)+(0*1.8))/BP198</f>
        <v>55.996941896024467</v>
      </c>
      <c r="BV198" s="7">
        <f>((0*32.1)+(0.61*32.5)+(1.24*1.8))/BP198</f>
        <v>0.33726299694189599</v>
      </c>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31"/>
      <c r="EA198" s="4"/>
      <c r="EB198" s="4"/>
      <c r="EC198" s="4"/>
      <c r="ED198" s="4"/>
      <c r="EE198" s="4"/>
      <c r="EF198" s="4"/>
      <c r="EG198" s="4"/>
      <c r="EH198" s="10">
        <f>BP198*BR198/100</f>
        <v>0.27300000000000002</v>
      </c>
      <c r="EJ198" s="10">
        <f t="shared" ref="EJ198:EJ203" si="14">BP198*BT198/100</f>
        <v>1.9581</v>
      </c>
      <c r="EK198" s="10">
        <f t="shared" ref="EK198:EK203" si="15">BP198*BU198/1000</f>
        <v>3.6622000000000003</v>
      </c>
      <c r="EL198" s="6">
        <f>BP198*BV198</f>
        <v>22.056999999999999</v>
      </c>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32"/>
      <c r="GQ198" s="4"/>
      <c r="GR198" s="4"/>
      <c r="GS198" s="4"/>
      <c r="GT198" s="4"/>
      <c r="GU198" s="4"/>
      <c r="GV198" s="4"/>
      <c r="GW198" s="4"/>
      <c r="GX198" s="4"/>
      <c r="GY198" s="4" t="s">
        <v>338</v>
      </c>
      <c r="GZ198" s="4" t="s">
        <v>3822</v>
      </c>
      <c r="HA198" s="4" t="s">
        <v>436</v>
      </c>
      <c r="HB198" s="4"/>
      <c r="HC198" s="4" t="s">
        <v>692</v>
      </c>
      <c r="HD198" s="4" t="s">
        <v>1952</v>
      </c>
      <c r="HE198" s="8">
        <v>12978</v>
      </c>
      <c r="HF198" s="4" t="s">
        <v>5026</v>
      </c>
      <c r="HG198" s="4" t="s">
        <v>490</v>
      </c>
      <c r="HH198" s="4"/>
      <c r="HJ198" s="4"/>
      <c r="HK198" s="4"/>
      <c r="HL198" s="4"/>
      <c r="HN198" s="4"/>
      <c r="HO198" s="4"/>
      <c r="HP198" s="4"/>
      <c r="HR198" s="4"/>
      <c r="HS198" s="4"/>
      <c r="HT198" s="4"/>
      <c r="HU198" s="4"/>
      <c r="HV198" s="4"/>
      <c r="HW198" s="4"/>
      <c r="HX198" s="4"/>
      <c r="HY198" s="4"/>
      <c r="HZ198" s="4"/>
      <c r="IA198" s="4"/>
      <c r="IB198" s="4"/>
      <c r="ID198" s="4" t="s">
        <v>702</v>
      </c>
      <c r="IE198" s="4" t="s">
        <v>538</v>
      </c>
      <c r="IF198" s="4" t="s">
        <v>329</v>
      </c>
      <c r="IG198" s="4"/>
      <c r="IH198" s="4"/>
      <c r="II198" s="4" t="s">
        <v>528</v>
      </c>
      <c r="IJ198" s="4" t="s">
        <v>538</v>
      </c>
      <c r="IK198" s="4" t="s">
        <v>329</v>
      </c>
      <c r="IL198" s="4"/>
      <c r="IN198" s="4"/>
      <c r="IO198" s="4"/>
      <c r="IP198" s="4"/>
      <c r="IQ198" s="4"/>
      <c r="IR198" s="4"/>
      <c r="IS198" s="4"/>
      <c r="IT198" s="4"/>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t="s">
        <v>5027</v>
      </c>
      <c r="JW198" s="4"/>
      <c r="JX198" s="4" t="s">
        <v>322</v>
      </c>
      <c r="JY198" s="4" t="s">
        <v>354</v>
      </c>
      <c r="JZ198" s="4" t="s">
        <v>320</v>
      </c>
      <c r="KA198" s="4" t="s">
        <v>321</v>
      </c>
      <c r="KB198" s="4" t="s">
        <v>353</v>
      </c>
      <c r="KC198" s="4"/>
      <c r="KD198" s="4"/>
      <c r="KE198" s="4"/>
      <c r="KF198" s="4"/>
      <c r="KG198" s="4" t="s">
        <v>323</v>
      </c>
      <c r="KM198" s="4" t="s">
        <v>702</v>
      </c>
      <c r="KN198" s="4" t="s">
        <v>702</v>
      </c>
      <c r="KO198" s="4" t="s">
        <v>350</v>
      </c>
      <c r="KP198" s="5" t="s">
        <v>358</v>
      </c>
      <c r="KQ198" s="5" t="s">
        <v>5028</v>
      </c>
      <c r="KR198" s="5" t="s">
        <v>1958</v>
      </c>
      <c r="KS198" s="5" t="s">
        <v>5029</v>
      </c>
      <c r="KT198" s="5" t="s">
        <v>5030</v>
      </c>
    </row>
    <row r="199" spans="1:306" ht="144" x14ac:dyDescent="0.25">
      <c r="A199" s="5" t="s">
        <v>5944</v>
      </c>
      <c r="B199" s="4" t="s">
        <v>455</v>
      </c>
      <c r="C199" s="7" t="s">
        <v>686</v>
      </c>
      <c r="D199" s="8" t="s">
        <v>687</v>
      </c>
      <c r="E199" s="4">
        <v>335783</v>
      </c>
      <c r="G199" s="4" t="s">
        <v>593</v>
      </c>
      <c r="H199" s="6">
        <v>139.00376800000001</v>
      </c>
      <c r="I199" s="6">
        <v>-34.885286000000001</v>
      </c>
      <c r="J199" s="4" t="s">
        <v>688</v>
      </c>
      <c r="K199" s="4" t="s">
        <v>298</v>
      </c>
      <c r="L199" s="4" t="s">
        <v>689</v>
      </c>
      <c r="M199" s="4" t="s">
        <v>688</v>
      </c>
      <c r="Q199" s="4"/>
      <c r="R199" s="4"/>
      <c r="S199" s="4"/>
      <c r="U199" s="4"/>
      <c r="V199" s="4"/>
      <c r="W199" s="4"/>
      <c r="X199" s="4"/>
      <c r="Z199" s="4" t="s">
        <v>455</v>
      </c>
      <c r="AA199" s="7" t="s">
        <v>686</v>
      </c>
      <c r="AB199" s="8" t="s">
        <v>687</v>
      </c>
      <c r="AC199" s="4" t="s">
        <v>301</v>
      </c>
      <c r="AD199" s="4" t="s">
        <v>302</v>
      </c>
      <c r="AE199" s="4">
        <v>518</v>
      </c>
      <c r="AF199" s="4">
        <v>6</v>
      </c>
      <c r="AG199" s="4" t="s">
        <v>379</v>
      </c>
      <c r="AH199" s="9" t="s">
        <v>690</v>
      </c>
      <c r="AI199" s="4"/>
      <c r="AJ199" s="4" t="s">
        <v>306</v>
      </c>
      <c r="AK199" s="4"/>
      <c r="AL199" s="4"/>
      <c r="AM199" s="8">
        <v>3</v>
      </c>
      <c r="BP199" s="7">
        <v>0.7</v>
      </c>
      <c r="BQ199" s="4"/>
      <c r="BR199" s="4"/>
      <c r="BS199" s="4">
        <v>1.6</v>
      </c>
      <c r="BT199" s="4">
        <v>6.4</v>
      </c>
      <c r="BU199" s="4">
        <v>41</v>
      </c>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31"/>
      <c r="EA199" s="4"/>
      <c r="EB199" s="10"/>
      <c r="EC199" s="4"/>
      <c r="ED199" s="4"/>
      <c r="EE199" s="4"/>
      <c r="EF199" s="4"/>
      <c r="EG199" s="4"/>
      <c r="EH199" s="4"/>
      <c r="EI199" s="4">
        <f>BP199*BS199/100</f>
        <v>1.1199999999999998E-2</v>
      </c>
      <c r="EJ199" s="4">
        <f t="shared" si="14"/>
        <v>4.4799999999999993E-2</v>
      </c>
      <c r="EK199" s="4">
        <f t="shared" si="15"/>
        <v>2.87E-2</v>
      </c>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32"/>
      <c r="GQ199" s="4"/>
      <c r="GR199" s="4"/>
      <c r="GS199" s="4"/>
      <c r="GT199" s="4"/>
      <c r="GU199" s="4"/>
      <c r="GV199" s="4"/>
      <c r="GW199" s="4"/>
      <c r="GX199" s="4"/>
      <c r="GY199" s="4" t="s">
        <v>309</v>
      </c>
      <c r="GZ199" s="4" t="s">
        <v>339</v>
      </c>
      <c r="HA199" s="4" t="s">
        <v>1386</v>
      </c>
      <c r="HB199" s="4"/>
      <c r="HC199" s="4" t="s">
        <v>692</v>
      </c>
      <c r="HD199" s="4" t="s">
        <v>5945</v>
      </c>
      <c r="HE199" s="4">
        <v>17694</v>
      </c>
      <c r="HF199" s="4" t="s">
        <v>5946</v>
      </c>
      <c r="HG199" s="4" t="s">
        <v>698</v>
      </c>
      <c r="HH199" s="4"/>
      <c r="HJ199" s="4"/>
      <c r="HK199" s="4"/>
      <c r="HL199" s="4"/>
      <c r="HN199" s="4"/>
      <c r="HO199" s="4"/>
      <c r="HP199" s="4"/>
      <c r="HR199" s="4"/>
      <c r="HS199" s="4"/>
      <c r="HT199" s="4"/>
      <c r="HU199" s="4"/>
      <c r="HV199" s="4"/>
      <c r="HW199" s="4"/>
      <c r="HX199" s="4"/>
      <c r="HY199" s="4"/>
      <c r="HZ199" s="4"/>
      <c r="IA199" s="4"/>
      <c r="IB199" s="4" t="s">
        <v>696</v>
      </c>
      <c r="IC199" s="4">
        <v>26184</v>
      </c>
      <c r="ID199" s="4" t="s">
        <v>697</v>
      </c>
      <c r="IE199" s="4" t="s">
        <v>698</v>
      </c>
      <c r="IF199" s="4" t="s">
        <v>445</v>
      </c>
      <c r="IG199" s="4" t="s">
        <v>699</v>
      </c>
      <c r="IH199" s="4">
        <v>79296</v>
      </c>
      <c r="II199" s="4" t="s">
        <v>700</v>
      </c>
      <c r="IJ199" s="4" t="s">
        <v>698</v>
      </c>
      <c r="IK199" s="4" t="s">
        <v>329</v>
      </c>
      <c r="IL199" s="4"/>
      <c r="IM199" s="4"/>
      <c r="IN199" s="4"/>
      <c r="IO199" s="4"/>
      <c r="IP199" s="4"/>
      <c r="IQ199" s="4"/>
      <c r="IS199" s="4"/>
      <c r="IT199" s="4"/>
      <c r="IU199" s="4"/>
      <c r="IV199" s="4"/>
      <c r="IW199" s="4"/>
      <c r="IX199" s="4"/>
      <c r="IY199" s="4"/>
      <c r="IZ199" s="4"/>
      <c r="JA199" s="4"/>
      <c r="JB199" s="4"/>
      <c r="JC199" s="4"/>
      <c r="JD199" s="4"/>
      <c r="JE199" s="4"/>
      <c r="JF199" s="4"/>
      <c r="JG199" s="4"/>
      <c r="JH199" s="4"/>
      <c r="JI199" s="4"/>
      <c r="JJ199" s="4"/>
      <c r="JK199" s="4"/>
      <c r="JL199" s="4"/>
      <c r="JM199" s="4"/>
      <c r="JN199" s="4"/>
      <c r="JO199" s="4"/>
      <c r="JP199" s="4"/>
      <c r="JQ199" s="4"/>
      <c r="JR199" s="4"/>
      <c r="JS199" s="4"/>
      <c r="JT199" s="4"/>
      <c r="JU199" s="4"/>
      <c r="JV199" s="4"/>
      <c r="JW199" s="4"/>
      <c r="JX199" s="4" t="s">
        <v>320</v>
      </c>
      <c r="JY199" s="4"/>
      <c r="JZ199" s="4"/>
      <c r="KA199" s="4"/>
      <c r="KB199" s="4"/>
      <c r="KC199" s="4"/>
      <c r="KD199" s="4"/>
      <c r="KE199" s="4"/>
      <c r="KF199" s="4"/>
      <c r="KG199" s="4" t="s">
        <v>323</v>
      </c>
      <c r="KM199" s="4" t="s">
        <v>702</v>
      </c>
      <c r="KN199" s="4" t="s">
        <v>702</v>
      </c>
      <c r="KP199" s="5" t="s">
        <v>358</v>
      </c>
      <c r="KQ199" s="5" t="s">
        <v>5947</v>
      </c>
      <c r="KR199" s="5" t="s">
        <v>704</v>
      </c>
      <c r="KS199" s="5" t="s">
        <v>5948</v>
      </c>
      <c r="KT199" s="5" t="s">
        <v>5949</v>
      </c>
    </row>
    <row r="200" spans="1:306" ht="120" x14ac:dyDescent="0.25">
      <c r="A200" s="5" t="s">
        <v>6595</v>
      </c>
      <c r="B200" s="4" t="s">
        <v>455</v>
      </c>
      <c r="C200" s="7" t="s">
        <v>686</v>
      </c>
      <c r="D200" s="8" t="s">
        <v>687</v>
      </c>
      <c r="E200" s="4">
        <v>335938</v>
      </c>
      <c r="G200" s="4" t="s">
        <v>479</v>
      </c>
      <c r="H200" s="6">
        <v>140.68733800000001</v>
      </c>
      <c r="I200" s="6">
        <v>-21.842413000000001</v>
      </c>
      <c r="J200" s="4" t="s">
        <v>1949</v>
      </c>
      <c r="K200" s="4" t="s">
        <v>481</v>
      </c>
      <c r="L200" s="4" t="s">
        <v>651</v>
      </c>
      <c r="M200" s="4" t="s">
        <v>1950</v>
      </c>
      <c r="Q200" s="4"/>
      <c r="R200" s="4"/>
      <c r="S200" s="4"/>
      <c r="T200" s="4"/>
      <c r="U200" s="4"/>
      <c r="V200" s="4"/>
      <c r="W200" s="4"/>
      <c r="X200" s="4"/>
      <c r="Z200" s="4" t="s">
        <v>455</v>
      </c>
      <c r="AA200" s="7" t="s">
        <v>686</v>
      </c>
      <c r="AB200" s="8" t="s">
        <v>687</v>
      </c>
      <c r="AC200" s="4" t="s">
        <v>301</v>
      </c>
      <c r="AD200" s="4" t="s">
        <v>375</v>
      </c>
      <c r="AE200" s="4">
        <v>1664</v>
      </c>
      <c r="AF200" s="4"/>
      <c r="AG200" s="4" t="s">
        <v>303</v>
      </c>
      <c r="AH200" s="4" t="s">
        <v>304</v>
      </c>
      <c r="AI200" s="4" t="s">
        <v>1118</v>
      </c>
      <c r="AJ200" s="4" t="s">
        <v>1080</v>
      </c>
      <c r="AK200" s="4" t="s">
        <v>600</v>
      </c>
      <c r="AL200" s="4"/>
      <c r="AM200" s="8">
        <v>3</v>
      </c>
      <c r="AN200" s="4" t="s">
        <v>381</v>
      </c>
      <c r="AO200" s="4" t="s">
        <v>402</v>
      </c>
      <c r="AP200" s="4" t="s">
        <v>383</v>
      </c>
      <c r="AQ200" s="7" t="s">
        <v>384</v>
      </c>
      <c r="AR200" s="8" t="s">
        <v>1048</v>
      </c>
      <c r="AS200" s="7">
        <v>0</v>
      </c>
      <c r="AT200" s="7">
        <v>0</v>
      </c>
      <c r="AU200" s="9" t="s">
        <v>303</v>
      </c>
      <c r="AV200" s="9" t="s">
        <v>406</v>
      </c>
      <c r="BA200" s="8">
        <v>5</v>
      </c>
      <c r="BP200" s="7">
        <v>14.035</v>
      </c>
      <c r="BQ200" s="4"/>
      <c r="BR200" s="4"/>
      <c r="BS200" s="4">
        <v>2.7</v>
      </c>
      <c r="BT200" s="4">
        <v>5.7</v>
      </c>
      <c r="BU200" s="4">
        <v>9</v>
      </c>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31"/>
      <c r="EA200" s="4"/>
      <c r="EB200" s="4"/>
      <c r="EC200" s="4"/>
      <c r="ED200" s="4"/>
      <c r="EE200" s="4"/>
      <c r="EF200" s="4"/>
      <c r="EG200" s="4"/>
      <c r="EI200" s="10">
        <f>BP200*BS200/100</f>
        <v>0.37894500000000003</v>
      </c>
      <c r="EJ200" s="10">
        <f t="shared" si="14"/>
        <v>0.79999500000000001</v>
      </c>
      <c r="EK200" s="10">
        <f t="shared" si="15"/>
        <v>0.12631500000000001</v>
      </c>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32"/>
      <c r="GQ200" s="4"/>
      <c r="GR200" s="4"/>
      <c r="GS200" s="4"/>
      <c r="GT200" s="4"/>
      <c r="GU200" s="4"/>
      <c r="GV200" s="4"/>
      <c r="GW200" s="4"/>
      <c r="GX200" s="4"/>
      <c r="GY200" s="4" t="s">
        <v>338</v>
      </c>
      <c r="GZ200" s="4" t="s">
        <v>1699</v>
      </c>
      <c r="HA200" s="4"/>
      <c r="HB200" s="4" t="s">
        <v>462</v>
      </c>
      <c r="HC200" s="4" t="s">
        <v>692</v>
      </c>
      <c r="HD200" s="4" t="s">
        <v>4707</v>
      </c>
      <c r="HE200" s="8">
        <v>74793</v>
      </c>
      <c r="HF200" s="4" t="s">
        <v>6596</v>
      </c>
      <c r="HG200" s="4" t="s">
        <v>490</v>
      </c>
      <c r="HH200" s="4"/>
      <c r="HJ200" s="4"/>
      <c r="HK200" s="4"/>
      <c r="HL200" s="4"/>
      <c r="HN200" s="4"/>
      <c r="HO200" s="4"/>
      <c r="HP200" s="4"/>
      <c r="HR200" s="4"/>
      <c r="HS200" s="4"/>
      <c r="HT200" s="4"/>
      <c r="HU200" s="4"/>
      <c r="HV200" s="4"/>
      <c r="HW200" s="4"/>
      <c r="HX200" s="4"/>
      <c r="HY200" s="4"/>
      <c r="HZ200" s="4"/>
      <c r="IA200" s="4"/>
      <c r="IB200" s="4"/>
      <c r="ID200" s="4" t="s">
        <v>702</v>
      </c>
      <c r="IE200" s="4" t="s">
        <v>538</v>
      </c>
      <c r="IF200" s="4" t="s">
        <v>350</v>
      </c>
      <c r="IG200" s="4"/>
      <c r="IH200" s="4"/>
      <c r="II200" s="4" t="s">
        <v>528</v>
      </c>
      <c r="IJ200" s="4" t="s">
        <v>538</v>
      </c>
      <c r="IK200" s="4" t="s">
        <v>350</v>
      </c>
      <c r="IL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t="s">
        <v>6597</v>
      </c>
      <c r="JW200" s="4"/>
      <c r="JX200" s="4" t="s">
        <v>353</v>
      </c>
      <c r="JY200" s="4" t="s">
        <v>354</v>
      </c>
      <c r="JZ200" s="4" t="s">
        <v>322</v>
      </c>
      <c r="KA200" s="4" t="s">
        <v>354</v>
      </c>
      <c r="KB200" s="4" t="s">
        <v>320</v>
      </c>
      <c r="KC200" s="4"/>
      <c r="KD200" s="4"/>
      <c r="KE200" s="4"/>
      <c r="KF200" s="4"/>
      <c r="KG200" s="4" t="s">
        <v>323</v>
      </c>
      <c r="KM200" s="4" t="s">
        <v>702</v>
      </c>
      <c r="KN200" s="4" t="s">
        <v>702</v>
      </c>
      <c r="KO200" s="4" t="s">
        <v>350</v>
      </c>
      <c r="KP200" s="5" t="s">
        <v>358</v>
      </c>
      <c r="KQ200" s="5" t="s">
        <v>6598</v>
      </c>
      <c r="KR200" s="5" t="s">
        <v>1958</v>
      </c>
      <c r="KS200" s="5" t="s">
        <v>6599</v>
      </c>
      <c r="KT200" s="5" t="s">
        <v>6600</v>
      </c>
    </row>
    <row r="201" spans="1:306" ht="36" x14ac:dyDescent="0.25">
      <c r="A201" s="5" t="s">
        <v>6660</v>
      </c>
      <c r="B201" s="4" t="s">
        <v>455</v>
      </c>
      <c r="C201" s="7" t="s">
        <v>686</v>
      </c>
      <c r="D201" s="8" t="s">
        <v>687</v>
      </c>
      <c r="E201" s="4">
        <v>335648</v>
      </c>
      <c r="G201" s="4" t="s">
        <v>427</v>
      </c>
      <c r="H201" s="6">
        <v>141.32819000000001</v>
      </c>
      <c r="I201" s="6">
        <v>-32.05245</v>
      </c>
      <c r="J201" s="4" t="s">
        <v>1698</v>
      </c>
      <c r="K201" s="4" t="s">
        <v>595</v>
      </c>
      <c r="L201" s="4" t="s">
        <v>1422</v>
      </c>
      <c r="Q201" s="4"/>
      <c r="R201" s="4"/>
      <c r="S201" s="4"/>
      <c r="T201" s="4"/>
      <c r="U201" s="4"/>
      <c r="V201" s="4"/>
      <c r="W201" s="4"/>
      <c r="X201" s="4"/>
      <c r="Z201" s="4" t="s">
        <v>455</v>
      </c>
      <c r="AA201" s="7" t="s">
        <v>686</v>
      </c>
      <c r="AB201" s="8" t="s">
        <v>687</v>
      </c>
      <c r="AC201" s="4" t="s">
        <v>301</v>
      </c>
      <c r="AD201" s="4" t="s">
        <v>375</v>
      </c>
      <c r="AE201" s="4">
        <v>1695</v>
      </c>
      <c r="AF201" s="4"/>
      <c r="AG201" s="4" t="s">
        <v>303</v>
      </c>
      <c r="AH201" s="4" t="s">
        <v>304</v>
      </c>
      <c r="AI201" s="4" t="s">
        <v>1118</v>
      </c>
      <c r="AJ201" s="4" t="s">
        <v>1080</v>
      </c>
      <c r="AK201" s="4" t="s">
        <v>600</v>
      </c>
      <c r="AL201" s="4"/>
      <c r="AM201" s="8">
        <v>3</v>
      </c>
      <c r="AN201" s="4" t="s">
        <v>381</v>
      </c>
      <c r="AO201" s="4" t="s">
        <v>402</v>
      </c>
      <c r="AP201" s="4" t="s">
        <v>383</v>
      </c>
      <c r="AQ201" s="7" t="s">
        <v>384</v>
      </c>
      <c r="AR201" s="8" t="s">
        <v>1048</v>
      </c>
      <c r="AS201" s="7">
        <v>0</v>
      </c>
      <c r="AT201" s="7">
        <v>0</v>
      </c>
      <c r="AU201" s="9" t="s">
        <v>303</v>
      </c>
      <c r="AV201" s="9" t="s">
        <v>406</v>
      </c>
      <c r="BA201" s="8">
        <v>5</v>
      </c>
      <c r="BP201" s="7">
        <v>0.8</v>
      </c>
      <c r="BQ201" s="4"/>
      <c r="BR201" s="4"/>
      <c r="BS201" s="4">
        <v>2.5</v>
      </c>
      <c r="BT201" s="4">
        <v>10</v>
      </c>
      <c r="BU201" s="4">
        <v>420</v>
      </c>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31"/>
      <c r="EA201" s="4"/>
      <c r="EB201" s="4"/>
      <c r="EC201" s="4"/>
      <c r="ED201" s="4"/>
      <c r="EE201" s="4"/>
      <c r="EF201" s="4"/>
      <c r="EG201" s="4"/>
      <c r="EH201" s="4"/>
      <c r="EI201" s="9">
        <f>BP201*BS201/100</f>
        <v>0.02</v>
      </c>
      <c r="EJ201" s="9">
        <f t="shared" si="14"/>
        <v>0.08</v>
      </c>
      <c r="EK201" s="6">
        <f t="shared" si="15"/>
        <v>0.33600000000000002</v>
      </c>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32"/>
      <c r="GQ201" s="4"/>
      <c r="GR201" s="4"/>
      <c r="GS201" s="4"/>
      <c r="GT201" s="4"/>
      <c r="GU201" s="4"/>
      <c r="GV201" s="4"/>
      <c r="GW201" s="4"/>
      <c r="GX201" s="4"/>
      <c r="GY201" s="4" t="s">
        <v>309</v>
      </c>
      <c r="GZ201" s="4" t="s">
        <v>3051</v>
      </c>
      <c r="HA201" s="4" t="s">
        <v>1049</v>
      </c>
      <c r="HB201" s="4"/>
      <c r="HC201" s="4" t="s">
        <v>692</v>
      </c>
      <c r="HD201" s="4" t="s">
        <v>2373</v>
      </c>
      <c r="HE201" s="8">
        <v>25749</v>
      </c>
      <c r="HF201" s="4" t="s">
        <v>6661</v>
      </c>
      <c r="HG201" s="4" t="s">
        <v>538</v>
      </c>
      <c r="HH201" s="4"/>
      <c r="HJ201" s="4"/>
      <c r="HK201" s="4"/>
      <c r="HL201" s="4"/>
      <c r="HN201" s="4"/>
      <c r="HO201" s="4"/>
      <c r="HP201" s="4"/>
      <c r="HR201" s="4"/>
      <c r="HS201" s="4"/>
      <c r="HT201" s="4"/>
      <c r="HU201" s="4"/>
      <c r="HV201" s="4"/>
      <c r="HW201" s="4"/>
      <c r="HX201" s="4"/>
      <c r="HY201" s="4"/>
      <c r="HZ201" s="4"/>
      <c r="IA201" s="4"/>
      <c r="IB201" s="4"/>
      <c r="ID201" s="4"/>
      <c r="IE201" s="4"/>
      <c r="IF201" s="4"/>
      <c r="IG201" s="4"/>
      <c r="IH201" s="4"/>
      <c r="II201" s="4"/>
      <c r="IJ201" s="4"/>
      <c r="IK201" s="4"/>
      <c r="IL201" s="4"/>
      <c r="IN201" s="4"/>
      <c r="IO201" s="4"/>
      <c r="IP201" s="4"/>
      <c r="IQ201" s="4"/>
      <c r="IS201" s="4"/>
      <c r="IT201" s="4"/>
      <c r="IU201" s="4"/>
      <c r="IV201" s="4"/>
      <c r="IW201" s="8"/>
      <c r="IX201" s="4"/>
      <c r="IY201" s="4"/>
      <c r="IZ201" s="4"/>
      <c r="JA201" s="4"/>
      <c r="JB201" s="8"/>
      <c r="JC201" s="4"/>
      <c r="JD201" s="4"/>
      <c r="JE201" s="4"/>
      <c r="JF201" s="4"/>
      <c r="JG201" s="4"/>
      <c r="JH201" s="4"/>
      <c r="JI201" s="4"/>
      <c r="JJ201" s="4"/>
      <c r="JK201" s="4"/>
      <c r="JL201" s="4"/>
      <c r="JM201" s="4"/>
      <c r="JN201" s="4"/>
      <c r="JO201" s="4"/>
      <c r="JP201" s="4"/>
      <c r="JQ201" s="4"/>
      <c r="JR201" s="4"/>
      <c r="JS201" s="4"/>
      <c r="JT201" s="4"/>
      <c r="JU201" s="4" t="s">
        <v>1704</v>
      </c>
      <c r="JV201" s="4" t="s">
        <v>6662</v>
      </c>
      <c r="JW201" s="4"/>
      <c r="JX201" s="4" t="s">
        <v>322</v>
      </c>
      <c r="JY201" s="4" t="s">
        <v>354</v>
      </c>
      <c r="JZ201" s="4" t="s">
        <v>320</v>
      </c>
      <c r="KA201" s="4" t="s">
        <v>354</v>
      </c>
      <c r="KB201" s="4" t="s">
        <v>353</v>
      </c>
      <c r="KC201" s="4"/>
      <c r="KD201" s="4"/>
      <c r="KE201" s="4"/>
      <c r="KF201" s="4"/>
      <c r="KG201" s="4" t="s">
        <v>323</v>
      </c>
      <c r="KM201" s="4" t="s">
        <v>888</v>
      </c>
      <c r="KN201" s="4" t="s">
        <v>888</v>
      </c>
      <c r="KO201" s="4" t="s">
        <v>350</v>
      </c>
      <c r="KP201" s="18" t="s">
        <v>6663</v>
      </c>
      <c r="KQ201" s="5" t="s">
        <v>6664</v>
      </c>
      <c r="KR201" s="5" t="s">
        <v>6665</v>
      </c>
      <c r="KS201" s="5" t="s">
        <v>2438</v>
      </c>
      <c r="KT201" s="5" t="s">
        <v>6666</v>
      </c>
    </row>
    <row r="202" spans="1:306" ht="48" x14ac:dyDescent="0.25">
      <c r="A202" s="5" t="s">
        <v>6790</v>
      </c>
      <c r="B202" s="4" t="s">
        <v>455</v>
      </c>
      <c r="C202" s="7" t="s">
        <v>686</v>
      </c>
      <c r="D202" s="8" t="s">
        <v>687</v>
      </c>
      <c r="E202" s="4">
        <v>335235</v>
      </c>
      <c r="G202" s="4" t="s">
        <v>479</v>
      </c>
      <c r="H202" s="6">
        <v>144.06890000000001</v>
      </c>
      <c r="I202" s="6">
        <v>-18.530473000000001</v>
      </c>
      <c r="J202" s="4" t="s">
        <v>2182</v>
      </c>
      <c r="K202" s="4" t="s">
        <v>481</v>
      </c>
      <c r="L202" s="4" t="s">
        <v>482</v>
      </c>
      <c r="Q202" s="4"/>
      <c r="R202" s="4"/>
      <c r="S202" s="4"/>
      <c r="T202" s="4"/>
      <c r="U202" s="4"/>
      <c r="V202" s="4"/>
      <c r="W202" s="4"/>
      <c r="X202" s="4"/>
      <c r="Z202" s="4" t="s">
        <v>455</v>
      </c>
      <c r="AA202" s="7" t="s">
        <v>686</v>
      </c>
      <c r="AB202" s="8" t="s">
        <v>687</v>
      </c>
      <c r="AC202" s="4" t="s">
        <v>301</v>
      </c>
      <c r="AD202" s="4" t="s">
        <v>302</v>
      </c>
      <c r="AE202" s="4">
        <v>1678</v>
      </c>
      <c r="AF202" s="4"/>
      <c r="AG202" s="4" t="s">
        <v>303</v>
      </c>
      <c r="AH202" s="4" t="s">
        <v>304</v>
      </c>
      <c r="AI202" s="4" t="s">
        <v>1118</v>
      </c>
      <c r="AJ202" s="4" t="s">
        <v>1080</v>
      </c>
      <c r="AK202" s="4" t="s">
        <v>600</v>
      </c>
      <c r="AL202" s="4"/>
      <c r="AM202" s="8">
        <v>3</v>
      </c>
      <c r="BP202" s="7">
        <v>0.9</v>
      </c>
      <c r="BQ202" s="4"/>
      <c r="BR202" s="6">
        <v>0.2</v>
      </c>
      <c r="BS202" s="6">
        <v>3.4</v>
      </c>
      <c r="BT202" s="6">
        <v>0.9</v>
      </c>
      <c r="BU202" s="7">
        <v>16</v>
      </c>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31"/>
      <c r="EA202" s="4"/>
      <c r="EB202" s="4"/>
      <c r="EC202" s="4"/>
      <c r="ED202" s="4"/>
      <c r="EE202" s="4"/>
      <c r="EF202" s="4"/>
      <c r="EG202" s="4"/>
      <c r="EH202" s="10">
        <f>BP202*BR202/100</f>
        <v>1.8000000000000002E-3</v>
      </c>
      <c r="EI202" s="10">
        <f>BP202*BS202/100</f>
        <v>3.0600000000000002E-2</v>
      </c>
      <c r="EJ202" s="10">
        <f t="shared" si="14"/>
        <v>8.1000000000000013E-3</v>
      </c>
      <c r="EK202" s="10">
        <f t="shared" si="15"/>
        <v>1.44E-2</v>
      </c>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32"/>
      <c r="GQ202" s="4"/>
      <c r="GR202" s="4"/>
      <c r="GS202" s="4"/>
      <c r="GT202" s="4"/>
      <c r="GU202" s="4"/>
      <c r="GV202" s="4"/>
      <c r="GW202" s="4"/>
      <c r="GX202" s="4"/>
      <c r="GY202" s="4" t="s">
        <v>338</v>
      </c>
      <c r="GZ202" s="4" t="s">
        <v>1049</v>
      </c>
      <c r="HA202" s="4" t="s">
        <v>1728</v>
      </c>
      <c r="HB202" s="4" t="s">
        <v>462</v>
      </c>
      <c r="HC202" s="4" t="s">
        <v>692</v>
      </c>
      <c r="HD202" s="4" t="s">
        <v>2183</v>
      </c>
      <c r="HE202" s="8">
        <v>6018</v>
      </c>
      <c r="HF202" s="4" t="s">
        <v>6791</v>
      </c>
      <c r="HG202" s="4" t="s">
        <v>490</v>
      </c>
      <c r="HH202" s="4"/>
      <c r="HJ202" s="4"/>
      <c r="HK202" s="4"/>
      <c r="HL202" s="4"/>
      <c r="HN202" s="4"/>
      <c r="HO202" s="4"/>
      <c r="HP202" s="4"/>
      <c r="HR202" s="4"/>
      <c r="HS202" s="4"/>
      <c r="HT202" s="4"/>
      <c r="HU202" s="4"/>
      <c r="HV202" s="4"/>
      <c r="HW202" s="4"/>
      <c r="HX202" s="4"/>
      <c r="HY202" s="4"/>
      <c r="HZ202" s="4"/>
      <c r="IA202" s="4"/>
      <c r="IB202" s="4" t="s">
        <v>2183</v>
      </c>
      <c r="IC202" s="8">
        <v>6018</v>
      </c>
      <c r="ID202" s="4" t="s">
        <v>702</v>
      </c>
      <c r="IE202" s="4" t="s">
        <v>538</v>
      </c>
      <c r="IF202" s="4" t="s">
        <v>329</v>
      </c>
      <c r="IG202" s="4"/>
      <c r="IH202" s="4"/>
      <c r="II202" s="4" t="s">
        <v>528</v>
      </c>
      <c r="IJ202" s="4" t="s">
        <v>538</v>
      </c>
      <c r="IK202" s="4" t="s">
        <v>329</v>
      </c>
      <c r="IL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t="s">
        <v>1704</v>
      </c>
      <c r="JV202" s="4" t="s">
        <v>6792</v>
      </c>
      <c r="JW202" s="4"/>
      <c r="JX202" s="4" t="s">
        <v>322</v>
      </c>
      <c r="JY202" s="4" t="s">
        <v>354</v>
      </c>
      <c r="JZ202" s="4" t="s">
        <v>320</v>
      </c>
      <c r="KA202" s="4"/>
      <c r="KB202" s="4"/>
      <c r="KC202" s="4"/>
      <c r="KD202" s="4"/>
      <c r="KE202" s="4"/>
      <c r="KF202" s="4"/>
      <c r="KG202" s="4" t="s">
        <v>323</v>
      </c>
      <c r="KM202" s="4" t="s">
        <v>702</v>
      </c>
      <c r="KN202" s="4" t="s">
        <v>888</v>
      </c>
      <c r="KO202" s="4" t="s">
        <v>350</v>
      </c>
      <c r="KP202" s="5" t="s">
        <v>1956</v>
      </c>
      <c r="KQ202" s="5" t="s">
        <v>2186</v>
      </c>
      <c r="KR202" s="5" t="s">
        <v>1958</v>
      </c>
      <c r="KS202" s="5" t="s">
        <v>2955</v>
      </c>
      <c r="KT202" s="5" t="s">
        <v>6793</v>
      </c>
    </row>
    <row r="203" spans="1:306" ht="144" x14ac:dyDescent="0.25">
      <c r="A203" s="5" t="s">
        <v>8000</v>
      </c>
      <c r="B203" s="4" t="s">
        <v>455</v>
      </c>
      <c r="C203" s="7" t="s">
        <v>686</v>
      </c>
      <c r="D203" s="8" t="s">
        <v>687</v>
      </c>
      <c r="E203" s="4">
        <v>336227</v>
      </c>
      <c r="G203" s="4" t="s">
        <v>593</v>
      </c>
      <c r="H203" s="6">
        <v>138.925873</v>
      </c>
      <c r="I203" s="6">
        <v>-35.190829999999998</v>
      </c>
      <c r="J203" s="4" t="s">
        <v>688</v>
      </c>
      <c r="K203" s="4" t="s">
        <v>298</v>
      </c>
      <c r="L203" s="4" t="s">
        <v>689</v>
      </c>
      <c r="M203" s="4" t="s">
        <v>688</v>
      </c>
      <c r="Q203" s="4"/>
      <c r="R203" s="4"/>
      <c r="S203" s="4"/>
      <c r="U203" s="4"/>
      <c r="V203" s="4"/>
      <c r="W203" s="4"/>
      <c r="X203" s="4"/>
      <c r="Z203" s="4" t="s">
        <v>455</v>
      </c>
      <c r="AA203" s="7" t="s">
        <v>686</v>
      </c>
      <c r="AB203" s="8" t="s">
        <v>687</v>
      </c>
      <c r="AC203" s="4" t="s">
        <v>301</v>
      </c>
      <c r="AD203" s="4" t="s">
        <v>302</v>
      </c>
      <c r="AE203" s="4">
        <v>518</v>
      </c>
      <c r="AF203" s="4">
        <v>6</v>
      </c>
      <c r="AG203" s="4" t="s">
        <v>379</v>
      </c>
      <c r="AH203" s="9" t="s">
        <v>690</v>
      </c>
      <c r="AI203" s="4"/>
      <c r="AJ203" s="4" t="s">
        <v>306</v>
      </c>
      <c r="AK203" s="4"/>
      <c r="AL203" s="4"/>
      <c r="AM203" s="8">
        <v>3</v>
      </c>
      <c r="BP203" s="7">
        <v>0.05</v>
      </c>
      <c r="BQ203" s="4"/>
      <c r="BR203" s="4"/>
      <c r="BS203" s="4">
        <v>25</v>
      </c>
      <c r="BT203" s="4">
        <v>20</v>
      </c>
      <c r="BU203" s="4">
        <v>370</v>
      </c>
      <c r="BV203" s="4">
        <v>4.7</v>
      </c>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31"/>
      <c r="EA203" s="4"/>
      <c r="EB203" s="10"/>
      <c r="EC203" s="4"/>
      <c r="ED203" s="4"/>
      <c r="EE203" s="4"/>
      <c r="EF203" s="4"/>
      <c r="EG203" s="4"/>
      <c r="EH203" s="4"/>
      <c r="EI203" s="4">
        <f>BP203*BS203/100</f>
        <v>1.2500000000000001E-2</v>
      </c>
      <c r="EJ203" s="4">
        <f t="shared" si="14"/>
        <v>0.01</v>
      </c>
      <c r="EK203" s="4">
        <f t="shared" si="15"/>
        <v>1.8499999999999999E-2</v>
      </c>
      <c r="EL203" s="4">
        <f>BP203*BV203</f>
        <v>0.23500000000000001</v>
      </c>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32"/>
      <c r="GQ203" s="4"/>
      <c r="GR203" s="4"/>
      <c r="GS203" s="4"/>
      <c r="GT203" s="4"/>
      <c r="GU203" s="4"/>
      <c r="GV203" s="4"/>
      <c r="GW203" s="4"/>
      <c r="GX203" s="4"/>
      <c r="GY203" s="4" t="s">
        <v>435</v>
      </c>
      <c r="GZ203" s="4" t="s">
        <v>461</v>
      </c>
      <c r="HA203" s="4" t="s">
        <v>1432</v>
      </c>
      <c r="HB203" s="4"/>
      <c r="HC203" s="4" t="s">
        <v>692</v>
      </c>
      <c r="HD203" s="4" t="s">
        <v>693</v>
      </c>
      <c r="HE203" s="4">
        <v>26926</v>
      </c>
      <c r="HF203" s="4" t="s">
        <v>694</v>
      </c>
      <c r="HG203" s="4" t="s">
        <v>695</v>
      </c>
      <c r="HH203" s="4"/>
      <c r="HJ203" s="4"/>
      <c r="HK203" s="4"/>
      <c r="HL203" s="4"/>
      <c r="HN203" s="4"/>
      <c r="HO203" s="4"/>
      <c r="HP203" s="4"/>
      <c r="HR203" s="4"/>
      <c r="HS203" s="4"/>
      <c r="HT203" s="4"/>
      <c r="HU203" s="4"/>
      <c r="HV203" s="4"/>
      <c r="HW203" s="4"/>
      <c r="HX203" s="4"/>
      <c r="HY203" s="4"/>
      <c r="HZ203" s="4"/>
      <c r="IA203" s="4"/>
      <c r="IB203" s="4" t="s">
        <v>696</v>
      </c>
      <c r="IC203" s="4">
        <v>26184</v>
      </c>
      <c r="ID203" s="4" t="s">
        <v>697</v>
      </c>
      <c r="IE203" s="4" t="s">
        <v>698</v>
      </c>
      <c r="IF203" s="4" t="s">
        <v>445</v>
      </c>
      <c r="IG203" s="4" t="s">
        <v>699</v>
      </c>
      <c r="IH203" s="4">
        <v>79296</v>
      </c>
      <c r="II203" s="4" t="s">
        <v>700</v>
      </c>
      <c r="IJ203" s="4" t="s">
        <v>698</v>
      </c>
      <c r="IK203" s="4" t="s">
        <v>329</v>
      </c>
      <c r="IL203" s="4"/>
      <c r="IM203" s="4"/>
      <c r="IN203" s="4"/>
      <c r="IO203" s="4"/>
      <c r="IP203" s="4"/>
      <c r="IQ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t="s">
        <v>8001</v>
      </c>
      <c r="JW203" s="4"/>
      <c r="JX203" s="7" t="s">
        <v>320</v>
      </c>
      <c r="JY203" s="7" t="s">
        <v>448</v>
      </c>
      <c r="JZ203" s="7" t="s">
        <v>322</v>
      </c>
      <c r="KA203" s="4"/>
      <c r="KB203" s="4"/>
      <c r="KC203" s="4"/>
      <c r="KD203" s="4"/>
      <c r="KE203" s="4"/>
      <c r="KF203" s="4"/>
      <c r="KG203" s="4" t="s">
        <v>323</v>
      </c>
      <c r="KM203" s="4" t="s">
        <v>702</v>
      </c>
      <c r="KN203" s="4" t="s">
        <v>702</v>
      </c>
      <c r="KP203" s="5" t="s">
        <v>358</v>
      </c>
      <c r="KQ203" s="5" t="s">
        <v>8002</v>
      </c>
      <c r="KR203" s="5" t="s">
        <v>704</v>
      </c>
      <c r="KS203" s="5" t="s">
        <v>8003</v>
      </c>
      <c r="KT203" s="5" t="s">
        <v>5949</v>
      </c>
    </row>
    <row r="204" spans="1:306" ht="96" x14ac:dyDescent="0.25">
      <c r="A204" s="5" t="s">
        <v>1153</v>
      </c>
      <c r="B204" s="4" t="s">
        <v>455</v>
      </c>
      <c r="C204" s="7" t="s">
        <v>720</v>
      </c>
      <c r="D204" s="8" t="s">
        <v>1154</v>
      </c>
      <c r="E204" s="38">
        <v>600200</v>
      </c>
      <c r="G204" s="4" t="s">
        <v>330</v>
      </c>
      <c r="H204" s="6">
        <v>128.93</v>
      </c>
      <c r="I204" s="6">
        <v>-18.96</v>
      </c>
      <c r="J204" s="4" t="s">
        <v>1155</v>
      </c>
      <c r="K204" s="4" t="s">
        <v>481</v>
      </c>
      <c r="L204" s="4" t="s">
        <v>863</v>
      </c>
      <c r="Q204" s="8"/>
      <c r="R204" s="8"/>
      <c r="Z204" s="4" t="s">
        <v>455</v>
      </c>
      <c r="AA204" s="7" t="s">
        <v>720</v>
      </c>
      <c r="AB204" s="8" t="s">
        <v>1154</v>
      </c>
      <c r="AC204" s="4" t="s">
        <v>301</v>
      </c>
      <c r="AD204" s="4" t="s">
        <v>302</v>
      </c>
      <c r="AE204" s="8">
        <v>1645</v>
      </c>
      <c r="AF204" s="8"/>
      <c r="AG204" s="9" t="s">
        <v>379</v>
      </c>
      <c r="AH204" s="9" t="s">
        <v>1156</v>
      </c>
      <c r="AM204" s="8">
        <v>3</v>
      </c>
      <c r="BP204" s="7">
        <v>1.66</v>
      </c>
      <c r="CP204" s="6">
        <v>0.12</v>
      </c>
      <c r="CQ204" s="8">
        <v>921</v>
      </c>
      <c r="DR204" s="6">
        <v>2E-3</v>
      </c>
      <c r="DS204" s="6">
        <v>1.6E-2</v>
      </c>
      <c r="DY204" s="6">
        <v>0.09</v>
      </c>
      <c r="DZ204" s="31">
        <f t="shared" ref="DZ204:DZ209" si="16">GP204/BP204*100</f>
        <v>0.10855421686746988</v>
      </c>
      <c r="FF204" s="6">
        <v>1.53</v>
      </c>
      <c r="GH204" s="6">
        <v>3.1999999999999999E-5</v>
      </c>
      <c r="GI204" s="6">
        <v>2.7E-4</v>
      </c>
      <c r="GO204" s="10">
        <v>1.5E-3</v>
      </c>
      <c r="GP204" s="32">
        <f t="shared" ref="GP204:GP209" si="17">SUM(GA204:GO204)+FE204</f>
        <v>1.802E-3</v>
      </c>
      <c r="GY204" s="6" t="s">
        <v>338</v>
      </c>
      <c r="GZ204" s="6" t="s">
        <v>583</v>
      </c>
      <c r="HD204" s="8" t="s">
        <v>1157</v>
      </c>
      <c r="HE204" s="8">
        <v>30280</v>
      </c>
      <c r="HF204" s="8" t="s">
        <v>1158</v>
      </c>
      <c r="HG204" s="9" t="s">
        <v>538</v>
      </c>
      <c r="HH204" s="9" t="s">
        <v>1159</v>
      </c>
      <c r="HI204" s="8">
        <v>7009</v>
      </c>
      <c r="HJ204" s="9" t="s">
        <v>1160</v>
      </c>
      <c r="HK204" s="9" t="s">
        <v>538</v>
      </c>
      <c r="KP204" s="5" t="s">
        <v>1161</v>
      </c>
      <c r="KQ204" s="5" t="s">
        <v>1162</v>
      </c>
      <c r="KR204" s="5" t="s">
        <v>1161</v>
      </c>
      <c r="KS204" s="5" t="s">
        <v>1163</v>
      </c>
      <c r="KT204" s="5" t="s">
        <v>1164</v>
      </c>
    </row>
    <row r="205" spans="1:306" ht="96" x14ac:dyDescent="0.2">
      <c r="A205" s="5" t="s">
        <v>2577</v>
      </c>
      <c r="B205" s="4" t="s">
        <v>455</v>
      </c>
      <c r="C205" s="7" t="s">
        <v>720</v>
      </c>
      <c r="D205" s="8" t="s">
        <v>1154</v>
      </c>
      <c r="E205" s="44">
        <v>600199</v>
      </c>
      <c r="G205" s="4" t="s">
        <v>330</v>
      </c>
      <c r="H205" s="6">
        <v>128.9</v>
      </c>
      <c r="I205" s="6">
        <v>-18.95</v>
      </c>
      <c r="J205" s="4" t="s">
        <v>1155</v>
      </c>
      <c r="K205" s="4" t="s">
        <v>481</v>
      </c>
      <c r="L205" s="4" t="s">
        <v>863</v>
      </c>
      <c r="Q205" s="8"/>
      <c r="R205" s="8"/>
      <c r="Z205" s="4" t="s">
        <v>455</v>
      </c>
      <c r="AA205" s="7" t="s">
        <v>720</v>
      </c>
      <c r="AB205" s="8" t="s">
        <v>1154</v>
      </c>
      <c r="AC205" s="4" t="s">
        <v>301</v>
      </c>
      <c r="AD205" s="4" t="s">
        <v>302</v>
      </c>
      <c r="AE205" s="8">
        <v>1626</v>
      </c>
      <c r="AF205" s="8">
        <v>19</v>
      </c>
      <c r="AG205" s="9" t="s">
        <v>303</v>
      </c>
      <c r="AH205" s="9" t="s">
        <v>304</v>
      </c>
      <c r="AI205" s="9" t="s">
        <v>336</v>
      </c>
      <c r="AJ205" s="9" t="s">
        <v>306</v>
      </c>
      <c r="AK205" s="9" t="s">
        <v>307</v>
      </c>
      <c r="AL205" s="9" t="s">
        <v>308</v>
      </c>
      <c r="AM205" s="8">
        <v>5</v>
      </c>
      <c r="BP205" s="7">
        <v>0.33</v>
      </c>
      <c r="CP205" s="6">
        <v>0.12</v>
      </c>
      <c r="CQ205" s="8">
        <v>976</v>
      </c>
      <c r="DR205" s="6">
        <v>3.0000000000000001E-3</v>
      </c>
      <c r="DS205" s="6">
        <v>1.7999999999999999E-2</v>
      </c>
      <c r="DY205" s="6">
        <v>0.15</v>
      </c>
      <c r="DZ205" s="31">
        <f t="shared" si="16"/>
        <v>4.242424242424242E-2</v>
      </c>
      <c r="FF205" s="6">
        <v>0.32</v>
      </c>
      <c r="GH205" s="6">
        <v>1.0000000000000001E-5</v>
      </c>
      <c r="GI205" s="6">
        <v>6.0000000000000002E-5</v>
      </c>
      <c r="GO205" s="10">
        <v>6.9999999999999994E-5</v>
      </c>
      <c r="GP205" s="32">
        <f t="shared" si="17"/>
        <v>1.3999999999999999E-4</v>
      </c>
      <c r="GY205" s="6" t="s">
        <v>338</v>
      </c>
      <c r="GZ205" s="6" t="s">
        <v>583</v>
      </c>
      <c r="HD205" s="8" t="s">
        <v>1157</v>
      </c>
      <c r="HE205" s="8">
        <v>30280</v>
      </c>
      <c r="HF205" s="8" t="s">
        <v>1158</v>
      </c>
      <c r="HG205" s="9" t="s">
        <v>538</v>
      </c>
      <c r="HH205" s="9" t="s">
        <v>1159</v>
      </c>
      <c r="HI205" s="8">
        <v>7009</v>
      </c>
      <c r="HJ205" s="9" t="s">
        <v>1160</v>
      </c>
      <c r="HK205" s="9" t="s">
        <v>538</v>
      </c>
      <c r="JV205" s="7" t="s">
        <v>2578</v>
      </c>
      <c r="JX205" s="7" t="s">
        <v>355</v>
      </c>
      <c r="JY205" s="7" t="s">
        <v>354</v>
      </c>
      <c r="JZ205" s="7" t="s">
        <v>320</v>
      </c>
      <c r="KG205" s="4" t="s">
        <v>356</v>
      </c>
      <c r="KH205" s="4" t="s">
        <v>402</v>
      </c>
      <c r="KI205" s="4" t="s">
        <v>1893</v>
      </c>
      <c r="KJ205" s="4" t="s">
        <v>402</v>
      </c>
      <c r="KP205" s="5" t="s">
        <v>1161</v>
      </c>
      <c r="KQ205" s="5" t="s">
        <v>1162</v>
      </c>
      <c r="KR205" s="5" t="s">
        <v>1161</v>
      </c>
      <c r="KS205" s="5" t="s">
        <v>1163</v>
      </c>
      <c r="KT205" s="5" t="s">
        <v>2579</v>
      </c>
    </row>
    <row r="206" spans="1:306" ht="96" x14ac:dyDescent="0.2">
      <c r="A206" s="5" t="s">
        <v>2654</v>
      </c>
      <c r="B206" s="4" t="s">
        <v>455</v>
      </c>
      <c r="C206" s="7" t="s">
        <v>720</v>
      </c>
      <c r="D206" s="8" t="s">
        <v>1154</v>
      </c>
      <c r="E206" s="44">
        <v>641079</v>
      </c>
      <c r="G206" s="4" t="s">
        <v>330</v>
      </c>
      <c r="H206" s="6">
        <v>128.91</v>
      </c>
      <c r="I206" s="6">
        <v>-18.97</v>
      </c>
      <c r="J206" s="4" t="s">
        <v>1155</v>
      </c>
      <c r="K206" s="4" t="s">
        <v>481</v>
      </c>
      <c r="L206" s="4" t="s">
        <v>863</v>
      </c>
      <c r="Q206" s="8"/>
      <c r="R206" s="8"/>
      <c r="Z206" s="4" t="s">
        <v>455</v>
      </c>
      <c r="AA206" s="7" t="s">
        <v>720</v>
      </c>
      <c r="AB206" s="8" t="s">
        <v>1154</v>
      </c>
      <c r="AC206" s="4" t="s">
        <v>301</v>
      </c>
      <c r="AD206" s="4" t="s">
        <v>302</v>
      </c>
      <c r="AE206" s="8">
        <v>1656</v>
      </c>
      <c r="AF206" s="8">
        <v>12</v>
      </c>
      <c r="AG206" s="9" t="s">
        <v>303</v>
      </c>
      <c r="AH206" s="9" t="s">
        <v>304</v>
      </c>
      <c r="AI206" s="9" t="s">
        <v>336</v>
      </c>
      <c r="AJ206" s="9" t="s">
        <v>306</v>
      </c>
      <c r="AK206" s="9" t="s">
        <v>307</v>
      </c>
      <c r="AL206" s="9" t="s">
        <v>308</v>
      </c>
      <c r="AM206" s="8">
        <v>5</v>
      </c>
      <c r="AN206" s="4" t="s">
        <v>301</v>
      </c>
      <c r="AO206" s="4" t="s">
        <v>382</v>
      </c>
      <c r="AP206" s="4" t="s">
        <v>455</v>
      </c>
      <c r="AQ206" s="7" t="s">
        <v>720</v>
      </c>
      <c r="AR206" s="8" t="s">
        <v>1154</v>
      </c>
      <c r="AS206" s="8">
        <v>1617</v>
      </c>
      <c r="AT206" s="8">
        <v>19</v>
      </c>
      <c r="AU206" s="9" t="s">
        <v>303</v>
      </c>
      <c r="AV206" s="9" t="s">
        <v>304</v>
      </c>
      <c r="AW206" s="9" t="s">
        <v>336</v>
      </c>
      <c r="AX206" s="9" t="s">
        <v>306</v>
      </c>
      <c r="AY206" s="9" t="s">
        <v>307</v>
      </c>
      <c r="AZ206" s="9" t="s">
        <v>308</v>
      </c>
      <c r="BA206" s="8">
        <v>5</v>
      </c>
      <c r="BP206" s="7">
        <v>0.21</v>
      </c>
      <c r="CP206" s="6">
        <v>1.39</v>
      </c>
      <c r="CQ206" s="8">
        <v>10969</v>
      </c>
      <c r="DR206" s="6">
        <v>2.8000000000000001E-2</v>
      </c>
      <c r="DS206" s="6">
        <v>0.217</v>
      </c>
      <c r="DY206" s="6">
        <v>0.94</v>
      </c>
      <c r="DZ206" s="31">
        <f t="shared" si="16"/>
        <v>1.2</v>
      </c>
      <c r="FF206" s="6">
        <v>2.2999999999999998</v>
      </c>
      <c r="GH206" s="6">
        <v>6.0000000000000002E-5</v>
      </c>
      <c r="GI206" s="6">
        <v>4.6000000000000001E-4</v>
      </c>
      <c r="GO206" s="10">
        <v>2E-3</v>
      </c>
      <c r="GP206" s="32">
        <f t="shared" si="17"/>
        <v>2.5200000000000001E-3</v>
      </c>
      <c r="GY206" s="6" t="s">
        <v>309</v>
      </c>
      <c r="GZ206" s="6" t="s">
        <v>583</v>
      </c>
      <c r="HD206" s="8" t="s">
        <v>1157</v>
      </c>
      <c r="HE206" s="8">
        <v>30280</v>
      </c>
      <c r="HF206" s="8" t="s">
        <v>1158</v>
      </c>
      <c r="HG206" s="9" t="s">
        <v>538</v>
      </c>
      <c r="HH206" s="9" t="s">
        <v>1159</v>
      </c>
      <c r="HI206" s="8">
        <v>7009</v>
      </c>
      <c r="HJ206" s="9" t="s">
        <v>1160</v>
      </c>
      <c r="HK206" s="9" t="s">
        <v>538</v>
      </c>
      <c r="JV206" s="7" t="s">
        <v>2578</v>
      </c>
      <c r="JX206" s="7" t="s">
        <v>355</v>
      </c>
      <c r="JY206" s="7" t="s">
        <v>354</v>
      </c>
      <c r="JZ206" s="7" t="s">
        <v>320</v>
      </c>
      <c r="KG206" s="4" t="s">
        <v>356</v>
      </c>
      <c r="KH206" s="4" t="s">
        <v>402</v>
      </c>
      <c r="KI206" s="4" t="s">
        <v>1893</v>
      </c>
      <c r="KJ206" s="4" t="s">
        <v>402</v>
      </c>
      <c r="KP206" s="5" t="s">
        <v>1161</v>
      </c>
      <c r="KQ206" s="5" t="s">
        <v>1162</v>
      </c>
      <c r="KR206" s="5" t="s">
        <v>1161</v>
      </c>
      <c r="KS206" s="5" t="s">
        <v>1163</v>
      </c>
      <c r="KT206" s="5" t="s">
        <v>2655</v>
      </c>
    </row>
    <row r="207" spans="1:306" ht="96" x14ac:dyDescent="0.2">
      <c r="A207" s="5" t="s">
        <v>3404</v>
      </c>
      <c r="B207" s="4" t="s">
        <v>455</v>
      </c>
      <c r="C207" s="7" t="s">
        <v>720</v>
      </c>
      <c r="D207" s="8" t="s">
        <v>1154</v>
      </c>
      <c r="E207" s="44">
        <v>577892</v>
      </c>
      <c r="G207" s="4" t="s">
        <v>330</v>
      </c>
      <c r="H207" s="6">
        <v>128.94</v>
      </c>
      <c r="I207" s="6">
        <v>-18.87</v>
      </c>
      <c r="J207" s="4" t="s">
        <v>1155</v>
      </c>
      <c r="K207" s="4" t="s">
        <v>481</v>
      </c>
      <c r="L207" s="4" t="s">
        <v>863</v>
      </c>
      <c r="Q207" s="8"/>
      <c r="R207" s="8"/>
      <c r="Z207" s="4" t="s">
        <v>455</v>
      </c>
      <c r="AA207" s="7" t="s">
        <v>720</v>
      </c>
      <c r="AB207" s="8" t="s">
        <v>1154</v>
      </c>
      <c r="AC207" s="4" t="s">
        <v>301</v>
      </c>
      <c r="AD207" s="4" t="s">
        <v>302</v>
      </c>
      <c r="AE207" s="8">
        <v>1645</v>
      </c>
      <c r="AF207" s="8"/>
      <c r="AG207" s="9" t="s">
        <v>379</v>
      </c>
      <c r="AH207" s="9" t="s">
        <v>1156</v>
      </c>
      <c r="AM207" s="8">
        <v>3</v>
      </c>
      <c r="BP207" s="7">
        <v>0.21</v>
      </c>
      <c r="CP207" s="6">
        <v>0.56000000000000005</v>
      </c>
      <c r="CQ207" s="8">
        <v>4426</v>
      </c>
      <c r="DR207" s="6">
        <v>1.0999999999999999E-2</v>
      </c>
      <c r="DS207" s="6">
        <v>8.3000000000000004E-2</v>
      </c>
      <c r="DY207" s="6">
        <v>0.33</v>
      </c>
      <c r="DZ207" s="31">
        <f t="shared" si="16"/>
        <v>0.18714285714285717</v>
      </c>
      <c r="FF207" s="6">
        <v>0.93</v>
      </c>
      <c r="GH207" s="6">
        <v>2.3E-5</v>
      </c>
      <c r="GI207" s="6">
        <v>1.7000000000000001E-4</v>
      </c>
      <c r="GO207" s="10">
        <v>2.0000000000000001E-4</v>
      </c>
      <c r="GP207" s="32">
        <f t="shared" si="17"/>
        <v>3.9300000000000001E-4</v>
      </c>
      <c r="GY207" s="6" t="s">
        <v>338</v>
      </c>
      <c r="GZ207" s="6" t="s">
        <v>583</v>
      </c>
      <c r="HD207" s="8" t="s">
        <v>1157</v>
      </c>
      <c r="HE207" s="8">
        <v>30280</v>
      </c>
      <c r="HF207" s="8" t="s">
        <v>1158</v>
      </c>
      <c r="HG207" s="9" t="s">
        <v>538</v>
      </c>
      <c r="HH207" s="9" t="s">
        <v>1159</v>
      </c>
      <c r="HI207" s="8">
        <v>7009</v>
      </c>
      <c r="HJ207" s="9" t="s">
        <v>1160</v>
      </c>
      <c r="HK207" s="9" t="s">
        <v>538</v>
      </c>
      <c r="KP207" s="5" t="s">
        <v>1161</v>
      </c>
      <c r="KQ207" s="5" t="s">
        <v>1162</v>
      </c>
      <c r="KR207" s="5" t="s">
        <v>1161</v>
      </c>
      <c r="KS207" s="5" t="s">
        <v>1163</v>
      </c>
      <c r="KT207" s="5" t="s">
        <v>309</v>
      </c>
    </row>
    <row r="208" spans="1:306" ht="96" x14ac:dyDescent="0.2">
      <c r="A208" s="5" t="s">
        <v>3405</v>
      </c>
      <c r="B208" s="4" t="s">
        <v>455</v>
      </c>
      <c r="C208" s="7" t="s">
        <v>720</v>
      </c>
      <c r="D208" s="8" t="s">
        <v>1154</v>
      </c>
      <c r="E208" s="44">
        <v>577891</v>
      </c>
      <c r="G208" s="4" t="s">
        <v>330</v>
      </c>
      <c r="H208" s="6">
        <v>128.94</v>
      </c>
      <c r="I208" s="6">
        <v>-18.87</v>
      </c>
      <c r="J208" s="4" t="s">
        <v>1155</v>
      </c>
      <c r="K208" s="4" t="s">
        <v>481</v>
      </c>
      <c r="L208" s="4" t="s">
        <v>863</v>
      </c>
      <c r="Q208" s="8"/>
      <c r="R208" s="8"/>
      <c r="Z208" s="4" t="s">
        <v>455</v>
      </c>
      <c r="AA208" s="7" t="s">
        <v>720</v>
      </c>
      <c r="AB208" s="8" t="s">
        <v>1154</v>
      </c>
      <c r="AC208" s="4" t="s">
        <v>301</v>
      </c>
      <c r="AD208" s="4" t="s">
        <v>302</v>
      </c>
      <c r="AE208" s="8">
        <v>1645</v>
      </c>
      <c r="AF208" s="8"/>
      <c r="AG208" s="9" t="s">
        <v>379</v>
      </c>
      <c r="AH208" s="9" t="s">
        <v>1156</v>
      </c>
      <c r="AM208" s="8">
        <v>3</v>
      </c>
      <c r="BP208" s="7">
        <v>0.25</v>
      </c>
      <c r="CP208" s="6">
        <v>0.66</v>
      </c>
      <c r="CQ208" s="8">
        <v>5166</v>
      </c>
      <c r="DR208" s="6">
        <v>2.1999999999999999E-2</v>
      </c>
      <c r="DS208" s="6">
        <v>9.7000000000000003E-2</v>
      </c>
      <c r="DY208" s="6">
        <v>0.45</v>
      </c>
      <c r="DZ208" s="31">
        <f t="shared" si="16"/>
        <v>0.23759999999999998</v>
      </c>
      <c r="FF208" s="6">
        <v>1.29</v>
      </c>
      <c r="GH208" s="6">
        <v>5.3999999999999998E-5</v>
      </c>
      <c r="GI208" s="6">
        <v>2.4000000000000001E-4</v>
      </c>
      <c r="GO208" s="10">
        <v>2.9999999999999997E-4</v>
      </c>
      <c r="GP208" s="32">
        <f t="shared" si="17"/>
        <v>5.9399999999999991E-4</v>
      </c>
      <c r="GY208" s="6" t="s">
        <v>338</v>
      </c>
      <c r="GZ208" s="6" t="s">
        <v>583</v>
      </c>
      <c r="HD208" s="8" t="s">
        <v>1157</v>
      </c>
      <c r="HE208" s="8">
        <v>30280</v>
      </c>
      <c r="HF208" s="8" t="s">
        <v>1158</v>
      </c>
      <c r="HG208" s="9" t="s">
        <v>538</v>
      </c>
      <c r="HH208" s="9" t="s">
        <v>1159</v>
      </c>
      <c r="HI208" s="8">
        <v>7009</v>
      </c>
      <c r="HJ208" s="9" t="s">
        <v>1160</v>
      </c>
      <c r="HK208" s="9" t="s">
        <v>538</v>
      </c>
      <c r="KP208" s="5" t="s">
        <v>1161</v>
      </c>
      <c r="KQ208" s="5" t="s">
        <v>1162</v>
      </c>
      <c r="KR208" s="5" t="s">
        <v>1161</v>
      </c>
      <c r="KS208" s="5" t="s">
        <v>1163</v>
      </c>
      <c r="KT208" s="5" t="s">
        <v>1164</v>
      </c>
    </row>
    <row r="209" spans="1:306" ht="96" x14ac:dyDescent="0.25">
      <c r="A209" s="5" t="s">
        <v>4313</v>
      </c>
      <c r="B209" s="4" t="s">
        <v>455</v>
      </c>
      <c r="C209" s="7" t="s">
        <v>720</v>
      </c>
      <c r="D209" s="8" t="s">
        <v>1154</v>
      </c>
      <c r="E209" s="4">
        <v>333344</v>
      </c>
      <c r="G209" s="4" t="s">
        <v>330</v>
      </c>
      <c r="H209" s="6">
        <v>128.2013</v>
      </c>
      <c r="I209" s="6">
        <v>-17.345800000000001</v>
      </c>
      <c r="J209" s="4" t="s">
        <v>4314</v>
      </c>
      <c r="K209" s="4" t="s">
        <v>481</v>
      </c>
      <c r="L209" s="4" t="s">
        <v>863</v>
      </c>
      <c r="Q209" s="8"/>
      <c r="R209" s="8"/>
      <c r="Z209" s="4" t="s">
        <v>455</v>
      </c>
      <c r="AA209" s="7" t="s">
        <v>720</v>
      </c>
      <c r="AB209" s="8" t="s">
        <v>1154</v>
      </c>
      <c r="AC209" s="4" t="s">
        <v>301</v>
      </c>
      <c r="AD209" s="4" t="s">
        <v>375</v>
      </c>
      <c r="AE209" s="8">
        <v>1619</v>
      </c>
      <c r="AF209" s="8">
        <v>9</v>
      </c>
      <c r="AG209" s="9" t="s">
        <v>303</v>
      </c>
      <c r="AH209" s="9" t="s">
        <v>304</v>
      </c>
      <c r="AI209" s="9" t="s">
        <v>336</v>
      </c>
      <c r="AJ209" s="9" t="s">
        <v>306</v>
      </c>
      <c r="AK209" s="9" t="s">
        <v>307</v>
      </c>
      <c r="AL209" s="9" t="s">
        <v>4315</v>
      </c>
      <c r="AM209" s="8">
        <v>5</v>
      </c>
      <c r="AN209" s="4" t="s">
        <v>381</v>
      </c>
      <c r="AO209" s="4" t="s">
        <v>382</v>
      </c>
      <c r="AP209" s="4" t="s">
        <v>383</v>
      </c>
      <c r="AQ209" s="7" t="s">
        <v>403</v>
      </c>
      <c r="AR209" s="7" t="s">
        <v>2133</v>
      </c>
      <c r="AS209" s="7">
        <v>0</v>
      </c>
      <c r="AT209" s="7">
        <v>0</v>
      </c>
      <c r="AU209" s="4" t="s">
        <v>303</v>
      </c>
      <c r="AV209" s="4" t="s">
        <v>406</v>
      </c>
      <c r="AW209" s="4"/>
      <c r="AX209" s="4"/>
      <c r="AY209" s="4"/>
      <c r="AZ209" s="4"/>
      <c r="BA209" s="8">
        <v>5</v>
      </c>
      <c r="BG209" s="8"/>
      <c r="BH209" s="8"/>
      <c r="BP209" s="7">
        <v>5.1999999999999998E-2</v>
      </c>
      <c r="BQ209" s="9"/>
      <c r="CP209" s="6">
        <v>0.23</v>
      </c>
      <c r="CQ209" s="8">
        <v>1847</v>
      </c>
      <c r="DQ209" s="9">
        <v>1.0999999999999999E-2</v>
      </c>
      <c r="DR209" s="10">
        <f>1.151*0.0035/1.1762</f>
        <v>3.4250127529331749E-3</v>
      </c>
      <c r="DS209" s="9">
        <v>3.2000000000000001E-2</v>
      </c>
      <c r="DT209" s="9"/>
      <c r="DU209" s="9">
        <v>2.5000000000000001E-2</v>
      </c>
      <c r="DV209" s="9"/>
      <c r="DW209" s="9">
        <v>2.1000000000000001E-2</v>
      </c>
      <c r="DX209" s="9"/>
      <c r="DY209" s="6">
        <v>0.12</v>
      </c>
      <c r="DZ209" s="31">
        <f t="shared" si="16"/>
        <v>0.44242501275293322</v>
      </c>
      <c r="FE209" s="16">
        <f>BP209*CP209/100</f>
        <v>1.1960000000000001E-4</v>
      </c>
      <c r="FF209" s="9">
        <f>BP209*CQ209/1000</f>
        <v>9.604399999999999E-2</v>
      </c>
      <c r="GG209" s="20">
        <f>BP209*DQ209/100</f>
        <v>5.7199999999999994E-6</v>
      </c>
      <c r="GH209" s="20">
        <f>BP209*DR209/100</f>
        <v>1.7810066315252506E-6</v>
      </c>
      <c r="GI209" s="17">
        <f>BP209*DS209/100</f>
        <v>1.664E-5</v>
      </c>
      <c r="GJ209" s="20"/>
      <c r="GK209" s="17">
        <f>BP209*DU209/100</f>
        <v>1.2999999999999999E-5</v>
      </c>
      <c r="GL209" s="20"/>
      <c r="GM209" s="17">
        <f>BP209*DW209/100</f>
        <v>1.092E-5</v>
      </c>
      <c r="GN209" s="20"/>
      <c r="GO209" s="17">
        <f>BP209*DY209/100</f>
        <v>6.2399999999999999E-5</v>
      </c>
      <c r="GP209" s="32">
        <f t="shared" si="17"/>
        <v>2.3006100663152524E-4</v>
      </c>
      <c r="GY209" s="31" t="s">
        <v>407</v>
      </c>
      <c r="GZ209" s="6" t="s">
        <v>583</v>
      </c>
      <c r="HA209" s="6" t="s">
        <v>338</v>
      </c>
      <c r="HD209" s="8" t="s">
        <v>4316</v>
      </c>
      <c r="HE209" s="8">
        <v>31894</v>
      </c>
      <c r="HF209" s="8" t="s">
        <v>4317</v>
      </c>
      <c r="HG209" s="9" t="s">
        <v>538</v>
      </c>
      <c r="KP209" s="5" t="s">
        <v>358</v>
      </c>
      <c r="KQ209" s="5" t="s">
        <v>4318</v>
      </c>
      <c r="KR209" s="5" t="s">
        <v>4319</v>
      </c>
      <c r="KS209" s="5" t="s">
        <v>4318</v>
      </c>
      <c r="KT209" s="5" t="s">
        <v>4320</v>
      </c>
    </row>
    <row r="210" spans="1:306" ht="120" x14ac:dyDescent="0.25">
      <c r="A210" s="5" t="s">
        <v>4603</v>
      </c>
      <c r="B210" s="4" t="s">
        <v>455</v>
      </c>
      <c r="C210" s="7" t="s">
        <v>720</v>
      </c>
      <c r="D210" s="8" t="s">
        <v>1154</v>
      </c>
      <c r="E210" s="4">
        <v>335150</v>
      </c>
      <c r="G210" s="4" t="s">
        <v>330</v>
      </c>
      <c r="H210" s="6">
        <v>128.97</v>
      </c>
      <c r="I210" s="6">
        <v>-19.78</v>
      </c>
      <c r="J210" s="4" t="s">
        <v>4603</v>
      </c>
      <c r="K210" s="4" t="s">
        <v>481</v>
      </c>
      <c r="L210" s="4" t="s">
        <v>863</v>
      </c>
      <c r="Q210" s="8"/>
      <c r="R210" s="8"/>
      <c r="Z210" s="4" t="s">
        <v>455</v>
      </c>
      <c r="AA210" s="7" t="s">
        <v>720</v>
      </c>
      <c r="AB210" s="8" t="s">
        <v>1154</v>
      </c>
      <c r="AC210" s="4" t="s">
        <v>301</v>
      </c>
      <c r="AD210" s="4" t="s">
        <v>302</v>
      </c>
      <c r="AE210" s="8">
        <v>1632</v>
      </c>
      <c r="AF210" s="8">
        <v>3</v>
      </c>
      <c r="AG210" s="9" t="s">
        <v>303</v>
      </c>
      <c r="AH210" s="9" t="s">
        <v>304</v>
      </c>
      <c r="AI210" s="9" t="s">
        <v>336</v>
      </c>
      <c r="AJ210" s="9" t="s">
        <v>306</v>
      </c>
      <c r="AK210" s="9" t="s">
        <v>307</v>
      </c>
      <c r="AL210" s="9" t="s">
        <v>4315</v>
      </c>
      <c r="AM210" s="8">
        <v>5</v>
      </c>
      <c r="DZ210" s="31"/>
      <c r="GP210" s="32"/>
      <c r="GY210" s="6" t="s">
        <v>407</v>
      </c>
      <c r="HD210" s="8" t="s">
        <v>1159</v>
      </c>
      <c r="HE210" s="8">
        <v>7009</v>
      </c>
      <c r="HF210" s="8" t="s">
        <v>4604</v>
      </c>
      <c r="HG210" s="9" t="s">
        <v>538</v>
      </c>
      <c r="JV210" s="7" t="s">
        <v>4605</v>
      </c>
      <c r="JX210" s="7" t="s">
        <v>355</v>
      </c>
      <c r="KG210" s="4" t="s">
        <v>323</v>
      </c>
      <c r="KM210" s="4" t="s">
        <v>471</v>
      </c>
      <c r="KN210" s="4" t="s">
        <v>471</v>
      </c>
      <c r="KP210" s="5" t="s">
        <v>4606</v>
      </c>
      <c r="KQ210" s="5" t="s">
        <v>4606</v>
      </c>
      <c r="KR210" s="5" t="s">
        <v>4606</v>
      </c>
    </row>
    <row r="211" spans="1:306" ht="96" x14ac:dyDescent="0.2">
      <c r="A211" s="5" t="s">
        <v>8192</v>
      </c>
      <c r="B211" s="4" t="s">
        <v>455</v>
      </c>
      <c r="C211" s="7" t="s">
        <v>720</v>
      </c>
      <c r="D211" s="8" t="s">
        <v>1154</v>
      </c>
      <c r="E211" s="44">
        <v>570091</v>
      </c>
      <c r="G211" s="4" t="s">
        <v>330</v>
      </c>
      <c r="H211" s="6">
        <v>128.94</v>
      </c>
      <c r="I211" s="6">
        <v>-18.86</v>
      </c>
      <c r="J211" s="4" t="s">
        <v>1155</v>
      </c>
      <c r="K211" s="4" t="s">
        <v>481</v>
      </c>
      <c r="L211" s="4" t="s">
        <v>863</v>
      </c>
      <c r="Q211" s="8"/>
      <c r="R211" s="8"/>
      <c r="Z211" s="4" t="s">
        <v>455</v>
      </c>
      <c r="AA211" s="7" t="s">
        <v>720</v>
      </c>
      <c r="AB211" s="8" t="s">
        <v>1154</v>
      </c>
      <c r="AC211" s="4" t="s">
        <v>301</v>
      </c>
      <c r="AD211" s="4" t="s">
        <v>375</v>
      </c>
      <c r="AE211" s="8">
        <v>1646</v>
      </c>
      <c r="AF211" s="8">
        <v>5</v>
      </c>
      <c r="AG211" s="9" t="s">
        <v>303</v>
      </c>
      <c r="AH211" s="9" t="s">
        <v>304</v>
      </c>
      <c r="AI211" s="9" t="s">
        <v>336</v>
      </c>
      <c r="AJ211" s="9" t="s">
        <v>306</v>
      </c>
      <c r="AK211" s="9" t="s">
        <v>307</v>
      </c>
      <c r="AL211" s="9" t="s">
        <v>4315</v>
      </c>
      <c r="AM211" s="8">
        <v>5</v>
      </c>
      <c r="AN211" s="4" t="s">
        <v>301</v>
      </c>
      <c r="AO211" s="4" t="s">
        <v>382</v>
      </c>
      <c r="AP211" s="4" t="s">
        <v>455</v>
      </c>
      <c r="AQ211" s="7" t="s">
        <v>720</v>
      </c>
      <c r="AR211" s="8" t="s">
        <v>1154</v>
      </c>
      <c r="AS211" s="8">
        <v>1615</v>
      </c>
      <c r="AT211" s="8">
        <v>3</v>
      </c>
      <c r="AU211" s="9" t="s">
        <v>303</v>
      </c>
      <c r="AV211" s="9" t="s">
        <v>304</v>
      </c>
      <c r="AW211" s="9" t="s">
        <v>336</v>
      </c>
      <c r="AX211" s="9" t="s">
        <v>306</v>
      </c>
      <c r="AY211" s="9" t="s">
        <v>307</v>
      </c>
      <c r="AZ211" s="9" t="s">
        <v>308</v>
      </c>
      <c r="BA211" s="8">
        <v>5</v>
      </c>
      <c r="BB211" s="4" t="s">
        <v>301</v>
      </c>
      <c r="BC211" s="4" t="s">
        <v>402</v>
      </c>
      <c r="BD211" s="4" t="s">
        <v>455</v>
      </c>
      <c r="BE211" s="7" t="s">
        <v>720</v>
      </c>
      <c r="BF211" s="8" t="s">
        <v>1154</v>
      </c>
      <c r="BG211" s="8">
        <v>1590</v>
      </c>
      <c r="BH211" s="8">
        <v>5</v>
      </c>
      <c r="BI211" s="9" t="s">
        <v>303</v>
      </c>
      <c r="BJ211" s="9" t="s">
        <v>304</v>
      </c>
      <c r="BK211" s="9" t="s">
        <v>336</v>
      </c>
      <c r="BL211" s="9" t="s">
        <v>306</v>
      </c>
      <c r="BM211" s="9" t="s">
        <v>307</v>
      </c>
      <c r="BN211" s="9" t="s">
        <v>308</v>
      </c>
      <c r="BO211" s="8">
        <v>5</v>
      </c>
      <c r="BP211" s="7">
        <v>4.8499999999999996</v>
      </c>
      <c r="CP211" s="6">
        <v>0.5</v>
      </c>
      <c r="CQ211" s="8">
        <v>3929</v>
      </c>
      <c r="DR211" s="6">
        <v>1.0999999999999999E-2</v>
      </c>
      <c r="DS211" s="6">
        <v>7.4999999999999997E-2</v>
      </c>
      <c r="DY211" s="6">
        <v>0.67</v>
      </c>
      <c r="DZ211" s="31">
        <f>GP211/BP211*100</f>
        <v>0.76618556701030927</v>
      </c>
      <c r="FF211" s="6">
        <v>19.059999999999999</v>
      </c>
      <c r="GH211" s="6">
        <v>5.1999999999999995E-4</v>
      </c>
      <c r="GI211" s="6">
        <v>3.64E-3</v>
      </c>
      <c r="GO211" s="10">
        <v>3.3000000000000002E-2</v>
      </c>
      <c r="GP211" s="32">
        <f>SUM(GA211:GO211)+FE211</f>
        <v>3.7159999999999999E-2</v>
      </c>
      <c r="GY211" s="6" t="s">
        <v>338</v>
      </c>
      <c r="GZ211" s="6" t="s">
        <v>583</v>
      </c>
      <c r="HD211" s="8" t="s">
        <v>1157</v>
      </c>
      <c r="HE211" s="8">
        <v>30280</v>
      </c>
      <c r="HF211" s="8" t="s">
        <v>1158</v>
      </c>
      <c r="HG211" s="9" t="s">
        <v>538</v>
      </c>
      <c r="HH211" s="9" t="s">
        <v>1159</v>
      </c>
      <c r="HI211" s="8">
        <v>7009</v>
      </c>
      <c r="HJ211" s="9" t="s">
        <v>1160</v>
      </c>
      <c r="HK211" s="9" t="s">
        <v>538</v>
      </c>
      <c r="JV211" s="7" t="s">
        <v>2578</v>
      </c>
      <c r="JX211" s="7" t="s">
        <v>355</v>
      </c>
      <c r="JY211" s="7" t="s">
        <v>354</v>
      </c>
      <c r="JZ211" s="7" t="s">
        <v>320</v>
      </c>
      <c r="KG211" s="4" t="s">
        <v>356</v>
      </c>
      <c r="KH211" s="4" t="s">
        <v>402</v>
      </c>
      <c r="KI211" s="4" t="s">
        <v>1893</v>
      </c>
      <c r="KJ211" s="4" t="s">
        <v>402</v>
      </c>
      <c r="KM211" s="4" t="s">
        <v>471</v>
      </c>
      <c r="KN211" s="4" t="s">
        <v>391</v>
      </c>
      <c r="KP211" s="5" t="s">
        <v>1161</v>
      </c>
      <c r="KQ211" s="5" t="s">
        <v>8193</v>
      </c>
      <c r="KR211" s="5" t="s">
        <v>8194</v>
      </c>
      <c r="KS211" s="5" t="s">
        <v>1163</v>
      </c>
      <c r="KT211" s="5" t="s">
        <v>8195</v>
      </c>
    </row>
    <row r="212" spans="1:306" ht="132" x14ac:dyDescent="0.25">
      <c r="A212" s="5" t="s">
        <v>719</v>
      </c>
      <c r="B212" s="4" t="s">
        <v>455</v>
      </c>
      <c r="C212" s="7" t="s">
        <v>720</v>
      </c>
      <c r="D212" s="8" t="s">
        <v>721</v>
      </c>
      <c r="E212" s="4">
        <v>627983</v>
      </c>
      <c r="G212" s="4" t="s">
        <v>530</v>
      </c>
      <c r="H212" s="6">
        <v>133.15754231</v>
      </c>
      <c r="I212" s="6">
        <v>-11.74</v>
      </c>
      <c r="J212" s="4" t="s">
        <v>722</v>
      </c>
      <c r="K212" s="4" t="s">
        <v>481</v>
      </c>
      <c r="L212" s="4" t="s">
        <v>532</v>
      </c>
      <c r="Q212" s="8"/>
      <c r="R212" s="8"/>
      <c r="S212" s="4"/>
      <c r="Z212" s="4" t="s">
        <v>455</v>
      </c>
      <c r="AA212" s="7" t="s">
        <v>720</v>
      </c>
      <c r="AB212" s="8" t="s">
        <v>721</v>
      </c>
      <c r="AC212" s="4" t="s">
        <v>301</v>
      </c>
      <c r="AD212" s="4" t="s">
        <v>302</v>
      </c>
      <c r="AE212" s="8">
        <v>1736</v>
      </c>
      <c r="AF212" s="8">
        <v>17</v>
      </c>
      <c r="AG212" s="4" t="s">
        <v>303</v>
      </c>
      <c r="AH212" s="9" t="s">
        <v>304</v>
      </c>
      <c r="AI212" s="9" t="s">
        <v>723</v>
      </c>
      <c r="AJ212" s="9" t="s">
        <v>306</v>
      </c>
      <c r="AK212" s="9" t="s">
        <v>307</v>
      </c>
      <c r="AL212" s="9" t="s">
        <v>308</v>
      </c>
      <c r="AM212" s="8">
        <v>5</v>
      </c>
      <c r="BP212" s="7">
        <v>1.37</v>
      </c>
      <c r="BQ212" s="9"/>
      <c r="DZ212" s="31"/>
      <c r="EB212" s="6">
        <v>1.0900000000000001</v>
      </c>
      <c r="EY212" s="6"/>
      <c r="FA212" s="6"/>
      <c r="GP212" s="32"/>
      <c r="GR212" s="6">
        <f>1000*BP212*EB212/100</f>
        <v>14.933000000000002</v>
      </c>
      <c r="GY212" s="6" t="s">
        <v>338</v>
      </c>
      <c r="GZ212" s="6" t="s">
        <v>654</v>
      </c>
      <c r="HC212" s="6" t="s">
        <v>408</v>
      </c>
      <c r="HD212" s="8" t="s">
        <v>724</v>
      </c>
      <c r="HE212" s="8">
        <v>24806</v>
      </c>
      <c r="HF212" s="8" t="s">
        <v>725</v>
      </c>
      <c r="HG212" s="9" t="s">
        <v>538</v>
      </c>
      <c r="HH212" s="9" t="s">
        <v>726</v>
      </c>
      <c r="HI212" s="8">
        <v>34024</v>
      </c>
      <c r="HJ212" s="9" t="s">
        <v>727</v>
      </c>
      <c r="HK212" s="9" t="s">
        <v>538</v>
      </c>
      <c r="HY212" s="9"/>
      <c r="IW212" s="8"/>
      <c r="JB212" s="8"/>
      <c r="JV212" s="7" t="s">
        <v>728</v>
      </c>
      <c r="JX212" s="7" t="s">
        <v>320</v>
      </c>
      <c r="KG212" s="4" t="s">
        <v>323</v>
      </c>
      <c r="KP212" s="5" t="s">
        <v>358</v>
      </c>
      <c r="KQ212" s="5" t="s">
        <v>729</v>
      </c>
      <c r="KS212" s="5" t="s">
        <v>730</v>
      </c>
      <c r="KT212" s="5" t="s">
        <v>731</v>
      </c>
    </row>
    <row r="213" spans="1:306" ht="49.5" x14ac:dyDescent="0.25">
      <c r="A213" s="5" t="s">
        <v>932</v>
      </c>
      <c r="B213" s="4" t="s">
        <v>455</v>
      </c>
      <c r="C213" s="7" t="s">
        <v>720</v>
      </c>
      <c r="D213" s="8" t="s">
        <v>721</v>
      </c>
      <c r="E213" s="38">
        <v>865582</v>
      </c>
      <c r="G213" s="4" t="s">
        <v>530</v>
      </c>
      <c r="H213" s="6">
        <v>133.20948289699999</v>
      </c>
      <c r="I213" s="6">
        <v>-11.809285391</v>
      </c>
      <c r="J213" s="4" t="s">
        <v>722</v>
      </c>
      <c r="K213" s="4" t="s">
        <v>481</v>
      </c>
      <c r="L213" s="4" t="s">
        <v>532</v>
      </c>
      <c r="Q213" s="8"/>
      <c r="R213" s="8"/>
      <c r="S213" s="4"/>
      <c r="Z213" s="4" t="s">
        <v>455</v>
      </c>
      <c r="AA213" s="7" t="s">
        <v>720</v>
      </c>
      <c r="AB213" s="8" t="s">
        <v>721</v>
      </c>
      <c r="AC213" s="4" t="s">
        <v>301</v>
      </c>
      <c r="AD213" s="4" t="s">
        <v>302</v>
      </c>
      <c r="AE213" s="8">
        <v>1686</v>
      </c>
      <c r="AF213" s="8">
        <v>10</v>
      </c>
      <c r="AG213" s="4" t="s">
        <v>303</v>
      </c>
      <c r="AH213" s="9" t="s">
        <v>304</v>
      </c>
      <c r="AI213" s="9" t="s">
        <v>723</v>
      </c>
      <c r="AJ213" s="9" t="s">
        <v>306</v>
      </c>
      <c r="AK213" s="9" t="s">
        <v>307</v>
      </c>
      <c r="AL213" s="9" t="s">
        <v>308</v>
      </c>
      <c r="AM213" s="8">
        <v>5</v>
      </c>
      <c r="BQ213" s="9"/>
      <c r="DZ213" s="31"/>
      <c r="EY213" s="6"/>
      <c r="FA213" s="6"/>
      <c r="GP213" s="32"/>
      <c r="GY213" s="31" t="s">
        <v>407</v>
      </c>
      <c r="HD213" s="8" t="s">
        <v>933</v>
      </c>
      <c r="HE213" s="8">
        <v>75502</v>
      </c>
      <c r="HF213" s="8" t="s">
        <v>934</v>
      </c>
      <c r="HG213" s="9" t="s">
        <v>538</v>
      </c>
      <c r="HY213" s="9"/>
      <c r="IW213" s="8"/>
      <c r="JB213" s="8"/>
      <c r="JV213" s="7" t="s">
        <v>935</v>
      </c>
      <c r="JX213" s="7" t="s">
        <v>355</v>
      </c>
      <c r="JY213" s="7" t="s">
        <v>354</v>
      </c>
      <c r="JZ213" s="7" t="s">
        <v>320</v>
      </c>
      <c r="KG213" s="4" t="s">
        <v>323</v>
      </c>
      <c r="KP213" s="5" t="s">
        <v>936</v>
      </c>
      <c r="KQ213" s="5" t="s">
        <v>937</v>
      </c>
      <c r="KR213" s="5" t="s">
        <v>938</v>
      </c>
      <c r="KT213" s="5" t="s">
        <v>939</v>
      </c>
    </row>
    <row r="214" spans="1:306" ht="48" x14ac:dyDescent="0.25">
      <c r="A214" s="5" t="s">
        <v>1996</v>
      </c>
      <c r="B214" s="4" t="s">
        <v>455</v>
      </c>
      <c r="C214" s="7" t="s">
        <v>720</v>
      </c>
      <c r="D214" s="8" t="s">
        <v>721</v>
      </c>
      <c r="E214" s="4">
        <v>429161</v>
      </c>
      <c r="G214" s="4" t="s">
        <v>530</v>
      </c>
      <c r="H214" s="6">
        <v>133.36000000000001</v>
      </c>
      <c r="I214" s="6">
        <v>-12.49</v>
      </c>
      <c r="J214" s="4" t="s">
        <v>722</v>
      </c>
      <c r="K214" s="4" t="s">
        <v>481</v>
      </c>
      <c r="L214" s="4" t="s">
        <v>532</v>
      </c>
      <c r="Q214" s="8"/>
      <c r="R214" s="8"/>
      <c r="Z214" s="4" t="s">
        <v>455</v>
      </c>
      <c r="AA214" s="7" t="s">
        <v>720</v>
      </c>
      <c r="AB214" s="8" t="s">
        <v>721</v>
      </c>
      <c r="AC214" s="4" t="s">
        <v>301</v>
      </c>
      <c r="AD214" s="4" t="s">
        <v>302</v>
      </c>
      <c r="AE214" s="8">
        <v>1685</v>
      </c>
      <c r="AF214" s="8"/>
      <c r="AG214" s="9" t="s">
        <v>379</v>
      </c>
      <c r="AH214" s="9" t="s">
        <v>380</v>
      </c>
      <c r="AM214" s="8">
        <v>3</v>
      </c>
      <c r="BP214" s="7">
        <v>0.94389999999999996</v>
      </c>
      <c r="BQ214" s="9"/>
      <c r="DZ214" s="31"/>
      <c r="EB214" s="9">
        <v>0.315</v>
      </c>
      <c r="GP214" s="32"/>
      <c r="GR214" s="6">
        <f>1000*BP214*EB214/100</f>
        <v>2.9732850000000002</v>
      </c>
      <c r="GY214" s="6" t="s">
        <v>338</v>
      </c>
      <c r="GZ214" s="6" t="s">
        <v>654</v>
      </c>
      <c r="HC214" s="6" t="s">
        <v>408</v>
      </c>
      <c r="HD214" s="8" t="s">
        <v>724</v>
      </c>
      <c r="HE214" s="8">
        <v>24806</v>
      </c>
      <c r="HF214" s="8" t="s">
        <v>1997</v>
      </c>
      <c r="HG214" s="9" t="s">
        <v>538</v>
      </c>
      <c r="IW214" s="8"/>
      <c r="JB214" s="8"/>
      <c r="JV214" s="7" t="s">
        <v>1998</v>
      </c>
      <c r="KM214" s="4" t="s">
        <v>702</v>
      </c>
      <c r="KN214" s="4" t="s">
        <v>702</v>
      </c>
      <c r="KP214" s="5" t="s">
        <v>358</v>
      </c>
      <c r="KQ214" s="5" t="s">
        <v>1999</v>
      </c>
      <c r="KS214" s="5" t="s">
        <v>2000</v>
      </c>
      <c r="KT214" s="5" t="s">
        <v>718</v>
      </c>
    </row>
    <row r="215" spans="1:306" ht="120" x14ac:dyDescent="0.25">
      <c r="A215" s="5" t="s">
        <v>2395</v>
      </c>
      <c r="B215" s="4" t="s">
        <v>455</v>
      </c>
      <c r="C215" s="7" t="s">
        <v>720</v>
      </c>
      <c r="D215" s="8" t="s">
        <v>721</v>
      </c>
      <c r="E215" s="4">
        <v>334923</v>
      </c>
      <c r="G215" s="4" t="s">
        <v>530</v>
      </c>
      <c r="H215" s="6">
        <v>132.60740000000001</v>
      </c>
      <c r="I215" s="6">
        <v>-13.5862</v>
      </c>
      <c r="J215" s="4" t="s">
        <v>2396</v>
      </c>
      <c r="K215" s="4" t="s">
        <v>481</v>
      </c>
      <c r="L215" s="4" t="s">
        <v>532</v>
      </c>
      <c r="Q215" s="8"/>
      <c r="R215" s="8"/>
      <c r="S215" s="4"/>
      <c r="Z215" s="4" t="s">
        <v>455</v>
      </c>
      <c r="AA215" s="7" t="s">
        <v>720</v>
      </c>
      <c r="AB215" s="8" t="s">
        <v>721</v>
      </c>
      <c r="AC215" s="4" t="s">
        <v>301</v>
      </c>
      <c r="AD215" s="4" t="s">
        <v>302</v>
      </c>
      <c r="AE215" s="8">
        <v>1607</v>
      </c>
      <c r="AF215" s="8">
        <v>26</v>
      </c>
      <c r="AG215" s="4" t="s">
        <v>303</v>
      </c>
      <c r="AH215" s="9" t="s">
        <v>304</v>
      </c>
      <c r="AI215" s="9" t="s">
        <v>723</v>
      </c>
      <c r="AJ215" s="9" t="s">
        <v>306</v>
      </c>
      <c r="AK215" s="9" t="s">
        <v>307</v>
      </c>
      <c r="AL215" s="9" t="s">
        <v>308</v>
      </c>
      <c r="AM215" s="8">
        <v>4</v>
      </c>
      <c r="BP215" s="7">
        <v>4.8499999999999996</v>
      </c>
      <c r="BV215" s="6">
        <v>4.3099999999999996</v>
      </c>
      <c r="CV215" s="6">
        <v>0.65</v>
      </c>
      <c r="DI215" s="6">
        <v>0.19</v>
      </c>
      <c r="DZ215" s="31"/>
      <c r="EL215" s="6">
        <f>BP215*BV215+0.026*10.4</f>
        <v>21.173899999999996</v>
      </c>
      <c r="EY215" s="6"/>
      <c r="FA215" s="6"/>
      <c r="FK215" s="6">
        <f>BV215*CV215</f>
        <v>2.8014999999999999</v>
      </c>
      <c r="FY215" s="6">
        <f>BV215*DI215</f>
        <v>0.81889999999999996</v>
      </c>
      <c r="GP215" s="32"/>
      <c r="GR215" s="6">
        <f>26000*2.6/1000000+0.344*1000*0.537/100</f>
        <v>1.9148800000000001</v>
      </c>
      <c r="GY215" s="6" t="s">
        <v>435</v>
      </c>
      <c r="GZ215" s="6" t="s">
        <v>436</v>
      </c>
      <c r="HA215" s="6" t="s">
        <v>654</v>
      </c>
      <c r="HB215" s="6" t="s">
        <v>408</v>
      </c>
      <c r="HD215" s="8" t="s">
        <v>1640</v>
      </c>
      <c r="HE215" s="8">
        <v>25130</v>
      </c>
      <c r="HF215" s="8" t="s">
        <v>1641</v>
      </c>
      <c r="HG215" s="9" t="s">
        <v>538</v>
      </c>
      <c r="HH215" s="9" t="s">
        <v>2397</v>
      </c>
      <c r="HJ215" s="9" t="s">
        <v>2398</v>
      </c>
      <c r="HK215" s="9" t="s">
        <v>538</v>
      </c>
      <c r="HN215" s="8" t="s">
        <v>1264</v>
      </c>
      <c r="HO215" s="9" t="s">
        <v>538</v>
      </c>
      <c r="HR215" s="9" t="s">
        <v>2399</v>
      </c>
      <c r="HS215" s="9" t="s">
        <v>538</v>
      </c>
      <c r="HY215" s="9"/>
      <c r="ID215" s="8" t="s">
        <v>1264</v>
      </c>
      <c r="IE215" s="9" t="s">
        <v>538</v>
      </c>
      <c r="IF215" s="9" t="s">
        <v>445</v>
      </c>
      <c r="IG215" s="9"/>
      <c r="IH215" s="9"/>
      <c r="II215" s="9" t="s">
        <v>2399</v>
      </c>
      <c r="IJ215" s="9" t="s">
        <v>538</v>
      </c>
      <c r="IK215" s="8" t="s">
        <v>445</v>
      </c>
      <c r="IW215" s="8"/>
      <c r="JB215" s="8"/>
      <c r="JV215" s="7" t="s">
        <v>2400</v>
      </c>
      <c r="JX215" s="7" t="s">
        <v>355</v>
      </c>
      <c r="JY215" s="7" t="s">
        <v>354</v>
      </c>
      <c r="JZ215" s="7" t="s">
        <v>320</v>
      </c>
      <c r="KA215" s="7" t="s">
        <v>448</v>
      </c>
      <c r="KB215" s="7" t="s">
        <v>738</v>
      </c>
      <c r="KC215" s="7" t="s">
        <v>470</v>
      </c>
      <c r="KD215" s="7" t="s">
        <v>322</v>
      </c>
      <c r="KG215" s="4" t="s">
        <v>323</v>
      </c>
      <c r="KM215" s="4" t="s">
        <v>391</v>
      </c>
      <c r="KN215" s="4" t="s">
        <v>391</v>
      </c>
      <c r="KP215" s="5" t="s">
        <v>358</v>
      </c>
      <c r="KQ215" s="5" t="s">
        <v>2401</v>
      </c>
      <c r="KR215" s="5" t="s">
        <v>2402</v>
      </c>
      <c r="KS215" s="5" t="s">
        <v>2403</v>
      </c>
      <c r="KT215" s="5" t="s">
        <v>2404</v>
      </c>
    </row>
    <row r="216" spans="1:306" ht="108" x14ac:dyDescent="0.25">
      <c r="A216" s="5" t="s">
        <v>3199</v>
      </c>
      <c r="B216" s="4" t="s">
        <v>455</v>
      </c>
      <c r="C216" s="7" t="s">
        <v>720</v>
      </c>
      <c r="D216" s="8" t="s">
        <v>721</v>
      </c>
      <c r="E216" s="4">
        <v>334091</v>
      </c>
      <c r="G216" s="4" t="s">
        <v>530</v>
      </c>
      <c r="H216" s="6">
        <v>137.82</v>
      </c>
      <c r="I216" s="6">
        <v>-17.68</v>
      </c>
      <c r="J216" s="4" t="s">
        <v>3200</v>
      </c>
      <c r="K216" s="4" t="s">
        <v>481</v>
      </c>
      <c r="L216" s="4" t="s">
        <v>3201</v>
      </c>
      <c r="Q216" s="8"/>
      <c r="R216" s="8"/>
      <c r="Z216" s="4" t="s">
        <v>455</v>
      </c>
      <c r="AA216" s="7" t="s">
        <v>720</v>
      </c>
      <c r="AB216" s="8" t="s">
        <v>721</v>
      </c>
      <c r="AC216" s="4" t="s">
        <v>301</v>
      </c>
      <c r="AD216" s="4" t="s">
        <v>375</v>
      </c>
      <c r="AE216" s="8">
        <v>1655</v>
      </c>
      <c r="AF216" s="8"/>
      <c r="AG216" s="9" t="s">
        <v>379</v>
      </c>
      <c r="AH216" s="9" t="s">
        <v>380</v>
      </c>
      <c r="AM216" s="8">
        <v>2</v>
      </c>
      <c r="AN216" s="4" t="s">
        <v>381</v>
      </c>
      <c r="AO216" s="4" t="s">
        <v>402</v>
      </c>
      <c r="AP216" s="4" t="s">
        <v>383</v>
      </c>
      <c r="AQ216" s="7" t="s">
        <v>384</v>
      </c>
      <c r="AR216" s="8" t="s">
        <v>711</v>
      </c>
      <c r="AS216" s="7">
        <v>0</v>
      </c>
      <c r="AT216" s="7">
        <v>0</v>
      </c>
      <c r="AU216" s="9" t="s">
        <v>303</v>
      </c>
      <c r="AV216" s="9" t="s">
        <v>406</v>
      </c>
      <c r="BA216" s="8">
        <v>5</v>
      </c>
      <c r="BP216" s="7">
        <f>0.000306+0.003+0.12</f>
        <v>0.123306</v>
      </c>
      <c r="BQ216" s="9"/>
      <c r="DZ216" s="31"/>
      <c r="EB216" s="6">
        <f>(0.000306*8.37+0.003*1+0.12*0.32)/0.123306</f>
        <v>0.35652133716120865</v>
      </c>
      <c r="EL216" s="9">
        <f>0.003*11</f>
        <v>3.3000000000000002E-2</v>
      </c>
      <c r="GP216" s="32"/>
      <c r="GR216" s="9">
        <f>1000*BP216*EB216/100</f>
        <v>0.4396121999999999</v>
      </c>
      <c r="GY216" s="6" t="s">
        <v>338</v>
      </c>
      <c r="GZ216" s="6" t="s">
        <v>654</v>
      </c>
      <c r="HB216" s="6" t="s">
        <v>436</v>
      </c>
      <c r="HC216" s="6" t="s">
        <v>408</v>
      </c>
      <c r="HD216" s="8" t="s">
        <v>3202</v>
      </c>
      <c r="HE216" s="8">
        <v>4151</v>
      </c>
      <c r="HF216" s="8" t="s">
        <v>3203</v>
      </c>
      <c r="HG216" s="9" t="s">
        <v>538</v>
      </c>
      <c r="IB216" s="8" t="s">
        <v>3202</v>
      </c>
      <c r="IC216" s="8">
        <v>4151</v>
      </c>
      <c r="ID216" s="8" t="s">
        <v>3204</v>
      </c>
      <c r="IE216" s="8" t="s">
        <v>538</v>
      </c>
      <c r="IF216" s="8" t="s">
        <v>445</v>
      </c>
      <c r="IG216" s="8" t="s">
        <v>3205</v>
      </c>
      <c r="IH216" s="8">
        <v>14123</v>
      </c>
      <c r="II216" s="8" t="s">
        <v>3206</v>
      </c>
      <c r="IJ216" s="8" t="s">
        <v>538</v>
      </c>
      <c r="IK216" s="8" t="s">
        <v>445</v>
      </c>
      <c r="IW216" s="8"/>
      <c r="JB216" s="8"/>
      <c r="JV216" s="7" t="s">
        <v>3207</v>
      </c>
      <c r="JX216" s="7" t="s">
        <v>355</v>
      </c>
      <c r="KG216" s="4" t="s">
        <v>323</v>
      </c>
      <c r="KP216" s="5" t="s">
        <v>358</v>
      </c>
      <c r="KQ216" s="5" t="s">
        <v>3208</v>
      </c>
      <c r="KS216" s="5" t="s">
        <v>3209</v>
      </c>
      <c r="KT216" s="5" t="s">
        <v>3210</v>
      </c>
    </row>
    <row r="217" spans="1:306" ht="84" x14ac:dyDescent="0.25">
      <c r="A217" s="5" t="s">
        <v>4234</v>
      </c>
      <c r="B217" s="4" t="s">
        <v>455</v>
      </c>
      <c r="C217" s="7" t="s">
        <v>720</v>
      </c>
      <c r="D217" s="8" t="s">
        <v>721</v>
      </c>
      <c r="E217" s="4">
        <v>334817</v>
      </c>
      <c r="G217" s="4" t="s">
        <v>530</v>
      </c>
      <c r="H217" s="6">
        <v>132.9</v>
      </c>
      <c r="I217" s="6">
        <v>-12.4994</v>
      </c>
      <c r="J217" s="4" t="s">
        <v>722</v>
      </c>
      <c r="K217" s="4" t="s">
        <v>481</v>
      </c>
      <c r="L217" s="4" t="s">
        <v>532</v>
      </c>
      <c r="Q217" s="8"/>
      <c r="R217" s="8"/>
      <c r="S217" s="4"/>
      <c r="Z217" s="4" t="s">
        <v>455</v>
      </c>
      <c r="AA217" s="7" t="s">
        <v>720</v>
      </c>
      <c r="AB217" s="8" t="s">
        <v>721</v>
      </c>
      <c r="AC217" s="4" t="s">
        <v>301</v>
      </c>
      <c r="AD217" s="4" t="s">
        <v>375</v>
      </c>
      <c r="AE217" s="8">
        <v>1685</v>
      </c>
      <c r="AF217" s="8">
        <v>17</v>
      </c>
      <c r="AG217" s="4" t="s">
        <v>303</v>
      </c>
      <c r="AH217" s="9" t="s">
        <v>304</v>
      </c>
      <c r="AI217" s="9" t="s">
        <v>723</v>
      </c>
      <c r="AJ217" s="9" t="s">
        <v>306</v>
      </c>
      <c r="AK217" s="9" t="s">
        <v>307</v>
      </c>
      <c r="AL217" s="9" t="s">
        <v>308</v>
      </c>
      <c r="AM217" s="8">
        <v>5</v>
      </c>
      <c r="AN217" s="4" t="s">
        <v>381</v>
      </c>
      <c r="AO217" s="4" t="s">
        <v>402</v>
      </c>
      <c r="AP217" s="4" t="s">
        <v>383</v>
      </c>
      <c r="AQ217" s="7" t="s">
        <v>384</v>
      </c>
      <c r="AR217" s="8" t="s">
        <v>711</v>
      </c>
      <c r="AS217" s="7">
        <v>0</v>
      </c>
      <c r="AT217" s="7">
        <v>0</v>
      </c>
      <c r="AU217" s="9" t="s">
        <v>303</v>
      </c>
      <c r="AV217" s="9" t="s">
        <v>406</v>
      </c>
      <c r="BA217" s="8">
        <v>5</v>
      </c>
      <c r="BP217" s="7">
        <v>25.1</v>
      </c>
      <c r="DZ217" s="31"/>
      <c r="EB217" s="6">
        <v>0.55000000000000004</v>
      </c>
      <c r="EL217" s="6">
        <f>1.04*10.7</f>
        <v>11.128</v>
      </c>
      <c r="EY217" s="6"/>
      <c r="FA217" s="6"/>
      <c r="GP217" s="32"/>
      <c r="GR217" s="7">
        <v>137.1</v>
      </c>
      <c r="GY217" s="6" t="s">
        <v>338</v>
      </c>
      <c r="GZ217" s="6" t="s">
        <v>654</v>
      </c>
      <c r="HB217" s="6" t="s">
        <v>436</v>
      </c>
      <c r="HC217" s="6" t="s">
        <v>408</v>
      </c>
      <c r="HD217" s="8" t="s">
        <v>724</v>
      </c>
      <c r="HE217" s="8">
        <v>24806</v>
      </c>
      <c r="HF217" s="8" t="s">
        <v>4235</v>
      </c>
      <c r="HG217" s="9" t="s">
        <v>538</v>
      </c>
      <c r="HY217" s="9"/>
      <c r="IB217" s="8" t="s">
        <v>4236</v>
      </c>
      <c r="ID217" s="8" t="s">
        <v>528</v>
      </c>
      <c r="IE217" s="8" t="s">
        <v>538</v>
      </c>
      <c r="IF217" s="8" t="s">
        <v>445</v>
      </c>
      <c r="IW217" s="8"/>
      <c r="JB217" s="8"/>
      <c r="JV217" s="7" t="s">
        <v>4237</v>
      </c>
      <c r="JX217" s="7" t="s">
        <v>320</v>
      </c>
      <c r="KG217" s="4" t="s">
        <v>323</v>
      </c>
      <c r="KM217" s="4" t="s">
        <v>702</v>
      </c>
      <c r="KN217" s="4" t="s">
        <v>702</v>
      </c>
      <c r="KP217" s="5" t="s">
        <v>358</v>
      </c>
      <c r="KQ217" s="5" t="s">
        <v>4238</v>
      </c>
      <c r="KR217" s="5" t="s">
        <v>4239</v>
      </c>
      <c r="KS217" s="5" t="s">
        <v>4240</v>
      </c>
      <c r="KT217" s="5" t="s">
        <v>4241</v>
      </c>
    </row>
    <row r="218" spans="1:306" ht="96" x14ac:dyDescent="0.25">
      <c r="A218" s="5" t="s">
        <v>4649</v>
      </c>
      <c r="B218" s="4" t="s">
        <v>455</v>
      </c>
      <c r="C218" s="7" t="s">
        <v>720</v>
      </c>
      <c r="D218" s="8" t="s">
        <v>721</v>
      </c>
      <c r="E218" s="4">
        <v>335456</v>
      </c>
      <c r="G218" s="4" t="s">
        <v>330</v>
      </c>
      <c r="H218" s="6">
        <v>122.070885</v>
      </c>
      <c r="I218" s="6">
        <v>-22.338746</v>
      </c>
      <c r="J218" s="4" t="s">
        <v>4649</v>
      </c>
      <c r="K218" s="4" t="s">
        <v>1918</v>
      </c>
      <c r="L218" s="4" t="s">
        <v>4650</v>
      </c>
      <c r="Q218" s="8"/>
      <c r="R218" s="8"/>
      <c r="S218" s="4"/>
      <c r="Z218" s="4" t="s">
        <v>455</v>
      </c>
      <c r="AA218" s="7" t="s">
        <v>720</v>
      </c>
      <c r="AB218" s="8" t="s">
        <v>721</v>
      </c>
      <c r="AC218" s="4" t="s">
        <v>301</v>
      </c>
      <c r="AD218" s="4" t="s">
        <v>302</v>
      </c>
      <c r="AE218" s="8">
        <v>837</v>
      </c>
      <c r="AF218" s="8">
        <v>33</v>
      </c>
      <c r="AG218" s="4" t="s">
        <v>303</v>
      </c>
      <c r="AH218" s="9" t="s">
        <v>304</v>
      </c>
      <c r="AI218" s="9" t="s">
        <v>723</v>
      </c>
      <c r="AJ218" s="9" t="s">
        <v>306</v>
      </c>
      <c r="AK218" s="9" t="s">
        <v>307</v>
      </c>
      <c r="AL218" s="9" t="s">
        <v>4651</v>
      </c>
      <c r="AM218" s="8">
        <v>5</v>
      </c>
      <c r="AS218" s="8"/>
      <c r="AT218" s="8"/>
      <c r="AU218" s="4"/>
      <c r="BG218" s="8"/>
      <c r="BH218" s="8"/>
      <c r="BI218" s="4"/>
      <c r="BP218" s="7">
        <v>4.41</v>
      </c>
      <c r="DZ218" s="31"/>
      <c r="EB218" s="6">
        <v>0.61</v>
      </c>
      <c r="FA218" s="6"/>
      <c r="GP218" s="32"/>
      <c r="GR218" s="6">
        <f>1000*BP218*EB218/100</f>
        <v>26.901</v>
      </c>
      <c r="GY218" s="6" t="s">
        <v>338</v>
      </c>
      <c r="GZ218" s="6" t="s">
        <v>654</v>
      </c>
      <c r="HC218" s="6" t="s">
        <v>408</v>
      </c>
      <c r="HD218" s="8" t="s">
        <v>4652</v>
      </c>
      <c r="HE218" s="8">
        <v>24134</v>
      </c>
      <c r="HF218" s="8" t="s">
        <v>4653</v>
      </c>
      <c r="HG218" s="9" t="s">
        <v>538</v>
      </c>
      <c r="IM218" s="9"/>
      <c r="IR218" s="9"/>
      <c r="JV218" s="7" t="s">
        <v>4654</v>
      </c>
      <c r="JW218" s="7" t="s">
        <v>632</v>
      </c>
      <c r="JX218" s="7" t="s">
        <v>355</v>
      </c>
      <c r="KG218" s="4" t="s">
        <v>323</v>
      </c>
      <c r="KM218" s="4" t="s">
        <v>1192</v>
      </c>
      <c r="KN218" s="4" t="s">
        <v>4655</v>
      </c>
      <c r="KP218" s="5" t="s">
        <v>358</v>
      </c>
      <c r="KQ218" s="5" t="s">
        <v>4656</v>
      </c>
      <c r="KR218" s="5" t="s">
        <v>4657</v>
      </c>
      <c r="KS218" s="5" t="s">
        <v>4658</v>
      </c>
      <c r="KT218" s="5" t="s">
        <v>4659</v>
      </c>
    </row>
    <row r="219" spans="1:306" ht="60" x14ac:dyDescent="0.25">
      <c r="A219" s="5" t="s">
        <v>4675</v>
      </c>
      <c r="B219" s="4" t="s">
        <v>455</v>
      </c>
      <c r="C219" s="7" t="s">
        <v>720</v>
      </c>
      <c r="D219" s="8" t="s">
        <v>721</v>
      </c>
      <c r="E219" s="4">
        <v>334174</v>
      </c>
      <c r="G219" s="4" t="s">
        <v>530</v>
      </c>
      <c r="H219" s="6">
        <v>132.84</v>
      </c>
      <c r="I219" s="6">
        <v>-12.87</v>
      </c>
      <c r="J219" s="4" t="s">
        <v>722</v>
      </c>
      <c r="K219" s="4" t="s">
        <v>481</v>
      </c>
      <c r="L219" s="4" t="s">
        <v>532</v>
      </c>
      <c r="Q219" s="8"/>
      <c r="R219" s="8"/>
      <c r="Z219" s="4" t="s">
        <v>455</v>
      </c>
      <c r="AA219" s="7" t="s">
        <v>720</v>
      </c>
      <c r="AB219" s="8" t="s">
        <v>721</v>
      </c>
      <c r="AC219" s="4" t="s">
        <v>301</v>
      </c>
      <c r="AD219" s="4" t="s">
        <v>375</v>
      </c>
      <c r="AE219" s="8">
        <v>1685</v>
      </c>
      <c r="AF219" s="8"/>
      <c r="AG219" s="9" t="s">
        <v>379</v>
      </c>
      <c r="AH219" s="9" t="s">
        <v>380</v>
      </c>
      <c r="AM219" s="8">
        <v>2</v>
      </c>
      <c r="AN219" s="4" t="s">
        <v>381</v>
      </c>
      <c r="AO219" s="4" t="s">
        <v>402</v>
      </c>
      <c r="AP219" s="4" t="s">
        <v>383</v>
      </c>
      <c r="AQ219" s="7" t="s">
        <v>384</v>
      </c>
      <c r="AR219" s="8" t="s">
        <v>711</v>
      </c>
      <c r="AS219" s="7">
        <v>0</v>
      </c>
      <c r="AT219" s="7">
        <v>0</v>
      </c>
      <c r="AU219" s="9" t="s">
        <v>303</v>
      </c>
      <c r="AV219" s="9" t="s">
        <v>406</v>
      </c>
      <c r="BA219" s="8">
        <v>5</v>
      </c>
      <c r="BP219" s="7">
        <v>0.81200000000000006</v>
      </c>
      <c r="BQ219" s="9"/>
      <c r="DZ219" s="31"/>
      <c r="EB219" s="7">
        <v>1.1000000000000001</v>
      </c>
      <c r="EL219" s="6">
        <f>1.04*3.1</f>
        <v>3.2240000000000002</v>
      </c>
      <c r="GP219" s="32"/>
      <c r="GR219" s="6">
        <f>1000*BP219*EB219/100</f>
        <v>8.9320000000000004</v>
      </c>
      <c r="GY219" s="6" t="s">
        <v>338</v>
      </c>
      <c r="GZ219" s="6" t="s">
        <v>654</v>
      </c>
      <c r="HA219" s="6" t="s">
        <v>436</v>
      </c>
      <c r="HC219" s="6" t="s">
        <v>408</v>
      </c>
      <c r="HD219" s="8" t="s">
        <v>724</v>
      </c>
      <c r="HE219" s="8">
        <v>24806</v>
      </c>
      <c r="HF219" s="8" t="s">
        <v>4676</v>
      </c>
      <c r="HG219" s="9" t="s">
        <v>538</v>
      </c>
      <c r="ID219" s="8" t="s">
        <v>4677</v>
      </c>
      <c r="IE219" s="8" t="s">
        <v>538</v>
      </c>
      <c r="IF219" s="8" t="s">
        <v>445</v>
      </c>
      <c r="II219" s="8" t="s">
        <v>528</v>
      </c>
      <c r="IJ219" s="8" t="s">
        <v>538</v>
      </c>
      <c r="IK219" s="8" t="s">
        <v>445</v>
      </c>
      <c r="IW219" s="8"/>
      <c r="JB219" s="8"/>
      <c r="JV219" s="7" t="s">
        <v>4678</v>
      </c>
      <c r="JX219" s="7" t="s">
        <v>320</v>
      </c>
      <c r="JY219" s="7" t="s">
        <v>354</v>
      </c>
      <c r="JZ219" s="7" t="s">
        <v>355</v>
      </c>
      <c r="KG219" s="4" t="s">
        <v>323</v>
      </c>
      <c r="KM219" s="4" t="s">
        <v>702</v>
      </c>
      <c r="KN219" s="4" t="s">
        <v>702</v>
      </c>
      <c r="KP219" s="5" t="s">
        <v>358</v>
      </c>
      <c r="KQ219" s="5" t="s">
        <v>4679</v>
      </c>
      <c r="KS219" s="5" t="s">
        <v>4680</v>
      </c>
      <c r="KT219" s="5" t="s">
        <v>4681</v>
      </c>
    </row>
    <row r="220" spans="1:306" ht="60" x14ac:dyDescent="0.25">
      <c r="A220" s="5" t="s">
        <v>6119</v>
      </c>
      <c r="B220" s="4" t="s">
        <v>455</v>
      </c>
      <c r="C220" s="7" t="s">
        <v>720</v>
      </c>
      <c r="D220" s="8" t="s">
        <v>721</v>
      </c>
      <c r="E220" s="4">
        <v>336220</v>
      </c>
      <c r="G220" s="4" t="s">
        <v>530</v>
      </c>
      <c r="H220" s="6">
        <v>133.31882999999999</v>
      </c>
      <c r="I220" s="6">
        <v>-12.309585</v>
      </c>
      <c r="J220" s="4" t="s">
        <v>722</v>
      </c>
      <c r="K220" s="4" t="s">
        <v>481</v>
      </c>
      <c r="L220" s="4" t="s">
        <v>532</v>
      </c>
      <c r="Q220" s="8"/>
      <c r="R220" s="8"/>
      <c r="S220" s="4"/>
      <c r="Z220" s="4" t="s">
        <v>455</v>
      </c>
      <c r="AA220" s="7" t="s">
        <v>720</v>
      </c>
      <c r="AB220" s="8" t="s">
        <v>721</v>
      </c>
      <c r="AC220" s="4" t="s">
        <v>301</v>
      </c>
      <c r="AD220" s="4" t="s">
        <v>375</v>
      </c>
      <c r="AE220" s="8">
        <v>1642</v>
      </c>
      <c r="AF220" s="8">
        <v>33</v>
      </c>
      <c r="AG220" s="4" t="s">
        <v>303</v>
      </c>
      <c r="AH220" s="9" t="s">
        <v>304</v>
      </c>
      <c r="AI220" s="9" t="s">
        <v>723</v>
      </c>
      <c r="AJ220" s="9" t="s">
        <v>306</v>
      </c>
      <c r="AK220" s="9" t="s">
        <v>307</v>
      </c>
      <c r="AL220" s="9" t="s">
        <v>308</v>
      </c>
      <c r="AM220" s="8">
        <v>4</v>
      </c>
      <c r="AN220" s="4" t="s">
        <v>381</v>
      </c>
      <c r="AO220" s="4" t="s">
        <v>402</v>
      </c>
      <c r="AP220" s="4" t="s">
        <v>383</v>
      </c>
      <c r="AQ220" s="7" t="s">
        <v>384</v>
      </c>
      <c r="AR220" s="8" t="s">
        <v>711</v>
      </c>
      <c r="AS220" s="7">
        <v>0</v>
      </c>
      <c r="AT220" s="7">
        <v>0</v>
      </c>
      <c r="AU220" s="9" t="s">
        <v>303</v>
      </c>
      <c r="AV220" s="9" t="s">
        <v>406</v>
      </c>
      <c r="BA220" s="8">
        <v>5</v>
      </c>
      <c r="BP220" s="7">
        <v>0.56999999999999995</v>
      </c>
      <c r="DZ220" s="31"/>
      <c r="EB220" s="6">
        <v>1.95</v>
      </c>
      <c r="EY220" s="6"/>
      <c r="FA220" s="6"/>
      <c r="GP220" s="32"/>
      <c r="GR220" s="9">
        <v>11.084</v>
      </c>
      <c r="GY220" s="6" t="s">
        <v>338</v>
      </c>
      <c r="GZ220" s="6" t="s">
        <v>654</v>
      </c>
      <c r="HC220" s="6" t="s">
        <v>408</v>
      </c>
      <c r="HD220" s="8" t="s">
        <v>6120</v>
      </c>
      <c r="HE220" s="8">
        <v>23881</v>
      </c>
      <c r="HF220" s="8" t="s">
        <v>6121</v>
      </c>
      <c r="HG220" s="9" t="s">
        <v>538</v>
      </c>
      <c r="HH220" s="9" t="s">
        <v>6122</v>
      </c>
      <c r="HI220" s="8">
        <v>23881</v>
      </c>
      <c r="HJ220" s="9" t="s">
        <v>6123</v>
      </c>
      <c r="HK220" s="9" t="s">
        <v>538</v>
      </c>
      <c r="HY220" s="9"/>
      <c r="IB220" s="8" t="s">
        <v>6122</v>
      </c>
      <c r="IC220" s="8">
        <v>23881</v>
      </c>
      <c r="ID220" s="8" t="s">
        <v>6123</v>
      </c>
      <c r="IE220" s="8" t="s">
        <v>538</v>
      </c>
      <c r="IF220" s="8" t="s">
        <v>445</v>
      </c>
      <c r="IG220" s="8" t="s">
        <v>6124</v>
      </c>
      <c r="IH220" s="8">
        <v>13671</v>
      </c>
      <c r="II220" s="8" t="s">
        <v>6125</v>
      </c>
      <c r="IJ220" s="8" t="s">
        <v>538</v>
      </c>
      <c r="IK220" s="8" t="s">
        <v>445</v>
      </c>
      <c r="IL220" s="8" t="s">
        <v>6126</v>
      </c>
      <c r="IM220" s="8">
        <v>14496</v>
      </c>
      <c r="IN220" s="8" t="s">
        <v>6127</v>
      </c>
      <c r="IO220" s="8" t="s">
        <v>538</v>
      </c>
      <c r="IP220" s="8" t="s">
        <v>350</v>
      </c>
      <c r="IW220" s="8"/>
      <c r="JB220" s="8"/>
      <c r="JV220" s="7" t="s">
        <v>6128</v>
      </c>
      <c r="JX220" s="7" t="s">
        <v>355</v>
      </c>
      <c r="KG220" s="4" t="s">
        <v>323</v>
      </c>
      <c r="KM220" s="4" t="s">
        <v>702</v>
      </c>
      <c r="KN220" s="4" t="s">
        <v>702</v>
      </c>
      <c r="KP220" s="5" t="s">
        <v>358</v>
      </c>
      <c r="KQ220" s="5" t="s">
        <v>6129</v>
      </c>
      <c r="KR220" s="5" t="s">
        <v>6130</v>
      </c>
      <c r="KS220" s="5" t="s">
        <v>4680</v>
      </c>
      <c r="KT220" s="5" t="s">
        <v>6131</v>
      </c>
    </row>
    <row r="221" spans="1:306" ht="60" x14ac:dyDescent="0.25">
      <c r="A221" s="5" t="s">
        <v>6794</v>
      </c>
      <c r="B221" s="4" t="s">
        <v>455</v>
      </c>
      <c r="C221" s="7" t="s">
        <v>720</v>
      </c>
      <c r="D221" s="8" t="s">
        <v>721</v>
      </c>
      <c r="E221" s="4">
        <v>333388</v>
      </c>
      <c r="G221" s="4" t="s">
        <v>530</v>
      </c>
      <c r="H221" s="6">
        <v>132.91726499999999</v>
      </c>
      <c r="I221" s="6">
        <v>-12.674956</v>
      </c>
      <c r="J221" s="4" t="s">
        <v>722</v>
      </c>
      <c r="K221" s="4" t="s">
        <v>481</v>
      </c>
      <c r="L221" s="4" t="s">
        <v>532</v>
      </c>
      <c r="Q221" s="8"/>
      <c r="R221" s="8"/>
      <c r="S221" s="4"/>
      <c r="Z221" s="4" t="s">
        <v>455</v>
      </c>
      <c r="AA221" s="7" t="s">
        <v>720</v>
      </c>
      <c r="AB221" s="8" t="s">
        <v>721</v>
      </c>
      <c r="AC221" s="4" t="s">
        <v>301</v>
      </c>
      <c r="AD221" s="4" t="s">
        <v>375</v>
      </c>
      <c r="AE221" s="8">
        <v>1688</v>
      </c>
      <c r="AF221" s="8">
        <v>46</v>
      </c>
      <c r="AG221" s="4" t="s">
        <v>303</v>
      </c>
      <c r="AH221" s="9" t="s">
        <v>304</v>
      </c>
      <c r="AI221" s="9" t="s">
        <v>723</v>
      </c>
      <c r="AJ221" s="9" t="s">
        <v>306</v>
      </c>
      <c r="AK221" s="9" t="s">
        <v>307</v>
      </c>
      <c r="AL221" s="9" t="s">
        <v>2409</v>
      </c>
      <c r="AM221" s="8">
        <v>4</v>
      </c>
      <c r="AN221" s="4" t="s">
        <v>381</v>
      </c>
      <c r="AO221" s="4" t="s">
        <v>402</v>
      </c>
      <c r="AP221" s="4" t="s">
        <v>383</v>
      </c>
      <c r="AQ221" s="7" t="s">
        <v>384</v>
      </c>
      <c r="AR221" s="8" t="s">
        <v>711</v>
      </c>
      <c r="AS221" s="7">
        <v>0</v>
      </c>
      <c r="AT221" s="7">
        <v>0</v>
      </c>
      <c r="AU221" s="9" t="s">
        <v>303</v>
      </c>
      <c r="AV221" s="9" t="s">
        <v>406</v>
      </c>
      <c r="BA221" s="8">
        <v>5</v>
      </c>
      <c r="BP221" s="7">
        <v>84.99</v>
      </c>
      <c r="DZ221" s="31"/>
      <c r="EB221" s="6">
        <v>0.24</v>
      </c>
      <c r="EY221" s="6"/>
      <c r="FA221" s="6"/>
      <c r="GP221" s="32"/>
      <c r="GR221" s="7">
        <v>205.69720000000001</v>
      </c>
      <c r="GY221" s="6" t="s">
        <v>338</v>
      </c>
      <c r="GZ221" s="6" t="s">
        <v>654</v>
      </c>
      <c r="HC221" s="6" t="s">
        <v>408</v>
      </c>
      <c r="HD221" s="8" t="s">
        <v>6795</v>
      </c>
      <c r="HE221" s="8">
        <v>23881</v>
      </c>
      <c r="HF221" s="8" t="s">
        <v>6796</v>
      </c>
      <c r="HG221" s="9" t="s">
        <v>538</v>
      </c>
      <c r="HH221" s="9" t="s">
        <v>6797</v>
      </c>
      <c r="HI221" s="8">
        <v>23881</v>
      </c>
      <c r="HJ221" s="9" t="s">
        <v>6798</v>
      </c>
      <c r="HK221" s="9" t="s">
        <v>538</v>
      </c>
      <c r="HY221" s="9"/>
      <c r="ID221" s="8" t="s">
        <v>528</v>
      </c>
      <c r="IE221" s="8" t="s">
        <v>538</v>
      </c>
      <c r="IF221" s="8" t="s">
        <v>445</v>
      </c>
      <c r="IG221" s="8" t="s">
        <v>6126</v>
      </c>
      <c r="IH221" s="8">
        <v>14496</v>
      </c>
      <c r="II221" s="8" t="s">
        <v>6127</v>
      </c>
      <c r="IJ221" s="8" t="s">
        <v>538</v>
      </c>
      <c r="IK221" s="8" t="s">
        <v>350</v>
      </c>
      <c r="IW221" s="8"/>
      <c r="JB221" s="8"/>
      <c r="JV221" s="7" t="s">
        <v>6799</v>
      </c>
      <c r="JX221" s="7" t="s">
        <v>355</v>
      </c>
      <c r="KG221" s="4" t="s">
        <v>323</v>
      </c>
      <c r="KM221" s="4" t="s">
        <v>702</v>
      </c>
      <c r="KN221" s="4" t="s">
        <v>702</v>
      </c>
      <c r="KP221" s="5" t="s">
        <v>358</v>
      </c>
      <c r="KQ221" s="5" t="s">
        <v>6800</v>
      </c>
      <c r="KR221" s="5" t="s">
        <v>6801</v>
      </c>
      <c r="KS221" s="5" t="s">
        <v>6802</v>
      </c>
      <c r="KT221" s="5" t="s">
        <v>6803</v>
      </c>
    </row>
    <row r="222" spans="1:306" ht="36" x14ac:dyDescent="0.25">
      <c r="A222" s="5" t="s">
        <v>6804</v>
      </c>
      <c r="B222" s="4" t="s">
        <v>455</v>
      </c>
      <c r="C222" s="7" t="s">
        <v>720</v>
      </c>
      <c r="D222" s="8" t="s">
        <v>721</v>
      </c>
      <c r="E222" s="4">
        <v>335837</v>
      </c>
      <c r="G222" s="4" t="s">
        <v>530</v>
      </c>
      <c r="H222" s="6">
        <v>132.85400000000001</v>
      </c>
      <c r="I222" s="6">
        <v>-12.5122</v>
      </c>
      <c r="J222" s="4" t="s">
        <v>722</v>
      </c>
      <c r="K222" s="4" t="s">
        <v>481</v>
      </c>
      <c r="L222" s="4" t="s">
        <v>532</v>
      </c>
      <c r="Q222" s="8"/>
      <c r="R222" s="8"/>
      <c r="Z222" s="4" t="s">
        <v>455</v>
      </c>
      <c r="AA222" s="7" t="s">
        <v>720</v>
      </c>
      <c r="AB222" s="8" t="s">
        <v>721</v>
      </c>
      <c r="AC222" s="4" t="s">
        <v>301</v>
      </c>
      <c r="AD222" s="4" t="s">
        <v>375</v>
      </c>
      <c r="AE222" s="8">
        <v>1685</v>
      </c>
      <c r="AF222" s="8"/>
      <c r="AG222" s="9" t="s">
        <v>379</v>
      </c>
      <c r="AH222" s="9" t="s">
        <v>380</v>
      </c>
      <c r="AM222" s="8">
        <v>3</v>
      </c>
      <c r="AN222" s="4" t="s">
        <v>381</v>
      </c>
      <c r="AO222" s="4" t="s">
        <v>402</v>
      </c>
      <c r="AP222" s="4" t="s">
        <v>383</v>
      </c>
      <c r="AQ222" s="7" t="s">
        <v>384</v>
      </c>
      <c r="AR222" s="8" t="s">
        <v>711</v>
      </c>
      <c r="AS222" s="7">
        <v>0</v>
      </c>
      <c r="AT222" s="7">
        <v>0</v>
      </c>
      <c r="AU222" s="9" t="s">
        <v>303</v>
      </c>
      <c r="AV222" s="9" t="s">
        <v>406</v>
      </c>
      <c r="BA222" s="8">
        <v>5</v>
      </c>
      <c r="BP222" s="7">
        <v>1.5</v>
      </c>
      <c r="BQ222" s="7"/>
      <c r="DZ222" s="31"/>
      <c r="EB222" s="9">
        <v>0.35699999999999998</v>
      </c>
      <c r="GP222" s="32"/>
      <c r="GR222" s="6">
        <f>1000*BP222*EB222/100</f>
        <v>5.3550000000000004</v>
      </c>
      <c r="GY222" s="6" t="s">
        <v>338</v>
      </c>
      <c r="GZ222" s="6" t="s">
        <v>654</v>
      </c>
      <c r="HC222" s="6" t="s">
        <v>408</v>
      </c>
      <c r="HD222" s="8" t="s">
        <v>724</v>
      </c>
      <c r="HE222" s="8">
        <v>24806</v>
      </c>
      <c r="HF222" s="8" t="s">
        <v>6805</v>
      </c>
      <c r="HG222" s="9" t="s">
        <v>538</v>
      </c>
      <c r="IW222" s="8"/>
      <c r="JB222" s="8"/>
      <c r="JV222" s="7" t="s">
        <v>6806</v>
      </c>
      <c r="JX222" s="7" t="s">
        <v>355</v>
      </c>
      <c r="KG222" s="4" t="s">
        <v>323</v>
      </c>
      <c r="KM222" s="4" t="s">
        <v>702</v>
      </c>
      <c r="KN222" s="4" t="s">
        <v>702</v>
      </c>
      <c r="KP222" s="5" t="s">
        <v>358</v>
      </c>
      <c r="KQ222" s="5" t="s">
        <v>6807</v>
      </c>
      <c r="KR222" s="5" t="s">
        <v>6808</v>
      </c>
      <c r="KS222" s="5" t="s">
        <v>4680</v>
      </c>
      <c r="KT222" s="5" t="s">
        <v>718</v>
      </c>
    </row>
    <row r="223" spans="1:306" ht="84" x14ac:dyDescent="0.25">
      <c r="A223" s="5" t="s">
        <v>7214</v>
      </c>
      <c r="B223" s="4" t="s">
        <v>455</v>
      </c>
      <c r="C223" s="7" t="s">
        <v>720</v>
      </c>
      <c r="D223" s="8" t="s">
        <v>721</v>
      </c>
      <c r="E223" s="4">
        <v>334079</v>
      </c>
      <c r="G223" s="4" t="s">
        <v>530</v>
      </c>
      <c r="H223" s="6">
        <v>132.52000000000001</v>
      </c>
      <c r="I223" s="6">
        <v>-13.51</v>
      </c>
      <c r="J223" s="4" t="s">
        <v>7215</v>
      </c>
      <c r="K223" s="4" t="s">
        <v>481</v>
      </c>
      <c r="L223" s="4" t="s">
        <v>532</v>
      </c>
      <c r="Q223" s="8"/>
      <c r="R223" s="8"/>
      <c r="Z223" s="4" t="s">
        <v>455</v>
      </c>
      <c r="AA223" s="7" t="s">
        <v>720</v>
      </c>
      <c r="AB223" s="8" t="s">
        <v>721</v>
      </c>
      <c r="AC223" s="4" t="s">
        <v>301</v>
      </c>
      <c r="AD223" s="4" t="s">
        <v>375</v>
      </c>
      <c r="AE223" s="8">
        <v>1607</v>
      </c>
      <c r="AF223" s="8"/>
      <c r="AG223" s="9" t="s">
        <v>379</v>
      </c>
      <c r="AH223" s="9" t="s">
        <v>380</v>
      </c>
      <c r="AM223" s="8">
        <v>2</v>
      </c>
      <c r="AN223" s="4" t="s">
        <v>381</v>
      </c>
      <c r="AO223" s="4" t="s">
        <v>402</v>
      </c>
      <c r="AP223" s="4" t="s">
        <v>383</v>
      </c>
      <c r="AQ223" s="7" t="s">
        <v>384</v>
      </c>
      <c r="AR223" s="8" t="s">
        <v>711</v>
      </c>
      <c r="AS223" s="7">
        <v>0</v>
      </c>
      <c r="AT223" s="7">
        <v>0</v>
      </c>
      <c r="AU223" s="9" t="s">
        <v>303</v>
      </c>
      <c r="AV223" s="9" t="s">
        <v>406</v>
      </c>
      <c r="BA223" s="8">
        <v>5</v>
      </c>
      <c r="BP223" s="7">
        <f>(41100+21658+2300+4850+13155+30341+5800+1760+530+630)/1000000</f>
        <v>0.122124</v>
      </c>
      <c r="DZ223" s="31"/>
      <c r="EB223" s="7">
        <f>((41100*0.55)+(21658*0.82)+(2300*0.13)+(4850*2.46)+(13155*1.11)+(30341*0.24)+(5800*0.37)+(1760*0.16)+(530*0.55)+(630*0.34))/(BP223*1000000)</f>
        <v>0.63387827126527141</v>
      </c>
      <c r="EL223" s="6">
        <v>0.55700000000000005</v>
      </c>
      <c r="GP223" s="32"/>
      <c r="GR223" s="9">
        <f>(152+226+185+2327*0.13/100+2.7+21.7+124+531*0.55/100+637*0.34/100)/1000</f>
        <v>0.71951140000000002</v>
      </c>
      <c r="GY223" s="6" t="s">
        <v>435</v>
      </c>
      <c r="GZ223" s="6" t="s">
        <v>7216</v>
      </c>
      <c r="HC223" s="6" t="s">
        <v>408</v>
      </c>
      <c r="HD223" s="8" t="s">
        <v>1640</v>
      </c>
      <c r="HE223" s="8">
        <v>25130</v>
      </c>
      <c r="HF223" s="8" t="s">
        <v>7217</v>
      </c>
      <c r="HG223" s="9" t="s">
        <v>538</v>
      </c>
      <c r="IW223" s="8"/>
      <c r="JB223" s="8"/>
      <c r="JV223" s="7" t="s">
        <v>7218</v>
      </c>
      <c r="JX223" s="7" t="s">
        <v>355</v>
      </c>
      <c r="JY223" s="7" t="s">
        <v>448</v>
      </c>
      <c r="JZ223" s="7" t="s">
        <v>320</v>
      </c>
      <c r="KG223" s="4" t="s">
        <v>323</v>
      </c>
      <c r="KP223" s="5" t="s">
        <v>358</v>
      </c>
      <c r="KQ223" s="5" t="s">
        <v>7219</v>
      </c>
      <c r="KS223" s="5" t="s">
        <v>4680</v>
      </c>
      <c r="KT223" s="5" t="s">
        <v>2889</v>
      </c>
    </row>
    <row r="224" spans="1:306" ht="132" x14ac:dyDescent="0.25">
      <c r="A224" s="5" t="s">
        <v>7556</v>
      </c>
      <c r="B224" s="4" t="s">
        <v>455</v>
      </c>
      <c r="C224" s="7" t="s">
        <v>720</v>
      </c>
      <c r="D224" s="8" t="s">
        <v>721</v>
      </c>
      <c r="E224" s="4">
        <v>546029</v>
      </c>
      <c r="G224" s="4" t="s">
        <v>530</v>
      </c>
      <c r="H224" s="6">
        <v>131.51949999999999</v>
      </c>
      <c r="I224" s="6">
        <v>-13.542899999999999</v>
      </c>
      <c r="J224" s="4" t="s">
        <v>7556</v>
      </c>
      <c r="K224" s="4" t="s">
        <v>481</v>
      </c>
      <c r="L224" s="4" t="s">
        <v>532</v>
      </c>
      <c r="Q224" s="8"/>
      <c r="R224" s="8"/>
      <c r="Z224" s="4" t="s">
        <v>455</v>
      </c>
      <c r="AA224" s="7" t="s">
        <v>720</v>
      </c>
      <c r="AB224" s="8" t="s">
        <v>721</v>
      </c>
      <c r="AC224" s="4" t="s">
        <v>301</v>
      </c>
      <c r="AD224" s="4" t="s">
        <v>302</v>
      </c>
      <c r="AE224" s="8">
        <v>1607</v>
      </c>
      <c r="AF224" s="8"/>
      <c r="AG224" s="9" t="s">
        <v>379</v>
      </c>
      <c r="AH224" s="9" t="s">
        <v>380</v>
      </c>
      <c r="AM224" s="8">
        <v>2</v>
      </c>
      <c r="BP224" s="7">
        <v>1.056</v>
      </c>
      <c r="BQ224" s="9"/>
      <c r="DZ224" s="31"/>
      <c r="EB224" s="10">
        <v>7.9600000000000004E-2</v>
      </c>
      <c r="GP224" s="32"/>
      <c r="GR224" s="6">
        <f>1000*BP224*EB224/100</f>
        <v>0.8405760000000001</v>
      </c>
      <c r="GY224" s="6" t="s">
        <v>338</v>
      </c>
      <c r="GZ224" s="6" t="s">
        <v>654</v>
      </c>
      <c r="HC224" s="6" t="s">
        <v>408</v>
      </c>
      <c r="HD224" s="8" t="s">
        <v>3183</v>
      </c>
      <c r="HE224" s="8">
        <v>27066</v>
      </c>
      <c r="HF224" s="8" t="s">
        <v>3184</v>
      </c>
      <c r="HG224" s="9" t="s">
        <v>538</v>
      </c>
      <c r="IW224" s="8"/>
      <c r="JB224" s="8"/>
      <c r="KP224" s="5" t="s">
        <v>358</v>
      </c>
      <c r="KQ224" s="5" t="s">
        <v>7557</v>
      </c>
      <c r="KS224" s="5" t="s">
        <v>7558</v>
      </c>
      <c r="KT224" s="5" t="s">
        <v>7559</v>
      </c>
    </row>
    <row r="225" spans="1:306" ht="48" x14ac:dyDescent="0.25">
      <c r="A225" s="5" t="s">
        <v>7980</v>
      </c>
      <c r="B225" s="4" t="s">
        <v>455</v>
      </c>
      <c r="C225" s="7" t="s">
        <v>720</v>
      </c>
      <c r="D225" s="8" t="s">
        <v>721</v>
      </c>
      <c r="E225" s="4">
        <v>334937</v>
      </c>
      <c r="G225" s="4" t="s">
        <v>479</v>
      </c>
      <c r="H225" s="6">
        <v>138.08215300000001</v>
      </c>
      <c r="I225" s="6">
        <v>-17.515125000000001</v>
      </c>
      <c r="J225" s="4" t="s">
        <v>7980</v>
      </c>
      <c r="K225" s="4" t="s">
        <v>481</v>
      </c>
      <c r="L225" s="4" t="s">
        <v>651</v>
      </c>
      <c r="M225" s="4" t="s">
        <v>652</v>
      </c>
      <c r="Q225" s="8"/>
      <c r="R225" s="8"/>
      <c r="S225" s="4"/>
      <c r="Z225" s="4" t="s">
        <v>455</v>
      </c>
      <c r="AA225" s="7" t="s">
        <v>720</v>
      </c>
      <c r="AB225" s="8" t="s">
        <v>721</v>
      </c>
      <c r="AC225" s="4" t="s">
        <v>301</v>
      </c>
      <c r="AD225" s="4" t="s">
        <v>302</v>
      </c>
      <c r="AE225" s="8">
        <v>1655</v>
      </c>
      <c r="AF225" s="8">
        <v>83</v>
      </c>
      <c r="AG225" s="4" t="s">
        <v>303</v>
      </c>
      <c r="AH225" s="9" t="s">
        <v>304</v>
      </c>
      <c r="AI225" s="9" t="s">
        <v>723</v>
      </c>
      <c r="AJ225" s="9" t="s">
        <v>306</v>
      </c>
      <c r="AK225" s="9" t="s">
        <v>307</v>
      </c>
      <c r="AL225" s="9" t="s">
        <v>308</v>
      </c>
      <c r="AM225" s="8">
        <v>3</v>
      </c>
      <c r="AN225" s="4" t="s">
        <v>381</v>
      </c>
      <c r="AO225" s="4" t="s">
        <v>402</v>
      </c>
      <c r="AP225" s="4" t="s">
        <v>383</v>
      </c>
      <c r="AQ225" s="7" t="s">
        <v>384</v>
      </c>
      <c r="AR225" s="8" t="s">
        <v>711</v>
      </c>
      <c r="AS225" s="7">
        <v>0</v>
      </c>
      <c r="AT225" s="7">
        <v>0</v>
      </c>
      <c r="AU225" s="9" t="s">
        <v>303</v>
      </c>
      <c r="AV225" s="9" t="s">
        <v>406</v>
      </c>
      <c r="BA225" s="8">
        <v>5</v>
      </c>
      <c r="BP225" s="7">
        <f>18.7+9</f>
        <v>27.7</v>
      </c>
      <c r="DZ225" s="31"/>
      <c r="EB225" s="9">
        <f>(0.089*18.7+0.083*9)/(18.7+9)</f>
        <v>8.7050541516245486E-2</v>
      </c>
      <c r="EY225" s="6"/>
      <c r="FA225" s="6"/>
      <c r="GP225" s="32"/>
      <c r="GR225" s="6">
        <f>1000*BP225*EB225/100</f>
        <v>24.113000000000003</v>
      </c>
      <c r="GY225" s="6" t="s">
        <v>338</v>
      </c>
      <c r="GZ225" s="6" t="s">
        <v>654</v>
      </c>
      <c r="HC225" s="6" t="s">
        <v>408</v>
      </c>
      <c r="HD225" s="8" t="s">
        <v>7981</v>
      </c>
      <c r="HE225" s="8">
        <v>19842</v>
      </c>
      <c r="HF225" s="8" t="s">
        <v>7982</v>
      </c>
      <c r="HG225" s="9" t="s">
        <v>490</v>
      </c>
      <c r="HH225" s="9" t="s">
        <v>7983</v>
      </c>
      <c r="HJ225" s="9" t="s">
        <v>7984</v>
      </c>
      <c r="HK225" s="9" t="s">
        <v>490</v>
      </c>
      <c r="HY225" s="9"/>
      <c r="IB225" s="9" t="s">
        <v>7983</v>
      </c>
      <c r="ID225" s="9" t="s">
        <v>7984</v>
      </c>
      <c r="IE225" s="9" t="s">
        <v>490</v>
      </c>
      <c r="IF225" s="8" t="s">
        <v>445</v>
      </c>
      <c r="IR225" s="9"/>
      <c r="JV225" s="7" t="s">
        <v>7985</v>
      </c>
      <c r="JX225" s="7" t="s">
        <v>355</v>
      </c>
      <c r="JY225" s="7" t="s">
        <v>354</v>
      </c>
      <c r="JZ225" s="7" t="s">
        <v>320</v>
      </c>
      <c r="KG225" s="4" t="s">
        <v>323</v>
      </c>
      <c r="KM225" s="4" t="s">
        <v>471</v>
      </c>
      <c r="KN225" s="4" t="s">
        <v>471</v>
      </c>
      <c r="KP225" s="5" t="s">
        <v>358</v>
      </c>
      <c r="KQ225" s="5" t="s">
        <v>7986</v>
      </c>
      <c r="KR225" s="5" t="s">
        <v>7987</v>
      </c>
      <c r="KS225" s="5" t="s">
        <v>7988</v>
      </c>
      <c r="KT225" s="5" t="s">
        <v>7989</v>
      </c>
    </row>
    <row r="226" spans="1:306" ht="180" x14ac:dyDescent="0.25">
      <c r="A226" s="5" t="s">
        <v>4727</v>
      </c>
      <c r="B226" s="4" t="s">
        <v>383</v>
      </c>
      <c r="C226" s="7" t="s">
        <v>4728</v>
      </c>
      <c r="D226" s="8" t="s">
        <v>4729</v>
      </c>
      <c r="E226" s="4">
        <v>333585</v>
      </c>
      <c r="G226" s="4" t="s">
        <v>479</v>
      </c>
      <c r="H226" s="6">
        <v>150.1859</v>
      </c>
      <c r="I226" s="6">
        <v>-22.881399999999999</v>
      </c>
      <c r="K226" s="4" t="s">
        <v>298</v>
      </c>
      <c r="L226" s="4" t="s">
        <v>942</v>
      </c>
      <c r="M226" s="4" t="s">
        <v>943</v>
      </c>
      <c r="N226" s="4" t="s">
        <v>4730</v>
      </c>
      <c r="Q226" s="7"/>
      <c r="R226" s="7"/>
      <c r="Z226" s="4" t="s">
        <v>383</v>
      </c>
      <c r="AA226" s="7" t="s">
        <v>4728</v>
      </c>
      <c r="AB226" s="8" t="s">
        <v>4729</v>
      </c>
      <c r="AC226" s="4" t="s">
        <v>301</v>
      </c>
      <c r="AD226" s="4" t="s">
        <v>302</v>
      </c>
      <c r="AE226" s="7">
        <v>0</v>
      </c>
      <c r="AF226" s="7">
        <v>0</v>
      </c>
      <c r="AG226" s="9" t="s">
        <v>303</v>
      </c>
      <c r="AH226" s="9" t="s">
        <v>406</v>
      </c>
      <c r="AM226" s="8">
        <v>5</v>
      </c>
      <c r="BP226" s="7">
        <f>142.6+1200</f>
        <v>1342.6</v>
      </c>
      <c r="CA226" s="7">
        <f>100*EQ226/BP226</f>
        <v>9.4890339639505434</v>
      </c>
      <c r="DZ226" s="31"/>
      <c r="EQ226" s="8">
        <f>(41.9+400)*0.2883</f>
        <v>127.39976999999999</v>
      </c>
      <c r="GP226" s="32"/>
      <c r="GY226" s="31" t="s">
        <v>407</v>
      </c>
      <c r="GZ226" s="6" t="s">
        <v>2366</v>
      </c>
      <c r="HD226" s="8" t="s">
        <v>1625</v>
      </c>
      <c r="HF226" s="8" t="s">
        <v>4731</v>
      </c>
      <c r="HG226" s="9" t="s">
        <v>4732</v>
      </c>
      <c r="KG226" s="4" t="s">
        <v>323</v>
      </c>
      <c r="KP226" s="5" t="s">
        <v>358</v>
      </c>
      <c r="KQ226" s="21" t="s">
        <v>4733</v>
      </c>
      <c r="KR226" s="21"/>
      <c r="KS226" s="18" t="s">
        <v>4734</v>
      </c>
      <c r="KT226" s="21" t="s">
        <v>4735</v>
      </c>
    </row>
    <row r="227" spans="1:306" ht="24" x14ac:dyDescent="0.25">
      <c r="A227" s="5" t="s">
        <v>6324</v>
      </c>
      <c r="B227" s="4" t="s">
        <v>383</v>
      </c>
      <c r="C227" s="7" t="s">
        <v>1964</v>
      </c>
      <c r="D227" s="8" t="s">
        <v>6325</v>
      </c>
      <c r="E227" s="4">
        <v>454026</v>
      </c>
      <c r="G227" s="4" t="s">
        <v>330</v>
      </c>
      <c r="H227" s="6">
        <v>119.83580000000001</v>
      </c>
      <c r="I227" s="6">
        <v>-22.0928</v>
      </c>
      <c r="J227" s="4" t="s">
        <v>1209</v>
      </c>
      <c r="K227" s="4" t="s">
        <v>331</v>
      </c>
      <c r="L227" s="4" t="s">
        <v>368</v>
      </c>
      <c r="M227" s="4" t="s">
        <v>1340</v>
      </c>
      <c r="Q227" s="8"/>
      <c r="R227" s="8"/>
      <c r="Z227" s="4" t="s">
        <v>383</v>
      </c>
      <c r="AA227" s="7" t="s">
        <v>1964</v>
      </c>
      <c r="AB227" s="8" t="s">
        <v>6325</v>
      </c>
      <c r="AC227" s="4" t="s">
        <v>301</v>
      </c>
      <c r="AD227" s="4" t="s">
        <v>302</v>
      </c>
      <c r="AE227" s="8">
        <v>15</v>
      </c>
      <c r="AF227" s="8"/>
      <c r="AG227" s="9" t="s">
        <v>379</v>
      </c>
      <c r="AH227" s="9" t="s">
        <v>380</v>
      </c>
      <c r="AM227" s="8">
        <v>2</v>
      </c>
      <c r="AS227" s="8"/>
      <c r="AT227" s="8"/>
      <c r="BG227" s="8"/>
      <c r="BH227" s="8"/>
      <c r="BP227" s="7">
        <v>91.9</v>
      </c>
      <c r="BQ227" s="7"/>
      <c r="CJ227" s="7">
        <v>53</v>
      </c>
      <c r="DZ227" s="31"/>
      <c r="EY227" s="8">
        <f>BP227*CJ227/100</f>
        <v>48.707000000000008</v>
      </c>
      <c r="FA227" s="6"/>
      <c r="GP227" s="32"/>
      <c r="GY227" s="6" t="s">
        <v>338</v>
      </c>
      <c r="HF227" s="8" t="s">
        <v>2084</v>
      </c>
      <c r="HG227" s="9" t="s">
        <v>1968</v>
      </c>
      <c r="IM227" s="9"/>
      <c r="IR227" s="9"/>
      <c r="JX227" s="7" t="s">
        <v>355</v>
      </c>
      <c r="JY227" s="7" t="s">
        <v>470</v>
      </c>
      <c r="JZ227" s="7" t="s">
        <v>390</v>
      </c>
      <c r="KG227" s="4" t="s">
        <v>323</v>
      </c>
      <c r="KM227" s="4" t="s">
        <v>471</v>
      </c>
      <c r="KN227" s="4" t="s">
        <v>471</v>
      </c>
      <c r="KP227" s="5" t="s">
        <v>358</v>
      </c>
      <c r="KQ227" s="5" t="s">
        <v>2085</v>
      </c>
      <c r="KR227" s="5" t="s">
        <v>2085</v>
      </c>
      <c r="KS227" s="5" t="s">
        <v>2085</v>
      </c>
      <c r="KT227" s="5" t="s">
        <v>2086</v>
      </c>
    </row>
    <row r="228" spans="1:306" ht="108" x14ac:dyDescent="0.25">
      <c r="A228" s="5" t="s">
        <v>6918</v>
      </c>
      <c r="B228" s="4" t="s">
        <v>383</v>
      </c>
      <c r="C228" s="7" t="s">
        <v>1964</v>
      </c>
      <c r="D228" s="8" t="s">
        <v>6325</v>
      </c>
      <c r="E228" s="4">
        <v>333295</v>
      </c>
      <c r="G228" s="4" t="s">
        <v>330</v>
      </c>
      <c r="H228" s="6">
        <v>116.498684</v>
      </c>
      <c r="I228" s="6">
        <v>-21.715672999999999</v>
      </c>
      <c r="J228" s="4" t="s">
        <v>6919</v>
      </c>
      <c r="K228" s="4" t="s">
        <v>331</v>
      </c>
      <c r="L228" s="4" t="s">
        <v>368</v>
      </c>
      <c r="M228" s="4" t="s">
        <v>1340</v>
      </c>
      <c r="Q228" s="8"/>
      <c r="R228" s="8"/>
      <c r="Z228" s="4" t="s">
        <v>383</v>
      </c>
      <c r="AA228" s="7" t="s">
        <v>1964</v>
      </c>
      <c r="AB228" s="8" t="s">
        <v>6325</v>
      </c>
      <c r="AC228" s="4" t="s">
        <v>301</v>
      </c>
      <c r="AD228" s="4" t="s">
        <v>302</v>
      </c>
      <c r="AE228" s="8">
        <v>16</v>
      </c>
      <c r="AF228" s="8">
        <v>10</v>
      </c>
      <c r="AG228" s="9" t="s">
        <v>303</v>
      </c>
      <c r="AH228" s="9" t="s">
        <v>304</v>
      </c>
      <c r="AI228" s="9" t="s">
        <v>6920</v>
      </c>
      <c r="AJ228" s="9" t="s">
        <v>6921</v>
      </c>
      <c r="AM228" s="8">
        <v>5</v>
      </c>
      <c r="AS228" s="8"/>
      <c r="AT228" s="8"/>
      <c r="BG228" s="8"/>
      <c r="BH228" s="8"/>
      <c r="BP228" s="7">
        <v>4673</v>
      </c>
      <c r="BQ228" s="8"/>
      <c r="CJ228" s="7">
        <v>56.809651187673872</v>
      </c>
      <c r="DZ228" s="31"/>
      <c r="EY228" s="8">
        <f>BP228*CJ228/100</f>
        <v>2654.7150000000001</v>
      </c>
      <c r="FA228" s="6"/>
      <c r="GP228" s="32"/>
      <c r="GY228" s="6" t="s">
        <v>338</v>
      </c>
      <c r="GZ228" s="6" t="s">
        <v>386</v>
      </c>
      <c r="HD228" s="8" t="s">
        <v>6922</v>
      </c>
      <c r="HF228" s="8" t="s">
        <v>6923</v>
      </c>
      <c r="HG228" s="9" t="s">
        <v>1968</v>
      </c>
      <c r="IM228" s="9"/>
      <c r="IR228" s="9"/>
      <c r="JX228" s="7" t="s">
        <v>355</v>
      </c>
      <c r="JY228" s="7" t="s">
        <v>470</v>
      </c>
      <c r="JZ228" s="7" t="s">
        <v>390</v>
      </c>
      <c r="KG228" s="4" t="s">
        <v>323</v>
      </c>
      <c r="KM228" s="4" t="s">
        <v>471</v>
      </c>
      <c r="KN228" s="4" t="s">
        <v>471</v>
      </c>
      <c r="KP228" s="5" t="s">
        <v>358</v>
      </c>
      <c r="KQ228" s="5" t="s">
        <v>6924</v>
      </c>
      <c r="KR228" s="5" t="s">
        <v>2085</v>
      </c>
      <c r="KS228" s="5" t="s">
        <v>1666</v>
      </c>
      <c r="KT228" s="5" t="s">
        <v>6925</v>
      </c>
    </row>
    <row r="229" spans="1:306" ht="48" x14ac:dyDescent="0.25">
      <c r="A229" s="5" t="s">
        <v>6940</v>
      </c>
      <c r="B229" s="4" t="s">
        <v>383</v>
      </c>
      <c r="C229" s="7" t="s">
        <v>1964</v>
      </c>
      <c r="D229" s="8" t="s">
        <v>6325</v>
      </c>
      <c r="E229" s="4">
        <v>456428</v>
      </c>
      <c r="G229" s="4" t="s">
        <v>330</v>
      </c>
      <c r="H229" s="6">
        <v>117.4787</v>
      </c>
      <c r="I229" s="6">
        <v>-22.809799999999999</v>
      </c>
      <c r="J229" s="4" t="s">
        <v>6941</v>
      </c>
      <c r="K229" s="4" t="s">
        <v>331</v>
      </c>
      <c r="L229" s="4" t="s">
        <v>368</v>
      </c>
      <c r="M229" s="4" t="s">
        <v>1340</v>
      </c>
      <c r="Q229" s="8"/>
      <c r="R229" s="8"/>
      <c r="Z229" s="4" t="s">
        <v>383</v>
      </c>
      <c r="AA229" s="7" t="s">
        <v>1964</v>
      </c>
      <c r="AB229" s="8" t="s">
        <v>6325</v>
      </c>
      <c r="AC229" s="4" t="s">
        <v>301</v>
      </c>
      <c r="AD229" s="4" t="s">
        <v>302</v>
      </c>
      <c r="AE229" s="8">
        <v>15</v>
      </c>
      <c r="AF229" s="8"/>
      <c r="AG229" s="9" t="s">
        <v>379</v>
      </c>
      <c r="AH229" s="9" t="s">
        <v>380</v>
      </c>
      <c r="AM229" s="8">
        <v>2</v>
      </c>
      <c r="AS229" s="8"/>
      <c r="AT229" s="8"/>
      <c r="BG229" s="8"/>
      <c r="BH229" s="8"/>
      <c r="BP229" s="7">
        <v>182.6</v>
      </c>
      <c r="BQ229" s="8"/>
      <c r="CJ229" s="7">
        <v>52.7</v>
      </c>
      <c r="DZ229" s="31"/>
      <c r="EY229" s="8">
        <f>BP229*CJ229/100</f>
        <v>96.230200000000011</v>
      </c>
      <c r="FA229" s="6"/>
      <c r="GP229" s="32"/>
      <c r="GY229" s="6" t="s">
        <v>338</v>
      </c>
      <c r="HF229" s="8" t="s">
        <v>2084</v>
      </c>
      <c r="HG229" s="9" t="s">
        <v>1968</v>
      </c>
      <c r="IM229" s="9"/>
      <c r="IR229" s="9"/>
      <c r="JX229" s="7" t="s">
        <v>355</v>
      </c>
      <c r="JY229" s="7" t="s">
        <v>470</v>
      </c>
      <c r="JZ229" s="7" t="s">
        <v>390</v>
      </c>
      <c r="KG229" s="4" t="s">
        <v>323</v>
      </c>
      <c r="KM229" s="4" t="s">
        <v>471</v>
      </c>
      <c r="KN229" s="4" t="s">
        <v>471</v>
      </c>
      <c r="KP229" s="5" t="s">
        <v>358</v>
      </c>
      <c r="KQ229" s="5" t="s">
        <v>6942</v>
      </c>
      <c r="KR229" s="5" t="s">
        <v>2085</v>
      </c>
      <c r="KS229" s="18" t="s">
        <v>6943</v>
      </c>
      <c r="KT229" s="5" t="s">
        <v>2086</v>
      </c>
    </row>
    <row r="230" spans="1:306" ht="36" x14ac:dyDescent="0.25">
      <c r="A230" s="5" t="s">
        <v>3309</v>
      </c>
      <c r="B230" s="4" t="s">
        <v>383</v>
      </c>
      <c r="C230" s="7" t="s">
        <v>1964</v>
      </c>
      <c r="D230" s="8" t="s">
        <v>6325</v>
      </c>
      <c r="E230" s="4">
        <v>551172</v>
      </c>
      <c r="G230" s="4" t="s">
        <v>330</v>
      </c>
      <c r="H230" s="6">
        <v>117.769485</v>
      </c>
      <c r="I230" s="6">
        <v>-22.128667</v>
      </c>
      <c r="J230" s="4" t="s">
        <v>3309</v>
      </c>
      <c r="K230" s="4" t="s">
        <v>331</v>
      </c>
      <c r="L230" s="4" t="s">
        <v>368</v>
      </c>
      <c r="M230" s="4" t="s">
        <v>1340</v>
      </c>
      <c r="Q230" s="8"/>
      <c r="R230" s="8"/>
      <c r="Z230" s="4" t="s">
        <v>383</v>
      </c>
      <c r="AA230" s="7" t="s">
        <v>1964</v>
      </c>
      <c r="AB230" s="8" t="s">
        <v>6325</v>
      </c>
      <c r="AC230" s="4" t="s">
        <v>301</v>
      </c>
      <c r="AD230" s="4" t="s">
        <v>302</v>
      </c>
      <c r="AE230" s="8">
        <v>16</v>
      </c>
      <c r="AF230" s="8"/>
      <c r="AG230" s="9" t="s">
        <v>379</v>
      </c>
      <c r="AH230" s="9" t="s">
        <v>380</v>
      </c>
      <c r="AM230" s="8">
        <v>2</v>
      </c>
      <c r="AS230" s="8"/>
      <c r="AT230" s="8"/>
      <c r="BF230" s="7"/>
      <c r="BG230" s="8"/>
      <c r="BH230" s="8"/>
      <c r="BP230" s="7">
        <v>1788</v>
      </c>
      <c r="BQ230" s="8"/>
      <c r="BR230" s="7"/>
      <c r="BS230" s="7"/>
      <c r="BT230" s="7"/>
      <c r="BV230" s="7"/>
      <c r="BW230" s="7"/>
      <c r="BX230" s="7"/>
      <c r="BY230" s="7"/>
      <c r="BZ230" s="7"/>
      <c r="CA230" s="7"/>
      <c r="CB230" s="7"/>
      <c r="CC230" s="7"/>
      <c r="CD230" s="7"/>
      <c r="CE230" s="7"/>
      <c r="CF230" s="7"/>
      <c r="CG230" s="7"/>
      <c r="CH230" s="7"/>
      <c r="CI230" s="7"/>
      <c r="CJ230" s="7">
        <v>55.5</v>
      </c>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31"/>
      <c r="EA230" s="7"/>
      <c r="EB230" s="7"/>
      <c r="EC230" s="7"/>
      <c r="ED230" s="7"/>
      <c r="EE230" s="7"/>
      <c r="EF230" s="7"/>
      <c r="EG230" s="7"/>
      <c r="EL230" s="8"/>
      <c r="EY230" s="8">
        <f>BP230*CJ230/100</f>
        <v>992.34</v>
      </c>
      <c r="FA230" s="6"/>
      <c r="GP230" s="32"/>
      <c r="GY230" s="6" t="s">
        <v>338</v>
      </c>
      <c r="GZ230" s="6" t="s">
        <v>386</v>
      </c>
      <c r="HF230" s="8" t="s">
        <v>7197</v>
      </c>
      <c r="HG230" s="9" t="s">
        <v>1968</v>
      </c>
      <c r="IE230" s="9"/>
      <c r="IF230" s="9"/>
      <c r="IM230" s="9"/>
      <c r="IR230" s="9"/>
      <c r="JX230" s="7" t="s">
        <v>390</v>
      </c>
      <c r="JY230" s="7" t="s">
        <v>354</v>
      </c>
      <c r="JZ230" s="7" t="s">
        <v>353</v>
      </c>
      <c r="KA230" s="7" t="s">
        <v>448</v>
      </c>
      <c r="KB230" s="7" t="s">
        <v>355</v>
      </c>
      <c r="KG230" s="4" t="s">
        <v>323</v>
      </c>
      <c r="KM230" s="4" t="s">
        <v>471</v>
      </c>
      <c r="KN230" s="4" t="s">
        <v>471</v>
      </c>
      <c r="KP230" s="5" t="s">
        <v>358</v>
      </c>
      <c r="KQ230" s="5" t="s">
        <v>2160</v>
      </c>
      <c r="KR230" s="5" t="s">
        <v>2085</v>
      </c>
      <c r="KS230" s="5" t="s">
        <v>2160</v>
      </c>
      <c r="KT230" s="5" t="s">
        <v>7198</v>
      </c>
    </row>
    <row r="231" spans="1:306" ht="36" x14ac:dyDescent="0.25">
      <c r="A231" s="5" t="s">
        <v>8315</v>
      </c>
      <c r="B231" s="4" t="s">
        <v>383</v>
      </c>
      <c r="C231" s="7" t="s">
        <v>1964</v>
      </c>
      <c r="D231" s="8" t="s">
        <v>6325</v>
      </c>
      <c r="E231" s="4">
        <v>338485</v>
      </c>
      <c r="G231" s="4" t="s">
        <v>330</v>
      </c>
      <c r="H231" s="6">
        <v>119.212459</v>
      </c>
      <c r="I231" s="6">
        <v>-22.76369</v>
      </c>
      <c r="J231" s="4" t="s">
        <v>8316</v>
      </c>
      <c r="K231" s="4" t="s">
        <v>331</v>
      </c>
      <c r="L231" s="4" t="s">
        <v>368</v>
      </c>
      <c r="M231" s="4" t="s">
        <v>1340</v>
      </c>
      <c r="Q231" s="8"/>
      <c r="R231" s="8"/>
      <c r="Z231" s="4" t="s">
        <v>383</v>
      </c>
      <c r="AA231" s="7" t="s">
        <v>1964</v>
      </c>
      <c r="AB231" s="8" t="s">
        <v>6325</v>
      </c>
      <c r="AC231" s="4" t="s">
        <v>301</v>
      </c>
      <c r="AD231" s="4" t="s">
        <v>302</v>
      </c>
      <c r="AE231" s="8">
        <v>12</v>
      </c>
      <c r="AF231" s="8">
        <v>7</v>
      </c>
      <c r="AG231" s="9" t="s">
        <v>303</v>
      </c>
      <c r="AH231" s="9" t="s">
        <v>304</v>
      </c>
      <c r="AI231" s="9" t="s">
        <v>6920</v>
      </c>
      <c r="AJ231" s="9" t="s">
        <v>6921</v>
      </c>
      <c r="AM231" s="8">
        <v>5</v>
      </c>
      <c r="AS231" s="8"/>
      <c r="AT231" s="8"/>
      <c r="BG231" s="8"/>
      <c r="BH231" s="8"/>
      <c r="BP231" s="7">
        <v>549</v>
      </c>
      <c r="BQ231" s="8"/>
      <c r="CJ231" s="7">
        <v>58.4</v>
      </c>
      <c r="DZ231" s="31"/>
      <c r="EY231" s="8">
        <f>BP231*CJ231/100</f>
        <v>320.61599999999999</v>
      </c>
      <c r="FA231" s="6"/>
      <c r="GP231" s="32"/>
      <c r="GY231" s="6" t="s">
        <v>338</v>
      </c>
      <c r="HD231" s="8" t="s">
        <v>8317</v>
      </c>
      <c r="HE231" s="8">
        <v>37720</v>
      </c>
      <c r="HF231" s="8" t="s">
        <v>8318</v>
      </c>
      <c r="HG231" s="9" t="s">
        <v>1968</v>
      </c>
      <c r="IM231" s="9"/>
      <c r="IR231" s="9"/>
      <c r="JX231" s="7" t="s">
        <v>355</v>
      </c>
      <c r="JY231" s="7" t="s">
        <v>470</v>
      </c>
      <c r="JZ231" s="7" t="s">
        <v>390</v>
      </c>
      <c r="KG231" s="4" t="s">
        <v>323</v>
      </c>
      <c r="KM231" s="4" t="s">
        <v>471</v>
      </c>
      <c r="KN231" s="4" t="s">
        <v>471</v>
      </c>
      <c r="KP231" s="5" t="s">
        <v>358</v>
      </c>
      <c r="KQ231" s="5" t="s">
        <v>6924</v>
      </c>
      <c r="KR231" s="5" t="s">
        <v>2085</v>
      </c>
      <c r="KS231" s="5" t="s">
        <v>1666</v>
      </c>
      <c r="KT231" s="5" t="s">
        <v>8319</v>
      </c>
    </row>
    <row r="232" spans="1:306" ht="24" x14ac:dyDescent="0.25">
      <c r="A232" s="5" t="s">
        <v>1963</v>
      </c>
      <c r="B232" s="4" t="s">
        <v>383</v>
      </c>
      <c r="C232" s="7" t="s">
        <v>1964</v>
      </c>
      <c r="D232" s="8" t="s">
        <v>1965</v>
      </c>
      <c r="E232" s="4">
        <v>527975</v>
      </c>
      <c r="G232" s="4" t="s">
        <v>530</v>
      </c>
      <c r="H232" s="6">
        <v>132.3691</v>
      </c>
      <c r="I232" s="6">
        <v>-22.738800000000001</v>
      </c>
      <c r="J232" s="4" t="s">
        <v>1963</v>
      </c>
      <c r="K232" s="4" t="s">
        <v>481</v>
      </c>
      <c r="L232" s="4" t="s">
        <v>580</v>
      </c>
      <c r="M232" s="4" t="s">
        <v>1400</v>
      </c>
      <c r="Q232" s="7"/>
      <c r="R232" s="7"/>
      <c r="Z232" s="4" t="s">
        <v>383</v>
      </c>
      <c r="AA232" s="7" t="s">
        <v>1964</v>
      </c>
      <c r="AB232" s="8" t="s">
        <v>1965</v>
      </c>
      <c r="AC232" s="4" t="s">
        <v>301</v>
      </c>
      <c r="AD232" s="4" t="s">
        <v>302</v>
      </c>
      <c r="AE232" s="7">
        <v>0</v>
      </c>
      <c r="AF232" s="7">
        <v>0</v>
      </c>
      <c r="AG232" s="9" t="s">
        <v>303</v>
      </c>
      <c r="AH232" s="9" t="s">
        <v>406</v>
      </c>
      <c r="AM232" s="8">
        <v>5</v>
      </c>
      <c r="BP232" s="7">
        <v>22</v>
      </c>
      <c r="BQ232" s="8"/>
      <c r="DZ232" s="31"/>
      <c r="EB232" s="10">
        <v>1.4500000000000001E-2</v>
      </c>
      <c r="GP232" s="32"/>
      <c r="GR232" s="6">
        <f>1000*BP232*EB232/100</f>
        <v>3.19</v>
      </c>
      <c r="GY232" s="6" t="s">
        <v>338</v>
      </c>
      <c r="GZ232" s="6" t="s">
        <v>654</v>
      </c>
      <c r="HD232" s="8" t="s">
        <v>1966</v>
      </c>
      <c r="HF232" s="8" t="s">
        <v>1967</v>
      </c>
      <c r="HG232" s="9" t="s">
        <v>1968</v>
      </c>
      <c r="IW232" s="8"/>
      <c r="JB232" s="8"/>
      <c r="KP232" s="5" t="s">
        <v>358</v>
      </c>
      <c r="KQ232" s="5" t="s">
        <v>1969</v>
      </c>
      <c r="KS232" s="5" t="s">
        <v>1969</v>
      </c>
      <c r="KT232" s="5" t="s">
        <v>718</v>
      </c>
    </row>
    <row r="233" spans="1:306" ht="24" x14ac:dyDescent="0.25">
      <c r="A233" s="5" t="s">
        <v>6146</v>
      </c>
      <c r="B233" s="4" t="s">
        <v>383</v>
      </c>
      <c r="C233" s="7" t="s">
        <v>1964</v>
      </c>
      <c r="D233" s="8" t="s">
        <v>1965</v>
      </c>
      <c r="E233" s="4">
        <v>408603</v>
      </c>
      <c r="G233" s="4" t="s">
        <v>530</v>
      </c>
      <c r="H233" s="6">
        <v>132.65</v>
      </c>
      <c r="I233" s="6">
        <v>-22.917000000000002</v>
      </c>
      <c r="J233" s="4" t="s">
        <v>6147</v>
      </c>
      <c r="K233" s="4" t="s">
        <v>481</v>
      </c>
      <c r="L233" s="4" t="s">
        <v>1498</v>
      </c>
      <c r="Q233" s="7"/>
      <c r="R233" s="7"/>
      <c r="Z233" s="4" t="s">
        <v>383</v>
      </c>
      <c r="AA233" s="7" t="s">
        <v>1964</v>
      </c>
      <c r="AB233" s="8" t="s">
        <v>1965</v>
      </c>
      <c r="AC233" s="4" t="s">
        <v>301</v>
      </c>
      <c r="AD233" s="4" t="s">
        <v>302</v>
      </c>
      <c r="AE233" s="7">
        <v>0</v>
      </c>
      <c r="AF233" s="7">
        <v>0</v>
      </c>
      <c r="AG233" s="9" t="s">
        <v>303</v>
      </c>
      <c r="AH233" s="9" t="s">
        <v>406</v>
      </c>
      <c r="AM233" s="8">
        <v>5</v>
      </c>
      <c r="BP233" s="7">
        <v>9.5399999999999991</v>
      </c>
      <c r="CG233" s="10">
        <v>2.3599999999999999E-2</v>
      </c>
      <c r="CM233" s="10"/>
      <c r="DZ233" s="31"/>
      <c r="EB233" s="10">
        <v>3.8199999999999998E-2</v>
      </c>
      <c r="EV233" s="6">
        <f>1000*BP233*CG233/100</f>
        <v>2.2514400000000001</v>
      </c>
      <c r="GP233" s="32"/>
      <c r="GR233" s="6">
        <f>1000*BP233*EB233/100</f>
        <v>3.6442800000000002</v>
      </c>
      <c r="GY233" s="6" t="s">
        <v>338</v>
      </c>
      <c r="GZ233" s="6" t="s">
        <v>654</v>
      </c>
      <c r="HB233" s="6" t="s">
        <v>1289</v>
      </c>
      <c r="HD233" s="8" t="s">
        <v>1966</v>
      </c>
      <c r="HF233" s="8" t="s">
        <v>1967</v>
      </c>
      <c r="HG233" s="9" t="s">
        <v>1968</v>
      </c>
      <c r="IW233" s="8"/>
      <c r="JB233" s="8"/>
      <c r="KP233" s="5" t="s">
        <v>358</v>
      </c>
      <c r="KQ233" s="5" t="s">
        <v>1969</v>
      </c>
      <c r="KS233" s="5" t="s">
        <v>543</v>
      </c>
      <c r="KT233" s="5" t="s">
        <v>718</v>
      </c>
    </row>
    <row r="234" spans="1:306" ht="72" x14ac:dyDescent="0.2">
      <c r="A234" s="5" t="s">
        <v>7646</v>
      </c>
      <c r="B234" s="4" t="s">
        <v>383</v>
      </c>
      <c r="C234" s="7" t="s">
        <v>403</v>
      </c>
      <c r="D234" s="8" t="s">
        <v>3024</v>
      </c>
      <c r="E234" s="44">
        <v>865591</v>
      </c>
      <c r="G234" s="4" t="s">
        <v>773</v>
      </c>
      <c r="H234" s="6">
        <v>146.34454387400001</v>
      </c>
      <c r="I234" s="6">
        <v>-38.616346233400002</v>
      </c>
      <c r="J234" s="4" t="s">
        <v>7646</v>
      </c>
      <c r="K234" s="4" t="s">
        <v>298</v>
      </c>
      <c r="L234" s="4" t="s">
        <v>299</v>
      </c>
      <c r="M234" s="4" t="s">
        <v>775</v>
      </c>
      <c r="N234" s="4" t="s">
        <v>2417</v>
      </c>
      <c r="Q234" s="8"/>
      <c r="R234" s="8"/>
      <c r="Z234" s="4" t="s">
        <v>383</v>
      </c>
      <c r="AA234" s="7" t="s">
        <v>403</v>
      </c>
      <c r="AB234" s="8" t="s">
        <v>3024</v>
      </c>
      <c r="AC234" s="4" t="s">
        <v>381</v>
      </c>
      <c r="AD234" s="4" t="s">
        <v>382</v>
      </c>
      <c r="AE234" s="8">
        <f>(66+2.58)/2</f>
        <v>34.29</v>
      </c>
      <c r="AF234" s="8">
        <f>(66-2.58)/2</f>
        <v>31.71</v>
      </c>
      <c r="AG234" s="9" t="s">
        <v>379</v>
      </c>
      <c r="AH234" s="9" t="s">
        <v>690</v>
      </c>
      <c r="AM234" s="8">
        <v>4</v>
      </c>
      <c r="DZ234" s="31"/>
      <c r="FN234" s="6">
        <f>0.407*(118.71/(118.71+2*15.99))</f>
        <v>0.32062492534342024</v>
      </c>
      <c r="GP234" s="32"/>
      <c r="GY234" s="6" t="s">
        <v>407</v>
      </c>
      <c r="GZ234" s="6" t="s">
        <v>639</v>
      </c>
      <c r="HD234" s="8" t="s">
        <v>7647</v>
      </c>
      <c r="HE234" s="8">
        <v>154</v>
      </c>
      <c r="HF234" s="8" t="s">
        <v>7648</v>
      </c>
      <c r="HG234" s="9" t="s">
        <v>7649</v>
      </c>
      <c r="IB234" s="8" t="s">
        <v>7650</v>
      </c>
      <c r="IC234" s="8">
        <v>20179</v>
      </c>
      <c r="ID234" s="8" t="s">
        <v>7651</v>
      </c>
      <c r="IE234" s="8" t="s">
        <v>318</v>
      </c>
      <c r="IF234" s="8" t="s">
        <v>445</v>
      </c>
      <c r="KP234" s="18" t="s">
        <v>7652</v>
      </c>
      <c r="KQ234" s="5" t="s">
        <v>7653</v>
      </c>
      <c r="KS234" s="5" t="s">
        <v>7653</v>
      </c>
      <c r="KT234" s="5" t="s">
        <v>7654</v>
      </c>
    </row>
    <row r="235" spans="1:306" ht="48" x14ac:dyDescent="0.25">
      <c r="A235" s="5" t="s">
        <v>2132</v>
      </c>
      <c r="B235" s="4" t="s">
        <v>383</v>
      </c>
      <c r="C235" s="7" t="s">
        <v>403</v>
      </c>
      <c r="D235" s="8" t="s">
        <v>2133</v>
      </c>
      <c r="E235" s="4">
        <v>569366</v>
      </c>
      <c r="G235" s="4" t="s">
        <v>530</v>
      </c>
      <c r="H235" s="6">
        <v>132.97999999999999</v>
      </c>
      <c r="I235" s="6">
        <v>-23.5</v>
      </c>
      <c r="J235" s="4" t="s">
        <v>2132</v>
      </c>
      <c r="K235" s="4" t="s">
        <v>481</v>
      </c>
      <c r="L235" s="4" t="s">
        <v>580</v>
      </c>
      <c r="M235" s="4" t="s">
        <v>581</v>
      </c>
      <c r="Q235" s="7"/>
      <c r="R235" s="7"/>
      <c r="U235" s="4"/>
      <c r="V235" s="4"/>
      <c r="W235" s="4"/>
      <c r="X235" s="4"/>
      <c r="Z235" s="4" t="s">
        <v>383</v>
      </c>
      <c r="AA235" s="7" t="s">
        <v>403</v>
      </c>
      <c r="AB235" s="8" t="s">
        <v>2133</v>
      </c>
      <c r="AC235" s="4" t="s">
        <v>301</v>
      </c>
      <c r="AD235" s="4" t="s">
        <v>302</v>
      </c>
      <c r="AE235" s="7">
        <v>0</v>
      </c>
      <c r="AF235" s="7">
        <v>0</v>
      </c>
      <c r="AG235" s="9" t="s">
        <v>303</v>
      </c>
      <c r="AH235" s="9" t="s">
        <v>406</v>
      </c>
      <c r="AI235" s="4"/>
      <c r="AJ235" s="4"/>
      <c r="AK235" s="4"/>
      <c r="AL235" s="4"/>
      <c r="AM235" s="8">
        <v>5</v>
      </c>
      <c r="AS235" s="7"/>
      <c r="AT235" s="7"/>
      <c r="BG235" s="7"/>
      <c r="BH235" s="7"/>
      <c r="BP235" s="7">
        <v>805</v>
      </c>
      <c r="BQ235" s="8"/>
      <c r="CR235" s="9">
        <v>2.5999999999999999E-2</v>
      </c>
      <c r="DY235" s="9">
        <v>2.9000000000000001E-2</v>
      </c>
      <c r="DZ235" s="31">
        <f>GP235/BP235*100</f>
        <v>2.9192546583850933E-2</v>
      </c>
      <c r="EO235" s="8"/>
      <c r="EP235" s="8"/>
      <c r="FA235" s="9"/>
      <c r="FG235" s="6">
        <v>0.21</v>
      </c>
      <c r="GO235" s="9">
        <v>0.23499999999999999</v>
      </c>
      <c r="GP235" s="32">
        <f>SUM(GA235:GO235)+FE235</f>
        <v>0.23499999999999999</v>
      </c>
      <c r="GT235" s="8"/>
      <c r="GW235" s="8"/>
      <c r="GY235" s="8" t="s">
        <v>338</v>
      </c>
      <c r="GZ235" s="8" t="s">
        <v>2134</v>
      </c>
      <c r="HA235" s="8"/>
      <c r="HB235" s="8"/>
      <c r="HC235" s="8"/>
      <c r="HD235" s="8" t="s">
        <v>2135</v>
      </c>
      <c r="HF235" s="8" t="s">
        <v>1967</v>
      </c>
      <c r="HG235" s="9" t="s">
        <v>412</v>
      </c>
      <c r="IB235" s="4"/>
      <c r="ID235" s="4"/>
      <c r="IE235" s="4"/>
      <c r="IF235" s="4"/>
      <c r="IW235" s="8"/>
      <c r="JB235" s="8"/>
      <c r="KM235" s="4" t="s">
        <v>471</v>
      </c>
      <c r="KN235" s="4" t="s">
        <v>471</v>
      </c>
      <c r="KP235" s="5" t="s">
        <v>1969</v>
      </c>
      <c r="KQ235" s="5" t="s">
        <v>1969</v>
      </c>
      <c r="KR235" s="5" t="s">
        <v>1969</v>
      </c>
      <c r="KS235" s="5" t="s">
        <v>1969</v>
      </c>
      <c r="KT235" s="5" t="s">
        <v>2136</v>
      </c>
    </row>
    <row r="236" spans="1:306" ht="84" x14ac:dyDescent="0.25">
      <c r="A236" s="5" t="s">
        <v>6904</v>
      </c>
      <c r="B236" s="4" t="s">
        <v>383</v>
      </c>
      <c r="C236" s="4" t="s">
        <v>403</v>
      </c>
      <c r="D236" s="4" t="s">
        <v>3846</v>
      </c>
      <c r="E236" s="38">
        <v>334673</v>
      </c>
      <c r="G236" s="4" t="s">
        <v>296</v>
      </c>
      <c r="H236" s="6">
        <v>147.87899999999999</v>
      </c>
      <c r="I236" s="6">
        <v>-40.863999999999997</v>
      </c>
      <c r="K236" s="4" t="s">
        <v>298</v>
      </c>
      <c r="L236" s="4" t="s">
        <v>299</v>
      </c>
      <c r="O236" s="4"/>
      <c r="Q236" s="4"/>
      <c r="R236" s="4"/>
      <c r="S236" s="4"/>
      <c r="T236" s="4"/>
      <c r="U236" s="4"/>
      <c r="V236" s="4"/>
      <c r="W236" s="4"/>
      <c r="X236" s="4"/>
      <c r="Y236" s="4"/>
      <c r="Z236" s="4" t="s">
        <v>383</v>
      </c>
      <c r="AA236" s="4" t="s">
        <v>403</v>
      </c>
      <c r="AB236" s="4" t="s">
        <v>3846</v>
      </c>
      <c r="AC236" s="4" t="s">
        <v>381</v>
      </c>
      <c r="AD236" s="4" t="s">
        <v>302</v>
      </c>
      <c r="AE236" s="4">
        <v>14</v>
      </c>
      <c r="AF236" s="4">
        <v>9</v>
      </c>
      <c r="AG236" s="4" t="s">
        <v>303</v>
      </c>
      <c r="AH236" s="4" t="s">
        <v>460</v>
      </c>
      <c r="AI236" s="4"/>
      <c r="AJ236" s="4"/>
      <c r="AK236" s="4"/>
      <c r="AL236" s="4"/>
      <c r="AM236" s="4">
        <v>2</v>
      </c>
      <c r="AN236" s="4" t="s">
        <v>2797</v>
      </c>
      <c r="AO236" s="4" t="s">
        <v>2797</v>
      </c>
      <c r="AQ236" s="4"/>
      <c r="AR236" s="4"/>
      <c r="AS236" s="4" t="s">
        <v>2797</v>
      </c>
      <c r="AT236" s="4" t="s">
        <v>2797</v>
      </c>
      <c r="AU236" s="4" t="s">
        <v>2797</v>
      </c>
      <c r="AV236" s="4" t="s">
        <v>2797</v>
      </c>
      <c r="AW236" s="4"/>
      <c r="AX236" s="4"/>
      <c r="AY236" s="4"/>
      <c r="AZ236" s="4"/>
      <c r="BA236" s="4" t="s">
        <v>2797</v>
      </c>
      <c r="DZ236" s="31"/>
      <c r="FN236" s="6">
        <v>50</v>
      </c>
      <c r="GP236" s="32"/>
      <c r="GY236" s="4" t="s">
        <v>309</v>
      </c>
      <c r="GZ236" s="4" t="s">
        <v>639</v>
      </c>
      <c r="HA236" s="4"/>
      <c r="HB236" s="4"/>
      <c r="HC236" s="4" t="s">
        <v>3033</v>
      </c>
      <c r="HF236" s="4" t="s">
        <v>1967</v>
      </c>
      <c r="HG236" s="4" t="s">
        <v>1333</v>
      </c>
      <c r="IB236" s="4" t="s">
        <v>1927</v>
      </c>
      <c r="IC236" s="4">
        <v>13008</v>
      </c>
      <c r="ID236" s="4" t="s">
        <v>1928</v>
      </c>
      <c r="IE236" s="4" t="s">
        <v>318</v>
      </c>
      <c r="IF236" s="4" t="s">
        <v>319</v>
      </c>
      <c r="KP236" s="5" t="s">
        <v>6905</v>
      </c>
      <c r="KQ236" s="5" t="s">
        <v>6906</v>
      </c>
      <c r="KR236" s="5" t="s">
        <v>6907</v>
      </c>
      <c r="KS236" s="5" t="s">
        <v>6905</v>
      </c>
      <c r="KT236" s="5" t="s">
        <v>6908</v>
      </c>
    </row>
    <row r="237" spans="1:306" ht="60" x14ac:dyDescent="0.25">
      <c r="A237" s="11" t="s">
        <v>7110</v>
      </c>
      <c r="B237" s="4" t="s">
        <v>383</v>
      </c>
      <c r="C237" s="4" t="s">
        <v>403</v>
      </c>
      <c r="D237" s="4" t="s">
        <v>3846</v>
      </c>
      <c r="E237" s="38">
        <v>334141</v>
      </c>
      <c r="G237" s="4" t="s">
        <v>296</v>
      </c>
      <c r="H237" s="6">
        <v>148.00191000000001</v>
      </c>
      <c r="I237" s="6">
        <v>-40.941920000000003</v>
      </c>
      <c r="K237" s="4" t="s">
        <v>298</v>
      </c>
      <c r="L237" s="4" t="s">
        <v>299</v>
      </c>
      <c r="O237" s="4"/>
      <c r="Q237" s="4"/>
      <c r="R237" s="4"/>
      <c r="S237" s="4"/>
      <c r="T237" s="4"/>
      <c r="U237" s="4"/>
      <c r="V237" s="4"/>
      <c r="W237" s="4"/>
      <c r="X237" s="4"/>
      <c r="Y237" s="4"/>
      <c r="Z237" s="4" t="s">
        <v>383</v>
      </c>
      <c r="AA237" s="4" t="s">
        <v>403</v>
      </c>
      <c r="AB237" s="4" t="s">
        <v>3846</v>
      </c>
      <c r="AC237" s="4" t="s">
        <v>381</v>
      </c>
      <c r="AD237" s="4" t="s">
        <v>302</v>
      </c>
      <c r="AE237" s="4">
        <v>14</v>
      </c>
      <c r="AF237" s="4">
        <v>9</v>
      </c>
      <c r="AG237" s="4" t="s">
        <v>303</v>
      </c>
      <c r="AH237" s="4" t="s">
        <v>460</v>
      </c>
      <c r="AI237" s="4"/>
      <c r="AJ237" s="4"/>
      <c r="AK237" s="4"/>
      <c r="AL237" s="4"/>
      <c r="AM237" s="4">
        <v>2</v>
      </c>
      <c r="AN237" s="4" t="s">
        <v>2797</v>
      </c>
      <c r="AO237" s="4" t="s">
        <v>2797</v>
      </c>
      <c r="AQ237" s="4"/>
      <c r="AR237" s="4"/>
      <c r="AS237" s="4" t="s">
        <v>2797</v>
      </c>
      <c r="AT237" s="4" t="s">
        <v>2797</v>
      </c>
      <c r="AU237" s="4" t="s">
        <v>2797</v>
      </c>
      <c r="AV237" s="4" t="s">
        <v>2797</v>
      </c>
      <c r="AW237" s="4"/>
      <c r="AX237" s="4"/>
      <c r="AY237" s="4"/>
      <c r="AZ237" s="4"/>
      <c r="BA237" s="4" t="s">
        <v>2797</v>
      </c>
      <c r="BE237" s="4"/>
      <c r="BF237" s="4"/>
      <c r="BG237" s="4"/>
      <c r="BH237" s="4"/>
      <c r="BI237" s="4"/>
      <c r="BJ237" s="4"/>
      <c r="BK237" s="4"/>
      <c r="BL237" s="4"/>
      <c r="BM237" s="4"/>
      <c r="BN237" s="4"/>
      <c r="BO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31"/>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v>11.3</v>
      </c>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32"/>
      <c r="GQ237" s="4"/>
      <c r="GR237" s="4"/>
      <c r="GS237" s="4"/>
      <c r="GT237" s="4"/>
      <c r="GU237" s="4"/>
      <c r="GV237" s="4"/>
      <c r="GW237" s="4"/>
      <c r="GX237" s="4"/>
      <c r="GY237" s="4" t="s">
        <v>309</v>
      </c>
      <c r="GZ237" s="4" t="s">
        <v>639</v>
      </c>
      <c r="HA237" s="4"/>
      <c r="HB237" s="4"/>
      <c r="HC237" s="4" t="s">
        <v>3033</v>
      </c>
      <c r="HD237" s="4" t="s">
        <v>2797</v>
      </c>
      <c r="HE237" s="4" t="s">
        <v>2797</v>
      </c>
      <c r="HF237" s="4" t="s">
        <v>1967</v>
      </c>
      <c r="HG237" s="4" t="s">
        <v>1333</v>
      </c>
      <c r="HH237" s="4"/>
      <c r="HI237" s="4"/>
      <c r="HJ237" s="4"/>
      <c r="HK237" s="4"/>
      <c r="HL237" s="4"/>
      <c r="HM237" s="4"/>
      <c r="HN237" s="4"/>
      <c r="HO237" s="4"/>
      <c r="HP237" s="4"/>
      <c r="HQ237" s="4"/>
      <c r="HR237" s="4"/>
      <c r="HS237" s="4"/>
      <c r="HT237" s="4"/>
      <c r="HU237" s="4"/>
      <c r="HV237" s="4"/>
      <c r="HW237" s="4"/>
      <c r="HX237" s="4"/>
      <c r="HY237" s="4"/>
      <c r="HZ237" s="4"/>
      <c r="IA237" s="4"/>
      <c r="IB237" s="4" t="s">
        <v>1927</v>
      </c>
      <c r="IC237" s="4">
        <v>13008</v>
      </c>
      <c r="ID237" s="4" t="s">
        <v>1928</v>
      </c>
      <c r="IE237" s="4" t="s">
        <v>318</v>
      </c>
      <c r="IF237" s="4" t="s">
        <v>319</v>
      </c>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c r="JZ237" s="4"/>
      <c r="KA237" s="4"/>
      <c r="KB237" s="4"/>
      <c r="KC237" s="4"/>
      <c r="KD237" s="4"/>
      <c r="KE237" s="4"/>
      <c r="KF237" s="4"/>
      <c r="KP237" s="5" t="s">
        <v>7111</v>
      </c>
      <c r="KQ237" s="5" t="s">
        <v>7112</v>
      </c>
      <c r="KR237" s="5" t="s">
        <v>6907</v>
      </c>
      <c r="KS237" s="5" t="s">
        <v>7113</v>
      </c>
      <c r="KT237" s="5" t="s">
        <v>7114</v>
      </c>
    </row>
    <row r="238" spans="1:306" ht="25.5" x14ac:dyDescent="0.25">
      <c r="A238" s="5" t="s">
        <v>7301</v>
      </c>
      <c r="B238" s="4" t="s">
        <v>383</v>
      </c>
      <c r="C238" s="7" t="s">
        <v>403</v>
      </c>
      <c r="D238" s="8" t="s">
        <v>3846</v>
      </c>
      <c r="E238" s="4">
        <v>333355</v>
      </c>
      <c r="G238" s="4" t="s">
        <v>479</v>
      </c>
      <c r="H238" s="6">
        <v>145.22359399999999</v>
      </c>
      <c r="I238" s="6">
        <v>-16.609190000000002</v>
      </c>
      <c r="J238" s="4" t="s">
        <v>5425</v>
      </c>
      <c r="K238" s="4" t="s">
        <v>298</v>
      </c>
      <c r="L238" s="4" t="s">
        <v>1018</v>
      </c>
      <c r="Q238" s="7"/>
      <c r="R238" s="7"/>
      <c r="S238" s="4"/>
      <c r="Z238" s="4" t="s">
        <v>383</v>
      </c>
      <c r="AA238" s="7" t="s">
        <v>403</v>
      </c>
      <c r="AB238" s="8" t="s">
        <v>3846</v>
      </c>
      <c r="AC238" s="4" t="s">
        <v>381</v>
      </c>
      <c r="AD238" s="4" t="s">
        <v>302</v>
      </c>
      <c r="AE238" s="7">
        <v>0</v>
      </c>
      <c r="AF238" s="7">
        <v>0</v>
      </c>
      <c r="AG238" s="4" t="s">
        <v>303</v>
      </c>
      <c r="AH238" s="9" t="s">
        <v>406</v>
      </c>
      <c r="AM238" s="8">
        <v>5</v>
      </c>
      <c r="DZ238" s="31"/>
      <c r="EY238" s="6"/>
      <c r="FA238" s="6"/>
      <c r="FN238" s="6">
        <v>6.52</v>
      </c>
      <c r="GP238" s="32"/>
      <c r="GY238" s="31" t="s">
        <v>407</v>
      </c>
      <c r="GZ238" s="6" t="s">
        <v>639</v>
      </c>
      <c r="HC238" s="6" t="s">
        <v>3033</v>
      </c>
      <c r="HG238" s="8"/>
      <c r="HY238" s="9"/>
      <c r="IR238" s="9"/>
      <c r="KP238" s="5" t="s">
        <v>358</v>
      </c>
      <c r="KQ238" s="5" t="s">
        <v>1039</v>
      </c>
      <c r="KS238" s="5" t="s">
        <v>1039</v>
      </c>
      <c r="KT238" s="5" t="s">
        <v>7302</v>
      </c>
    </row>
    <row r="239" spans="1:306" ht="27" x14ac:dyDescent="0.25">
      <c r="A239" s="5" t="s">
        <v>7495</v>
      </c>
      <c r="B239" s="4" t="s">
        <v>383</v>
      </c>
      <c r="C239" s="7" t="s">
        <v>403</v>
      </c>
      <c r="D239" s="8" t="s">
        <v>3846</v>
      </c>
      <c r="E239" s="4">
        <v>333331</v>
      </c>
      <c r="G239" s="4" t="s">
        <v>479</v>
      </c>
      <c r="H239" s="6">
        <v>144.33099999999999</v>
      </c>
      <c r="I239" s="6">
        <v>-17.451599999999999</v>
      </c>
      <c r="J239" s="4" t="s">
        <v>7495</v>
      </c>
      <c r="K239" s="4" t="s">
        <v>481</v>
      </c>
      <c r="L239" s="4" t="s">
        <v>482</v>
      </c>
      <c r="Q239" s="7"/>
      <c r="R239" s="7"/>
      <c r="Z239" s="4" t="s">
        <v>383</v>
      </c>
      <c r="AA239" s="7" t="s">
        <v>403</v>
      </c>
      <c r="AB239" s="8" t="s">
        <v>3846</v>
      </c>
      <c r="AC239" s="4" t="s">
        <v>381</v>
      </c>
      <c r="AD239" s="4" t="s">
        <v>302</v>
      </c>
      <c r="AE239" s="7">
        <v>0</v>
      </c>
      <c r="AF239" s="7">
        <v>0</v>
      </c>
      <c r="AG239" s="9" t="s">
        <v>303</v>
      </c>
      <c r="AH239" s="9" t="s">
        <v>406</v>
      </c>
      <c r="AM239" s="8">
        <v>5</v>
      </c>
      <c r="DZ239" s="31"/>
      <c r="EY239" s="6"/>
      <c r="FA239" s="6"/>
      <c r="FN239" s="6">
        <v>6.1539999999999999</v>
      </c>
      <c r="GP239" s="32"/>
      <c r="GY239" s="6" t="s">
        <v>309</v>
      </c>
      <c r="GZ239" s="6" t="s">
        <v>639</v>
      </c>
      <c r="HC239" s="6" t="s">
        <v>3033</v>
      </c>
      <c r="HG239" s="8"/>
      <c r="HY239" s="9"/>
      <c r="IR239" s="9"/>
      <c r="KP239" s="5" t="s">
        <v>358</v>
      </c>
      <c r="KQ239" s="5" t="s">
        <v>1039</v>
      </c>
      <c r="KS239" s="5" t="s">
        <v>1039</v>
      </c>
      <c r="KT239" s="5" t="s">
        <v>7496</v>
      </c>
    </row>
    <row r="240" spans="1:306" ht="25.5" x14ac:dyDescent="0.25">
      <c r="A240" s="5" t="s">
        <v>3032</v>
      </c>
      <c r="B240" s="4" t="s">
        <v>383</v>
      </c>
      <c r="C240" s="7" t="s">
        <v>403</v>
      </c>
      <c r="D240" s="8" t="s">
        <v>802</v>
      </c>
      <c r="E240" s="4">
        <v>803635</v>
      </c>
      <c r="G240" s="4" t="s">
        <v>530</v>
      </c>
      <c r="H240" s="6">
        <v>132.16</v>
      </c>
      <c r="I240" s="6">
        <v>-14.01</v>
      </c>
      <c r="J240" s="4" t="s">
        <v>3032</v>
      </c>
      <c r="K240" s="4" t="s">
        <v>481</v>
      </c>
      <c r="L240" s="4" t="s">
        <v>532</v>
      </c>
      <c r="M240" s="4" t="s">
        <v>2483</v>
      </c>
      <c r="Q240" s="7"/>
      <c r="R240" s="7"/>
      <c r="Z240" s="4" t="s">
        <v>383</v>
      </c>
      <c r="AA240" s="7" t="s">
        <v>403</v>
      </c>
      <c r="AB240" s="8" t="s">
        <v>802</v>
      </c>
      <c r="AC240" s="4" t="s">
        <v>381</v>
      </c>
      <c r="AD240" s="4" t="s">
        <v>302</v>
      </c>
      <c r="AE240" s="7">
        <v>0</v>
      </c>
      <c r="AF240" s="7">
        <v>0</v>
      </c>
      <c r="AG240" s="9" t="s">
        <v>303</v>
      </c>
      <c r="AH240" s="9" t="s">
        <v>406</v>
      </c>
      <c r="AM240" s="8">
        <v>5</v>
      </c>
      <c r="DZ240" s="31"/>
      <c r="FN240" s="9">
        <v>0.19141133549999997</v>
      </c>
      <c r="GP240" s="32"/>
      <c r="GY240" s="6" t="s">
        <v>309</v>
      </c>
      <c r="GZ240" s="6" t="s">
        <v>639</v>
      </c>
      <c r="HC240" s="6" t="s">
        <v>3033</v>
      </c>
      <c r="HF240" s="8" t="s">
        <v>1967</v>
      </c>
      <c r="HG240" s="9" t="s">
        <v>1968</v>
      </c>
      <c r="IW240" s="8"/>
      <c r="JB240" s="8"/>
      <c r="KP240" s="5" t="s">
        <v>586</v>
      </c>
      <c r="KQ240" s="5" t="s">
        <v>586</v>
      </c>
      <c r="KS240" s="5" t="s">
        <v>586</v>
      </c>
      <c r="KT240" s="5" t="s">
        <v>3034</v>
      </c>
    </row>
    <row r="241" spans="1:306" ht="24" x14ac:dyDescent="0.25">
      <c r="A241" s="5" t="s">
        <v>7757</v>
      </c>
      <c r="B241" s="4" t="s">
        <v>383</v>
      </c>
      <c r="C241" s="7" t="s">
        <v>403</v>
      </c>
      <c r="D241" s="8" t="s">
        <v>802</v>
      </c>
      <c r="E241" s="4">
        <v>805365</v>
      </c>
      <c r="G241" s="4" t="s">
        <v>530</v>
      </c>
      <c r="H241" s="6">
        <v>131.75</v>
      </c>
      <c r="I241" s="6">
        <v>-13.95</v>
      </c>
      <c r="K241" s="4" t="s">
        <v>481</v>
      </c>
      <c r="L241" s="4" t="s">
        <v>532</v>
      </c>
      <c r="M241" s="4" t="s">
        <v>2483</v>
      </c>
      <c r="Q241" s="7"/>
      <c r="R241" s="7"/>
      <c r="Z241" s="4" t="s">
        <v>383</v>
      </c>
      <c r="AA241" s="7" t="s">
        <v>403</v>
      </c>
      <c r="AB241" s="8" t="s">
        <v>802</v>
      </c>
      <c r="AC241" s="4" t="s">
        <v>381</v>
      </c>
      <c r="AD241" s="4" t="s">
        <v>302</v>
      </c>
      <c r="AE241" s="7">
        <v>0</v>
      </c>
      <c r="AF241" s="7">
        <v>0</v>
      </c>
      <c r="AG241" s="9" t="s">
        <v>303</v>
      </c>
      <c r="AH241" s="9" t="s">
        <v>406</v>
      </c>
      <c r="AM241" s="8">
        <v>5</v>
      </c>
      <c r="DZ241" s="31"/>
      <c r="FN241" s="9">
        <v>0.21740519999999999</v>
      </c>
      <c r="GP241" s="32"/>
      <c r="GY241" s="6" t="s">
        <v>309</v>
      </c>
      <c r="GZ241" s="6" t="s">
        <v>639</v>
      </c>
      <c r="HC241" s="6" t="s">
        <v>3033</v>
      </c>
      <c r="HF241" s="8" t="s">
        <v>1967</v>
      </c>
      <c r="HG241" s="9" t="s">
        <v>1968</v>
      </c>
      <c r="IW241" s="8"/>
      <c r="JB241" s="8"/>
      <c r="KP241" s="5" t="s">
        <v>586</v>
      </c>
      <c r="KQ241" s="5" t="s">
        <v>586</v>
      </c>
      <c r="KS241" s="5" t="s">
        <v>586</v>
      </c>
      <c r="KT241" s="5" t="s">
        <v>1517</v>
      </c>
    </row>
    <row r="242" spans="1:306" ht="96" x14ac:dyDescent="0.25">
      <c r="A242" s="5" t="s">
        <v>2253</v>
      </c>
      <c r="B242" s="4" t="s">
        <v>383</v>
      </c>
      <c r="C242" s="7" t="s">
        <v>403</v>
      </c>
      <c r="D242" s="8" t="s">
        <v>2254</v>
      </c>
      <c r="G242" s="4" t="s">
        <v>427</v>
      </c>
      <c r="K242" s="4" t="s">
        <v>298</v>
      </c>
      <c r="L242" s="4" t="s">
        <v>552</v>
      </c>
      <c r="Q242" s="7"/>
      <c r="R242" s="7"/>
      <c r="Z242" s="4" t="s">
        <v>383</v>
      </c>
      <c r="AA242" s="7" t="s">
        <v>403</v>
      </c>
      <c r="AB242" s="8" t="s">
        <v>2254</v>
      </c>
      <c r="AC242" s="4" t="s">
        <v>381</v>
      </c>
      <c r="AD242" s="4" t="s">
        <v>302</v>
      </c>
      <c r="AE242" s="7">
        <v>0</v>
      </c>
      <c r="AF242" s="7">
        <v>0</v>
      </c>
      <c r="AG242" s="9" t="s">
        <v>303</v>
      </c>
      <c r="AH242" s="9" t="s">
        <v>406</v>
      </c>
      <c r="AM242" s="8">
        <v>5</v>
      </c>
      <c r="AS242" s="7"/>
      <c r="AT242" s="7"/>
      <c r="DZ242" s="31"/>
      <c r="EU242" s="6">
        <v>2.7</v>
      </c>
      <c r="FG242" s="6">
        <v>1.87</v>
      </c>
      <c r="GP242" s="32"/>
      <c r="GU242" s="6">
        <v>9.09</v>
      </c>
      <c r="GY242" s="6" t="s">
        <v>309</v>
      </c>
      <c r="GZ242" s="6" t="s">
        <v>1082</v>
      </c>
      <c r="HA242" s="6" t="s">
        <v>1108</v>
      </c>
      <c r="HC242" s="6" t="s">
        <v>583</v>
      </c>
      <c r="HF242" s="8" t="s">
        <v>2255</v>
      </c>
      <c r="HG242" s="9" t="s">
        <v>2256</v>
      </c>
      <c r="IW242" s="8"/>
      <c r="JB242" s="8"/>
      <c r="KQ242" s="5" t="s">
        <v>2257</v>
      </c>
      <c r="KR242" s="5" t="s">
        <v>2257</v>
      </c>
      <c r="KS242" s="5" t="s">
        <v>2257</v>
      </c>
      <c r="KT242" s="5" t="s">
        <v>2258</v>
      </c>
    </row>
    <row r="243" spans="1:306" ht="192" x14ac:dyDescent="0.25">
      <c r="A243" s="5" t="s">
        <v>2259</v>
      </c>
      <c r="B243" s="4" t="s">
        <v>383</v>
      </c>
      <c r="C243" s="7" t="s">
        <v>403</v>
      </c>
      <c r="D243" s="8" t="s">
        <v>2254</v>
      </c>
      <c r="G243" s="4" t="s">
        <v>479</v>
      </c>
      <c r="K243" s="4" t="s">
        <v>298</v>
      </c>
      <c r="L243" s="4" t="s">
        <v>552</v>
      </c>
      <c r="Q243" s="7"/>
      <c r="R243" s="7"/>
      <c r="Z243" s="4" t="s">
        <v>383</v>
      </c>
      <c r="AA243" s="7" t="s">
        <v>403</v>
      </c>
      <c r="AB243" s="8" t="s">
        <v>2254</v>
      </c>
      <c r="AC243" s="4" t="s">
        <v>381</v>
      </c>
      <c r="AD243" s="4" t="s">
        <v>302</v>
      </c>
      <c r="AE243" s="7">
        <v>0</v>
      </c>
      <c r="AF243" s="7">
        <v>0</v>
      </c>
      <c r="AG243" s="9" t="s">
        <v>303</v>
      </c>
      <c r="AH243" s="9" t="s">
        <v>406</v>
      </c>
      <c r="AM243" s="8">
        <v>5</v>
      </c>
      <c r="AS243" s="7"/>
      <c r="AT243" s="7"/>
      <c r="DZ243" s="31"/>
      <c r="EU243" s="6">
        <f>2.184*0.5994+1.096*0.3156</f>
        <v>1.6549872000000003</v>
      </c>
      <c r="FG243" s="6">
        <f>1.849*0.4314</f>
        <v>0.7976586</v>
      </c>
      <c r="GP243" s="32"/>
      <c r="GY243" s="31" t="s">
        <v>407</v>
      </c>
      <c r="GZ243" s="6" t="s">
        <v>1082</v>
      </c>
      <c r="HA243" s="6" t="s">
        <v>1108</v>
      </c>
      <c r="HC243" s="6" t="s">
        <v>583</v>
      </c>
      <c r="HF243" s="8" t="s">
        <v>2255</v>
      </c>
      <c r="HG243" s="9" t="s">
        <v>2256</v>
      </c>
      <c r="IW243" s="8"/>
      <c r="JB243" s="8"/>
      <c r="KQ243" s="5" t="s">
        <v>2257</v>
      </c>
      <c r="KR243" s="5" t="s">
        <v>2257</v>
      </c>
      <c r="KS243" s="5" t="s">
        <v>2257</v>
      </c>
      <c r="KT243" s="5" t="s">
        <v>2260</v>
      </c>
    </row>
    <row r="244" spans="1:306" ht="36" x14ac:dyDescent="0.25">
      <c r="A244" s="5" t="s">
        <v>4596</v>
      </c>
      <c r="B244" s="4" t="s">
        <v>383</v>
      </c>
      <c r="C244" s="7" t="s">
        <v>403</v>
      </c>
      <c r="D244" s="8" t="s">
        <v>2254</v>
      </c>
      <c r="E244" s="4">
        <v>558871</v>
      </c>
      <c r="G244" s="4" t="s">
        <v>530</v>
      </c>
      <c r="H244" s="6">
        <v>130.13999999999999</v>
      </c>
      <c r="I244" s="6">
        <v>-11.82</v>
      </c>
      <c r="J244" s="4" t="s">
        <v>4596</v>
      </c>
      <c r="K244" s="4" t="s">
        <v>481</v>
      </c>
      <c r="L244" s="4" t="s">
        <v>4597</v>
      </c>
      <c r="Q244" s="10"/>
      <c r="R244" s="10"/>
      <c r="U244" s="4"/>
      <c r="V244" s="4"/>
      <c r="W244" s="4"/>
      <c r="X244" s="4"/>
      <c r="Z244" s="4" t="s">
        <v>383</v>
      </c>
      <c r="AA244" s="7" t="s">
        <v>403</v>
      </c>
      <c r="AB244" s="8" t="s">
        <v>2254</v>
      </c>
      <c r="AC244" s="4" t="s">
        <v>301</v>
      </c>
      <c r="AD244" s="4" t="s">
        <v>302</v>
      </c>
      <c r="AE244" s="10">
        <v>1.2999999999999999E-3</v>
      </c>
      <c r="AF244" s="10">
        <v>1.2999999999999999E-3</v>
      </c>
      <c r="AG244" s="9" t="s">
        <v>303</v>
      </c>
      <c r="AH244" s="9" t="s">
        <v>372</v>
      </c>
      <c r="AI244" s="4"/>
      <c r="AJ244" s="4"/>
      <c r="AK244" s="4"/>
      <c r="AL244" s="4"/>
      <c r="AM244" s="8">
        <v>5</v>
      </c>
      <c r="AS244" s="7"/>
      <c r="AT244" s="7"/>
      <c r="BG244" s="7"/>
      <c r="BH244" s="7"/>
      <c r="BP244" s="7">
        <v>56.2</v>
      </c>
      <c r="BQ244" s="7"/>
      <c r="DZ244" s="31"/>
      <c r="EE244" s="7">
        <v>1.6</v>
      </c>
      <c r="EF244" s="7"/>
      <c r="EG244" s="7"/>
      <c r="EO244" s="8"/>
      <c r="EP244" s="8"/>
      <c r="EU244" s="6">
        <v>0.23</v>
      </c>
      <c r="FA244" s="9"/>
      <c r="FG244" s="9">
        <v>4.7E-2</v>
      </c>
      <c r="GP244" s="32"/>
      <c r="GT244" s="8"/>
      <c r="GU244" s="6">
        <v>0.9</v>
      </c>
      <c r="GW244" s="8"/>
      <c r="GY244" s="8" t="s">
        <v>338</v>
      </c>
      <c r="GZ244" s="8" t="s">
        <v>1082</v>
      </c>
      <c r="HA244" s="8"/>
      <c r="HB244" s="8" t="s">
        <v>1108</v>
      </c>
      <c r="HC244" s="8" t="s">
        <v>583</v>
      </c>
      <c r="HD244" s="8" t="s">
        <v>4598</v>
      </c>
      <c r="HF244" s="8" t="s">
        <v>4599</v>
      </c>
      <c r="HG244" s="9" t="s">
        <v>4600</v>
      </c>
      <c r="IB244" s="4"/>
      <c r="ID244" s="4"/>
      <c r="IE244" s="4"/>
      <c r="IF244" s="4"/>
      <c r="IW244" s="8"/>
      <c r="JB244" s="8"/>
      <c r="KM244" s="4" t="s">
        <v>471</v>
      </c>
      <c r="KN244" s="4" t="s">
        <v>471</v>
      </c>
      <c r="KP244" s="5" t="s">
        <v>4601</v>
      </c>
      <c r="KQ244" s="5" t="s">
        <v>4601</v>
      </c>
      <c r="KR244" s="5" t="s">
        <v>4601</v>
      </c>
      <c r="KS244" s="5" t="s">
        <v>4601</v>
      </c>
      <c r="KT244" s="5" t="s">
        <v>4602</v>
      </c>
    </row>
    <row r="245" spans="1:306" ht="60" x14ac:dyDescent="0.25">
      <c r="A245" s="5" t="s">
        <v>1208</v>
      </c>
      <c r="B245" s="4" t="s">
        <v>383</v>
      </c>
      <c r="C245" s="7" t="s">
        <v>403</v>
      </c>
      <c r="D245" s="8" t="s">
        <v>777</v>
      </c>
      <c r="E245" s="4">
        <v>335356</v>
      </c>
      <c r="G245" s="4" t="s">
        <v>330</v>
      </c>
      <c r="H245" s="6">
        <v>120.101</v>
      </c>
      <c r="I245" s="6">
        <v>-21.8706</v>
      </c>
      <c r="J245" s="4" t="s">
        <v>1209</v>
      </c>
      <c r="K245" s="4" t="s">
        <v>331</v>
      </c>
      <c r="L245" s="4" t="s">
        <v>368</v>
      </c>
      <c r="M245" s="4" t="s">
        <v>1210</v>
      </c>
      <c r="Q245" s="8"/>
      <c r="R245" s="8"/>
      <c r="Z245" s="4" t="s">
        <v>383</v>
      </c>
      <c r="AA245" s="7" t="s">
        <v>403</v>
      </c>
      <c r="AB245" s="8" t="s">
        <v>777</v>
      </c>
      <c r="AC245" s="4" t="s">
        <v>301</v>
      </c>
      <c r="AD245" s="4" t="s">
        <v>375</v>
      </c>
      <c r="AE245" s="8">
        <v>2752</v>
      </c>
      <c r="AF245" s="8">
        <v>5</v>
      </c>
      <c r="AG245" s="9" t="s">
        <v>379</v>
      </c>
      <c r="AH245" s="9" t="s">
        <v>372</v>
      </c>
      <c r="AI245" s="9" t="s">
        <v>373</v>
      </c>
      <c r="AJ245" s="9" t="s">
        <v>306</v>
      </c>
      <c r="AK245" s="9" t="s">
        <v>307</v>
      </c>
      <c r="AL245" s="9" t="s">
        <v>337</v>
      </c>
      <c r="AM245" s="8">
        <v>5</v>
      </c>
      <c r="AN245" s="4" t="s">
        <v>381</v>
      </c>
      <c r="AO245" s="4" t="s">
        <v>382</v>
      </c>
      <c r="AP245" s="4" t="s">
        <v>383</v>
      </c>
      <c r="AQ245" s="7" t="s">
        <v>384</v>
      </c>
      <c r="AR245" s="8" t="s">
        <v>433</v>
      </c>
      <c r="AS245" s="8">
        <v>0</v>
      </c>
      <c r="AT245" s="8">
        <v>0</v>
      </c>
      <c r="AU245" s="9" t="s">
        <v>379</v>
      </c>
      <c r="AV245" s="9" t="s">
        <v>406</v>
      </c>
      <c r="BA245" s="8">
        <v>5</v>
      </c>
      <c r="BP245" s="7">
        <f>3.05+0.83</f>
        <v>3.88</v>
      </c>
      <c r="BQ245" s="9"/>
      <c r="BV245" s="7">
        <f>(3.05*2.4+0.83*1.6)/(3.05+0.83)</f>
        <v>2.2288659793814434</v>
      </c>
      <c r="DZ245" s="31"/>
      <c r="EL245" s="6">
        <f>BP245*BV245</f>
        <v>8.6479999999999997</v>
      </c>
      <c r="GP245" s="32"/>
      <c r="GY245" s="6" t="s">
        <v>338</v>
      </c>
      <c r="GZ245" s="6" t="s">
        <v>436</v>
      </c>
      <c r="HC245" s="6" t="s">
        <v>654</v>
      </c>
      <c r="HD245" s="8" t="s">
        <v>1211</v>
      </c>
      <c r="HE245" s="8">
        <v>74911</v>
      </c>
      <c r="HF245" s="8" t="s">
        <v>1212</v>
      </c>
      <c r="HG245" s="9" t="s">
        <v>507</v>
      </c>
      <c r="JX245" s="7" t="s">
        <v>320</v>
      </c>
      <c r="KG245" s="4" t="s">
        <v>323</v>
      </c>
      <c r="KM245" s="4" t="s">
        <v>471</v>
      </c>
      <c r="KN245" s="4" t="s">
        <v>471</v>
      </c>
      <c r="KP245" s="5" t="s">
        <v>358</v>
      </c>
      <c r="KQ245" s="5" t="s">
        <v>1213</v>
      </c>
      <c r="KR245" s="5" t="s">
        <v>1214</v>
      </c>
      <c r="KS245" s="5" t="s">
        <v>1215</v>
      </c>
      <c r="KT245" s="5" t="s">
        <v>1216</v>
      </c>
    </row>
    <row r="246" spans="1:306" ht="108" x14ac:dyDescent="0.25">
      <c r="A246" s="5" t="s">
        <v>605</v>
      </c>
      <c r="B246" s="4" t="s">
        <v>383</v>
      </c>
      <c r="C246" s="7" t="s">
        <v>403</v>
      </c>
      <c r="D246" s="8" t="s">
        <v>606</v>
      </c>
      <c r="E246" s="38">
        <v>334062</v>
      </c>
      <c r="G246" s="4" t="s">
        <v>593</v>
      </c>
      <c r="H246" s="6">
        <v>132.22999999999999</v>
      </c>
      <c r="I246" s="6">
        <v>-30.86</v>
      </c>
      <c r="K246" s="4" t="s">
        <v>595</v>
      </c>
      <c r="L246" s="4" t="s">
        <v>596</v>
      </c>
      <c r="M246" s="4" t="s">
        <v>607</v>
      </c>
      <c r="Q246" s="8"/>
      <c r="R246" s="8"/>
      <c r="Z246" s="4" t="s">
        <v>383</v>
      </c>
      <c r="AA246" s="7" t="s">
        <v>403</v>
      </c>
      <c r="AB246" s="8" t="s">
        <v>606</v>
      </c>
      <c r="AC246" s="4" t="s">
        <v>381</v>
      </c>
      <c r="AD246" s="4" t="s">
        <v>302</v>
      </c>
      <c r="AE246" s="8">
        <v>44.5</v>
      </c>
      <c r="AF246" s="8">
        <v>3.3</v>
      </c>
      <c r="AG246" s="9" t="s">
        <v>379</v>
      </c>
      <c r="AH246" s="9" t="s">
        <v>372</v>
      </c>
      <c r="AM246" s="8">
        <v>4</v>
      </c>
      <c r="AS246" s="8"/>
      <c r="AT246" s="8"/>
      <c r="BP246" s="7">
        <v>293</v>
      </c>
      <c r="CF246" s="6">
        <v>0.71</v>
      </c>
      <c r="CR246" s="6">
        <v>0.79</v>
      </c>
      <c r="DZ246" s="31"/>
      <c r="EB246" s="10"/>
      <c r="EU246" s="7">
        <v>2.1</v>
      </c>
      <c r="FG246" s="7">
        <v>2.2999999999999998</v>
      </c>
      <c r="GP246" s="32"/>
      <c r="GY246" s="6" t="s">
        <v>407</v>
      </c>
      <c r="GZ246" s="6" t="s">
        <v>608</v>
      </c>
      <c r="HC246" s="6" t="s">
        <v>583</v>
      </c>
      <c r="HD246" s="8" t="s">
        <v>609</v>
      </c>
      <c r="HE246" s="8">
        <v>14596</v>
      </c>
      <c r="HF246" s="8" t="s">
        <v>610</v>
      </c>
      <c r="HG246" s="9" t="s">
        <v>611</v>
      </c>
      <c r="KP246" s="5" t="s">
        <v>612</v>
      </c>
      <c r="KQ246" s="5" t="s">
        <v>612</v>
      </c>
      <c r="KR246" s="18" t="s">
        <v>613</v>
      </c>
      <c r="KS246" s="5" t="s">
        <v>612</v>
      </c>
      <c r="KT246" s="5" t="s">
        <v>614</v>
      </c>
    </row>
    <row r="247" spans="1:306" ht="132" x14ac:dyDescent="0.25">
      <c r="A247" s="5" t="s">
        <v>1105</v>
      </c>
      <c r="B247" s="4" t="s">
        <v>383</v>
      </c>
      <c r="C247" s="7" t="s">
        <v>403</v>
      </c>
      <c r="D247" s="8" t="s">
        <v>606</v>
      </c>
      <c r="E247" s="4">
        <v>448421</v>
      </c>
      <c r="G247" s="4" t="s">
        <v>427</v>
      </c>
      <c r="H247" s="6">
        <v>143.46</v>
      </c>
      <c r="I247" s="6">
        <v>-34.49</v>
      </c>
      <c r="J247" s="4" t="s">
        <v>1106</v>
      </c>
      <c r="K247" s="4" t="s">
        <v>298</v>
      </c>
      <c r="L247" s="4" t="s">
        <v>1107</v>
      </c>
      <c r="Q247" s="7"/>
      <c r="R247" s="7"/>
      <c r="Z247" s="4" t="s">
        <v>383</v>
      </c>
      <c r="AA247" s="7" t="s">
        <v>403</v>
      </c>
      <c r="AB247" s="8" t="s">
        <v>606</v>
      </c>
      <c r="AC247" s="4" t="s">
        <v>381</v>
      </c>
      <c r="AD247" s="4" t="s">
        <v>302</v>
      </c>
      <c r="AE247" s="7">
        <v>6.1</v>
      </c>
      <c r="AF247" s="7">
        <v>1.1000000000000001</v>
      </c>
      <c r="AG247" s="9" t="s">
        <v>379</v>
      </c>
      <c r="AH247" s="9" t="s">
        <v>372</v>
      </c>
      <c r="AM247" s="8">
        <v>4</v>
      </c>
      <c r="AS247" s="7"/>
      <c r="AT247" s="7"/>
      <c r="BP247" s="7">
        <v>53.1</v>
      </c>
      <c r="BQ247" s="7"/>
      <c r="BR247" s="7"/>
      <c r="BS247" s="7"/>
      <c r="BT247" s="7"/>
      <c r="CF247" s="6">
        <v>8.1300000000000008</v>
      </c>
      <c r="CR247" s="6">
        <v>1.65</v>
      </c>
      <c r="DZ247" s="31"/>
      <c r="EE247" s="7">
        <v>30.7</v>
      </c>
      <c r="EF247" s="7"/>
      <c r="EG247" s="7"/>
      <c r="EU247" s="6">
        <v>4.32</v>
      </c>
      <c r="EY247" s="6"/>
      <c r="FA247" s="6"/>
      <c r="FG247" s="6">
        <v>0.88</v>
      </c>
      <c r="GP247" s="32"/>
      <c r="GU247" s="6">
        <v>16.309999999999999</v>
      </c>
      <c r="GY247" s="6" t="s">
        <v>338</v>
      </c>
      <c r="GZ247" s="6" t="s">
        <v>1082</v>
      </c>
      <c r="HB247" s="6" t="s">
        <v>1108</v>
      </c>
      <c r="HC247" s="6" t="s">
        <v>583</v>
      </c>
      <c r="HD247" s="8" t="s">
        <v>1109</v>
      </c>
      <c r="HE247" s="8">
        <v>10825</v>
      </c>
      <c r="HF247" s="8" t="s">
        <v>1110</v>
      </c>
      <c r="HG247" s="9" t="s">
        <v>1111</v>
      </c>
      <c r="IW247" s="8"/>
      <c r="JB247" s="8"/>
      <c r="KP247" s="5" t="s">
        <v>1112</v>
      </c>
      <c r="KQ247" s="5" t="s">
        <v>1112</v>
      </c>
      <c r="KR247" s="5" t="s">
        <v>1113</v>
      </c>
      <c r="KS247" s="5" t="s">
        <v>1114</v>
      </c>
      <c r="KT247" s="5" t="s">
        <v>1115</v>
      </c>
    </row>
    <row r="248" spans="1:306" ht="132" x14ac:dyDescent="0.25">
      <c r="A248" s="5" t="s">
        <v>2358</v>
      </c>
      <c r="B248" s="4" t="s">
        <v>383</v>
      </c>
      <c r="C248" s="7" t="s">
        <v>403</v>
      </c>
      <c r="D248" s="8" t="s">
        <v>606</v>
      </c>
      <c r="E248" s="4">
        <v>598612</v>
      </c>
      <c r="G248" s="4" t="s">
        <v>427</v>
      </c>
      <c r="H248" s="6">
        <v>141.35</v>
      </c>
      <c r="I248" s="6">
        <v>-33.619999999999997</v>
      </c>
      <c r="J248" s="4" t="s">
        <v>2359</v>
      </c>
      <c r="K248" s="4" t="s">
        <v>298</v>
      </c>
      <c r="L248" s="4" t="s">
        <v>1107</v>
      </c>
      <c r="Q248" s="7"/>
      <c r="R248" s="7"/>
      <c r="Z248" s="4" t="s">
        <v>383</v>
      </c>
      <c r="AA248" s="7" t="s">
        <v>403</v>
      </c>
      <c r="AB248" s="8" t="s">
        <v>606</v>
      </c>
      <c r="AC248" s="4" t="s">
        <v>381</v>
      </c>
      <c r="AD248" s="4" t="s">
        <v>302</v>
      </c>
      <c r="AE248" s="7">
        <v>6.1</v>
      </c>
      <c r="AF248" s="7">
        <v>1.1000000000000001</v>
      </c>
      <c r="AG248" s="9" t="s">
        <v>379</v>
      </c>
      <c r="AH248" s="9" t="s">
        <v>372</v>
      </c>
      <c r="AM248" s="8">
        <v>4</v>
      </c>
      <c r="AS248" s="7"/>
      <c r="AT248" s="7"/>
      <c r="BP248" s="7">
        <v>2540</v>
      </c>
      <c r="BQ248" s="7"/>
      <c r="BR248" s="7"/>
      <c r="BS248" s="7"/>
      <c r="BT248" s="7"/>
      <c r="CF248" s="6">
        <v>0.32</v>
      </c>
      <c r="CR248" s="6">
        <v>0.09</v>
      </c>
      <c r="DZ248" s="31"/>
      <c r="EE248" s="7">
        <v>1.2</v>
      </c>
      <c r="EF248" s="7"/>
      <c r="EG248" s="7"/>
      <c r="EU248" s="6">
        <v>8.08</v>
      </c>
      <c r="EY248" s="6"/>
      <c r="FA248" s="6"/>
      <c r="FG248" s="6">
        <v>2.19</v>
      </c>
      <c r="GP248" s="32"/>
      <c r="GU248" s="6">
        <v>30.48</v>
      </c>
      <c r="GV248" s="6">
        <v>0.31</v>
      </c>
      <c r="GX248" s="6">
        <v>0.04</v>
      </c>
      <c r="GY248" s="6" t="s">
        <v>338</v>
      </c>
      <c r="GZ248" s="6" t="s">
        <v>1082</v>
      </c>
      <c r="HB248" s="6" t="s">
        <v>1108</v>
      </c>
      <c r="HC248" s="6" t="s">
        <v>583</v>
      </c>
      <c r="HD248" s="8" t="s">
        <v>1109</v>
      </c>
      <c r="HE248" s="8">
        <v>10825</v>
      </c>
      <c r="HF248" s="8" t="s">
        <v>1110</v>
      </c>
      <c r="HG248" s="9" t="s">
        <v>1111</v>
      </c>
      <c r="IW248" s="8"/>
      <c r="JB248" s="8"/>
      <c r="KP248" s="5" t="s">
        <v>2360</v>
      </c>
      <c r="KQ248" s="5" t="s">
        <v>2361</v>
      </c>
      <c r="KR248" s="5" t="s">
        <v>1113</v>
      </c>
      <c r="KS248" s="5" t="s">
        <v>2362</v>
      </c>
      <c r="KT248" s="5" t="s">
        <v>2363</v>
      </c>
    </row>
    <row r="249" spans="1:306" ht="108" x14ac:dyDescent="0.2">
      <c r="A249" s="5" t="s">
        <v>2575</v>
      </c>
      <c r="B249" s="4" t="s">
        <v>383</v>
      </c>
      <c r="C249" s="7" t="s">
        <v>403</v>
      </c>
      <c r="D249" s="8" t="s">
        <v>606</v>
      </c>
      <c r="E249" s="44">
        <v>450333</v>
      </c>
      <c r="G249" s="4" t="s">
        <v>330</v>
      </c>
      <c r="H249" s="6">
        <v>128.55000000000001</v>
      </c>
      <c r="I249" s="6">
        <v>-28.64</v>
      </c>
      <c r="K249" s="4" t="s">
        <v>595</v>
      </c>
      <c r="L249" s="4" t="s">
        <v>596</v>
      </c>
      <c r="M249" s="4" t="s">
        <v>607</v>
      </c>
      <c r="Z249" s="4" t="s">
        <v>383</v>
      </c>
      <c r="AA249" s="7" t="s">
        <v>403</v>
      </c>
      <c r="AB249" s="8" t="s">
        <v>606</v>
      </c>
      <c r="AC249" s="4" t="s">
        <v>381</v>
      </c>
      <c r="AD249" s="4" t="s">
        <v>302</v>
      </c>
      <c r="AE249" s="9">
        <v>45</v>
      </c>
      <c r="AF249" s="9">
        <v>3</v>
      </c>
      <c r="AG249" s="9" t="s">
        <v>379</v>
      </c>
      <c r="AH249" s="9" t="s">
        <v>372</v>
      </c>
      <c r="AM249" s="8">
        <v>4</v>
      </c>
      <c r="BP249" s="7">
        <v>98</v>
      </c>
      <c r="CF249" s="6">
        <v>0.6</v>
      </c>
      <c r="CR249" s="6">
        <v>0.47</v>
      </c>
      <c r="DZ249" s="31"/>
      <c r="EE249" s="6">
        <v>2.9</v>
      </c>
      <c r="EU249" s="6">
        <v>0.59099999999999997</v>
      </c>
      <c r="FG249" s="6">
        <v>0.46100000000000002</v>
      </c>
      <c r="GP249" s="32"/>
      <c r="GU249" s="6">
        <v>2.85</v>
      </c>
      <c r="GY249" s="6" t="s">
        <v>309</v>
      </c>
      <c r="GZ249" s="6" t="s">
        <v>1082</v>
      </c>
      <c r="HA249" s="6" t="s">
        <v>1108</v>
      </c>
      <c r="HC249" s="6" t="s">
        <v>583</v>
      </c>
      <c r="HD249" s="8" t="s">
        <v>609</v>
      </c>
      <c r="HE249" s="8">
        <v>14596</v>
      </c>
      <c r="HF249" s="8" t="s">
        <v>610</v>
      </c>
      <c r="HG249" s="9" t="s">
        <v>611</v>
      </c>
      <c r="KP249" s="5" t="s">
        <v>2576</v>
      </c>
      <c r="KQ249" s="5" t="s">
        <v>2576</v>
      </c>
      <c r="KR249" s="5" t="s">
        <v>613</v>
      </c>
      <c r="KS249" s="5" t="s">
        <v>2576</v>
      </c>
      <c r="KT249" s="5" t="s">
        <v>614</v>
      </c>
    </row>
    <row r="250" spans="1:306" ht="132" x14ac:dyDescent="0.25">
      <c r="A250" s="5" t="s">
        <v>2790</v>
      </c>
      <c r="B250" s="4" t="s">
        <v>383</v>
      </c>
      <c r="C250" s="7" t="s">
        <v>403</v>
      </c>
      <c r="D250" s="8" t="s">
        <v>606</v>
      </c>
      <c r="E250" s="4">
        <v>455088</v>
      </c>
      <c r="G250" s="4" t="s">
        <v>773</v>
      </c>
      <c r="H250" s="6">
        <v>142.77000000000001</v>
      </c>
      <c r="I250" s="6">
        <v>-36.51</v>
      </c>
      <c r="J250" s="4" t="s">
        <v>2791</v>
      </c>
      <c r="K250" s="4" t="s">
        <v>298</v>
      </c>
      <c r="L250" s="4" t="s">
        <v>1107</v>
      </c>
      <c r="Q250" s="7"/>
      <c r="R250" s="7"/>
      <c r="Z250" s="4" t="s">
        <v>383</v>
      </c>
      <c r="AA250" s="7" t="s">
        <v>403</v>
      </c>
      <c r="AB250" s="8" t="s">
        <v>606</v>
      </c>
      <c r="AC250" s="4" t="s">
        <v>381</v>
      </c>
      <c r="AD250" s="4" t="s">
        <v>302</v>
      </c>
      <c r="AE250" s="7">
        <v>6.1</v>
      </c>
      <c r="AF250" s="7">
        <v>1.1000000000000001</v>
      </c>
      <c r="AG250" s="9" t="s">
        <v>379</v>
      </c>
      <c r="AH250" s="9" t="s">
        <v>372</v>
      </c>
      <c r="AM250" s="8">
        <v>4</v>
      </c>
      <c r="AS250" s="7"/>
      <c r="AT250" s="7"/>
      <c r="BP250" s="7">
        <v>2427</v>
      </c>
      <c r="CF250" s="6">
        <v>0.73</v>
      </c>
      <c r="CR250" s="6">
        <v>0.38</v>
      </c>
      <c r="DZ250" s="31"/>
      <c r="EE250" s="7">
        <v>4.9000000000000004</v>
      </c>
      <c r="EF250" s="7"/>
      <c r="EG250" s="7"/>
      <c r="EU250" s="6">
        <v>17.829999999999998</v>
      </c>
      <c r="FG250" s="6">
        <v>9.34</v>
      </c>
      <c r="GP250" s="32"/>
      <c r="GY250" s="6" t="s">
        <v>338</v>
      </c>
      <c r="GZ250" s="6" t="s">
        <v>1082</v>
      </c>
      <c r="HA250" s="6" t="s">
        <v>1108</v>
      </c>
      <c r="HC250" s="6" t="s">
        <v>583</v>
      </c>
      <c r="HD250" s="8" t="s">
        <v>1109</v>
      </c>
      <c r="HE250" s="8">
        <v>10825</v>
      </c>
      <c r="HF250" s="8" t="s">
        <v>1110</v>
      </c>
      <c r="HG250" s="9" t="s">
        <v>1111</v>
      </c>
      <c r="IW250" s="8"/>
      <c r="JB250" s="8"/>
      <c r="KP250" s="5" t="s">
        <v>2792</v>
      </c>
      <c r="KQ250" s="5" t="s">
        <v>2793</v>
      </c>
      <c r="KR250" s="5" t="s">
        <v>1113</v>
      </c>
      <c r="KS250" s="5" t="s">
        <v>2794</v>
      </c>
      <c r="KT250" s="5" t="s">
        <v>2795</v>
      </c>
    </row>
    <row r="251" spans="1:306" ht="24" x14ac:dyDescent="0.2">
      <c r="A251" s="11" t="s">
        <v>2796</v>
      </c>
      <c r="B251" s="4" t="s">
        <v>383</v>
      </c>
      <c r="C251" s="4" t="s">
        <v>403</v>
      </c>
      <c r="D251" s="4" t="s">
        <v>606</v>
      </c>
      <c r="E251" s="44">
        <v>334896</v>
      </c>
      <c r="F251" s="4" t="s">
        <v>2797</v>
      </c>
      <c r="G251" s="4" t="s">
        <v>330</v>
      </c>
      <c r="H251" s="4">
        <v>115.14</v>
      </c>
      <c r="I251" s="4">
        <v>-29.41</v>
      </c>
      <c r="K251" s="4" t="s">
        <v>2798</v>
      </c>
      <c r="L251" s="4" t="s">
        <v>2799</v>
      </c>
      <c r="O251" s="4"/>
      <c r="Q251" s="4"/>
      <c r="R251" s="4"/>
      <c r="S251" s="4"/>
      <c r="T251" s="4"/>
      <c r="U251" s="4"/>
      <c r="V251" s="4"/>
      <c r="W251" s="4"/>
      <c r="X251" s="4"/>
      <c r="Y251" s="4"/>
      <c r="Z251" s="4" t="s">
        <v>383</v>
      </c>
      <c r="AA251" s="4" t="s">
        <v>403</v>
      </c>
      <c r="AB251" s="4" t="s">
        <v>606</v>
      </c>
      <c r="AC251" s="4" t="s">
        <v>381</v>
      </c>
      <c r="AD251" s="4" t="s">
        <v>302</v>
      </c>
      <c r="AE251" s="4">
        <v>4</v>
      </c>
      <c r="AF251" s="4">
        <v>1.4</v>
      </c>
      <c r="AG251" s="4" t="s">
        <v>379</v>
      </c>
      <c r="AH251" s="4" t="s">
        <v>372</v>
      </c>
      <c r="AI251" s="4" t="s">
        <v>2797</v>
      </c>
      <c r="AJ251" s="4" t="s">
        <v>2797</v>
      </c>
      <c r="AK251" s="4" t="s">
        <v>2797</v>
      </c>
      <c r="AL251" s="4"/>
      <c r="AM251" s="4">
        <v>3</v>
      </c>
      <c r="AO251" s="4" t="s">
        <v>2797</v>
      </c>
      <c r="AQ251" s="4"/>
      <c r="AR251" s="4"/>
      <c r="AS251" s="4"/>
      <c r="AT251" s="4" t="s">
        <v>2797</v>
      </c>
      <c r="AU251" s="4" t="s">
        <v>2797</v>
      </c>
      <c r="AV251" s="4" t="s">
        <v>2797</v>
      </c>
      <c r="AW251" s="4"/>
      <c r="AX251" s="4"/>
      <c r="AY251" s="4"/>
      <c r="AZ251" s="4"/>
      <c r="BA251" s="4" t="s">
        <v>2797</v>
      </c>
      <c r="BE251" s="4"/>
      <c r="BF251" s="4"/>
      <c r="BG251" s="4"/>
      <c r="BH251" s="4"/>
      <c r="BI251" s="4"/>
      <c r="BJ251" s="4"/>
      <c r="BK251" s="4"/>
      <c r="BL251" s="4"/>
      <c r="BM251" s="4"/>
      <c r="BN251" s="4"/>
      <c r="BO251" s="4"/>
      <c r="BP251" s="7">
        <v>186</v>
      </c>
      <c r="BQ251" s="4"/>
      <c r="BR251" s="4"/>
      <c r="BS251" s="4"/>
      <c r="BT251" s="4"/>
      <c r="BU251" s="4"/>
      <c r="BV251" s="4"/>
      <c r="BW251" s="4"/>
      <c r="BX251" s="4"/>
      <c r="BY251" s="4"/>
      <c r="BZ251" s="4"/>
      <c r="CA251" s="4"/>
      <c r="CB251" s="4"/>
      <c r="CC251" s="4"/>
      <c r="CD251" s="4"/>
      <c r="CE251" s="4"/>
      <c r="CF251" s="4">
        <v>0.84</v>
      </c>
      <c r="CG251" s="4"/>
      <c r="CH251" s="4"/>
      <c r="CI251" s="4"/>
      <c r="CJ251" s="4"/>
      <c r="CK251" s="4"/>
      <c r="CL251" s="4"/>
      <c r="CM251" s="4"/>
      <c r="CN251" s="4"/>
      <c r="CO251" s="4"/>
      <c r="CP251" s="4"/>
      <c r="CQ251" s="4"/>
      <c r="CR251" s="4">
        <v>0.2</v>
      </c>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31"/>
      <c r="EA251" s="4"/>
      <c r="EB251" s="4"/>
      <c r="EC251" s="4"/>
      <c r="ED251" s="4"/>
      <c r="EE251" s="4">
        <v>3.9</v>
      </c>
      <c r="EF251" s="4"/>
      <c r="EG251" s="4"/>
      <c r="EH251" s="4"/>
      <c r="EI251" s="4"/>
      <c r="EJ251" s="4"/>
      <c r="EK251" s="4"/>
      <c r="EL251" s="4"/>
      <c r="EM251" s="4"/>
      <c r="EN251" s="4"/>
      <c r="EO251" s="4"/>
      <c r="EP251" s="4"/>
      <c r="EQ251" s="4"/>
      <c r="ER251" s="4"/>
      <c r="ES251" s="4"/>
      <c r="ET251" s="4"/>
      <c r="EU251" s="4">
        <v>1.5629999999999999</v>
      </c>
      <c r="EV251" s="4"/>
      <c r="EW251" s="4"/>
      <c r="EX251" s="4"/>
      <c r="EY251" s="4"/>
      <c r="EZ251" s="4"/>
      <c r="FA251" s="4"/>
      <c r="FB251" s="4"/>
      <c r="FC251" s="4"/>
      <c r="FD251" s="4"/>
      <c r="FE251" s="4"/>
      <c r="FF251" s="4"/>
      <c r="FG251" s="4">
        <v>0.38</v>
      </c>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32"/>
      <c r="GQ251" s="4"/>
      <c r="GR251" s="4"/>
      <c r="GS251" s="4"/>
      <c r="GT251" s="4"/>
      <c r="GU251" s="4">
        <v>7.25</v>
      </c>
      <c r="GV251" s="4"/>
      <c r="GW251" s="4"/>
      <c r="GX251" s="4"/>
      <c r="GY251" s="31" t="s">
        <v>407</v>
      </c>
      <c r="GZ251" s="4" t="s">
        <v>1082</v>
      </c>
      <c r="HA251" s="4"/>
      <c r="HB251" s="4" t="s">
        <v>1108</v>
      </c>
      <c r="HC251" s="4" t="s">
        <v>583</v>
      </c>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Q251" s="5" t="s">
        <v>2800</v>
      </c>
    </row>
    <row r="252" spans="1:306" ht="132" x14ac:dyDescent="0.25">
      <c r="A252" s="5" t="s">
        <v>2821</v>
      </c>
      <c r="B252" s="4" t="s">
        <v>383</v>
      </c>
      <c r="C252" s="7" t="s">
        <v>403</v>
      </c>
      <c r="D252" s="8" t="s">
        <v>606</v>
      </c>
      <c r="E252" s="4">
        <v>340923</v>
      </c>
      <c r="G252" s="4" t="s">
        <v>773</v>
      </c>
      <c r="H252" s="6">
        <v>141.88999999999999</v>
      </c>
      <c r="I252" s="6">
        <v>-37.11</v>
      </c>
      <c r="J252" s="4" t="s">
        <v>2822</v>
      </c>
      <c r="K252" s="4" t="s">
        <v>298</v>
      </c>
      <c r="L252" s="4" t="s">
        <v>1107</v>
      </c>
      <c r="Q252" s="7"/>
      <c r="R252" s="7"/>
      <c r="Z252" s="4" t="s">
        <v>383</v>
      </c>
      <c r="AA252" s="7" t="s">
        <v>403</v>
      </c>
      <c r="AB252" s="8" t="s">
        <v>606</v>
      </c>
      <c r="AC252" s="4" t="s">
        <v>381</v>
      </c>
      <c r="AD252" s="4" t="s">
        <v>302</v>
      </c>
      <c r="AE252" s="7">
        <v>6.1</v>
      </c>
      <c r="AF252" s="7">
        <v>1.1000000000000001</v>
      </c>
      <c r="AG252" s="9" t="s">
        <v>379</v>
      </c>
      <c r="AH252" s="9" t="s">
        <v>372</v>
      </c>
      <c r="AM252" s="8">
        <v>4</v>
      </c>
      <c r="AS252" s="7"/>
      <c r="AT252" s="7"/>
      <c r="BP252" s="7">
        <v>23.3</v>
      </c>
      <c r="CF252" s="6">
        <v>1.98</v>
      </c>
      <c r="CR252" s="6">
        <v>0.55000000000000004</v>
      </c>
      <c r="DZ252" s="31"/>
      <c r="EE252" s="7">
        <v>10.3</v>
      </c>
      <c r="EF252" s="7"/>
      <c r="EG252" s="7"/>
      <c r="EU252" s="6">
        <v>0.46</v>
      </c>
      <c r="EY252" s="6"/>
      <c r="FG252" s="6">
        <v>0.13</v>
      </c>
      <c r="GP252" s="32"/>
      <c r="GU252" s="6">
        <v>2.4</v>
      </c>
      <c r="GY252" s="6" t="s">
        <v>338</v>
      </c>
      <c r="GZ252" s="6" t="s">
        <v>1082</v>
      </c>
      <c r="HB252" s="6" t="s">
        <v>1108</v>
      </c>
      <c r="HC252" s="6" t="s">
        <v>583</v>
      </c>
      <c r="HD252" s="8" t="s">
        <v>1109</v>
      </c>
      <c r="HE252" s="8">
        <v>10825</v>
      </c>
      <c r="HF252" s="8" t="s">
        <v>1110</v>
      </c>
      <c r="HG252" s="9" t="s">
        <v>1111</v>
      </c>
      <c r="IW252" s="8"/>
      <c r="JB252" s="8"/>
      <c r="KP252" s="5" t="s">
        <v>1112</v>
      </c>
      <c r="KQ252" s="5" t="s">
        <v>1112</v>
      </c>
      <c r="KR252" s="5" t="s">
        <v>1113</v>
      </c>
      <c r="KS252" s="5" t="s">
        <v>1114</v>
      </c>
      <c r="KT252" s="5" t="s">
        <v>2823</v>
      </c>
    </row>
    <row r="253" spans="1:306" ht="120" x14ac:dyDescent="0.25">
      <c r="A253" s="5" t="s">
        <v>3133</v>
      </c>
      <c r="B253" s="4" t="s">
        <v>383</v>
      </c>
      <c r="C253" s="7" t="s">
        <v>403</v>
      </c>
      <c r="D253" s="8" t="s">
        <v>606</v>
      </c>
      <c r="G253" s="4" t="s">
        <v>330</v>
      </c>
      <c r="H253" s="6">
        <v>115.23</v>
      </c>
      <c r="I253" s="6">
        <v>-29.92</v>
      </c>
      <c r="K253" s="4" t="s">
        <v>2798</v>
      </c>
      <c r="L253" s="4" t="s">
        <v>2799</v>
      </c>
      <c r="Q253" s="7"/>
      <c r="R253" s="7"/>
      <c r="Z253" s="4" t="s">
        <v>383</v>
      </c>
      <c r="AA253" s="7" t="s">
        <v>403</v>
      </c>
      <c r="AB253" s="8" t="s">
        <v>606</v>
      </c>
      <c r="AC253" s="4" t="s">
        <v>381</v>
      </c>
      <c r="AD253" s="4" t="s">
        <v>302</v>
      </c>
      <c r="AE253" s="7">
        <v>4</v>
      </c>
      <c r="AF253" s="7">
        <v>1.4</v>
      </c>
      <c r="AG253" s="9" t="s">
        <v>379</v>
      </c>
      <c r="AH253" s="9" t="s">
        <v>372</v>
      </c>
      <c r="AM253" s="8">
        <v>4</v>
      </c>
      <c r="AS253" s="7"/>
      <c r="AT253" s="7"/>
      <c r="DZ253" s="31"/>
      <c r="EU253" s="7">
        <v>8.3000000000000007</v>
      </c>
      <c r="FG253" s="7">
        <v>3.1</v>
      </c>
      <c r="GP253" s="32"/>
      <c r="GV253" s="6">
        <v>0.23</v>
      </c>
      <c r="GX253" s="6">
        <v>9.9000000000000008E-3</v>
      </c>
      <c r="GY253" s="6" t="s">
        <v>338</v>
      </c>
      <c r="GZ253" s="6" t="s">
        <v>1082</v>
      </c>
      <c r="HA253" s="6" t="s">
        <v>1108</v>
      </c>
      <c r="HC253" s="6" t="s">
        <v>583</v>
      </c>
      <c r="HD253" s="8" t="s">
        <v>3134</v>
      </c>
      <c r="HE253" s="8">
        <v>26248</v>
      </c>
      <c r="HF253" s="8" t="s">
        <v>3135</v>
      </c>
      <c r="HG253" s="9" t="s">
        <v>3136</v>
      </c>
      <c r="IW253" s="8"/>
      <c r="JB253" s="8"/>
      <c r="KP253" s="5" t="s">
        <v>3137</v>
      </c>
      <c r="KQ253" s="5" t="s">
        <v>3138</v>
      </c>
      <c r="KR253" s="5" t="s">
        <v>3139</v>
      </c>
      <c r="KS253" s="5" t="s">
        <v>3140</v>
      </c>
      <c r="KT253" s="5" t="s">
        <v>3141</v>
      </c>
    </row>
    <row r="254" spans="1:306" ht="132" x14ac:dyDescent="0.25">
      <c r="A254" s="5" t="s">
        <v>3196</v>
      </c>
      <c r="B254" s="4" t="s">
        <v>383</v>
      </c>
      <c r="C254" s="7" t="s">
        <v>403</v>
      </c>
      <c r="D254" s="8" t="s">
        <v>606</v>
      </c>
      <c r="E254" s="4">
        <v>335192</v>
      </c>
      <c r="G254" s="4" t="s">
        <v>427</v>
      </c>
      <c r="H254" s="6">
        <v>142.62</v>
      </c>
      <c r="I254" s="6">
        <v>-34.47</v>
      </c>
      <c r="J254" s="4" t="s">
        <v>3197</v>
      </c>
      <c r="K254" s="4" t="s">
        <v>298</v>
      </c>
      <c r="L254" s="4" t="s">
        <v>1107</v>
      </c>
      <c r="Q254" s="7"/>
      <c r="R254" s="7"/>
      <c r="Z254" s="4" t="s">
        <v>383</v>
      </c>
      <c r="AA254" s="7" t="s">
        <v>403</v>
      </c>
      <c r="AB254" s="8" t="s">
        <v>606</v>
      </c>
      <c r="AC254" s="4" t="s">
        <v>381</v>
      </c>
      <c r="AD254" s="4" t="s">
        <v>302</v>
      </c>
      <c r="AE254" s="7">
        <v>6.1</v>
      </c>
      <c r="AF254" s="7">
        <v>1.1000000000000001</v>
      </c>
      <c r="AG254" s="9" t="s">
        <v>379</v>
      </c>
      <c r="AH254" s="9" t="s">
        <v>372</v>
      </c>
      <c r="AM254" s="8">
        <v>4</v>
      </c>
      <c r="AS254" s="7"/>
      <c r="AT254" s="7"/>
      <c r="BP254" s="7">
        <v>46.67</v>
      </c>
      <c r="CF254" s="6">
        <v>3.66</v>
      </c>
      <c r="CR254" s="6">
        <v>0.74</v>
      </c>
      <c r="DZ254" s="31"/>
      <c r="EE254" s="7">
        <v>13.6</v>
      </c>
      <c r="EF254" s="7"/>
      <c r="EG254" s="7"/>
      <c r="EU254" s="6">
        <v>1.71</v>
      </c>
      <c r="EY254" s="6"/>
      <c r="FG254" s="6">
        <v>0.34</v>
      </c>
      <c r="GP254" s="32"/>
      <c r="GU254" s="6">
        <v>6.36</v>
      </c>
      <c r="GY254" s="6" t="s">
        <v>338</v>
      </c>
      <c r="GZ254" s="6" t="s">
        <v>1082</v>
      </c>
      <c r="HB254" s="6" t="s">
        <v>1108</v>
      </c>
      <c r="HC254" s="6" t="s">
        <v>583</v>
      </c>
      <c r="HD254" s="8" t="s">
        <v>1109</v>
      </c>
      <c r="HE254" s="8">
        <v>10825</v>
      </c>
      <c r="HF254" s="8" t="s">
        <v>1110</v>
      </c>
      <c r="HG254" s="9" t="s">
        <v>1111</v>
      </c>
      <c r="IW254" s="8"/>
      <c r="JB254" s="8"/>
      <c r="KP254" s="5" t="s">
        <v>1112</v>
      </c>
      <c r="KQ254" s="5" t="s">
        <v>1112</v>
      </c>
      <c r="KR254" s="5" t="s">
        <v>1113</v>
      </c>
      <c r="KS254" s="5" t="s">
        <v>1114</v>
      </c>
      <c r="KT254" s="5" t="s">
        <v>3198</v>
      </c>
    </row>
    <row r="255" spans="1:306" ht="84" x14ac:dyDescent="0.25">
      <c r="A255" s="5" t="s">
        <v>3299</v>
      </c>
      <c r="B255" s="4" t="s">
        <v>383</v>
      </c>
      <c r="C255" s="7" t="s">
        <v>403</v>
      </c>
      <c r="D255" s="8" t="s">
        <v>606</v>
      </c>
      <c r="E255" s="4">
        <v>645003</v>
      </c>
      <c r="G255" s="4" t="s">
        <v>773</v>
      </c>
      <c r="H255" s="6">
        <v>147.37</v>
      </c>
      <c r="I255" s="6">
        <v>-37.799999999999997</v>
      </c>
      <c r="J255" s="4" t="s">
        <v>3300</v>
      </c>
      <c r="K255" s="4" t="s">
        <v>298</v>
      </c>
      <c r="L255" s="4" t="s">
        <v>3301</v>
      </c>
      <c r="Q255" s="7"/>
      <c r="R255" s="7"/>
      <c r="Z255" s="4" t="s">
        <v>383</v>
      </c>
      <c r="AA255" s="7" t="s">
        <v>403</v>
      </c>
      <c r="AB255" s="8" t="s">
        <v>606</v>
      </c>
      <c r="AC255" s="4" t="s">
        <v>381</v>
      </c>
      <c r="AD255" s="4" t="s">
        <v>302</v>
      </c>
      <c r="AE255" s="7">
        <v>2.7</v>
      </c>
      <c r="AF255" s="7">
        <v>2.7</v>
      </c>
      <c r="AG255" s="9" t="s">
        <v>379</v>
      </c>
      <c r="AH255" s="9" t="s">
        <v>372</v>
      </c>
      <c r="AM255" s="8">
        <v>4</v>
      </c>
      <c r="AS255" s="7"/>
      <c r="AT255" s="7"/>
      <c r="BP255" s="7">
        <v>910</v>
      </c>
      <c r="CF255" s="7">
        <v>1.1000000000000001</v>
      </c>
      <c r="CR255" s="7">
        <v>0.3</v>
      </c>
      <c r="DY255" s="6">
        <v>0.06</v>
      </c>
      <c r="DZ255" s="31">
        <f>GP255/BP255*100</f>
        <v>6.043956043956044E-2</v>
      </c>
      <c r="EU255" s="6">
        <v>10.45</v>
      </c>
      <c r="FG255" s="6">
        <v>2.7</v>
      </c>
      <c r="GO255" s="6">
        <v>0.55000000000000004</v>
      </c>
      <c r="GP255" s="32">
        <f>SUM(GA255:GO255)+FE255</f>
        <v>0.55000000000000004</v>
      </c>
      <c r="GY255" s="6" t="s">
        <v>338</v>
      </c>
      <c r="GZ255" s="6" t="s">
        <v>1082</v>
      </c>
      <c r="HB255" s="6" t="s">
        <v>1108</v>
      </c>
      <c r="HC255" s="6" t="s">
        <v>583</v>
      </c>
      <c r="HD255" s="8" t="s">
        <v>3302</v>
      </c>
      <c r="HE255" s="8">
        <v>8153</v>
      </c>
      <c r="HF255" s="8" t="s">
        <v>3303</v>
      </c>
      <c r="HG255" s="9" t="s">
        <v>3304</v>
      </c>
      <c r="IW255" s="8"/>
      <c r="JB255" s="8"/>
      <c r="KP255" s="5" t="s">
        <v>3305</v>
      </c>
      <c r="KQ255" s="5" t="s">
        <v>3305</v>
      </c>
      <c r="KR255" s="5" t="s">
        <v>3306</v>
      </c>
      <c r="KS255" s="5" t="s">
        <v>3305</v>
      </c>
      <c r="KT255" s="5" t="s">
        <v>3307</v>
      </c>
    </row>
    <row r="256" spans="1:306" ht="156" x14ac:dyDescent="0.2">
      <c r="A256" s="5" t="s">
        <v>3585</v>
      </c>
      <c r="B256" s="4" t="s">
        <v>383</v>
      </c>
      <c r="C256" s="7" t="s">
        <v>403</v>
      </c>
      <c r="D256" s="8" t="s">
        <v>606</v>
      </c>
      <c r="E256" s="44">
        <v>866811</v>
      </c>
      <c r="G256" s="4" t="s">
        <v>773</v>
      </c>
      <c r="H256" s="42">
        <v>143.45085499999999</v>
      </c>
      <c r="I256" s="6">
        <v>-35.601586269000002</v>
      </c>
      <c r="K256" s="4" t="s">
        <v>298</v>
      </c>
      <c r="L256" s="4" t="s">
        <v>1107</v>
      </c>
      <c r="Q256" s="7"/>
      <c r="R256" s="7"/>
      <c r="Z256" s="4" t="s">
        <v>383</v>
      </c>
      <c r="AA256" s="7" t="s">
        <v>403</v>
      </c>
      <c r="AB256" s="8" t="s">
        <v>606</v>
      </c>
      <c r="AC256" s="4" t="s">
        <v>381</v>
      </c>
      <c r="AD256" s="4" t="s">
        <v>302</v>
      </c>
      <c r="AE256" s="7">
        <v>6.1</v>
      </c>
      <c r="AF256" s="7">
        <v>1.1000000000000001</v>
      </c>
      <c r="AG256" s="9" t="s">
        <v>379</v>
      </c>
      <c r="AH256" s="9" t="s">
        <v>372</v>
      </c>
      <c r="AM256" s="8">
        <v>4</v>
      </c>
      <c r="BP256" s="7">
        <v>820.4</v>
      </c>
      <c r="CF256" s="6">
        <f>EE256*(11*59.94+12.1*59.94+18.8*31.56)/100/100</f>
        <v>0.58349289000000004</v>
      </c>
      <c r="CP256" s="9">
        <f>0.41*2.95/100</f>
        <v>1.2095E-2</v>
      </c>
      <c r="CQ256" s="8">
        <f>10000*CP256/1.2699</f>
        <v>95.243719977951017</v>
      </c>
      <c r="CR256" s="6">
        <f>43.13*EE256*21.2/100/100</f>
        <v>0.26973502000000005</v>
      </c>
      <c r="DK256" s="9">
        <f>0.41*2.95/100</f>
        <v>1.2095E-2</v>
      </c>
      <c r="DL256" s="9">
        <f>0.87*(1.1713/1.2284)*2.95/100</f>
        <v>2.4472007896450671E-2</v>
      </c>
      <c r="DM256" s="10">
        <f>0.1*1.1703/1.2082*2.95/100</f>
        <v>2.8574615129945378E-3</v>
      </c>
      <c r="DN256" s="9">
        <f>0.36*2.95/100</f>
        <v>1.0620000000000001E-2</v>
      </c>
      <c r="DO256" s="10">
        <f>0.07*2.95/100</f>
        <v>2.0650000000000004E-3</v>
      </c>
      <c r="DP256" s="10">
        <f>0.003*2.95/100</f>
        <v>8.8499999999999996E-5</v>
      </c>
      <c r="DQ256" s="10">
        <f>0.06*2.95/100</f>
        <v>1.7699999999999999E-3</v>
      </c>
      <c r="DR256" s="10">
        <f>0.01*1.151/1.1762*2.95/100</f>
        <v>2.8867964631865335E-4</v>
      </c>
      <c r="DS256" s="10">
        <f>0.06*2.95/100</f>
        <v>1.7699999999999999E-3</v>
      </c>
      <c r="DT256" s="9"/>
      <c r="DU256" s="10">
        <f>0.04*2.95/100</f>
        <v>1.1800000000000001E-3</v>
      </c>
      <c r="DV256" s="10">
        <f>0.01*2.95/100</f>
        <v>2.9500000000000001E-4</v>
      </c>
      <c r="DW256" s="10">
        <f>0.04*2.95/100</f>
        <v>1.1800000000000001E-3</v>
      </c>
      <c r="DX256" s="9"/>
      <c r="DY256" s="9">
        <f>SUM(DK256:DX256)</f>
        <v>5.8681649055763854E-2</v>
      </c>
      <c r="DZ256" s="31">
        <f>GP256/BP256*100</f>
        <v>0.12945829811152773</v>
      </c>
      <c r="EE256" s="6">
        <v>2.95</v>
      </c>
      <c r="EF256" s="6">
        <f>EE256*3.5/100</f>
        <v>0.10325000000000001</v>
      </c>
      <c r="EG256" s="9">
        <f>EE256*0.7/100</f>
        <v>2.0649999999999998E-2</v>
      </c>
      <c r="EU256" s="6">
        <f>BP256*CF256/100</f>
        <v>4.7869756695600003</v>
      </c>
      <c r="FE256" s="9">
        <f>BP256*CP256/100</f>
        <v>9.922737999999999E-2</v>
      </c>
      <c r="FF256" s="7">
        <f>BP256*CQ256/1000</f>
        <v>78.137947869911017</v>
      </c>
      <c r="FG256" s="6">
        <f>BP256*CR256/100</f>
        <v>2.21290610408</v>
      </c>
      <c r="GA256" s="9">
        <f>BP256*DK256/100</f>
        <v>9.922737999999999E-2</v>
      </c>
      <c r="GB256" s="9">
        <f>BP256*DL256/100</f>
        <v>0.20076835278248129</v>
      </c>
      <c r="GC256" s="10">
        <f>BP256*DM256/100</f>
        <v>2.3442614252607186E-2</v>
      </c>
      <c r="GD256" s="9">
        <f>BP256*DN256/100</f>
        <v>8.7126479999999992E-2</v>
      </c>
      <c r="GE256" s="10">
        <f>BP256*DO256/100</f>
        <v>1.6941260000000003E-2</v>
      </c>
      <c r="GF256" s="10">
        <f>BP256*DP256/100</f>
        <v>7.2605399999999996E-4</v>
      </c>
      <c r="GG256" s="10">
        <f>BP256*DQ256/100</f>
        <v>1.4521079999999999E-2</v>
      </c>
      <c r="GH256" s="16">
        <f>BP256*DR256/100</f>
        <v>2.3683278183982319E-3</v>
      </c>
      <c r="GI256" s="10">
        <f>BP256*DS256/100</f>
        <v>1.4521079999999999E-2</v>
      </c>
      <c r="GJ256" s="16"/>
      <c r="GK256" s="10">
        <f>BP256*DU256/100</f>
        <v>9.6807200000000003E-3</v>
      </c>
      <c r="GL256" s="16">
        <f>BP256*DV256/100</f>
        <v>2.4201800000000001E-3</v>
      </c>
      <c r="GM256" s="10">
        <f>BP256*DW256/100</f>
        <v>9.6807200000000003E-3</v>
      </c>
      <c r="GN256" s="16"/>
      <c r="GO256" s="9">
        <f>SUM(GA256:GN256)</f>
        <v>0.48142424885348667</v>
      </c>
      <c r="GP256" s="32">
        <f>SUM(GA256:GO256)+FE256</f>
        <v>1.0620758777069734</v>
      </c>
      <c r="GU256" s="6">
        <f>BP256*EE256/100</f>
        <v>24.201800000000002</v>
      </c>
      <c r="GV256" s="6">
        <f>BP256*EF256/100</f>
        <v>0.84706300000000001</v>
      </c>
      <c r="GX256" s="9">
        <f>BP256*EG256/100</f>
        <v>0.1694126</v>
      </c>
      <c r="GY256" s="6" t="s">
        <v>435</v>
      </c>
      <c r="GZ256" s="6" t="s">
        <v>1082</v>
      </c>
      <c r="HA256" s="6" t="s">
        <v>3586</v>
      </c>
      <c r="HB256" s="6" t="s">
        <v>338</v>
      </c>
      <c r="HD256" s="8" t="s">
        <v>1109</v>
      </c>
      <c r="HE256" s="8">
        <v>10825</v>
      </c>
      <c r="HF256" s="8" t="s">
        <v>1110</v>
      </c>
      <c r="HG256" s="9" t="s">
        <v>1111</v>
      </c>
      <c r="KP256" s="5" t="s">
        <v>3587</v>
      </c>
      <c r="KQ256" s="5" t="s">
        <v>3587</v>
      </c>
      <c r="KR256" s="5" t="s">
        <v>1113</v>
      </c>
      <c r="KS256" s="5" t="s">
        <v>3587</v>
      </c>
      <c r="KT256" s="5" t="s">
        <v>3588</v>
      </c>
    </row>
    <row r="257" spans="1:306" ht="144" x14ac:dyDescent="0.2">
      <c r="A257" s="5" t="s">
        <v>3589</v>
      </c>
      <c r="B257" s="4" t="s">
        <v>383</v>
      </c>
      <c r="C257" s="7" t="s">
        <v>403</v>
      </c>
      <c r="D257" s="8" t="s">
        <v>606</v>
      </c>
      <c r="E257" s="44">
        <v>908390</v>
      </c>
      <c r="G257" s="4" t="s">
        <v>773</v>
      </c>
      <c r="H257" s="6">
        <v>143.36592492299999</v>
      </c>
      <c r="I257" s="40">
        <v>-35.849200000000003</v>
      </c>
      <c r="K257" s="4" t="s">
        <v>298</v>
      </c>
      <c r="L257" s="4" t="s">
        <v>1107</v>
      </c>
      <c r="Q257" s="7"/>
      <c r="R257" s="7"/>
      <c r="Z257" s="4" t="s">
        <v>383</v>
      </c>
      <c r="AA257" s="7" t="s">
        <v>403</v>
      </c>
      <c r="AB257" s="8" t="s">
        <v>606</v>
      </c>
      <c r="AC257" s="4" t="s">
        <v>381</v>
      </c>
      <c r="AD257" s="4" t="s">
        <v>302</v>
      </c>
      <c r="AE257" s="7">
        <v>6.1</v>
      </c>
      <c r="AF257" s="7">
        <v>1.1000000000000001</v>
      </c>
      <c r="AG257" s="9" t="s">
        <v>379</v>
      </c>
      <c r="AH257" s="9" t="s">
        <v>372</v>
      </c>
      <c r="AM257" s="8">
        <v>4</v>
      </c>
      <c r="BP257" s="7">
        <v>122</v>
      </c>
      <c r="CF257" s="6">
        <f>EE257*(9*59.94+12*59.94+23*31.56)/100/100</f>
        <v>0.8533866</v>
      </c>
      <c r="CP257" s="9">
        <f>0.52*3.4/100</f>
        <v>1.7680000000000001E-2</v>
      </c>
      <c r="CQ257" s="8">
        <f>10000*CP257/1.2699</f>
        <v>139.2235609103079</v>
      </c>
      <c r="CR257" s="6">
        <f>43.13*EE257*24/100/100</f>
        <v>0.44510159999999999</v>
      </c>
      <c r="DK257" s="9">
        <f>0.5*3.4/100</f>
        <v>1.7000000000000001E-2</v>
      </c>
      <c r="DL257" s="9">
        <f>1.1*(1.1713/1.2284)*3.4/100</f>
        <v>3.5661527189840447E-2</v>
      </c>
      <c r="DM257" s="10">
        <f>0.12*3.4/100</f>
        <v>4.0799999999999994E-3</v>
      </c>
      <c r="DN257" s="9">
        <f>0.44*3.4/100</f>
        <v>1.4959999999999999E-2</v>
      </c>
      <c r="DO257" s="10">
        <f>0.082*3.4/100</f>
        <v>2.7880000000000001E-3</v>
      </c>
      <c r="DP257" s="10">
        <f>0.042*3.4/100</f>
        <v>1.428E-3</v>
      </c>
      <c r="DQ257" s="10">
        <f>0.081*3.4/100</f>
        <v>2.7539999999999999E-3</v>
      </c>
      <c r="DR257" s="16">
        <f>0.011*3.4/100</f>
        <v>3.7399999999999998E-4</v>
      </c>
      <c r="DS257" s="10">
        <f>0.076*3.4/100</f>
        <v>2.5839999999999995E-3</v>
      </c>
      <c r="DT257" s="10">
        <f>0.016*3.4/100</f>
        <v>5.44E-4</v>
      </c>
      <c r="DU257" s="10">
        <f>0.051*3.4/100</f>
        <v>1.7339999999999996E-3</v>
      </c>
      <c r="DV257" s="16">
        <f>0.008*3.4/100</f>
        <v>2.72E-4</v>
      </c>
      <c r="DW257" s="10">
        <f>0.054*3.4/100</f>
        <v>1.836E-3</v>
      </c>
      <c r="DX257" s="16">
        <f>0.008*3.4/100</f>
        <v>2.72E-4</v>
      </c>
      <c r="DY257" s="9">
        <f>SUM(DK257:DX257)</f>
        <v>8.6287527189840452E-2</v>
      </c>
      <c r="DZ257" s="31">
        <f>GP257/BP257*100</f>
        <v>0.19025505437968093</v>
      </c>
      <c r="EE257" s="7">
        <v>4.3</v>
      </c>
      <c r="EF257" s="6">
        <f>EE257*3.7/100</f>
        <v>0.15909999999999999</v>
      </c>
      <c r="EG257" s="9">
        <f>EE257*0.43/100</f>
        <v>1.8489999999999999E-2</v>
      </c>
      <c r="EU257" s="6">
        <f>BP257*CF257/100</f>
        <v>1.041131652</v>
      </c>
      <c r="FE257" s="9">
        <f>BP257*CP257/100</f>
        <v>2.1569600000000001E-2</v>
      </c>
      <c r="FF257" s="7">
        <f>BP257*CQ257/1000</f>
        <v>16.985274431057562</v>
      </c>
      <c r="FG257" s="6">
        <f>BP257*CR257/100</f>
        <v>0.54302395199999998</v>
      </c>
      <c r="GA257" s="9">
        <f>BP257*DK257/100</f>
        <v>2.0740000000000001E-2</v>
      </c>
      <c r="GB257" s="9">
        <f>BP257*DL257/100</f>
        <v>4.3507063171605347E-2</v>
      </c>
      <c r="GC257" s="10">
        <f>BP257*DM257/100</f>
        <v>4.9775999999999996E-3</v>
      </c>
      <c r="GD257" s="9">
        <f>BP257*DN257/100</f>
        <v>1.8251199999999999E-2</v>
      </c>
      <c r="GE257" s="10">
        <f>BP257*DO257/100</f>
        <v>3.40136E-3</v>
      </c>
      <c r="GF257" s="10">
        <f>BP257*DP257/100</f>
        <v>1.7421600000000002E-3</v>
      </c>
      <c r="GG257" s="10">
        <f>BP257*DQ257/100</f>
        <v>3.35988E-3</v>
      </c>
      <c r="GH257" s="16">
        <f>BP257*DR257/100</f>
        <v>4.5627999999999993E-4</v>
      </c>
      <c r="GI257" s="10">
        <f>BP257*DS257/100</f>
        <v>3.1524799999999992E-3</v>
      </c>
      <c r="GJ257" s="16">
        <f>BP257*DT257/100</f>
        <v>6.6367999999999993E-4</v>
      </c>
      <c r="GK257" s="10">
        <f>BP257*DU257/100</f>
        <v>2.1154799999999994E-3</v>
      </c>
      <c r="GL257" s="16">
        <f>BP257*DV257/100</f>
        <v>3.3183999999999997E-4</v>
      </c>
      <c r="GM257" s="10">
        <f>BP257*DW257/100</f>
        <v>2.2399199999999998E-3</v>
      </c>
      <c r="GN257" s="16">
        <f>BP257*DX257/100</f>
        <v>3.3183999999999997E-4</v>
      </c>
      <c r="GO257" s="9">
        <f>SUM(GA257:GN257)</f>
        <v>0.10527078317160536</v>
      </c>
      <c r="GP257" s="32">
        <f>SUM(GA257:GO257)+FE257</f>
        <v>0.23211116634321072</v>
      </c>
      <c r="GU257" s="6">
        <f>BP257*EE257/100</f>
        <v>5.2460000000000004</v>
      </c>
      <c r="GV257" s="6">
        <f>BP257*EF257/100</f>
        <v>0.194102</v>
      </c>
      <c r="GX257" s="9">
        <f>BP257*EG257/100</f>
        <v>2.2557800000000003E-2</v>
      </c>
      <c r="GY257" s="6" t="s">
        <v>435</v>
      </c>
      <c r="GZ257" s="6" t="s">
        <v>1082</v>
      </c>
      <c r="HA257" s="6" t="s">
        <v>3586</v>
      </c>
      <c r="HB257" s="6" t="s">
        <v>338</v>
      </c>
      <c r="HD257" s="8" t="s">
        <v>1109</v>
      </c>
      <c r="HE257" s="8">
        <v>10825</v>
      </c>
      <c r="HF257" s="8" t="s">
        <v>1110</v>
      </c>
      <c r="HG257" s="9" t="s">
        <v>1111</v>
      </c>
      <c r="KP257" s="5" t="s">
        <v>3590</v>
      </c>
      <c r="KQ257" s="5" t="s">
        <v>3590</v>
      </c>
      <c r="KR257" s="5" t="s">
        <v>1113</v>
      </c>
      <c r="KS257" s="5" t="s">
        <v>3590</v>
      </c>
      <c r="KT257" s="5" t="s">
        <v>3591</v>
      </c>
    </row>
    <row r="258" spans="1:306" ht="132" x14ac:dyDescent="0.25">
      <c r="A258" s="5" t="s">
        <v>4167</v>
      </c>
      <c r="B258" s="4" t="s">
        <v>383</v>
      </c>
      <c r="C258" s="7" t="s">
        <v>403</v>
      </c>
      <c r="D258" s="8" t="s">
        <v>606</v>
      </c>
      <c r="E258" s="4">
        <v>334074</v>
      </c>
      <c r="G258" s="4" t="s">
        <v>773</v>
      </c>
      <c r="H258" s="6">
        <v>142.37</v>
      </c>
      <c r="I258" s="6">
        <v>-36.799999999999997</v>
      </c>
      <c r="J258" s="4" t="s">
        <v>4168</v>
      </c>
      <c r="K258" s="4" t="s">
        <v>298</v>
      </c>
      <c r="L258" s="4" t="s">
        <v>1107</v>
      </c>
      <c r="Q258" s="7"/>
      <c r="R258" s="7"/>
      <c r="Z258" s="4" t="s">
        <v>383</v>
      </c>
      <c r="AA258" s="7" t="s">
        <v>403</v>
      </c>
      <c r="AB258" s="8" t="s">
        <v>606</v>
      </c>
      <c r="AC258" s="4" t="s">
        <v>381</v>
      </c>
      <c r="AD258" s="4" t="s">
        <v>302</v>
      </c>
      <c r="AE258" s="7">
        <v>6.1</v>
      </c>
      <c r="AF258" s="7">
        <v>1.1000000000000001</v>
      </c>
      <c r="AG258" s="9" t="s">
        <v>379</v>
      </c>
      <c r="AH258" s="9" t="s">
        <v>372</v>
      </c>
      <c r="AM258" s="8">
        <v>4</v>
      </c>
      <c r="AS258" s="7"/>
      <c r="AT258" s="7"/>
      <c r="BP258" s="7">
        <v>2345</v>
      </c>
      <c r="CF258" s="6">
        <v>0.63</v>
      </c>
      <c r="CR258" s="6">
        <v>0.33</v>
      </c>
      <c r="DZ258" s="31"/>
      <c r="EE258" s="7">
        <v>3.7</v>
      </c>
      <c r="EF258" s="7"/>
      <c r="EG258" s="7"/>
      <c r="EU258" s="6">
        <v>14.84</v>
      </c>
      <c r="FG258" s="6">
        <v>7.64</v>
      </c>
      <c r="GP258" s="32"/>
      <c r="GY258" s="6" t="s">
        <v>338</v>
      </c>
      <c r="GZ258" s="6" t="s">
        <v>1082</v>
      </c>
      <c r="HA258" s="6" t="s">
        <v>1108</v>
      </c>
      <c r="HC258" s="6" t="s">
        <v>583</v>
      </c>
      <c r="HD258" s="8" t="s">
        <v>1109</v>
      </c>
      <c r="HE258" s="8">
        <v>10825</v>
      </c>
      <c r="HF258" s="8" t="s">
        <v>1110</v>
      </c>
      <c r="HG258" s="9" t="s">
        <v>1111</v>
      </c>
      <c r="IW258" s="8"/>
      <c r="JB258" s="8"/>
      <c r="KP258" s="5" t="s">
        <v>4169</v>
      </c>
      <c r="KQ258" s="5" t="s">
        <v>4170</v>
      </c>
      <c r="KR258" s="5" t="s">
        <v>1113</v>
      </c>
      <c r="KS258" s="5" t="s">
        <v>4171</v>
      </c>
      <c r="KT258" s="5" t="s">
        <v>4172</v>
      </c>
    </row>
    <row r="259" spans="1:306" ht="132" x14ac:dyDescent="0.25">
      <c r="A259" s="5" t="s">
        <v>4250</v>
      </c>
      <c r="B259" s="4" t="s">
        <v>383</v>
      </c>
      <c r="C259" s="7" t="s">
        <v>403</v>
      </c>
      <c r="D259" s="8" t="s">
        <v>606</v>
      </c>
      <c r="E259" s="4">
        <v>621236</v>
      </c>
      <c r="G259" s="4" t="s">
        <v>427</v>
      </c>
      <c r="H259" s="6">
        <v>142.06</v>
      </c>
      <c r="I259" s="6">
        <v>-33.86</v>
      </c>
      <c r="J259" s="4" t="s">
        <v>4251</v>
      </c>
      <c r="K259" s="4" t="s">
        <v>298</v>
      </c>
      <c r="L259" s="4" t="s">
        <v>1107</v>
      </c>
      <c r="Q259" s="7"/>
      <c r="R259" s="7"/>
      <c r="Z259" s="4" t="s">
        <v>383</v>
      </c>
      <c r="AA259" s="7" t="s">
        <v>403</v>
      </c>
      <c r="AB259" s="8" t="s">
        <v>606</v>
      </c>
      <c r="AC259" s="4" t="s">
        <v>381</v>
      </c>
      <c r="AD259" s="4" t="s">
        <v>302</v>
      </c>
      <c r="AE259" s="7">
        <v>6.1</v>
      </c>
      <c r="AF259" s="7">
        <v>1.1000000000000001</v>
      </c>
      <c r="AG259" s="9" t="s">
        <v>379</v>
      </c>
      <c r="AH259" s="9" t="s">
        <v>372</v>
      </c>
      <c r="AM259" s="8">
        <v>4</v>
      </c>
      <c r="AS259" s="7"/>
      <c r="AT259" s="7"/>
      <c r="BP259" s="7">
        <v>113</v>
      </c>
      <c r="BQ259" s="7"/>
      <c r="BR259" s="7"/>
      <c r="BS259" s="7"/>
      <c r="BT259" s="7"/>
      <c r="CF259" s="6">
        <v>0.5</v>
      </c>
      <c r="CR259" s="6">
        <v>7.0000000000000007E-2</v>
      </c>
      <c r="DZ259" s="31"/>
      <c r="EE259" s="7">
        <v>1.8</v>
      </c>
      <c r="EF259" s="7"/>
      <c r="EG259" s="7"/>
      <c r="EU259" s="6">
        <v>0.56999999999999995</v>
      </c>
      <c r="EY259" s="6"/>
      <c r="FA259" s="6"/>
      <c r="FG259" s="6">
        <v>0.08</v>
      </c>
      <c r="GP259" s="32"/>
      <c r="GU259" s="6">
        <v>2</v>
      </c>
      <c r="GY259" s="6" t="s">
        <v>338</v>
      </c>
      <c r="GZ259" s="6" t="s">
        <v>1082</v>
      </c>
      <c r="HB259" s="6" t="s">
        <v>1108</v>
      </c>
      <c r="HC259" s="6" t="s">
        <v>583</v>
      </c>
      <c r="HD259" s="8" t="s">
        <v>1109</v>
      </c>
      <c r="HE259" s="8">
        <v>10825</v>
      </c>
      <c r="HF259" s="8" t="s">
        <v>1110</v>
      </c>
      <c r="HG259" s="9" t="s">
        <v>1111</v>
      </c>
      <c r="IW259" s="8"/>
      <c r="JB259" s="8"/>
      <c r="KP259" s="5" t="s">
        <v>4252</v>
      </c>
      <c r="KQ259" s="5" t="s">
        <v>4253</v>
      </c>
      <c r="KR259" s="5" t="s">
        <v>1113</v>
      </c>
      <c r="KS259" s="5" t="s">
        <v>4253</v>
      </c>
      <c r="KT259" s="5" t="s">
        <v>4254</v>
      </c>
    </row>
    <row r="260" spans="1:306" ht="96" x14ac:dyDescent="0.25">
      <c r="A260" s="5" t="s">
        <v>4561</v>
      </c>
      <c r="B260" s="4" t="s">
        <v>383</v>
      </c>
      <c r="C260" s="7" t="s">
        <v>403</v>
      </c>
      <c r="D260" s="8" t="s">
        <v>606</v>
      </c>
      <c r="E260" s="4">
        <v>334544</v>
      </c>
      <c r="G260" s="4" t="s">
        <v>330</v>
      </c>
      <c r="H260" s="6">
        <v>115.94</v>
      </c>
      <c r="I260" s="6">
        <v>-32.46</v>
      </c>
      <c r="K260" s="4" t="s">
        <v>2798</v>
      </c>
      <c r="L260" s="4" t="s">
        <v>2799</v>
      </c>
      <c r="Q260" s="7"/>
      <c r="R260" s="7"/>
      <c r="Z260" s="4" t="s">
        <v>383</v>
      </c>
      <c r="AA260" s="7" t="s">
        <v>403</v>
      </c>
      <c r="AB260" s="8" t="s">
        <v>606</v>
      </c>
      <c r="AC260" s="4" t="s">
        <v>381</v>
      </c>
      <c r="AD260" s="4" t="s">
        <v>302</v>
      </c>
      <c r="AE260" s="7">
        <v>4</v>
      </c>
      <c r="AF260" s="7">
        <v>1.4</v>
      </c>
      <c r="AG260" s="9" t="s">
        <v>379</v>
      </c>
      <c r="AH260" s="9" t="s">
        <v>372</v>
      </c>
      <c r="AM260" s="8">
        <v>4</v>
      </c>
      <c r="AS260" s="7"/>
      <c r="AT260" s="7"/>
      <c r="BP260" s="7">
        <v>90.3</v>
      </c>
      <c r="CF260" s="6">
        <v>0.82</v>
      </c>
      <c r="CR260" s="6">
        <v>0.13</v>
      </c>
      <c r="DZ260" s="31"/>
      <c r="EU260" s="6">
        <v>0.74</v>
      </c>
      <c r="FG260" s="6">
        <v>0.12</v>
      </c>
      <c r="GP260" s="32"/>
      <c r="GY260" s="6" t="s">
        <v>338</v>
      </c>
      <c r="GZ260" s="6" t="s">
        <v>1082</v>
      </c>
      <c r="HB260" s="6" t="s">
        <v>1108</v>
      </c>
      <c r="HC260" s="6" t="s">
        <v>583</v>
      </c>
      <c r="HD260" s="8" t="s">
        <v>3134</v>
      </c>
      <c r="HE260" s="8">
        <v>26248</v>
      </c>
      <c r="HF260" s="8" t="s">
        <v>3135</v>
      </c>
      <c r="HG260" s="9" t="s">
        <v>3136</v>
      </c>
      <c r="KP260" s="5" t="s">
        <v>612</v>
      </c>
      <c r="KQ260" s="5" t="s">
        <v>4562</v>
      </c>
      <c r="KR260" s="5" t="s">
        <v>3139</v>
      </c>
      <c r="KS260" s="5" t="s">
        <v>612</v>
      </c>
      <c r="KT260" s="5" t="s">
        <v>4563</v>
      </c>
    </row>
    <row r="261" spans="1:306" ht="132" x14ac:dyDescent="0.25">
      <c r="A261" s="5" t="s">
        <v>5221</v>
      </c>
      <c r="B261" s="4" t="s">
        <v>383</v>
      </c>
      <c r="C261" s="7" t="s">
        <v>403</v>
      </c>
      <c r="D261" s="8" t="s">
        <v>606</v>
      </c>
      <c r="E261" s="4">
        <v>335432</v>
      </c>
      <c r="G261" s="4" t="s">
        <v>593</v>
      </c>
      <c r="H261" s="6">
        <v>140.21</v>
      </c>
      <c r="I261" s="6">
        <v>-34.799999999999997</v>
      </c>
      <c r="K261" s="4" t="s">
        <v>298</v>
      </c>
      <c r="L261" s="4" t="s">
        <v>1107</v>
      </c>
      <c r="Q261" s="7"/>
      <c r="R261" s="7"/>
      <c r="Z261" s="4" t="s">
        <v>383</v>
      </c>
      <c r="AA261" s="7" t="s">
        <v>403</v>
      </c>
      <c r="AB261" s="8" t="s">
        <v>606</v>
      </c>
      <c r="AC261" s="4" t="s">
        <v>381</v>
      </c>
      <c r="AD261" s="4" t="s">
        <v>302</v>
      </c>
      <c r="AE261" s="7">
        <v>6.1</v>
      </c>
      <c r="AF261" s="7">
        <v>1.1000000000000001</v>
      </c>
      <c r="AG261" s="9" t="s">
        <v>379</v>
      </c>
      <c r="AH261" s="9" t="s">
        <v>372</v>
      </c>
      <c r="AM261" s="8">
        <v>4</v>
      </c>
      <c r="BP261" s="7">
        <v>244</v>
      </c>
      <c r="CF261" s="6">
        <v>0.62</v>
      </c>
      <c r="CR261" s="6">
        <v>0.23</v>
      </c>
      <c r="DZ261" s="31"/>
      <c r="EB261" s="10"/>
      <c r="EU261" s="7">
        <v>1.5</v>
      </c>
      <c r="FG261" s="7">
        <v>0.6</v>
      </c>
      <c r="GP261" s="32"/>
      <c r="GY261" s="6" t="s">
        <v>338</v>
      </c>
      <c r="GZ261" s="6" t="s">
        <v>1082</v>
      </c>
      <c r="HA261" s="6" t="s">
        <v>1108</v>
      </c>
      <c r="HC261" s="6" t="s">
        <v>583</v>
      </c>
      <c r="HD261" s="8" t="s">
        <v>1109</v>
      </c>
      <c r="HE261" s="8">
        <v>10825</v>
      </c>
      <c r="HF261" s="8" t="s">
        <v>1110</v>
      </c>
      <c r="HG261" s="9" t="s">
        <v>1111</v>
      </c>
      <c r="KP261" s="5" t="s">
        <v>612</v>
      </c>
      <c r="KQ261" s="5" t="s">
        <v>2361</v>
      </c>
      <c r="KR261" s="5" t="s">
        <v>1113</v>
      </c>
      <c r="KS261" s="5" t="s">
        <v>612</v>
      </c>
      <c r="KT261" s="5" t="s">
        <v>5222</v>
      </c>
    </row>
    <row r="262" spans="1:306" ht="96" x14ac:dyDescent="0.25">
      <c r="A262" s="11" t="s">
        <v>6059</v>
      </c>
      <c r="B262" s="4" t="s">
        <v>383</v>
      </c>
      <c r="C262" s="4" t="s">
        <v>403</v>
      </c>
      <c r="D262" s="4" t="s">
        <v>606</v>
      </c>
      <c r="E262" s="4" t="s">
        <v>2797</v>
      </c>
      <c r="F262" s="4" t="s">
        <v>2797</v>
      </c>
      <c r="G262" s="4" t="s">
        <v>330</v>
      </c>
      <c r="H262" s="4">
        <v>115.44</v>
      </c>
      <c r="I262" s="4">
        <v>-30.65</v>
      </c>
      <c r="K262" s="4" t="s">
        <v>2798</v>
      </c>
      <c r="L262" s="4" t="s">
        <v>2799</v>
      </c>
      <c r="O262" s="4"/>
      <c r="Q262" s="4"/>
      <c r="R262" s="4"/>
      <c r="S262" s="4"/>
      <c r="T262" s="4"/>
      <c r="U262" s="4"/>
      <c r="V262" s="4"/>
      <c r="W262" s="4"/>
      <c r="X262" s="4"/>
      <c r="Y262" s="4"/>
      <c r="Z262" s="4" t="s">
        <v>383</v>
      </c>
      <c r="AA262" s="4" t="s">
        <v>403</v>
      </c>
      <c r="AB262" s="4" t="s">
        <v>606</v>
      </c>
      <c r="AC262" s="4" t="s">
        <v>381</v>
      </c>
      <c r="AD262" s="4" t="s">
        <v>302</v>
      </c>
      <c r="AE262" s="4">
        <v>4</v>
      </c>
      <c r="AF262" s="4">
        <v>1.4</v>
      </c>
      <c r="AG262" s="4" t="s">
        <v>379</v>
      </c>
      <c r="AH262" s="4" t="s">
        <v>372</v>
      </c>
      <c r="AI262" s="4"/>
      <c r="AJ262" s="4"/>
      <c r="AK262" s="4"/>
      <c r="AL262" s="4"/>
      <c r="AM262" s="4" t="s">
        <v>2797</v>
      </c>
      <c r="AO262" s="4" t="s">
        <v>2797</v>
      </c>
      <c r="AQ262" s="4"/>
      <c r="AR262" s="4"/>
      <c r="AS262" s="4" t="s">
        <v>2797</v>
      </c>
      <c r="AT262" s="4" t="s">
        <v>2797</v>
      </c>
      <c r="AU262" s="4" t="s">
        <v>2797</v>
      </c>
      <c r="AV262" s="4" t="s">
        <v>2797</v>
      </c>
      <c r="AW262" s="4"/>
      <c r="AX262" s="4"/>
      <c r="AY262" s="4"/>
      <c r="AZ262" s="4"/>
      <c r="BA262" s="4" t="s">
        <v>2797</v>
      </c>
      <c r="BE262" s="4"/>
      <c r="BF262" s="4"/>
      <c r="BG262" s="4"/>
      <c r="BH262" s="4"/>
      <c r="BI262" s="4"/>
      <c r="BJ262" s="4"/>
      <c r="BK262" s="4"/>
      <c r="BL262" s="4"/>
      <c r="BM262" s="4"/>
      <c r="BN262" s="4"/>
      <c r="BO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31"/>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32"/>
      <c r="GQ262" s="4"/>
      <c r="GR262" s="4"/>
      <c r="GS262" s="4"/>
      <c r="GT262" s="4"/>
      <c r="GU262" s="4"/>
      <c r="GV262" s="4"/>
      <c r="GW262" s="4"/>
      <c r="GX262" s="4"/>
      <c r="GY262" s="4" t="s">
        <v>407</v>
      </c>
      <c r="GZ262" s="4"/>
      <c r="HA262" s="4"/>
      <c r="HB262" s="4"/>
      <c r="HC262" s="4"/>
      <c r="HD262" s="4" t="s">
        <v>3134</v>
      </c>
      <c r="HE262" s="4">
        <v>26248</v>
      </c>
      <c r="HF262" s="4" t="s">
        <v>3135</v>
      </c>
      <c r="HG262" s="4" t="s">
        <v>3136</v>
      </c>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c r="JZ262" s="4"/>
      <c r="KA262" s="4"/>
      <c r="KB262" s="4"/>
      <c r="KC262" s="4"/>
      <c r="KD262" s="4"/>
      <c r="KE262" s="4"/>
      <c r="KF262" s="4"/>
      <c r="KQ262" s="5" t="s">
        <v>6060</v>
      </c>
      <c r="KR262" s="5" t="s">
        <v>6060</v>
      </c>
      <c r="KS262" s="5" t="s">
        <v>6061</v>
      </c>
    </row>
    <row r="263" spans="1:306" ht="132" x14ac:dyDescent="0.2">
      <c r="A263" s="14" t="s">
        <v>6478</v>
      </c>
      <c r="B263" s="29" t="s">
        <v>383</v>
      </c>
      <c r="C263" s="30" t="s">
        <v>403</v>
      </c>
      <c r="D263" s="26" t="s">
        <v>606</v>
      </c>
      <c r="E263" s="44">
        <v>859654</v>
      </c>
      <c r="F263" s="29"/>
      <c r="G263" s="29" t="s">
        <v>773</v>
      </c>
      <c r="H263" s="31">
        <v>142.44999999999999</v>
      </c>
      <c r="I263" s="31">
        <v>-35.26</v>
      </c>
      <c r="J263" s="29" t="s">
        <v>6479</v>
      </c>
      <c r="K263" s="29" t="s">
        <v>298</v>
      </c>
      <c r="L263" s="29" t="s">
        <v>1107</v>
      </c>
      <c r="M263" s="29"/>
      <c r="N263" s="29"/>
      <c r="O263" s="26"/>
      <c r="P263" s="29"/>
      <c r="Q263" s="30"/>
      <c r="R263" s="30"/>
      <c r="S263" s="27"/>
      <c r="T263" s="27"/>
      <c r="U263" s="27"/>
      <c r="V263" s="27"/>
      <c r="W263" s="27"/>
      <c r="X263" s="27"/>
      <c r="Y263" s="26"/>
      <c r="Z263" s="29" t="s">
        <v>383</v>
      </c>
      <c r="AA263" s="30" t="s">
        <v>403</v>
      </c>
      <c r="AB263" s="26" t="s">
        <v>606</v>
      </c>
      <c r="AC263" s="29" t="s">
        <v>381</v>
      </c>
      <c r="AD263" s="29" t="s">
        <v>302</v>
      </c>
      <c r="AE263" s="30">
        <v>6.1</v>
      </c>
      <c r="AF263" s="30">
        <v>1.1000000000000001</v>
      </c>
      <c r="AG263" s="27" t="s">
        <v>379</v>
      </c>
      <c r="AH263" s="27" t="s">
        <v>372</v>
      </c>
      <c r="AI263" s="27"/>
      <c r="AJ263" s="27"/>
      <c r="AK263" s="27"/>
      <c r="AL263" s="27"/>
      <c r="AM263" s="26">
        <v>4</v>
      </c>
      <c r="AN263" s="29"/>
      <c r="AO263" s="29"/>
      <c r="AP263" s="29"/>
      <c r="AQ263" s="30"/>
      <c r="AR263" s="26"/>
      <c r="AS263" s="30"/>
      <c r="AT263" s="30"/>
      <c r="AU263" s="27"/>
      <c r="AV263" s="27"/>
      <c r="AW263" s="27"/>
      <c r="AX263" s="27"/>
      <c r="AY263" s="27"/>
      <c r="AZ263" s="27"/>
      <c r="BA263" s="26"/>
      <c r="BB263" s="29"/>
      <c r="BC263" s="29"/>
      <c r="BD263" s="29"/>
      <c r="BE263" s="30"/>
      <c r="BF263" s="26"/>
      <c r="BG263" s="27"/>
      <c r="BH263" s="27"/>
      <c r="BI263" s="27"/>
      <c r="BJ263" s="27"/>
      <c r="BK263" s="27"/>
      <c r="BL263" s="27"/>
      <c r="BM263" s="27"/>
      <c r="BN263" s="27"/>
      <c r="BO263" s="26"/>
      <c r="BP263" s="30">
        <v>37.549999999999997</v>
      </c>
      <c r="BQ263" s="31"/>
      <c r="BR263" s="31"/>
      <c r="BS263" s="31"/>
      <c r="BT263" s="31"/>
      <c r="BU263" s="26"/>
      <c r="BV263" s="31"/>
      <c r="BW263" s="31"/>
      <c r="BX263" s="31"/>
      <c r="BY263" s="31"/>
      <c r="BZ263" s="31"/>
      <c r="CA263" s="31"/>
      <c r="CB263" s="31"/>
      <c r="CC263" s="31"/>
      <c r="CD263" s="31"/>
      <c r="CE263" s="31"/>
      <c r="CF263" s="31">
        <v>2.71</v>
      </c>
      <c r="CG263" s="31"/>
      <c r="CH263" s="31"/>
      <c r="CI263" s="31"/>
      <c r="CJ263" s="31"/>
      <c r="CK263" s="31"/>
      <c r="CL263" s="31"/>
      <c r="CM263" s="31"/>
      <c r="CN263" s="31"/>
      <c r="CO263" s="31"/>
      <c r="CP263" s="31"/>
      <c r="CQ263" s="31"/>
      <c r="CR263" s="31">
        <v>0.47</v>
      </c>
      <c r="CS263" s="31"/>
      <c r="CT263" s="31"/>
      <c r="CU263" s="31"/>
      <c r="CV263" s="31"/>
      <c r="CW263" s="31"/>
      <c r="CX263" s="31"/>
      <c r="CY263" s="31"/>
      <c r="CZ263" s="31"/>
      <c r="DA263" s="31"/>
      <c r="DB263" s="31"/>
      <c r="DC263" s="31"/>
      <c r="DD263" s="31"/>
      <c r="DE263" s="31"/>
      <c r="DF263" s="31"/>
      <c r="DG263" s="31"/>
      <c r="DH263" s="31"/>
      <c r="DI263" s="31"/>
      <c r="DJ263" s="31"/>
      <c r="DK263" s="31"/>
      <c r="DL263" s="31"/>
      <c r="DM263" s="31"/>
      <c r="DN263" s="31"/>
      <c r="DO263" s="31"/>
      <c r="DP263" s="31"/>
      <c r="DQ263" s="31"/>
      <c r="DR263" s="31"/>
      <c r="DS263" s="31"/>
      <c r="DT263" s="31"/>
      <c r="DU263" s="31"/>
      <c r="DV263" s="31"/>
      <c r="DW263" s="31"/>
      <c r="DX263" s="31"/>
      <c r="DY263" s="31"/>
      <c r="DZ263" s="31"/>
      <c r="EA263" s="31"/>
      <c r="EB263" s="31"/>
      <c r="EC263" s="31"/>
      <c r="ED263" s="31"/>
      <c r="EE263" s="30">
        <v>11.2</v>
      </c>
      <c r="EF263" s="30"/>
      <c r="EG263" s="30"/>
      <c r="EH263" s="32"/>
      <c r="EI263" s="32"/>
      <c r="EJ263" s="32"/>
      <c r="EK263" s="32"/>
      <c r="EL263" s="31"/>
      <c r="EM263" s="31"/>
      <c r="EN263" s="31"/>
      <c r="EO263" s="31"/>
      <c r="EP263" s="31"/>
      <c r="EQ263" s="31"/>
      <c r="ER263" s="31"/>
      <c r="ES263" s="31"/>
      <c r="ET263" s="31"/>
      <c r="EU263" s="31">
        <v>1.02</v>
      </c>
      <c r="EV263" s="31"/>
      <c r="EW263" s="31"/>
      <c r="EX263" s="31"/>
      <c r="EY263" s="31"/>
      <c r="EZ263" s="31"/>
      <c r="FA263" s="32"/>
      <c r="FB263" s="31"/>
      <c r="FC263" s="31"/>
      <c r="FD263" s="31"/>
      <c r="FE263" s="31"/>
      <c r="FF263" s="31"/>
      <c r="FG263" s="31">
        <v>0.18</v>
      </c>
      <c r="FH263" s="31"/>
      <c r="FI263" s="31"/>
      <c r="FJ263" s="31"/>
      <c r="FK263" s="31"/>
      <c r="FL263" s="31"/>
      <c r="FM263" s="31"/>
      <c r="FN263" s="31"/>
      <c r="FO263" s="31"/>
      <c r="FP263" s="31"/>
      <c r="FQ263" s="31"/>
      <c r="FR263" s="31"/>
      <c r="FS263" s="31"/>
      <c r="FT263" s="31"/>
      <c r="FU263" s="31"/>
      <c r="FV263" s="31"/>
      <c r="FW263" s="31"/>
      <c r="FX263" s="31"/>
      <c r="FY263" s="31"/>
      <c r="FZ263" s="31"/>
      <c r="GA263" s="31"/>
      <c r="GB263" s="31"/>
      <c r="GC263" s="31"/>
      <c r="GD263" s="31"/>
      <c r="GE263" s="31"/>
      <c r="GF263" s="31"/>
      <c r="GG263" s="31"/>
      <c r="GH263" s="31"/>
      <c r="GI263" s="31"/>
      <c r="GJ263" s="31"/>
      <c r="GK263" s="31"/>
      <c r="GL263" s="31"/>
      <c r="GM263" s="31"/>
      <c r="GN263" s="31"/>
      <c r="GO263" s="31"/>
      <c r="GP263" s="32"/>
      <c r="GQ263" s="31"/>
      <c r="GR263" s="31"/>
      <c r="GS263" s="31"/>
      <c r="GT263" s="31"/>
      <c r="GU263" s="31">
        <v>4.22</v>
      </c>
      <c r="GV263" s="31"/>
      <c r="GW263" s="31"/>
      <c r="GX263" s="31"/>
      <c r="GY263" s="31" t="s">
        <v>338</v>
      </c>
      <c r="GZ263" s="31" t="s">
        <v>1082</v>
      </c>
      <c r="HA263" s="31"/>
      <c r="HB263" s="31" t="s">
        <v>1108</v>
      </c>
      <c r="HC263" s="31" t="s">
        <v>583</v>
      </c>
      <c r="HD263" s="26" t="s">
        <v>1109</v>
      </c>
      <c r="HE263" s="26">
        <v>10825</v>
      </c>
      <c r="HF263" s="26" t="s">
        <v>1110</v>
      </c>
      <c r="HG263" s="27" t="s">
        <v>1111</v>
      </c>
      <c r="HH263" s="27"/>
      <c r="HI263" s="26"/>
      <c r="HJ263" s="27"/>
      <c r="HK263" s="27"/>
      <c r="HL263" s="27"/>
      <c r="HM263" s="26"/>
      <c r="HN263" s="27"/>
      <c r="HO263" s="27"/>
      <c r="HP263" s="27"/>
      <c r="HQ263" s="26"/>
      <c r="HR263" s="27"/>
      <c r="HS263" s="27"/>
      <c r="HT263" s="27"/>
      <c r="HU263" s="27"/>
      <c r="HV263" s="27"/>
      <c r="HW263" s="27"/>
      <c r="HX263" s="27"/>
      <c r="HY263" s="26"/>
      <c r="HZ263" s="27"/>
      <c r="IA263" s="27"/>
      <c r="IB263" s="26"/>
      <c r="IC263" s="26"/>
      <c r="ID263" s="26"/>
      <c r="IE263" s="26"/>
      <c r="IF263" s="26"/>
      <c r="IG263" s="26"/>
      <c r="IH263" s="26"/>
      <c r="II263" s="26"/>
      <c r="IJ263" s="26"/>
      <c r="IK263" s="26"/>
      <c r="IL263" s="27"/>
      <c r="IM263" s="26"/>
      <c r="IN263" s="27"/>
      <c r="IO263" s="27"/>
      <c r="IP263" s="27"/>
      <c r="IQ263" s="27"/>
      <c r="IR263" s="26"/>
      <c r="IS263" s="27"/>
      <c r="IT263" s="27"/>
      <c r="IU263" s="27"/>
      <c r="IV263" s="27"/>
      <c r="IW263" s="26"/>
      <c r="IX263" s="27"/>
      <c r="IY263" s="27"/>
      <c r="IZ263" s="27"/>
      <c r="JA263" s="27"/>
      <c r="JB263" s="26"/>
      <c r="JC263" s="27"/>
      <c r="JD263" s="27"/>
      <c r="JE263" s="27"/>
      <c r="JF263" s="27"/>
      <c r="JG263" s="27"/>
      <c r="JH263" s="27"/>
      <c r="JI263" s="27"/>
      <c r="JJ263" s="27"/>
      <c r="JK263" s="27"/>
      <c r="JL263" s="27"/>
      <c r="JM263" s="27"/>
      <c r="JN263" s="27"/>
      <c r="JO263" s="27"/>
      <c r="JP263" s="27"/>
      <c r="JQ263" s="27"/>
      <c r="JR263" s="27"/>
      <c r="JS263" s="27"/>
      <c r="JT263" s="27"/>
      <c r="JU263" s="30"/>
      <c r="JV263" s="30"/>
      <c r="JW263" s="30"/>
      <c r="JX263" s="30"/>
      <c r="JY263" s="30"/>
      <c r="JZ263" s="30"/>
      <c r="KA263" s="30"/>
      <c r="KB263" s="30"/>
      <c r="KC263" s="30"/>
      <c r="KD263" s="30"/>
      <c r="KE263" s="30"/>
      <c r="KF263" s="30"/>
      <c r="KG263" s="29"/>
      <c r="KH263" s="29"/>
      <c r="KI263" s="29"/>
      <c r="KJ263" s="29"/>
      <c r="KK263" s="29"/>
      <c r="KL263" s="29"/>
      <c r="KM263" s="29"/>
      <c r="KN263" s="29"/>
      <c r="KO263" s="29"/>
      <c r="KP263" s="14" t="s">
        <v>1112</v>
      </c>
      <c r="KQ263" s="14" t="s">
        <v>1112</v>
      </c>
      <c r="KR263" s="14" t="s">
        <v>1113</v>
      </c>
      <c r="KS263" s="14" t="s">
        <v>1114</v>
      </c>
      <c r="KT263" s="14" t="s">
        <v>6480</v>
      </c>
    </row>
    <row r="264" spans="1:306" ht="132" x14ac:dyDescent="0.25">
      <c r="A264" s="14" t="s">
        <v>6698</v>
      </c>
      <c r="B264" s="29" t="s">
        <v>383</v>
      </c>
      <c r="C264" s="30" t="s">
        <v>403</v>
      </c>
      <c r="D264" s="26" t="s">
        <v>606</v>
      </c>
      <c r="E264" s="29">
        <v>648312</v>
      </c>
      <c r="F264" s="29"/>
      <c r="G264" s="29" t="s">
        <v>427</v>
      </c>
      <c r="H264" s="31">
        <v>142.22</v>
      </c>
      <c r="I264" s="31">
        <v>-33.369999999999997</v>
      </c>
      <c r="J264" s="29" t="s">
        <v>6699</v>
      </c>
      <c r="K264" s="29" t="s">
        <v>298</v>
      </c>
      <c r="L264" s="29" t="s">
        <v>1107</v>
      </c>
      <c r="M264" s="29"/>
      <c r="N264" s="29"/>
      <c r="O264" s="26"/>
      <c r="P264" s="29"/>
      <c r="Q264" s="30"/>
      <c r="R264" s="30"/>
      <c r="S264" s="27"/>
      <c r="T264" s="27"/>
      <c r="U264" s="27"/>
      <c r="V264" s="27"/>
      <c r="W264" s="27"/>
      <c r="X264" s="27"/>
      <c r="Y264" s="26"/>
      <c r="Z264" s="29" t="s">
        <v>383</v>
      </c>
      <c r="AA264" s="30" t="s">
        <v>403</v>
      </c>
      <c r="AB264" s="26" t="s">
        <v>606</v>
      </c>
      <c r="AC264" s="29" t="s">
        <v>381</v>
      </c>
      <c r="AD264" s="29" t="s">
        <v>302</v>
      </c>
      <c r="AE264" s="30">
        <v>6.1</v>
      </c>
      <c r="AF264" s="30">
        <v>1.1000000000000001</v>
      </c>
      <c r="AG264" s="27" t="s">
        <v>379</v>
      </c>
      <c r="AH264" s="27" t="s">
        <v>372</v>
      </c>
      <c r="AI264" s="27"/>
      <c r="AJ264" s="27"/>
      <c r="AK264" s="27"/>
      <c r="AL264" s="27"/>
      <c r="AM264" s="26">
        <v>4</v>
      </c>
      <c r="AN264" s="29"/>
      <c r="AO264" s="29"/>
      <c r="AP264" s="29"/>
      <c r="AQ264" s="30"/>
      <c r="AR264" s="26"/>
      <c r="AS264" s="30"/>
      <c r="AT264" s="30"/>
      <c r="AU264" s="27"/>
      <c r="AV264" s="27"/>
      <c r="AW264" s="27"/>
      <c r="AX264" s="27"/>
      <c r="AY264" s="27"/>
      <c r="AZ264" s="27"/>
      <c r="BA264" s="26"/>
      <c r="BB264" s="29"/>
      <c r="BC264" s="29"/>
      <c r="BD264" s="29"/>
      <c r="BE264" s="30"/>
      <c r="BF264" s="26"/>
      <c r="BG264" s="27"/>
      <c r="BH264" s="27"/>
      <c r="BI264" s="27"/>
      <c r="BJ264" s="27"/>
      <c r="BK264" s="27"/>
      <c r="BL264" s="27"/>
      <c r="BM264" s="27"/>
      <c r="BN264" s="27"/>
      <c r="BO264" s="26"/>
      <c r="BP264" s="30">
        <v>1495</v>
      </c>
      <c r="BQ264" s="30"/>
      <c r="BR264" s="30"/>
      <c r="BS264" s="30"/>
      <c r="BT264" s="30"/>
      <c r="BU264" s="26"/>
      <c r="BV264" s="31"/>
      <c r="BW264" s="31"/>
      <c r="BX264" s="31"/>
      <c r="BY264" s="31"/>
      <c r="BZ264" s="31"/>
      <c r="CA264" s="31"/>
      <c r="CB264" s="31"/>
      <c r="CC264" s="31"/>
      <c r="CD264" s="31"/>
      <c r="CE264" s="31"/>
      <c r="CF264" s="31">
        <v>0.71</v>
      </c>
      <c r="CG264" s="31"/>
      <c r="CH264" s="31"/>
      <c r="CI264" s="31"/>
      <c r="CJ264" s="31"/>
      <c r="CK264" s="31"/>
      <c r="CL264" s="31"/>
      <c r="CM264" s="31"/>
      <c r="CN264" s="31"/>
      <c r="CO264" s="31"/>
      <c r="CP264" s="31"/>
      <c r="CQ264" s="31"/>
      <c r="CR264" s="31">
        <v>0.1</v>
      </c>
      <c r="CS264" s="31"/>
      <c r="CT264" s="31"/>
      <c r="CU264" s="31"/>
      <c r="CV264" s="31"/>
      <c r="CW264" s="31"/>
      <c r="CX264" s="31"/>
      <c r="CY264" s="31"/>
      <c r="CZ264" s="31"/>
      <c r="DA264" s="31"/>
      <c r="DB264" s="31"/>
      <c r="DC264" s="31"/>
      <c r="DD264" s="31"/>
      <c r="DE264" s="31"/>
      <c r="DF264" s="31"/>
      <c r="DG264" s="31"/>
      <c r="DH264" s="31"/>
      <c r="DI264" s="31"/>
      <c r="DJ264" s="31"/>
      <c r="DK264" s="31"/>
      <c r="DL264" s="31"/>
      <c r="DM264" s="31"/>
      <c r="DN264" s="31"/>
      <c r="DO264" s="31"/>
      <c r="DP264" s="31"/>
      <c r="DQ264" s="31"/>
      <c r="DR264" s="31"/>
      <c r="DS264" s="31"/>
      <c r="DT264" s="31"/>
      <c r="DU264" s="31"/>
      <c r="DV264" s="31"/>
      <c r="DW264" s="31"/>
      <c r="DX264" s="31"/>
      <c r="DY264" s="31"/>
      <c r="DZ264" s="31"/>
      <c r="EA264" s="31"/>
      <c r="EB264" s="31"/>
      <c r="EC264" s="31"/>
      <c r="ED264" s="31"/>
      <c r="EE264" s="30">
        <v>2.7</v>
      </c>
      <c r="EF264" s="30"/>
      <c r="EG264" s="30"/>
      <c r="EH264" s="32"/>
      <c r="EI264" s="32"/>
      <c r="EJ264" s="32"/>
      <c r="EK264" s="32"/>
      <c r="EL264" s="31"/>
      <c r="EM264" s="31"/>
      <c r="EN264" s="31"/>
      <c r="EO264" s="31"/>
      <c r="EP264" s="31"/>
      <c r="EQ264" s="31"/>
      <c r="ER264" s="31"/>
      <c r="ES264" s="31"/>
      <c r="ET264" s="31"/>
      <c r="EU264" s="31">
        <v>10.59</v>
      </c>
      <c r="EV264" s="31"/>
      <c r="EW264" s="31"/>
      <c r="EX264" s="31"/>
      <c r="EY264" s="31"/>
      <c r="EZ264" s="31"/>
      <c r="FA264" s="31"/>
      <c r="FB264" s="31"/>
      <c r="FC264" s="31"/>
      <c r="FD264" s="31"/>
      <c r="FE264" s="31"/>
      <c r="FF264" s="31"/>
      <c r="FG264" s="31">
        <v>1.56</v>
      </c>
      <c r="FH264" s="31"/>
      <c r="FI264" s="31"/>
      <c r="FJ264" s="31"/>
      <c r="FK264" s="31"/>
      <c r="FL264" s="31"/>
      <c r="FM264" s="31"/>
      <c r="FN264" s="31"/>
      <c r="FO264" s="31"/>
      <c r="FP264" s="31"/>
      <c r="FQ264" s="31"/>
      <c r="FR264" s="31"/>
      <c r="FS264" s="31"/>
      <c r="FT264" s="31"/>
      <c r="FU264" s="31"/>
      <c r="FV264" s="31"/>
      <c r="FW264" s="31"/>
      <c r="FX264" s="31"/>
      <c r="FY264" s="31"/>
      <c r="FZ264" s="31"/>
      <c r="GA264" s="31"/>
      <c r="GB264" s="31"/>
      <c r="GC264" s="31"/>
      <c r="GD264" s="31"/>
      <c r="GE264" s="31"/>
      <c r="GF264" s="31"/>
      <c r="GG264" s="31"/>
      <c r="GH264" s="31"/>
      <c r="GI264" s="31"/>
      <c r="GJ264" s="31"/>
      <c r="GK264" s="31"/>
      <c r="GL264" s="31"/>
      <c r="GM264" s="31"/>
      <c r="GN264" s="31"/>
      <c r="GO264" s="31"/>
      <c r="GP264" s="32"/>
      <c r="GQ264" s="31"/>
      <c r="GR264" s="31"/>
      <c r="GS264" s="31"/>
      <c r="GT264" s="31"/>
      <c r="GU264" s="31">
        <v>40.1</v>
      </c>
      <c r="GV264" s="31"/>
      <c r="GW264" s="31"/>
      <c r="GX264" s="31"/>
      <c r="GY264" s="31" t="s">
        <v>338</v>
      </c>
      <c r="GZ264" s="31" t="s">
        <v>1082</v>
      </c>
      <c r="HA264" s="31"/>
      <c r="HB264" s="31" t="s">
        <v>1108</v>
      </c>
      <c r="HC264" s="31" t="s">
        <v>583</v>
      </c>
      <c r="HD264" s="26" t="s">
        <v>1109</v>
      </c>
      <c r="HE264" s="26">
        <v>10825</v>
      </c>
      <c r="HF264" s="26" t="s">
        <v>1110</v>
      </c>
      <c r="HG264" s="27" t="s">
        <v>1111</v>
      </c>
      <c r="HH264" s="27"/>
      <c r="HI264" s="26"/>
      <c r="HJ264" s="27"/>
      <c r="HK264" s="27"/>
      <c r="HL264" s="27"/>
      <c r="HM264" s="26"/>
      <c r="HN264" s="27"/>
      <c r="HO264" s="27"/>
      <c r="HP264" s="27"/>
      <c r="HQ264" s="26"/>
      <c r="HR264" s="27"/>
      <c r="HS264" s="27"/>
      <c r="HT264" s="27"/>
      <c r="HU264" s="27"/>
      <c r="HV264" s="27"/>
      <c r="HW264" s="27"/>
      <c r="HX264" s="27"/>
      <c r="HY264" s="27"/>
      <c r="HZ264" s="27"/>
      <c r="IA264" s="27"/>
      <c r="IB264" s="26"/>
      <c r="IC264" s="26"/>
      <c r="ID264" s="26"/>
      <c r="IE264" s="27"/>
      <c r="IF264" s="26"/>
      <c r="IG264" s="26"/>
      <c r="IH264" s="26"/>
      <c r="II264" s="26"/>
      <c r="IJ264" s="26"/>
      <c r="IK264" s="26"/>
      <c r="IL264" s="27"/>
      <c r="IM264" s="26"/>
      <c r="IN264" s="27"/>
      <c r="IO264" s="27"/>
      <c r="IP264" s="27"/>
      <c r="IQ264" s="27"/>
      <c r="IR264" s="26"/>
      <c r="IS264" s="27"/>
      <c r="IT264" s="27"/>
      <c r="IU264" s="27"/>
      <c r="IV264" s="27"/>
      <c r="IW264" s="26"/>
      <c r="IX264" s="27"/>
      <c r="IY264" s="27"/>
      <c r="IZ264" s="27"/>
      <c r="JA264" s="27"/>
      <c r="JB264" s="26"/>
      <c r="JC264" s="27"/>
      <c r="JD264" s="27"/>
      <c r="JE264" s="27"/>
      <c r="JF264" s="27"/>
      <c r="JG264" s="27"/>
      <c r="JH264" s="27"/>
      <c r="JI264" s="27"/>
      <c r="JJ264" s="27"/>
      <c r="JK264" s="27"/>
      <c r="JL264" s="27"/>
      <c r="JM264" s="27"/>
      <c r="JN264" s="27"/>
      <c r="JO264" s="27"/>
      <c r="JP264" s="27"/>
      <c r="JQ264" s="27"/>
      <c r="JR264" s="27"/>
      <c r="JS264" s="27"/>
      <c r="JT264" s="27"/>
      <c r="JU264" s="30"/>
      <c r="JV264" s="30"/>
      <c r="JW264" s="30"/>
      <c r="JX264" s="30"/>
      <c r="JY264" s="30"/>
      <c r="JZ264" s="30"/>
      <c r="KA264" s="30"/>
      <c r="KB264" s="30"/>
      <c r="KC264" s="30"/>
      <c r="KD264" s="30"/>
      <c r="KE264" s="30"/>
      <c r="KF264" s="30"/>
      <c r="KG264" s="29"/>
      <c r="KH264" s="29"/>
      <c r="KI264" s="29"/>
      <c r="KJ264" s="29"/>
      <c r="KK264" s="29"/>
      <c r="KL264" s="29"/>
      <c r="KM264" s="29"/>
      <c r="KN264" s="29"/>
      <c r="KO264" s="29"/>
      <c r="KP264" s="14" t="s">
        <v>6700</v>
      </c>
      <c r="KQ264" s="14" t="s">
        <v>6701</v>
      </c>
      <c r="KR264" s="14" t="s">
        <v>1113</v>
      </c>
      <c r="KS264" s="14" t="s">
        <v>6702</v>
      </c>
      <c r="KT264" s="14" t="s">
        <v>6703</v>
      </c>
    </row>
    <row r="265" spans="1:306" ht="132" x14ac:dyDescent="0.25">
      <c r="A265" s="5" t="s">
        <v>7122</v>
      </c>
      <c r="B265" s="4" t="s">
        <v>383</v>
      </c>
      <c r="C265" s="7" t="s">
        <v>403</v>
      </c>
      <c r="D265" s="8" t="s">
        <v>606</v>
      </c>
      <c r="G265" s="4" t="s">
        <v>773</v>
      </c>
      <c r="H265" s="6">
        <v>143.02000000000001</v>
      </c>
      <c r="I265" s="6">
        <v>-35.97</v>
      </c>
      <c r="J265" s="4" t="s">
        <v>7122</v>
      </c>
      <c r="K265" s="4" t="s">
        <v>298</v>
      </c>
      <c r="L265" s="4" t="s">
        <v>1107</v>
      </c>
      <c r="Q265" s="7"/>
      <c r="R265" s="7"/>
      <c r="Z265" s="4" t="s">
        <v>383</v>
      </c>
      <c r="AA265" s="7" t="s">
        <v>403</v>
      </c>
      <c r="AB265" s="8" t="s">
        <v>606</v>
      </c>
      <c r="AC265" s="4" t="s">
        <v>381</v>
      </c>
      <c r="AD265" s="4" t="s">
        <v>302</v>
      </c>
      <c r="AE265" s="7">
        <v>6.1</v>
      </c>
      <c r="AF265" s="7">
        <v>1.1000000000000001</v>
      </c>
      <c r="AG265" s="9" t="s">
        <v>379</v>
      </c>
      <c r="AH265" s="9" t="s">
        <v>372</v>
      </c>
      <c r="AM265" s="8">
        <v>4</v>
      </c>
      <c r="AS265" s="7"/>
      <c r="AT265" s="7"/>
      <c r="BP265" s="7">
        <v>28.51</v>
      </c>
      <c r="CF265" s="6">
        <v>2.4700000000000002</v>
      </c>
      <c r="CR265" s="6">
        <v>0.27</v>
      </c>
      <c r="DZ265" s="31"/>
      <c r="EE265" s="7">
        <v>13.1</v>
      </c>
      <c r="EF265" s="7"/>
      <c r="EG265" s="7"/>
      <c r="EU265" s="6">
        <v>0.7</v>
      </c>
      <c r="EY265" s="6"/>
      <c r="FG265" s="6">
        <v>0.08</v>
      </c>
      <c r="GP265" s="32"/>
      <c r="GU265" s="6">
        <v>3.72</v>
      </c>
      <c r="GY265" s="6" t="s">
        <v>338</v>
      </c>
      <c r="GZ265" s="6" t="s">
        <v>1082</v>
      </c>
      <c r="HB265" s="6" t="s">
        <v>1108</v>
      </c>
      <c r="HC265" s="6" t="s">
        <v>583</v>
      </c>
      <c r="HD265" s="8" t="s">
        <v>1109</v>
      </c>
      <c r="HE265" s="8">
        <v>10825</v>
      </c>
      <c r="HF265" s="8" t="s">
        <v>1110</v>
      </c>
      <c r="HG265" s="9" t="s">
        <v>1111</v>
      </c>
      <c r="IW265" s="8"/>
      <c r="JB265" s="8"/>
      <c r="KP265" s="5" t="s">
        <v>1112</v>
      </c>
      <c r="KQ265" s="5" t="s">
        <v>1112</v>
      </c>
      <c r="KR265" s="5" t="s">
        <v>1113</v>
      </c>
      <c r="KS265" s="5" t="s">
        <v>1114</v>
      </c>
      <c r="KT265" s="5" t="s">
        <v>7123</v>
      </c>
    </row>
    <row r="266" spans="1:306" ht="132" x14ac:dyDescent="0.25">
      <c r="A266" s="5" t="s">
        <v>7283</v>
      </c>
      <c r="B266" s="4" t="s">
        <v>383</v>
      </c>
      <c r="C266" s="7" t="s">
        <v>403</v>
      </c>
      <c r="D266" s="8" t="s">
        <v>606</v>
      </c>
      <c r="E266" s="4">
        <v>334491</v>
      </c>
      <c r="G266" s="4" t="s">
        <v>427</v>
      </c>
      <c r="H266" s="6">
        <v>143.30000000000001</v>
      </c>
      <c r="I266" s="6">
        <v>-33.159999999999997</v>
      </c>
      <c r="J266" s="4" t="s">
        <v>7280</v>
      </c>
      <c r="K266" s="4" t="s">
        <v>298</v>
      </c>
      <c r="L266" s="4" t="s">
        <v>1107</v>
      </c>
      <c r="Q266" s="7"/>
      <c r="R266" s="7"/>
      <c r="Z266" s="4" t="s">
        <v>383</v>
      </c>
      <c r="AA266" s="7" t="s">
        <v>403</v>
      </c>
      <c r="AB266" s="8" t="s">
        <v>606</v>
      </c>
      <c r="AC266" s="4" t="s">
        <v>381</v>
      </c>
      <c r="AD266" s="4" t="s">
        <v>302</v>
      </c>
      <c r="AE266" s="7">
        <v>6.1</v>
      </c>
      <c r="AF266" s="7">
        <v>1.1000000000000001</v>
      </c>
      <c r="AG266" s="9" t="s">
        <v>379</v>
      </c>
      <c r="AH266" s="9" t="s">
        <v>372</v>
      </c>
      <c r="AM266" s="8">
        <v>4</v>
      </c>
      <c r="AS266" s="7"/>
      <c r="AT266" s="7"/>
      <c r="BP266" s="7">
        <v>54</v>
      </c>
      <c r="BQ266" s="7"/>
      <c r="BR266" s="7"/>
      <c r="BS266" s="7"/>
      <c r="BT266" s="7"/>
      <c r="CF266" s="6">
        <v>0.7</v>
      </c>
      <c r="CR266" s="6">
        <v>0.19</v>
      </c>
      <c r="DZ266" s="31"/>
      <c r="EE266" s="7">
        <v>2.4</v>
      </c>
      <c r="EF266" s="7"/>
      <c r="EG266" s="7"/>
      <c r="EU266" s="6">
        <v>0.38</v>
      </c>
      <c r="EY266" s="6"/>
      <c r="FA266" s="6"/>
      <c r="FG266" s="6">
        <v>0.1</v>
      </c>
      <c r="GP266" s="32"/>
      <c r="GU266" s="6">
        <v>1.31</v>
      </c>
      <c r="GY266" s="6" t="s">
        <v>338</v>
      </c>
      <c r="GZ266" s="6" t="s">
        <v>1082</v>
      </c>
      <c r="HB266" s="6" t="s">
        <v>1108</v>
      </c>
      <c r="HC266" s="6" t="s">
        <v>583</v>
      </c>
      <c r="HD266" s="8" t="s">
        <v>1109</v>
      </c>
      <c r="HE266" s="8">
        <v>10825</v>
      </c>
      <c r="HF266" s="8" t="s">
        <v>1110</v>
      </c>
      <c r="HG266" s="9" t="s">
        <v>1111</v>
      </c>
      <c r="HY266" s="9"/>
      <c r="IE266" s="9"/>
      <c r="IW266" s="8"/>
      <c r="JB266" s="8"/>
      <c r="KP266" s="5" t="s">
        <v>7284</v>
      </c>
      <c r="KQ266" s="5" t="s">
        <v>7285</v>
      </c>
      <c r="KR266" s="5" t="s">
        <v>1113</v>
      </c>
      <c r="KS266" s="5" t="s">
        <v>6702</v>
      </c>
      <c r="KT266" s="5" t="s">
        <v>7286</v>
      </c>
    </row>
    <row r="267" spans="1:306" ht="72" x14ac:dyDescent="0.25">
      <c r="A267" s="5" t="s">
        <v>7560</v>
      </c>
      <c r="B267" s="4" t="s">
        <v>383</v>
      </c>
      <c r="C267" s="7" t="s">
        <v>403</v>
      </c>
      <c r="D267" s="8" t="s">
        <v>606</v>
      </c>
      <c r="E267" s="4">
        <v>759504</v>
      </c>
      <c r="G267" s="4" t="s">
        <v>330</v>
      </c>
      <c r="H267" s="6">
        <v>122.97</v>
      </c>
      <c r="I267" s="6">
        <v>-17.45</v>
      </c>
      <c r="K267" s="4" t="s">
        <v>481</v>
      </c>
      <c r="L267" s="4" t="s">
        <v>458</v>
      </c>
      <c r="Q267" s="8"/>
      <c r="R267" s="8"/>
      <c r="Z267" s="4" t="s">
        <v>383</v>
      </c>
      <c r="AA267" s="7" t="s">
        <v>403</v>
      </c>
      <c r="AB267" s="8" t="s">
        <v>606</v>
      </c>
      <c r="AC267" s="4" t="s">
        <v>381</v>
      </c>
      <c r="AD267" s="4" t="s">
        <v>302</v>
      </c>
      <c r="AE267" s="8">
        <v>132</v>
      </c>
      <c r="AF267" s="8">
        <v>7</v>
      </c>
      <c r="AG267" s="9" t="s">
        <v>379</v>
      </c>
      <c r="AH267" s="9" t="s">
        <v>372</v>
      </c>
      <c r="AM267" s="8">
        <v>4</v>
      </c>
      <c r="AS267" s="8"/>
      <c r="AT267" s="8"/>
      <c r="BP267" s="7">
        <v>3230</v>
      </c>
      <c r="CF267" s="6">
        <v>0.81</v>
      </c>
      <c r="CR267" s="6">
        <v>0.25</v>
      </c>
      <c r="DZ267" s="31"/>
      <c r="EU267" s="6">
        <v>26.14</v>
      </c>
      <c r="FG267" s="6">
        <v>7.98</v>
      </c>
      <c r="GP267" s="32"/>
      <c r="GY267" s="6" t="s">
        <v>435</v>
      </c>
      <c r="GZ267" s="6" t="s">
        <v>1082</v>
      </c>
      <c r="HB267" s="6" t="s">
        <v>1108</v>
      </c>
      <c r="HC267" s="6" t="s">
        <v>583</v>
      </c>
      <c r="HD267" s="8" t="s">
        <v>7561</v>
      </c>
      <c r="HE267" s="8">
        <v>2645</v>
      </c>
      <c r="HF267" s="8" t="s">
        <v>7562</v>
      </c>
      <c r="HG267" s="9" t="s">
        <v>7563</v>
      </c>
      <c r="KP267" s="5" t="s">
        <v>612</v>
      </c>
      <c r="KQ267" s="5" t="s">
        <v>612</v>
      </c>
      <c r="KR267" s="18" t="s">
        <v>7564</v>
      </c>
      <c r="KS267" s="5" t="s">
        <v>612</v>
      </c>
      <c r="KT267" s="5" t="s">
        <v>7565</v>
      </c>
    </row>
    <row r="268" spans="1:306" ht="132" x14ac:dyDescent="0.25">
      <c r="A268" s="5" t="s">
        <v>7933</v>
      </c>
      <c r="B268" s="4" t="s">
        <v>383</v>
      </c>
      <c r="C268" s="7" t="s">
        <v>403</v>
      </c>
      <c r="D268" s="8" t="s">
        <v>606</v>
      </c>
      <c r="E268" s="4">
        <v>429232</v>
      </c>
      <c r="G268" s="4" t="s">
        <v>773</v>
      </c>
      <c r="H268" s="6">
        <v>143.69999999999999</v>
      </c>
      <c r="I268" s="6">
        <v>-36.22</v>
      </c>
      <c r="J268" s="4" t="s">
        <v>7933</v>
      </c>
      <c r="K268" s="4" t="s">
        <v>298</v>
      </c>
      <c r="L268" s="4" t="s">
        <v>1107</v>
      </c>
      <c r="Q268" s="7"/>
      <c r="R268" s="7"/>
      <c r="Z268" s="4" t="s">
        <v>383</v>
      </c>
      <c r="AA268" s="7" t="s">
        <v>403</v>
      </c>
      <c r="AB268" s="8" t="s">
        <v>606</v>
      </c>
      <c r="AC268" s="4" t="s">
        <v>381</v>
      </c>
      <c r="AD268" s="4" t="s">
        <v>302</v>
      </c>
      <c r="AE268" s="7">
        <v>6.1</v>
      </c>
      <c r="AF268" s="7">
        <v>1.1000000000000001</v>
      </c>
      <c r="AG268" s="9" t="s">
        <v>379</v>
      </c>
      <c r="AH268" s="9" t="s">
        <v>372</v>
      </c>
      <c r="AM268" s="8">
        <v>4</v>
      </c>
      <c r="AS268" s="7"/>
      <c r="AT268" s="7"/>
      <c r="BP268" s="7">
        <v>223</v>
      </c>
      <c r="CF268" s="6">
        <v>0.55000000000000004</v>
      </c>
      <c r="CR268" s="6">
        <v>0.26</v>
      </c>
      <c r="DZ268" s="31"/>
      <c r="EE268" s="7">
        <v>2.9</v>
      </c>
      <c r="EF268" s="7"/>
      <c r="EG268" s="7"/>
      <c r="EU268" s="6">
        <v>1.22</v>
      </c>
      <c r="FG268" s="6">
        <v>0.56999999999999995</v>
      </c>
      <c r="GP268" s="32"/>
      <c r="GY268" s="6" t="s">
        <v>338</v>
      </c>
      <c r="GZ268" s="6" t="s">
        <v>1082</v>
      </c>
      <c r="HA268" s="6" t="s">
        <v>1108</v>
      </c>
      <c r="HC268" s="6" t="s">
        <v>583</v>
      </c>
      <c r="HD268" s="8" t="s">
        <v>1109</v>
      </c>
      <c r="HE268" s="8">
        <v>10825</v>
      </c>
      <c r="HF268" s="8" t="s">
        <v>1110</v>
      </c>
      <c r="HG268" s="9" t="s">
        <v>1111</v>
      </c>
      <c r="IW268" s="8"/>
      <c r="JB268" s="8"/>
      <c r="KP268" s="5" t="s">
        <v>4169</v>
      </c>
      <c r="KQ268" s="5" t="s">
        <v>4170</v>
      </c>
      <c r="KR268" s="5" t="s">
        <v>1113</v>
      </c>
      <c r="KS268" s="5" t="s">
        <v>4171</v>
      </c>
      <c r="KT268" s="5" t="s">
        <v>7934</v>
      </c>
    </row>
    <row r="269" spans="1:306" ht="132" x14ac:dyDescent="0.25">
      <c r="A269" s="5" t="s">
        <v>7974</v>
      </c>
      <c r="B269" s="4" t="s">
        <v>383</v>
      </c>
      <c r="C269" s="7" t="s">
        <v>403</v>
      </c>
      <c r="D269" s="8" t="s">
        <v>606</v>
      </c>
      <c r="E269" s="4">
        <v>333415</v>
      </c>
      <c r="G269" s="4" t="s">
        <v>427</v>
      </c>
      <c r="H269" s="6">
        <v>141.34</v>
      </c>
      <c r="I269" s="6">
        <v>-33.130000000000003</v>
      </c>
      <c r="J269" s="4" t="s">
        <v>7975</v>
      </c>
      <c r="K269" s="4" t="s">
        <v>298</v>
      </c>
      <c r="L269" s="4" t="s">
        <v>1107</v>
      </c>
      <c r="Q269" s="7"/>
      <c r="R269" s="7"/>
      <c r="Z269" s="4" t="s">
        <v>383</v>
      </c>
      <c r="AA269" s="7" t="s">
        <v>403</v>
      </c>
      <c r="AB269" s="8" t="s">
        <v>606</v>
      </c>
      <c r="AC269" s="4" t="s">
        <v>381</v>
      </c>
      <c r="AD269" s="4" t="s">
        <v>302</v>
      </c>
      <c r="AE269" s="7">
        <v>6.1</v>
      </c>
      <c r="AF269" s="7">
        <v>1.1000000000000001</v>
      </c>
      <c r="AG269" s="9" t="s">
        <v>379</v>
      </c>
      <c r="AH269" s="9" t="s">
        <v>372</v>
      </c>
      <c r="AM269" s="8">
        <v>4</v>
      </c>
      <c r="AS269" s="7"/>
      <c r="AT269" s="7"/>
      <c r="BP269" s="7">
        <v>455</v>
      </c>
      <c r="BQ269" s="7"/>
      <c r="BR269" s="7"/>
      <c r="BS269" s="7"/>
      <c r="BT269" s="7"/>
      <c r="CF269" s="6">
        <v>0.54</v>
      </c>
      <c r="CR269" s="6">
        <v>0.09</v>
      </c>
      <c r="DZ269" s="31"/>
      <c r="EE269" s="7">
        <v>2.6</v>
      </c>
      <c r="EF269" s="7"/>
      <c r="EG269" s="7"/>
      <c r="EU269" s="6">
        <v>2.4300000000000002</v>
      </c>
      <c r="EY269" s="6"/>
      <c r="FA269" s="6"/>
      <c r="FG269" s="6">
        <v>0.42</v>
      </c>
      <c r="GP269" s="32"/>
      <c r="GU269" s="6">
        <v>11.79</v>
      </c>
      <c r="GY269" s="6" t="s">
        <v>435</v>
      </c>
      <c r="GZ269" s="6" t="s">
        <v>1082</v>
      </c>
      <c r="HB269" s="6" t="s">
        <v>1108</v>
      </c>
      <c r="HC269" s="6" t="s">
        <v>583</v>
      </c>
      <c r="HD269" s="8" t="s">
        <v>1109</v>
      </c>
      <c r="HE269" s="8">
        <v>10825</v>
      </c>
      <c r="HF269" s="8" t="s">
        <v>1110</v>
      </c>
      <c r="HG269" s="9" t="s">
        <v>1111</v>
      </c>
      <c r="HY269" s="9"/>
      <c r="IE269" s="9"/>
      <c r="IW269" s="8"/>
      <c r="JB269" s="8"/>
      <c r="KP269" s="5" t="s">
        <v>7976</v>
      </c>
      <c r="KQ269" s="5" t="s">
        <v>7977</v>
      </c>
      <c r="KR269" s="5" t="s">
        <v>1113</v>
      </c>
      <c r="KS269" s="5" t="s">
        <v>7978</v>
      </c>
      <c r="KT269" s="5" t="s">
        <v>7979</v>
      </c>
    </row>
    <row r="270" spans="1:306" ht="132" x14ac:dyDescent="0.25">
      <c r="A270" s="5" t="s">
        <v>8086</v>
      </c>
      <c r="B270" s="4" t="s">
        <v>383</v>
      </c>
      <c r="C270" s="7" t="s">
        <v>403</v>
      </c>
      <c r="D270" s="8" t="s">
        <v>606</v>
      </c>
      <c r="E270" s="4">
        <v>334699</v>
      </c>
      <c r="G270" s="4" t="s">
        <v>427</v>
      </c>
      <c r="H270" s="6">
        <v>143.05000000000001</v>
      </c>
      <c r="I270" s="6">
        <v>-34.14</v>
      </c>
      <c r="J270" s="4" t="s">
        <v>8087</v>
      </c>
      <c r="K270" s="4" t="s">
        <v>298</v>
      </c>
      <c r="L270" s="4" t="s">
        <v>1107</v>
      </c>
      <c r="Q270" s="7"/>
      <c r="R270" s="7"/>
      <c r="Z270" s="4" t="s">
        <v>383</v>
      </c>
      <c r="AA270" s="7" t="s">
        <v>403</v>
      </c>
      <c r="AB270" s="8" t="s">
        <v>606</v>
      </c>
      <c r="AC270" s="4" t="s">
        <v>381</v>
      </c>
      <c r="AD270" s="4" t="s">
        <v>302</v>
      </c>
      <c r="AE270" s="7">
        <v>6.1</v>
      </c>
      <c r="AF270" s="7">
        <v>1.1000000000000001</v>
      </c>
      <c r="AG270" s="9" t="s">
        <v>379</v>
      </c>
      <c r="AH270" s="9" t="s">
        <v>372</v>
      </c>
      <c r="AM270" s="8">
        <v>4</v>
      </c>
      <c r="AS270" s="7"/>
      <c r="AT270" s="7"/>
      <c r="BP270" s="7">
        <v>511</v>
      </c>
      <c r="BQ270" s="7"/>
      <c r="BR270" s="7"/>
      <c r="BS270" s="7"/>
      <c r="BT270" s="7"/>
      <c r="CF270" s="6">
        <v>1</v>
      </c>
      <c r="CR270" s="6">
        <v>0.2</v>
      </c>
      <c r="DZ270" s="31"/>
      <c r="EE270" s="7">
        <v>3.9</v>
      </c>
      <c r="EF270" s="7"/>
      <c r="EG270" s="7"/>
      <c r="EU270" s="6">
        <v>5.13</v>
      </c>
      <c r="EY270" s="6"/>
      <c r="FA270" s="6"/>
      <c r="FG270" s="6">
        <v>1.01</v>
      </c>
      <c r="GP270" s="32"/>
      <c r="GU270" s="6">
        <v>19.8</v>
      </c>
      <c r="GY270" s="6" t="s">
        <v>338</v>
      </c>
      <c r="GZ270" s="6" t="s">
        <v>1082</v>
      </c>
      <c r="HB270" s="6" t="s">
        <v>1108</v>
      </c>
      <c r="HC270" s="6" t="s">
        <v>583</v>
      </c>
      <c r="HD270" s="8" t="s">
        <v>1109</v>
      </c>
      <c r="HE270" s="8">
        <v>10825</v>
      </c>
      <c r="HF270" s="8" t="s">
        <v>1110</v>
      </c>
      <c r="HG270" s="9" t="s">
        <v>1111</v>
      </c>
      <c r="IW270" s="8"/>
      <c r="JB270" s="8"/>
      <c r="KP270" s="5" t="s">
        <v>7284</v>
      </c>
      <c r="KQ270" s="5" t="s">
        <v>6701</v>
      </c>
      <c r="KR270" s="5" t="s">
        <v>1113</v>
      </c>
      <c r="KS270" s="5" t="s">
        <v>6702</v>
      </c>
      <c r="KT270" s="5" t="s">
        <v>8088</v>
      </c>
    </row>
    <row r="271" spans="1:306" ht="132" x14ac:dyDescent="0.25">
      <c r="A271" s="5" t="s">
        <v>8089</v>
      </c>
      <c r="B271" s="4" t="s">
        <v>383</v>
      </c>
      <c r="C271" s="7" t="s">
        <v>403</v>
      </c>
      <c r="D271" s="8" t="s">
        <v>606</v>
      </c>
      <c r="E271" s="4">
        <v>435948</v>
      </c>
      <c r="G271" s="4" t="s">
        <v>427</v>
      </c>
      <c r="H271" s="6">
        <v>142.84</v>
      </c>
      <c r="I271" s="6">
        <v>-33.54</v>
      </c>
      <c r="J271" s="4" t="s">
        <v>8090</v>
      </c>
      <c r="K271" s="4" t="s">
        <v>298</v>
      </c>
      <c r="L271" s="4" t="s">
        <v>1107</v>
      </c>
      <c r="Q271" s="7"/>
      <c r="R271" s="7"/>
      <c r="Z271" s="4" t="s">
        <v>383</v>
      </c>
      <c r="AA271" s="7" t="s">
        <v>403</v>
      </c>
      <c r="AB271" s="8" t="s">
        <v>606</v>
      </c>
      <c r="AC271" s="4" t="s">
        <v>381</v>
      </c>
      <c r="AD271" s="4" t="s">
        <v>302</v>
      </c>
      <c r="AE271" s="7">
        <v>6.1</v>
      </c>
      <c r="AF271" s="7">
        <v>1.1000000000000001</v>
      </c>
      <c r="AG271" s="9" t="s">
        <v>379</v>
      </c>
      <c r="AH271" s="9" t="s">
        <v>372</v>
      </c>
      <c r="AM271" s="8">
        <v>4</v>
      </c>
      <c r="AS271" s="7"/>
      <c r="AT271" s="7"/>
      <c r="BP271" s="7">
        <v>359</v>
      </c>
      <c r="BQ271" s="7"/>
      <c r="BR271" s="7"/>
      <c r="BS271" s="7"/>
      <c r="BT271" s="7"/>
      <c r="CF271" s="6">
        <v>0.77</v>
      </c>
      <c r="CR271" s="6">
        <v>0.13</v>
      </c>
      <c r="DZ271" s="31"/>
      <c r="EE271" s="7">
        <v>2.7</v>
      </c>
      <c r="EF271" s="7"/>
      <c r="EG271" s="7"/>
      <c r="EU271" s="6">
        <v>2.75</v>
      </c>
      <c r="EY271" s="6"/>
      <c r="FA271" s="6"/>
      <c r="FG271" s="6">
        <v>0.48</v>
      </c>
      <c r="GP271" s="32"/>
      <c r="GU271" s="6">
        <v>9.84</v>
      </c>
      <c r="GY271" s="6" t="s">
        <v>338</v>
      </c>
      <c r="GZ271" s="6" t="s">
        <v>1082</v>
      </c>
      <c r="HB271" s="6" t="s">
        <v>1108</v>
      </c>
      <c r="HC271" s="6" t="s">
        <v>583</v>
      </c>
      <c r="HD271" s="8" t="s">
        <v>1109</v>
      </c>
      <c r="HE271" s="8">
        <v>10825</v>
      </c>
      <c r="HF271" s="8" t="s">
        <v>1110</v>
      </c>
      <c r="HG271" s="9" t="s">
        <v>1111</v>
      </c>
      <c r="HY271" s="9"/>
      <c r="IE271" s="9"/>
      <c r="IW271" s="8"/>
      <c r="JB271" s="8"/>
      <c r="KP271" s="5" t="s">
        <v>7284</v>
      </c>
      <c r="KQ271" s="5" t="s">
        <v>7285</v>
      </c>
      <c r="KR271" s="5" t="s">
        <v>1113</v>
      </c>
      <c r="KS271" s="5" t="s">
        <v>7285</v>
      </c>
      <c r="KT271" s="5" t="s">
        <v>8091</v>
      </c>
    </row>
    <row r="272" spans="1:306" ht="96" x14ac:dyDescent="0.25">
      <c r="A272" s="5" t="s">
        <v>8363</v>
      </c>
      <c r="B272" s="4" t="s">
        <v>383</v>
      </c>
      <c r="C272" s="7" t="s">
        <v>403</v>
      </c>
      <c r="D272" s="8" t="s">
        <v>606</v>
      </c>
      <c r="E272" s="4">
        <v>333694</v>
      </c>
      <c r="G272" s="4" t="s">
        <v>330</v>
      </c>
      <c r="H272" s="6">
        <v>115.62</v>
      </c>
      <c r="I272" s="6">
        <v>-33.64</v>
      </c>
      <c r="K272" s="4" t="s">
        <v>2798</v>
      </c>
      <c r="L272" s="4" t="s">
        <v>2799</v>
      </c>
      <c r="Q272" s="7"/>
      <c r="R272" s="7"/>
      <c r="Z272" s="4" t="s">
        <v>383</v>
      </c>
      <c r="AA272" s="7" t="s">
        <v>403</v>
      </c>
      <c r="AB272" s="8" t="s">
        <v>606</v>
      </c>
      <c r="AC272" s="4" t="s">
        <v>381</v>
      </c>
      <c r="AD272" s="4" t="s">
        <v>302</v>
      </c>
      <c r="AE272" s="7">
        <v>4</v>
      </c>
      <c r="AF272" s="7">
        <v>1.4</v>
      </c>
      <c r="AG272" s="9" t="s">
        <v>379</v>
      </c>
      <c r="AH272" s="9" t="s">
        <v>372</v>
      </c>
      <c r="AM272" s="8">
        <v>4</v>
      </c>
      <c r="AS272" s="8"/>
      <c r="AT272" s="8"/>
      <c r="DZ272" s="31"/>
      <c r="EU272" s="7"/>
      <c r="FG272" s="7"/>
      <c r="GP272" s="32"/>
      <c r="GU272" s="8">
        <v>23</v>
      </c>
      <c r="GY272" s="6" t="s">
        <v>338</v>
      </c>
      <c r="HC272" s="6" t="s">
        <v>583</v>
      </c>
      <c r="HD272" s="8" t="s">
        <v>3134</v>
      </c>
      <c r="HE272" s="8">
        <v>37720</v>
      </c>
      <c r="HF272" s="8" t="s">
        <v>3135</v>
      </c>
      <c r="HG272" s="9" t="s">
        <v>3136</v>
      </c>
      <c r="IW272" s="8"/>
      <c r="JB272" s="8"/>
      <c r="KP272" s="5" t="s">
        <v>8364</v>
      </c>
      <c r="KQ272" s="5" t="s">
        <v>8365</v>
      </c>
      <c r="KR272" s="5" t="s">
        <v>3139</v>
      </c>
      <c r="KS272" s="5" t="s">
        <v>8365</v>
      </c>
      <c r="KT272" s="5" t="s">
        <v>8366</v>
      </c>
    </row>
    <row r="273" spans="1:306" ht="61.5" x14ac:dyDescent="0.2">
      <c r="A273" s="5" t="s">
        <v>2566</v>
      </c>
      <c r="B273" s="4" t="s">
        <v>1556</v>
      </c>
      <c r="C273" s="7" t="s">
        <v>10242</v>
      </c>
      <c r="D273" s="8" t="s">
        <v>638</v>
      </c>
      <c r="E273" s="44">
        <v>859588</v>
      </c>
      <c r="F273" s="4">
        <v>470980</v>
      </c>
      <c r="G273" s="4" t="s">
        <v>427</v>
      </c>
      <c r="H273" s="6">
        <v>144.38900000000001</v>
      </c>
      <c r="I273" s="6">
        <v>-30.6434</v>
      </c>
      <c r="K273" s="4" t="s">
        <v>298</v>
      </c>
      <c r="L273" s="4" t="s">
        <v>760</v>
      </c>
      <c r="Q273" s="7"/>
      <c r="R273" s="7"/>
      <c r="Z273" s="4" t="s">
        <v>1556</v>
      </c>
      <c r="AA273" s="7" t="s">
        <v>10242</v>
      </c>
      <c r="AB273" s="8" t="s">
        <v>638</v>
      </c>
      <c r="AC273" s="4" t="s">
        <v>301</v>
      </c>
      <c r="AD273" s="4" t="s">
        <v>302</v>
      </c>
      <c r="AE273" s="7">
        <v>432.6</v>
      </c>
      <c r="AF273" s="7">
        <v>1.4</v>
      </c>
      <c r="AG273" s="9" t="s">
        <v>303</v>
      </c>
      <c r="AH273" s="9" t="s">
        <v>304</v>
      </c>
      <c r="AI273" s="9" t="s">
        <v>598</v>
      </c>
      <c r="AJ273" s="9" t="s">
        <v>599</v>
      </c>
      <c r="AK273" s="9" t="s">
        <v>600</v>
      </c>
      <c r="AM273" s="8">
        <v>5</v>
      </c>
      <c r="AS273" s="7"/>
      <c r="AT273" s="7"/>
      <c r="DZ273" s="31"/>
      <c r="GP273" s="32"/>
      <c r="GY273" s="6" t="s">
        <v>309</v>
      </c>
      <c r="IW273" s="8"/>
      <c r="JB273" s="8"/>
      <c r="JV273" s="7" t="s">
        <v>2567</v>
      </c>
      <c r="JW273" s="7" t="s">
        <v>644</v>
      </c>
      <c r="JX273" s="7" t="s">
        <v>322</v>
      </c>
      <c r="JY273" s="7" t="s">
        <v>354</v>
      </c>
      <c r="JZ273" s="7" t="s">
        <v>320</v>
      </c>
      <c r="KG273" s="4" t="s">
        <v>323</v>
      </c>
      <c r="KP273" s="5" t="s">
        <v>2568</v>
      </c>
      <c r="KQ273" s="5" t="s">
        <v>2569</v>
      </c>
      <c r="KR273" s="5" t="s">
        <v>2569</v>
      </c>
      <c r="KT273" s="5" t="s">
        <v>2570</v>
      </c>
    </row>
    <row r="274" spans="1:306" ht="24" x14ac:dyDescent="0.25">
      <c r="A274" s="5" t="s">
        <v>2571</v>
      </c>
      <c r="B274" s="4" t="s">
        <v>1556</v>
      </c>
      <c r="C274" s="7" t="s">
        <v>10242</v>
      </c>
      <c r="D274" s="8" t="s">
        <v>638</v>
      </c>
      <c r="G274" s="4" t="s">
        <v>427</v>
      </c>
      <c r="H274" s="6">
        <v>144.38919999999999</v>
      </c>
      <c r="I274" s="6">
        <v>-30.644400000000001</v>
      </c>
      <c r="K274" s="4" t="s">
        <v>298</v>
      </c>
      <c r="L274" s="4" t="s">
        <v>760</v>
      </c>
      <c r="Q274" s="8"/>
      <c r="R274" s="8"/>
      <c r="Z274" s="4" t="s">
        <v>1556</v>
      </c>
      <c r="AA274" s="7" t="s">
        <v>10242</v>
      </c>
      <c r="AB274" s="8" t="s">
        <v>638</v>
      </c>
      <c r="AC274" s="4" t="s">
        <v>301</v>
      </c>
      <c r="AD274" s="4" t="s">
        <v>302</v>
      </c>
      <c r="AE274" s="8">
        <v>419</v>
      </c>
      <c r="AF274" s="8">
        <v>17</v>
      </c>
      <c r="AG274" s="9" t="s">
        <v>303</v>
      </c>
      <c r="AH274" s="9" t="s">
        <v>304</v>
      </c>
      <c r="AI274" s="9" t="s">
        <v>305</v>
      </c>
      <c r="AJ274" s="9" t="s">
        <v>306</v>
      </c>
      <c r="AK274" s="9" t="s">
        <v>307</v>
      </c>
      <c r="AL274" s="9" t="s">
        <v>2572</v>
      </c>
      <c r="AM274" s="8">
        <v>5</v>
      </c>
      <c r="AS274" s="7"/>
      <c r="AT274" s="7"/>
      <c r="DZ274" s="31"/>
      <c r="GP274" s="32"/>
      <c r="GY274" s="6" t="s">
        <v>309</v>
      </c>
      <c r="IW274" s="8"/>
      <c r="JB274" s="8"/>
      <c r="JV274" s="7" t="s">
        <v>2573</v>
      </c>
      <c r="JW274" s="7" t="s">
        <v>644</v>
      </c>
      <c r="JX274" s="7" t="s">
        <v>322</v>
      </c>
      <c r="JY274" s="7" t="s">
        <v>354</v>
      </c>
      <c r="JZ274" s="7" t="s">
        <v>320</v>
      </c>
      <c r="KG274" s="4" t="s">
        <v>323</v>
      </c>
      <c r="KP274" s="5" t="s">
        <v>2568</v>
      </c>
      <c r="KQ274" s="5" t="s">
        <v>2568</v>
      </c>
      <c r="KR274" s="5" t="s">
        <v>2568</v>
      </c>
      <c r="KT274" s="5" t="s">
        <v>2574</v>
      </c>
    </row>
    <row r="275" spans="1:306" ht="73.5" x14ac:dyDescent="0.2">
      <c r="A275" s="5" t="s">
        <v>3253</v>
      </c>
      <c r="B275" s="4" t="s">
        <v>1556</v>
      </c>
      <c r="C275" s="7" t="s">
        <v>10242</v>
      </c>
      <c r="D275" s="8" t="s">
        <v>638</v>
      </c>
      <c r="E275" s="44">
        <v>859604</v>
      </c>
      <c r="F275" s="4">
        <v>1152831</v>
      </c>
      <c r="G275" s="4" t="s">
        <v>427</v>
      </c>
      <c r="H275" s="6">
        <v>143.876</v>
      </c>
      <c r="I275" s="6">
        <v>-30.5062</v>
      </c>
      <c r="K275" s="4" t="s">
        <v>298</v>
      </c>
      <c r="L275" s="4" t="s">
        <v>760</v>
      </c>
      <c r="Q275" s="7"/>
      <c r="R275" s="7"/>
      <c r="Z275" s="4" t="s">
        <v>1556</v>
      </c>
      <c r="AA275" s="7" t="s">
        <v>10242</v>
      </c>
      <c r="AB275" s="8" t="s">
        <v>638</v>
      </c>
      <c r="AC275" s="4" t="s">
        <v>301</v>
      </c>
      <c r="AD275" s="4" t="s">
        <v>302</v>
      </c>
      <c r="AE275" s="7">
        <f>AVERAGE(424.7,425.8)</f>
        <v>425.25</v>
      </c>
      <c r="AF275" s="7">
        <f>SQRT(1.7^2+1.7^2)/2</f>
        <v>1.2020815280171306</v>
      </c>
      <c r="AG275" s="9" t="s">
        <v>303</v>
      </c>
      <c r="AH275" s="9" t="s">
        <v>304</v>
      </c>
      <c r="AI275" s="9" t="s">
        <v>598</v>
      </c>
      <c r="AJ275" s="9" t="s">
        <v>599</v>
      </c>
      <c r="AK275" s="9" t="s">
        <v>600</v>
      </c>
      <c r="AM275" s="8">
        <v>5</v>
      </c>
      <c r="AS275" s="7"/>
      <c r="AT275" s="7"/>
      <c r="DZ275" s="31"/>
      <c r="GP275" s="32"/>
      <c r="GY275" s="6" t="s">
        <v>309</v>
      </c>
      <c r="IW275" s="8"/>
      <c r="JB275" s="8"/>
      <c r="JV275" s="7" t="s">
        <v>2573</v>
      </c>
      <c r="JW275" s="7" t="s">
        <v>644</v>
      </c>
      <c r="JX275" s="7" t="s">
        <v>322</v>
      </c>
      <c r="JY275" s="7" t="s">
        <v>354</v>
      </c>
      <c r="JZ275" s="7" t="s">
        <v>320</v>
      </c>
      <c r="KG275" s="4" t="s">
        <v>323</v>
      </c>
      <c r="KP275" s="5" t="s">
        <v>2568</v>
      </c>
      <c r="KQ275" s="5" t="s">
        <v>3254</v>
      </c>
      <c r="KR275" s="5" t="s">
        <v>3254</v>
      </c>
      <c r="KT275" s="5" t="s">
        <v>3255</v>
      </c>
    </row>
    <row r="276" spans="1:306" ht="60" x14ac:dyDescent="0.2">
      <c r="A276" s="5" t="s">
        <v>3702</v>
      </c>
      <c r="B276" s="4" t="s">
        <v>1556</v>
      </c>
      <c r="C276" s="7" t="s">
        <v>10242</v>
      </c>
      <c r="D276" s="8" t="s">
        <v>638</v>
      </c>
      <c r="E276" s="44">
        <v>865585</v>
      </c>
      <c r="G276" s="4" t="s">
        <v>479</v>
      </c>
      <c r="H276" s="6">
        <v>146.68819999999999</v>
      </c>
      <c r="I276" s="6">
        <v>-20.459</v>
      </c>
      <c r="J276" s="4" t="s">
        <v>3703</v>
      </c>
      <c r="K276" s="4" t="s">
        <v>298</v>
      </c>
      <c r="L276" s="4" t="s">
        <v>760</v>
      </c>
      <c r="M276" s="4" t="s">
        <v>1047</v>
      </c>
      <c r="Q276" s="7"/>
      <c r="R276" s="7"/>
      <c r="Z276" s="4" t="s">
        <v>1556</v>
      </c>
      <c r="AA276" s="7" t="s">
        <v>10242</v>
      </c>
      <c r="AB276" s="8" t="s">
        <v>638</v>
      </c>
      <c r="AC276" s="4" t="s">
        <v>301</v>
      </c>
      <c r="AD276" s="4" t="s">
        <v>375</v>
      </c>
      <c r="AE276" s="7">
        <v>426.36966955260459</v>
      </c>
      <c r="AF276" s="7">
        <v>2.131848347763023</v>
      </c>
      <c r="AG276" s="9" t="s">
        <v>303</v>
      </c>
      <c r="AH276" s="9" t="s">
        <v>304</v>
      </c>
      <c r="AI276" s="9" t="s">
        <v>598</v>
      </c>
      <c r="AJ276" s="9" t="s">
        <v>599</v>
      </c>
      <c r="AK276" s="9" t="s">
        <v>600</v>
      </c>
      <c r="AM276" s="8">
        <v>5</v>
      </c>
      <c r="AN276" s="4" t="s">
        <v>381</v>
      </c>
      <c r="AO276" s="4" t="s">
        <v>402</v>
      </c>
      <c r="AP276" s="4" t="s">
        <v>383</v>
      </c>
      <c r="AQ276" s="7" t="s">
        <v>384</v>
      </c>
      <c r="AR276" s="8" t="s">
        <v>827</v>
      </c>
      <c r="AS276" s="7">
        <v>0</v>
      </c>
      <c r="AT276" s="7">
        <v>0</v>
      </c>
      <c r="AU276" s="9" t="s">
        <v>303</v>
      </c>
      <c r="AV276" s="9" t="s">
        <v>406</v>
      </c>
      <c r="BA276" s="8">
        <v>5</v>
      </c>
      <c r="DZ276" s="31"/>
      <c r="GP276" s="32"/>
      <c r="GY276" s="6" t="s">
        <v>407</v>
      </c>
      <c r="HD276" s="8" t="s">
        <v>3704</v>
      </c>
      <c r="HE276" s="8">
        <v>22359</v>
      </c>
      <c r="HF276" s="8" t="s">
        <v>3705</v>
      </c>
      <c r="HG276" s="9" t="s">
        <v>1025</v>
      </c>
      <c r="IB276" s="8" t="s">
        <v>3704</v>
      </c>
      <c r="IC276" s="8">
        <v>22359</v>
      </c>
      <c r="ID276" s="8" t="s">
        <v>3705</v>
      </c>
      <c r="IE276" s="9" t="s">
        <v>1025</v>
      </c>
      <c r="IF276" s="8" t="s">
        <v>319</v>
      </c>
      <c r="JV276" s="7" t="s">
        <v>3706</v>
      </c>
      <c r="KG276" s="4" t="s">
        <v>323</v>
      </c>
      <c r="KP276" s="5" t="s">
        <v>768</v>
      </c>
      <c r="KQ276" s="5" t="s">
        <v>768</v>
      </c>
      <c r="KR276" s="5" t="s">
        <v>768</v>
      </c>
      <c r="KT276" s="5" t="s">
        <v>3707</v>
      </c>
    </row>
    <row r="277" spans="1:306" ht="60" x14ac:dyDescent="0.2">
      <c r="A277" s="5" t="s">
        <v>3751</v>
      </c>
      <c r="B277" s="4" t="s">
        <v>1556</v>
      </c>
      <c r="C277" s="7" t="s">
        <v>10242</v>
      </c>
      <c r="D277" s="8" t="s">
        <v>638</v>
      </c>
      <c r="E277" s="44">
        <v>859608</v>
      </c>
      <c r="F277" s="4">
        <v>1155773</v>
      </c>
      <c r="G277" s="4" t="s">
        <v>479</v>
      </c>
      <c r="H277" s="6">
        <v>146.382811</v>
      </c>
      <c r="I277" s="6">
        <v>-20.079080000000001</v>
      </c>
      <c r="K277" s="4" t="s">
        <v>298</v>
      </c>
      <c r="L277" s="4" t="s">
        <v>760</v>
      </c>
      <c r="M277" s="4" t="s">
        <v>1047</v>
      </c>
      <c r="Q277" s="7"/>
      <c r="R277" s="7"/>
      <c r="Z277" s="4" t="s">
        <v>1556</v>
      </c>
      <c r="AA277" s="7" t="s">
        <v>10242</v>
      </c>
      <c r="AB277" s="8" t="s">
        <v>638</v>
      </c>
      <c r="AC277" s="4" t="s">
        <v>301</v>
      </c>
      <c r="AE277" s="7">
        <v>425.78113892320278</v>
      </c>
      <c r="AF277" s="7">
        <v>2.1289056946160141</v>
      </c>
      <c r="AG277" s="9" t="s">
        <v>303</v>
      </c>
      <c r="AH277" s="9" t="s">
        <v>304</v>
      </c>
      <c r="AI277" s="9" t="s">
        <v>598</v>
      </c>
      <c r="AJ277" s="9" t="s">
        <v>599</v>
      </c>
      <c r="AK277" s="9" t="s">
        <v>600</v>
      </c>
      <c r="AM277" s="8">
        <v>5</v>
      </c>
      <c r="DZ277" s="31"/>
      <c r="GP277" s="32"/>
      <c r="GY277" s="6" t="s">
        <v>407</v>
      </c>
      <c r="HD277" s="8" t="s">
        <v>3752</v>
      </c>
      <c r="HE277" s="8">
        <v>23928</v>
      </c>
      <c r="HF277" s="8" t="s">
        <v>3753</v>
      </c>
      <c r="HG277" s="9" t="s">
        <v>1025</v>
      </c>
      <c r="IB277" s="8" t="s">
        <v>3752</v>
      </c>
      <c r="IC277" s="8">
        <v>23928</v>
      </c>
      <c r="ID277" s="8" t="s">
        <v>3753</v>
      </c>
      <c r="IE277" s="9" t="s">
        <v>1025</v>
      </c>
      <c r="IF277" s="8" t="s">
        <v>445</v>
      </c>
      <c r="JV277" s="7" t="s">
        <v>3754</v>
      </c>
      <c r="JW277" s="7" t="s">
        <v>2627</v>
      </c>
      <c r="JX277" s="7" t="s">
        <v>320</v>
      </c>
      <c r="KG277" s="4" t="s">
        <v>323</v>
      </c>
      <c r="KP277" s="5" t="s">
        <v>3235</v>
      </c>
      <c r="KQ277" s="5" t="s">
        <v>3755</v>
      </c>
      <c r="KR277" s="5" t="s">
        <v>3235</v>
      </c>
      <c r="KT277" s="5" t="s">
        <v>3756</v>
      </c>
    </row>
    <row r="278" spans="1:306" ht="72" x14ac:dyDescent="0.25">
      <c r="A278" s="5" t="s">
        <v>6097</v>
      </c>
      <c r="B278" s="4" t="s">
        <v>1556</v>
      </c>
      <c r="C278" s="7" t="s">
        <v>758</v>
      </c>
      <c r="G278" s="4" t="s">
        <v>427</v>
      </c>
      <c r="H278" s="6">
        <v>148.043587505</v>
      </c>
      <c r="I278" s="6">
        <v>-32.441016236000003</v>
      </c>
      <c r="J278" s="4" t="s">
        <v>6098</v>
      </c>
      <c r="K278" s="4" t="s">
        <v>298</v>
      </c>
      <c r="L278" s="4" t="s">
        <v>299</v>
      </c>
      <c r="M278" s="4" t="s">
        <v>1359</v>
      </c>
      <c r="N278" s="4" t="s">
        <v>1360</v>
      </c>
      <c r="Z278" s="4" t="s">
        <v>1556</v>
      </c>
      <c r="AA278" s="7" t="s">
        <v>758</v>
      </c>
      <c r="AC278" s="4" t="s">
        <v>301</v>
      </c>
      <c r="AD278" s="4" t="s">
        <v>302</v>
      </c>
      <c r="BP278" s="7">
        <v>110</v>
      </c>
      <c r="BR278" s="6">
        <v>0.27</v>
      </c>
      <c r="BV278" s="6">
        <v>7.0000000000000007E-2</v>
      </c>
      <c r="DZ278" s="31"/>
      <c r="EH278" s="10">
        <f>BP278*BR278/100</f>
        <v>0.29700000000000004</v>
      </c>
      <c r="EL278" s="7">
        <f>BP278*BV278</f>
        <v>7.7000000000000011</v>
      </c>
      <c r="GP278" s="32"/>
      <c r="GY278" s="6" t="s">
        <v>338</v>
      </c>
      <c r="GZ278" s="6" t="s">
        <v>994</v>
      </c>
      <c r="HA278" s="6" t="s">
        <v>436</v>
      </c>
      <c r="HD278" s="8" t="s">
        <v>6099</v>
      </c>
      <c r="HE278" s="8">
        <v>68843</v>
      </c>
      <c r="HF278" s="8" t="s">
        <v>6100</v>
      </c>
      <c r="HG278" s="9" t="s">
        <v>6101</v>
      </c>
      <c r="HJ278" s="9" t="s">
        <v>1748</v>
      </c>
      <c r="IB278" s="8" t="s">
        <v>6099</v>
      </c>
      <c r="IC278" s="8">
        <v>68843</v>
      </c>
      <c r="ID278" s="8" t="s">
        <v>6100</v>
      </c>
      <c r="IE278" s="9" t="s">
        <v>6101</v>
      </c>
      <c r="IF278" s="9" t="s">
        <v>445</v>
      </c>
      <c r="IH278" s="9"/>
      <c r="II278" s="9" t="s">
        <v>1748</v>
      </c>
      <c r="IK278" s="8" t="s">
        <v>319</v>
      </c>
      <c r="JV278" s="7" t="s">
        <v>6102</v>
      </c>
      <c r="JX278" s="7" t="s">
        <v>320</v>
      </c>
      <c r="JY278" s="7" t="s">
        <v>321</v>
      </c>
      <c r="JZ278" s="7" t="s">
        <v>353</v>
      </c>
      <c r="KA278" s="7" t="s">
        <v>321</v>
      </c>
      <c r="KB278" s="7" t="s">
        <v>355</v>
      </c>
      <c r="KP278" s="5" t="s">
        <v>6103</v>
      </c>
      <c r="KQ278" s="5" t="s">
        <v>6103</v>
      </c>
      <c r="KS278" s="5" t="s">
        <v>6103</v>
      </c>
      <c r="KT278" s="5" t="s">
        <v>6104</v>
      </c>
    </row>
    <row r="279" spans="1:306" ht="48" x14ac:dyDescent="0.25">
      <c r="A279" s="5" t="s">
        <v>7399</v>
      </c>
      <c r="B279" s="4" t="s">
        <v>1556</v>
      </c>
      <c r="C279" s="7" t="s">
        <v>896</v>
      </c>
      <c r="D279" s="8" t="s">
        <v>4520</v>
      </c>
      <c r="E279" s="4">
        <v>334890</v>
      </c>
      <c r="G279" s="4" t="s">
        <v>427</v>
      </c>
      <c r="H279" s="6">
        <v>149.4511</v>
      </c>
      <c r="I279" s="6">
        <v>-32.195300000000003</v>
      </c>
      <c r="J279" s="4" t="s">
        <v>7399</v>
      </c>
      <c r="K279" s="4" t="s">
        <v>298</v>
      </c>
      <c r="L279" s="4" t="s">
        <v>299</v>
      </c>
      <c r="M279" s="4" t="s">
        <v>1359</v>
      </c>
      <c r="Q279" s="8"/>
      <c r="R279" s="8"/>
      <c r="Z279" s="4" t="s">
        <v>1556</v>
      </c>
      <c r="AA279" s="7" t="s">
        <v>896</v>
      </c>
      <c r="AB279" s="8" t="s">
        <v>4520</v>
      </c>
      <c r="AC279" s="4" t="s">
        <v>301</v>
      </c>
      <c r="AD279" s="4" t="s">
        <v>302</v>
      </c>
      <c r="AE279" s="8"/>
      <c r="AF279" s="8"/>
      <c r="AS279" s="7"/>
      <c r="AT279" s="7"/>
      <c r="BP279" s="7">
        <v>1.6</v>
      </c>
      <c r="CJ279" s="6">
        <v>34.03</v>
      </c>
      <c r="CQ279" s="8"/>
      <c r="CS279" s="8"/>
      <c r="DC279" s="8"/>
      <c r="DD279" s="8"/>
      <c r="DZ279" s="31"/>
      <c r="EY279" s="6">
        <f>BP279*CJ279/100</f>
        <v>0.54448000000000008</v>
      </c>
      <c r="GP279" s="32"/>
      <c r="GY279" s="6" t="s">
        <v>309</v>
      </c>
      <c r="GZ279" s="6" t="s">
        <v>386</v>
      </c>
      <c r="HD279" s="8" t="s">
        <v>3781</v>
      </c>
      <c r="HE279" s="8">
        <v>5845</v>
      </c>
      <c r="HF279" s="8" t="s">
        <v>3782</v>
      </c>
      <c r="HG279" s="9" t="s">
        <v>444</v>
      </c>
      <c r="IB279" s="8" t="s">
        <v>3781</v>
      </c>
      <c r="IC279" s="8">
        <v>5845</v>
      </c>
      <c r="ID279" s="8" t="s">
        <v>3782</v>
      </c>
      <c r="IE279" s="9" t="s">
        <v>444</v>
      </c>
      <c r="IF279" s="8" t="s">
        <v>445</v>
      </c>
      <c r="IG279" s="8" t="s">
        <v>7400</v>
      </c>
      <c r="IH279" s="8">
        <v>32034</v>
      </c>
      <c r="II279" s="8" t="s">
        <v>7401</v>
      </c>
      <c r="IJ279" s="8" t="s">
        <v>782</v>
      </c>
      <c r="IK279" s="8" t="s">
        <v>350</v>
      </c>
      <c r="IW279" s="8"/>
      <c r="JB279" s="8"/>
      <c r="JV279" s="7" t="s">
        <v>7402</v>
      </c>
      <c r="JX279" s="7" t="s">
        <v>353</v>
      </c>
      <c r="JY279" s="7" t="s">
        <v>448</v>
      </c>
      <c r="JZ279" s="7" t="s">
        <v>320</v>
      </c>
      <c r="KA279" s="7" t="s">
        <v>354</v>
      </c>
      <c r="KB279" s="7" t="s">
        <v>322</v>
      </c>
      <c r="KG279" s="4" t="s">
        <v>323</v>
      </c>
      <c r="KM279" s="4" t="s">
        <v>702</v>
      </c>
      <c r="KN279" s="4" t="s">
        <v>702</v>
      </c>
      <c r="KO279" s="4" t="s">
        <v>350</v>
      </c>
      <c r="KP279" s="5" t="s">
        <v>358</v>
      </c>
      <c r="KQ279" s="5" t="s">
        <v>7403</v>
      </c>
      <c r="KS279" s="5" t="s">
        <v>4835</v>
      </c>
      <c r="KT279" s="5" t="s">
        <v>7404</v>
      </c>
    </row>
    <row r="280" spans="1:306" ht="71.25" customHeight="1" x14ac:dyDescent="0.25">
      <c r="A280" s="5" t="s">
        <v>637</v>
      </c>
      <c r="B280" s="4" t="s">
        <v>293</v>
      </c>
      <c r="C280" s="7" t="s">
        <v>10242</v>
      </c>
      <c r="D280" s="8" t="s">
        <v>638</v>
      </c>
      <c r="E280" s="4">
        <v>334077</v>
      </c>
      <c r="G280" s="4" t="s">
        <v>296</v>
      </c>
      <c r="H280" s="6">
        <v>148.011818938</v>
      </c>
      <c r="I280" s="6">
        <v>-41.229700231000002</v>
      </c>
      <c r="J280" s="4" t="s">
        <v>637</v>
      </c>
      <c r="K280" s="4" t="s">
        <v>298</v>
      </c>
      <c r="L280" s="4" t="s">
        <v>299</v>
      </c>
      <c r="M280" s="4" t="s">
        <v>300</v>
      </c>
      <c r="Q280" s="8"/>
      <c r="R280" s="8"/>
      <c r="Z280" s="4" t="s">
        <v>293</v>
      </c>
      <c r="AA280" s="7" t="s">
        <v>10242</v>
      </c>
      <c r="AB280" s="8" t="s">
        <v>638</v>
      </c>
      <c r="AC280" s="4" t="s">
        <v>301</v>
      </c>
      <c r="AD280" s="4" t="s">
        <v>302</v>
      </c>
      <c r="AE280" s="8">
        <v>376</v>
      </c>
      <c r="AF280" s="8">
        <v>9</v>
      </c>
      <c r="AG280" s="9" t="s">
        <v>303</v>
      </c>
      <c r="AH280" s="9" t="s">
        <v>304</v>
      </c>
      <c r="AI280" s="9" t="s">
        <v>305</v>
      </c>
      <c r="AJ280" s="9" t="s">
        <v>306</v>
      </c>
      <c r="AK280" s="9" t="s">
        <v>307</v>
      </c>
      <c r="AL280" s="9" t="s">
        <v>308</v>
      </c>
      <c r="AM280" s="8">
        <v>5</v>
      </c>
      <c r="BP280" s="7">
        <f>2.15+0.236</f>
        <v>2.3860000000000001</v>
      </c>
      <c r="CY280" s="6">
        <f>(0.23*2.15+0.5*0.236)/(2.15+0.236)</f>
        <v>0.25670578373847441</v>
      </c>
      <c r="DZ280" s="31"/>
      <c r="EY280" s="6"/>
      <c r="FA280" s="6"/>
      <c r="FN280" s="7">
        <f>1000*BP280*CY280/100</f>
        <v>6.125</v>
      </c>
      <c r="GP280" s="32"/>
      <c r="GY280" s="6" t="s">
        <v>309</v>
      </c>
      <c r="GZ280" s="6" t="s">
        <v>639</v>
      </c>
      <c r="HC280" s="6" t="s">
        <v>640</v>
      </c>
      <c r="HD280" s="8" t="s">
        <v>641</v>
      </c>
      <c r="HE280" s="8">
        <v>24364</v>
      </c>
      <c r="HF280" s="8" t="s">
        <v>642</v>
      </c>
      <c r="HG280" s="8" t="s">
        <v>318</v>
      </c>
      <c r="HQ280" s="9"/>
      <c r="HY280" s="9"/>
      <c r="IB280" s="8" t="s">
        <v>641</v>
      </c>
      <c r="IC280" s="8">
        <v>24364</v>
      </c>
      <c r="ID280" s="8" t="s">
        <v>642</v>
      </c>
      <c r="IE280" s="8" t="s">
        <v>318</v>
      </c>
      <c r="IF280" s="8" t="s">
        <v>319</v>
      </c>
      <c r="IM280" s="9"/>
      <c r="IR280" s="9"/>
      <c r="JV280" s="7" t="s">
        <v>643</v>
      </c>
      <c r="JW280" s="7" t="s">
        <v>644</v>
      </c>
      <c r="JX280" s="7" t="s">
        <v>322</v>
      </c>
      <c r="JY280" s="7" t="s">
        <v>321</v>
      </c>
      <c r="JZ280" s="7" t="s">
        <v>320</v>
      </c>
      <c r="KG280" s="4" t="s">
        <v>323</v>
      </c>
      <c r="KP280" s="18" t="s">
        <v>324</v>
      </c>
      <c r="KQ280" s="5" t="s">
        <v>325</v>
      </c>
      <c r="KR280" s="5" t="s">
        <v>645</v>
      </c>
      <c r="KS280" s="5" t="s">
        <v>324</v>
      </c>
      <c r="KT280" s="5" t="s">
        <v>646</v>
      </c>
    </row>
    <row r="281" spans="1:306" ht="108" x14ac:dyDescent="0.25">
      <c r="A281" s="5" t="s">
        <v>1128</v>
      </c>
      <c r="B281" s="4" t="s">
        <v>293</v>
      </c>
      <c r="C281" s="7" t="s">
        <v>10242</v>
      </c>
      <c r="D281" s="8" t="s">
        <v>638</v>
      </c>
      <c r="E281" s="4">
        <v>334733</v>
      </c>
      <c r="G281" s="4" t="s">
        <v>479</v>
      </c>
      <c r="H281" s="6">
        <v>144.92540199999999</v>
      </c>
      <c r="I281" s="6">
        <v>-17.307485</v>
      </c>
      <c r="J281" s="4" t="s">
        <v>1129</v>
      </c>
      <c r="K281" s="4" t="s">
        <v>298</v>
      </c>
      <c r="L281" s="4" t="s">
        <v>1018</v>
      </c>
      <c r="M281" s="4" t="s">
        <v>1019</v>
      </c>
      <c r="Q281" s="8"/>
      <c r="R281" s="8"/>
      <c r="Z281" s="4" t="s">
        <v>293</v>
      </c>
      <c r="AA281" s="7" t="s">
        <v>10242</v>
      </c>
      <c r="AB281" s="8" t="s">
        <v>638</v>
      </c>
      <c r="AC281" s="4" t="s">
        <v>301</v>
      </c>
      <c r="AE281" s="8">
        <v>308</v>
      </c>
      <c r="AF281" s="8">
        <v>1</v>
      </c>
      <c r="AG281" s="9" t="s">
        <v>303</v>
      </c>
      <c r="AH281" s="9" t="s">
        <v>304</v>
      </c>
      <c r="AI281" s="9" t="s">
        <v>598</v>
      </c>
      <c r="AJ281" s="9" t="s">
        <v>599</v>
      </c>
      <c r="AK281" s="9" t="s">
        <v>600</v>
      </c>
      <c r="AM281" s="8">
        <v>5</v>
      </c>
      <c r="DZ281" s="31"/>
      <c r="EY281" s="6"/>
      <c r="FA281" s="6"/>
      <c r="FT281" s="6">
        <v>2.25</v>
      </c>
      <c r="GP281" s="32"/>
      <c r="GY281" s="6" t="s">
        <v>338</v>
      </c>
      <c r="GZ281" s="6" t="s">
        <v>916</v>
      </c>
      <c r="HC281" s="6" t="s">
        <v>1130</v>
      </c>
      <c r="HD281" s="8" t="s">
        <v>1131</v>
      </c>
      <c r="HE281" s="8">
        <v>21188</v>
      </c>
      <c r="HF281" s="8" t="s">
        <v>1132</v>
      </c>
      <c r="HG281" s="8" t="s">
        <v>1133</v>
      </c>
      <c r="HY281" s="9"/>
      <c r="IB281" s="8" t="s">
        <v>1131</v>
      </c>
      <c r="IC281" s="8">
        <v>21188</v>
      </c>
      <c r="ID281" s="8" t="s">
        <v>1132</v>
      </c>
      <c r="IE281" s="8" t="s">
        <v>1133</v>
      </c>
      <c r="IF281" s="8" t="s">
        <v>319</v>
      </c>
      <c r="IR281" s="9"/>
      <c r="JV281" s="7" t="s">
        <v>1134</v>
      </c>
      <c r="JW281" s="7" t="s">
        <v>644</v>
      </c>
      <c r="JX281" s="7" t="s">
        <v>320</v>
      </c>
      <c r="JY281" s="7" t="s">
        <v>354</v>
      </c>
      <c r="JZ281" s="7" t="s">
        <v>322</v>
      </c>
      <c r="KA281" s="7" t="s">
        <v>354</v>
      </c>
      <c r="KB281" s="7" t="s">
        <v>738</v>
      </c>
      <c r="KG281" s="4" t="s">
        <v>323</v>
      </c>
      <c r="KP281" s="5" t="s">
        <v>358</v>
      </c>
      <c r="KQ281" s="5" t="s">
        <v>1135</v>
      </c>
      <c r="KR281" s="5" t="s">
        <v>1039</v>
      </c>
      <c r="KS281" s="5" t="s">
        <v>1136</v>
      </c>
      <c r="KT281" s="5" t="s">
        <v>1137</v>
      </c>
    </row>
    <row r="282" spans="1:306" ht="96" x14ac:dyDescent="0.25">
      <c r="A282" s="5" t="s">
        <v>1460</v>
      </c>
      <c r="B282" s="4" t="s">
        <v>293</v>
      </c>
      <c r="C282" s="7" t="s">
        <v>10242</v>
      </c>
      <c r="D282" s="8" t="s">
        <v>638</v>
      </c>
      <c r="E282" s="38">
        <v>859580</v>
      </c>
      <c r="F282" s="4">
        <v>1172946</v>
      </c>
      <c r="G282" s="4" t="s">
        <v>479</v>
      </c>
      <c r="H282" s="6">
        <v>146.90305799999999</v>
      </c>
      <c r="I282" s="6">
        <v>-19.85549</v>
      </c>
      <c r="K282" s="4" t="s">
        <v>298</v>
      </c>
      <c r="L282" s="4" t="s">
        <v>760</v>
      </c>
      <c r="M282" s="4" t="s">
        <v>1047</v>
      </c>
      <c r="Q282" s="7"/>
      <c r="R282" s="7"/>
      <c r="Z282" s="4" t="s">
        <v>293</v>
      </c>
      <c r="AA282" s="7" t="s">
        <v>10242</v>
      </c>
      <c r="AB282" s="8" t="s">
        <v>638</v>
      </c>
      <c r="AC282" s="4" t="s">
        <v>301</v>
      </c>
      <c r="AD282" s="4" t="s">
        <v>375</v>
      </c>
      <c r="AE282" s="7">
        <v>300.76148940272952</v>
      </c>
      <c r="AF282" s="7">
        <v>1.5038074470136475</v>
      </c>
      <c r="AG282" s="9" t="s">
        <v>303</v>
      </c>
      <c r="AH282" s="9" t="s">
        <v>304</v>
      </c>
      <c r="AI282" s="9" t="s">
        <v>598</v>
      </c>
      <c r="AJ282" s="9" t="s">
        <v>599</v>
      </c>
      <c r="AK282" s="9" t="s">
        <v>600</v>
      </c>
      <c r="AM282" s="8">
        <v>5</v>
      </c>
      <c r="DZ282" s="31"/>
      <c r="GP282" s="32"/>
      <c r="GY282" s="6" t="s">
        <v>407</v>
      </c>
      <c r="HD282" s="8" t="s">
        <v>1461</v>
      </c>
      <c r="HE282" s="8">
        <v>11895</v>
      </c>
      <c r="HF282" s="8" t="s">
        <v>1462</v>
      </c>
      <c r="HG282" s="9" t="s">
        <v>1463</v>
      </c>
      <c r="HH282" s="9" t="s">
        <v>1464</v>
      </c>
      <c r="HI282" s="8">
        <v>3929</v>
      </c>
      <c r="HJ282" s="9" t="s">
        <v>1465</v>
      </c>
      <c r="HK282" s="9" t="s">
        <v>418</v>
      </c>
      <c r="IB282" s="8" t="s">
        <v>1461</v>
      </c>
      <c r="IC282" s="8">
        <v>11895</v>
      </c>
      <c r="ID282" s="8" t="s">
        <v>1462</v>
      </c>
      <c r="IE282" s="9" t="s">
        <v>1463</v>
      </c>
      <c r="IF282" s="8" t="s">
        <v>319</v>
      </c>
      <c r="JV282" s="7" t="s">
        <v>767</v>
      </c>
      <c r="JW282" s="7" t="s">
        <v>644</v>
      </c>
      <c r="JX282" s="7" t="s">
        <v>320</v>
      </c>
      <c r="KG282" s="4" t="s">
        <v>323</v>
      </c>
      <c r="KP282" s="5" t="s">
        <v>768</v>
      </c>
      <c r="KQ282" s="5" t="s">
        <v>768</v>
      </c>
      <c r="KR282" s="5" t="s">
        <v>768</v>
      </c>
    </row>
    <row r="283" spans="1:306" ht="84" x14ac:dyDescent="0.25">
      <c r="A283" s="5" t="s">
        <v>1630</v>
      </c>
      <c r="B283" s="4" t="s">
        <v>293</v>
      </c>
      <c r="C283" s="7" t="s">
        <v>10242</v>
      </c>
      <c r="D283" s="8" t="s">
        <v>638</v>
      </c>
      <c r="E283" s="38">
        <v>859581</v>
      </c>
      <c r="F283" s="4">
        <v>1135051</v>
      </c>
      <c r="G283" s="4" t="s">
        <v>427</v>
      </c>
      <c r="H283" s="6">
        <v>151.52600000000001</v>
      </c>
      <c r="I283" s="6">
        <v>-29.282299999999999</v>
      </c>
      <c r="J283" s="4" t="s">
        <v>1631</v>
      </c>
      <c r="K283" s="4" t="s">
        <v>298</v>
      </c>
      <c r="L283" s="4" t="s">
        <v>552</v>
      </c>
      <c r="M283" s="4" t="s">
        <v>899</v>
      </c>
      <c r="Q283" s="7"/>
      <c r="R283" s="7"/>
      <c r="Z283" s="4" t="s">
        <v>293</v>
      </c>
      <c r="AA283" s="7" t="s">
        <v>10242</v>
      </c>
      <c r="AB283" s="8" t="s">
        <v>638</v>
      </c>
      <c r="AC283" s="4" t="s">
        <v>301</v>
      </c>
      <c r="AD283" s="4" t="s">
        <v>302</v>
      </c>
      <c r="AE283" s="7">
        <v>246.2</v>
      </c>
      <c r="AF283" s="7">
        <v>0.5</v>
      </c>
      <c r="AG283" s="9" t="s">
        <v>379</v>
      </c>
      <c r="AH283" s="9" t="s">
        <v>335</v>
      </c>
      <c r="AI283" s="9" t="s">
        <v>336</v>
      </c>
      <c r="AJ283" s="9" t="s">
        <v>306</v>
      </c>
      <c r="AK283" s="9" t="s">
        <v>307</v>
      </c>
      <c r="AL283" s="9" t="s">
        <v>1295</v>
      </c>
      <c r="AM283" s="8">
        <v>4</v>
      </c>
      <c r="AS283" s="7"/>
      <c r="AT283" s="7"/>
      <c r="DZ283" s="31"/>
      <c r="EY283" s="6"/>
      <c r="FA283" s="6"/>
      <c r="GP283" s="32"/>
      <c r="GY283" s="6" t="s">
        <v>309</v>
      </c>
      <c r="HD283" s="8" t="s">
        <v>1632</v>
      </c>
      <c r="HE283" s="8">
        <v>12035</v>
      </c>
      <c r="HF283" s="8" t="s">
        <v>1633</v>
      </c>
      <c r="HG283" s="9" t="s">
        <v>1634</v>
      </c>
      <c r="HY283" s="9"/>
      <c r="IB283" s="8" t="s">
        <v>1632</v>
      </c>
      <c r="IC283" s="8">
        <v>12035</v>
      </c>
      <c r="ID283" s="8" t="s">
        <v>1635</v>
      </c>
      <c r="IE283" s="8" t="s">
        <v>1634</v>
      </c>
      <c r="IF283" s="8" t="s">
        <v>445</v>
      </c>
      <c r="IW283" s="8"/>
      <c r="JB283" s="8"/>
      <c r="JV283" s="7" t="s">
        <v>1636</v>
      </c>
      <c r="JW283" s="7" t="s">
        <v>644</v>
      </c>
      <c r="KG283" s="4" t="s">
        <v>323</v>
      </c>
      <c r="KP283" s="5" t="s">
        <v>1637</v>
      </c>
      <c r="KQ283" s="5" t="s">
        <v>1637</v>
      </c>
      <c r="KR283" s="5" t="s">
        <v>1637</v>
      </c>
      <c r="KT283" s="5" t="s">
        <v>1638</v>
      </c>
    </row>
    <row r="284" spans="1:306" ht="60" x14ac:dyDescent="0.25">
      <c r="A284" s="5" t="s">
        <v>1689</v>
      </c>
      <c r="B284" s="4" t="s">
        <v>293</v>
      </c>
      <c r="C284" s="7" t="s">
        <v>10242</v>
      </c>
      <c r="D284" s="8" t="s">
        <v>638</v>
      </c>
      <c r="G284" s="4" t="s">
        <v>479</v>
      </c>
      <c r="H284" s="6">
        <f>143+56/60</f>
        <v>143.93333333333334</v>
      </c>
      <c r="I284" s="6">
        <f>-(17+42/60)</f>
        <v>-17.7</v>
      </c>
      <c r="K284" s="4" t="s">
        <v>481</v>
      </c>
      <c r="L284" s="4" t="s">
        <v>482</v>
      </c>
      <c r="Q284" s="8"/>
      <c r="R284" s="7"/>
      <c r="Z284" s="4" t="s">
        <v>293</v>
      </c>
      <c r="AA284" s="7" t="s">
        <v>10242</v>
      </c>
      <c r="AB284" s="8" t="s">
        <v>638</v>
      </c>
      <c r="AC284" s="4" t="s">
        <v>301</v>
      </c>
      <c r="AE284" s="8">
        <v>299</v>
      </c>
      <c r="AF284" s="7"/>
      <c r="AG284" s="9" t="s">
        <v>303</v>
      </c>
      <c r="AH284" s="9" t="s">
        <v>304</v>
      </c>
      <c r="AI284" s="9" t="s">
        <v>598</v>
      </c>
      <c r="AJ284" s="9" t="s">
        <v>599</v>
      </c>
      <c r="AK284" s="9" t="s">
        <v>600</v>
      </c>
      <c r="AM284" s="8">
        <v>5</v>
      </c>
      <c r="AS284" s="7"/>
      <c r="AT284" s="7"/>
      <c r="DZ284" s="31"/>
      <c r="EY284" s="6"/>
      <c r="FA284" s="6"/>
      <c r="GP284" s="32"/>
      <c r="GY284" s="6" t="s">
        <v>407</v>
      </c>
      <c r="HD284" s="8" t="s">
        <v>1690</v>
      </c>
      <c r="HE284" s="8">
        <v>36276</v>
      </c>
      <c r="HF284" s="8" t="s">
        <v>1691</v>
      </c>
      <c r="HG284" s="9" t="s">
        <v>715</v>
      </c>
      <c r="HH284" s="9" t="s">
        <v>1692</v>
      </c>
      <c r="HI284" s="8">
        <v>28530</v>
      </c>
      <c r="HJ284" s="9" t="s">
        <v>1693</v>
      </c>
      <c r="HK284" s="9" t="s">
        <v>715</v>
      </c>
      <c r="HY284" s="9"/>
      <c r="IB284" s="8" t="s">
        <v>1690</v>
      </c>
      <c r="IC284" s="8">
        <v>36276</v>
      </c>
      <c r="ID284" s="8" t="s">
        <v>1691</v>
      </c>
      <c r="IE284" s="9" t="s">
        <v>715</v>
      </c>
      <c r="IF284" s="9" t="s">
        <v>445</v>
      </c>
      <c r="IG284" s="9" t="s">
        <v>1692</v>
      </c>
      <c r="IH284" s="8">
        <v>28530</v>
      </c>
      <c r="II284" s="9" t="s">
        <v>1693</v>
      </c>
      <c r="IJ284" s="9" t="s">
        <v>715</v>
      </c>
      <c r="IK284" s="8" t="s">
        <v>329</v>
      </c>
      <c r="IO284" s="8"/>
      <c r="IP284" s="8"/>
      <c r="IR284" s="9"/>
      <c r="JV284" s="7" t="s">
        <v>1694</v>
      </c>
      <c r="JW284" s="7" t="s">
        <v>644</v>
      </c>
      <c r="KP284" s="5" t="s">
        <v>1695</v>
      </c>
      <c r="KQ284" s="5" t="s">
        <v>1696</v>
      </c>
      <c r="KR284" s="5" t="s">
        <v>495</v>
      </c>
      <c r="KT284" s="5" t="s">
        <v>1697</v>
      </c>
    </row>
    <row r="285" spans="1:306" ht="24" x14ac:dyDescent="0.25">
      <c r="A285" s="5" t="s">
        <v>1926</v>
      </c>
      <c r="B285" s="4" t="s">
        <v>293</v>
      </c>
      <c r="C285" s="7" t="s">
        <v>10242</v>
      </c>
      <c r="D285" s="8" t="s">
        <v>638</v>
      </c>
      <c r="E285" s="4">
        <v>685547</v>
      </c>
      <c r="G285" s="4" t="s">
        <v>296</v>
      </c>
      <c r="H285" s="6">
        <v>147.96420000000001</v>
      </c>
      <c r="I285" s="6">
        <v>-41.236199999999997</v>
      </c>
      <c r="K285" s="4" t="s">
        <v>298</v>
      </c>
      <c r="L285" s="4" t="s">
        <v>299</v>
      </c>
      <c r="M285" s="4" t="s">
        <v>300</v>
      </c>
      <c r="Q285" s="8"/>
      <c r="R285" s="8"/>
      <c r="Z285" s="4" t="s">
        <v>293</v>
      </c>
      <c r="AA285" s="7" t="s">
        <v>10242</v>
      </c>
      <c r="AB285" s="8" t="s">
        <v>638</v>
      </c>
      <c r="AC285" s="4" t="s">
        <v>301</v>
      </c>
      <c r="AD285" s="4" t="s">
        <v>302</v>
      </c>
      <c r="AE285" s="8">
        <v>377</v>
      </c>
      <c r="AF285" s="8">
        <v>9</v>
      </c>
      <c r="AG285" s="9" t="s">
        <v>303</v>
      </c>
      <c r="AH285" s="9" t="s">
        <v>304</v>
      </c>
      <c r="AI285" s="9" t="s">
        <v>305</v>
      </c>
      <c r="AJ285" s="9" t="s">
        <v>306</v>
      </c>
      <c r="AK285" s="9" t="s">
        <v>307</v>
      </c>
      <c r="AL285" s="9" t="s">
        <v>308</v>
      </c>
      <c r="AM285" s="8">
        <v>5</v>
      </c>
      <c r="DZ285" s="31"/>
      <c r="GP285" s="32"/>
      <c r="GY285" s="6" t="s">
        <v>407</v>
      </c>
      <c r="HD285" s="8" t="s">
        <v>1927</v>
      </c>
      <c r="HE285" s="8">
        <v>13008</v>
      </c>
      <c r="HF285" s="8" t="s">
        <v>1928</v>
      </c>
      <c r="HG285" s="8" t="s">
        <v>318</v>
      </c>
      <c r="IB285" s="8" t="s">
        <v>1927</v>
      </c>
      <c r="IC285" s="8">
        <v>13008</v>
      </c>
      <c r="ID285" s="8" t="s">
        <v>1928</v>
      </c>
      <c r="IE285" s="8" t="s">
        <v>318</v>
      </c>
      <c r="IF285" s="8" t="s">
        <v>319</v>
      </c>
      <c r="JV285" s="7" t="s">
        <v>1929</v>
      </c>
      <c r="KG285" s="4" t="s">
        <v>323</v>
      </c>
      <c r="KP285" s="5" t="s">
        <v>645</v>
      </c>
      <c r="KQ285" s="5" t="s">
        <v>645</v>
      </c>
      <c r="KR285" s="5" t="s">
        <v>645</v>
      </c>
    </row>
    <row r="286" spans="1:306" ht="216" x14ac:dyDescent="0.25">
      <c r="A286" s="5" t="s">
        <v>2274</v>
      </c>
      <c r="B286" s="4" t="s">
        <v>293</v>
      </c>
      <c r="C286" s="7" t="s">
        <v>10242</v>
      </c>
      <c r="D286" s="8" t="s">
        <v>638</v>
      </c>
      <c r="E286" s="4">
        <v>335737</v>
      </c>
      <c r="G286" s="4" t="s">
        <v>479</v>
      </c>
      <c r="H286" s="6">
        <v>145.25460000000001</v>
      </c>
      <c r="I286" s="6">
        <v>-15.766</v>
      </c>
      <c r="J286" s="4" t="s">
        <v>2275</v>
      </c>
      <c r="K286" s="4" t="s">
        <v>298</v>
      </c>
      <c r="L286" s="4" t="s">
        <v>1018</v>
      </c>
      <c r="Q286" s="8"/>
      <c r="R286" s="8"/>
      <c r="S286" s="4"/>
      <c r="Z286" s="4" t="s">
        <v>293</v>
      </c>
      <c r="AA286" s="7" t="s">
        <v>10242</v>
      </c>
      <c r="AB286" s="8" t="s">
        <v>638</v>
      </c>
      <c r="AC286" s="4" t="s">
        <v>301</v>
      </c>
      <c r="AE286" s="8">
        <v>276</v>
      </c>
      <c r="AF286" s="8">
        <v>4</v>
      </c>
      <c r="AG286" s="4" t="s">
        <v>379</v>
      </c>
      <c r="AH286" s="9" t="s">
        <v>483</v>
      </c>
      <c r="AI286" s="9" t="s">
        <v>373</v>
      </c>
      <c r="AJ286" s="9" t="s">
        <v>306</v>
      </c>
      <c r="AK286" s="9" t="s">
        <v>307</v>
      </c>
      <c r="AL286" s="9" t="s">
        <v>308</v>
      </c>
      <c r="AM286" s="8">
        <v>3</v>
      </c>
      <c r="DZ286" s="31"/>
      <c r="EY286" s="6"/>
      <c r="FA286" s="6"/>
      <c r="FN286" s="6">
        <v>12.792999999999999</v>
      </c>
      <c r="GP286" s="32"/>
      <c r="GY286" s="6" t="s">
        <v>338</v>
      </c>
      <c r="GZ286" s="6" t="s">
        <v>639</v>
      </c>
      <c r="HC286" s="6" t="s">
        <v>640</v>
      </c>
      <c r="HD286" s="8" t="s">
        <v>2276</v>
      </c>
      <c r="HE286" s="8">
        <v>30003</v>
      </c>
      <c r="HF286" s="8" t="s">
        <v>2277</v>
      </c>
      <c r="HG286" s="8" t="s">
        <v>493</v>
      </c>
      <c r="HY286" s="9"/>
      <c r="IB286" s="8" t="s">
        <v>2278</v>
      </c>
      <c r="IC286" s="8">
        <v>30003</v>
      </c>
      <c r="ID286" s="8" t="s">
        <v>2279</v>
      </c>
      <c r="IE286" s="8" t="s">
        <v>493</v>
      </c>
      <c r="IF286" s="8" t="s">
        <v>319</v>
      </c>
      <c r="II286" s="8" t="s">
        <v>2280</v>
      </c>
      <c r="IK286" s="8" t="s">
        <v>329</v>
      </c>
      <c r="IN286" s="9" t="s">
        <v>2281</v>
      </c>
      <c r="IP286" s="9" t="s">
        <v>329</v>
      </c>
      <c r="IR286" s="9"/>
      <c r="JV286" s="7" t="s">
        <v>2282</v>
      </c>
      <c r="JW286" s="7" t="s">
        <v>644</v>
      </c>
      <c r="JX286" s="7" t="s">
        <v>320</v>
      </c>
      <c r="KG286" s="4" t="s">
        <v>323</v>
      </c>
      <c r="KP286" s="5" t="s">
        <v>358</v>
      </c>
      <c r="KQ286" s="5" t="s">
        <v>2283</v>
      </c>
      <c r="KR286" s="5" t="s">
        <v>1039</v>
      </c>
      <c r="KS286" s="5" t="s">
        <v>1039</v>
      </c>
      <c r="KT286" s="5" t="s">
        <v>2284</v>
      </c>
    </row>
    <row r="287" spans="1:306" ht="132" x14ac:dyDescent="0.25">
      <c r="A287" s="5" t="s">
        <v>2779</v>
      </c>
      <c r="B287" s="4" t="s">
        <v>293</v>
      </c>
      <c r="C287" s="7" t="s">
        <v>10242</v>
      </c>
      <c r="D287" s="8" t="s">
        <v>638</v>
      </c>
      <c r="F287" s="4">
        <v>623152</v>
      </c>
      <c r="G287" s="4" t="s">
        <v>296</v>
      </c>
      <c r="H287" s="6">
        <v>146.10839999999999</v>
      </c>
      <c r="I287" s="6">
        <v>-41.495899999999999</v>
      </c>
      <c r="J287" s="4" t="s">
        <v>2780</v>
      </c>
      <c r="K287" s="4" t="s">
        <v>298</v>
      </c>
      <c r="L287" s="4" t="s">
        <v>400</v>
      </c>
      <c r="M287" s="4" t="s">
        <v>401</v>
      </c>
      <c r="Q287" s="7"/>
      <c r="R287" s="7"/>
      <c r="Z287" s="4" t="s">
        <v>293</v>
      </c>
      <c r="AA287" s="7" t="s">
        <v>10242</v>
      </c>
      <c r="AB287" s="8" t="s">
        <v>638</v>
      </c>
      <c r="AC287" s="4" t="s">
        <v>301</v>
      </c>
      <c r="AD287" s="4" t="s">
        <v>302</v>
      </c>
      <c r="AE287" s="7">
        <v>382.9</v>
      </c>
      <c r="AF287" s="7">
        <v>2.8</v>
      </c>
      <c r="AG287" s="9" t="s">
        <v>303</v>
      </c>
      <c r="AH287" s="9" t="s">
        <v>304</v>
      </c>
      <c r="AI287" s="9" t="s">
        <v>598</v>
      </c>
      <c r="AJ287" s="9" t="s">
        <v>599</v>
      </c>
      <c r="AK287" s="9" t="s">
        <v>600</v>
      </c>
      <c r="AM287" s="8">
        <v>5</v>
      </c>
      <c r="DE287" s="7"/>
      <c r="DZ287" s="31"/>
      <c r="EY287" s="6"/>
      <c r="FA287" s="6"/>
      <c r="FT287" s="8"/>
      <c r="GP287" s="32"/>
      <c r="GY287" s="6" t="s">
        <v>407</v>
      </c>
      <c r="HD287" s="8" t="s">
        <v>2781</v>
      </c>
      <c r="HE287" s="8">
        <v>27837</v>
      </c>
      <c r="HF287" s="8" t="s">
        <v>2782</v>
      </c>
      <c r="HG287" s="9" t="s">
        <v>2783</v>
      </c>
      <c r="HH287" s="8" t="s">
        <v>2784</v>
      </c>
      <c r="HI287" s="8">
        <v>5570</v>
      </c>
      <c r="HJ287" s="8" t="s">
        <v>2785</v>
      </c>
      <c r="HK287" s="8" t="s">
        <v>2786</v>
      </c>
      <c r="HQ287" s="9"/>
      <c r="HY287" s="9"/>
      <c r="IB287" s="8" t="s">
        <v>2784</v>
      </c>
      <c r="IC287" s="8">
        <v>5570</v>
      </c>
      <c r="ID287" s="8" t="s">
        <v>2785</v>
      </c>
      <c r="IE287" s="8" t="s">
        <v>2787</v>
      </c>
      <c r="IF287" s="8" t="s">
        <v>319</v>
      </c>
      <c r="IM287" s="9"/>
      <c r="IR287" s="9"/>
      <c r="JW287" s="7" t="s">
        <v>644</v>
      </c>
      <c r="JX287" s="7" t="s">
        <v>320</v>
      </c>
      <c r="KP287" s="5" t="s">
        <v>768</v>
      </c>
      <c r="KQ287" s="5" t="s">
        <v>2788</v>
      </c>
      <c r="KR287" s="5" t="s">
        <v>768</v>
      </c>
      <c r="KT287" s="5" t="s">
        <v>2789</v>
      </c>
    </row>
    <row r="288" spans="1:306" ht="96" x14ac:dyDescent="0.25">
      <c r="A288" s="5" t="s">
        <v>3022</v>
      </c>
      <c r="B288" s="4" t="s">
        <v>293</v>
      </c>
      <c r="C288" s="7" t="s">
        <v>10242</v>
      </c>
      <c r="D288" s="8" t="s">
        <v>638</v>
      </c>
      <c r="E288" s="4">
        <v>666570</v>
      </c>
      <c r="G288" s="4" t="s">
        <v>427</v>
      </c>
      <c r="H288" s="6">
        <v>151.26309717000001</v>
      </c>
      <c r="I288" s="6">
        <v>-29.810928081</v>
      </c>
      <c r="J288" s="4" t="s">
        <v>3023</v>
      </c>
      <c r="K288" s="4" t="s">
        <v>298</v>
      </c>
      <c r="L288" s="4" t="s">
        <v>552</v>
      </c>
      <c r="M288" s="4" t="s">
        <v>899</v>
      </c>
      <c r="Q288" s="7"/>
      <c r="R288" s="7"/>
      <c r="S288" s="4"/>
      <c r="T288" s="4"/>
      <c r="U288" s="4"/>
      <c r="V288" s="4"/>
      <c r="W288" s="4"/>
      <c r="X288" s="4"/>
      <c r="Z288" s="4" t="s">
        <v>293</v>
      </c>
      <c r="AA288" s="7" t="s">
        <v>10242</v>
      </c>
      <c r="AB288" s="8" t="s">
        <v>638</v>
      </c>
      <c r="AC288" s="4" t="s">
        <v>301</v>
      </c>
      <c r="AD288" s="4" t="s">
        <v>382</v>
      </c>
      <c r="AE288" s="7">
        <v>243.9</v>
      </c>
      <c r="AF288" s="7">
        <v>0.5</v>
      </c>
      <c r="AG288" s="4" t="s">
        <v>303</v>
      </c>
      <c r="AH288" s="4" t="s">
        <v>304</v>
      </c>
      <c r="AI288" s="4" t="s">
        <v>305</v>
      </c>
      <c r="AJ288" s="4" t="s">
        <v>306</v>
      </c>
      <c r="AK288" s="4"/>
      <c r="AL288" s="4" t="s">
        <v>308</v>
      </c>
      <c r="AM288" s="8">
        <v>4</v>
      </c>
      <c r="AN288" s="4" t="s">
        <v>381</v>
      </c>
      <c r="AO288" s="4" t="s">
        <v>382</v>
      </c>
      <c r="AP288" s="4" t="s">
        <v>383</v>
      </c>
      <c r="AQ288" s="7" t="s">
        <v>403</v>
      </c>
      <c r="AR288" s="8" t="s">
        <v>3024</v>
      </c>
      <c r="AS288" s="7"/>
      <c r="AT288" s="7"/>
      <c r="BB288" s="4" t="s">
        <v>381</v>
      </c>
      <c r="BC288" s="4" t="s">
        <v>382</v>
      </c>
      <c r="BD288" s="4" t="s">
        <v>383</v>
      </c>
      <c r="BE288" s="7" t="s">
        <v>403</v>
      </c>
      <c r="BF288" s="8" t="s">
        <v>802</v>
      </c>
      <c r="BG288" s="7">
        <v>0</v>
      </c>
      <c r="BH288" s="7">
        <v>0</v>
      </c>
      <c r="BI288" s="9" t="s">
        <v>303</v>
      </c>
      <c r="BJ288" s="9" t="s">
        <v>406</v>
      </c>
      <c r="BO288" s="8">
        <v>5</v>
      </c>
      <c r="BQ288" s="7"/>
      <c r="BR288" s="7"/>
      <c r="BS288" s="7"/>
      <c r="BT288" s="7"/>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31"/>
      <c r="EA288" s="4"/>
      <c r="EB288" s="4"/>
      <c r="EC288" s="4"/>
      <c r="ED288" s="4"/>
      <c r="EE288" s="4"/>
      <c r="EF288" s="4"/>
      <c r="EG288" s="4"/>
      <c r="EK288" s="6"/>
      <c r="EY288" s="6"/>
      <c r="FA288" s="6"/>
      <c r="FN288" s="6">
        <f>1*(0.7879)</f>
        <v>0.78790000000000004</v>
      </c>
      <c r="GP288" s="32"/>
      <c r="GY288" s="6" t="s">
        <v>309</v>
      </c>
      <c r="GZ288" s="6" t="s">
        <v>639</v>
      </c>
      <c r="HC288" s="6" t="s">
        <v>640</v>
      </c>
      <c r="HD288" s="4" t="s">
        <v>3025</v>
      </c>
      <c r="HE288" s="8">
        <v>6114</v>
      </c>
      <c r="HF288" s="4" t="s">
        <v>3026</v>
      </c>
      <c r="HG288" s="4" t="s">
        <v>1634</v>
      </c>
      <c r="HH288" s="4"/>
      <c r="HJ288" s="4"/>
      <c r="HK288" s="4"/>
      <c r="HL288" s="4"/>
      <c r="HN288" s="4"/>
      <c r="HO288" s="4"/>
      <c r="HP288" s="4"/>
      <c r="HR288" s="4"/>
      <c r="HS288" s="4"/>
      <c r="HT288" s="4"/>
      <c r="HU288" s="4"/>
      <c r="HV288" s="4"/>
      <c r="HW288" s="4"/>
      <c r="HX288" s="4"/>
      <c r="HY288" s="4"/>
      <c r="HZ288" s="4"/>
      <c r="IA288" s="4"/>
      <c r="IB288" s="4" t="s">
        <v>3025</v>
      </c>
      <c r="IC288" s="8">
        <v>6114</v>
      </c>
      <c r="ID288" s="4" t="s">
        <v>3026</v>
      </c>
      <c r="IE288" s="4" t="s">
        <v>1634</v>
      </c>
      <c r="IF288" s="4" t="s">
        <v>445</v>
      </c>
      <c r="IG288" s="4"/>
      <c r="IH288" s="4"/>
      <c r="II288" s="4"/>
      <c r="IJ288" s="4"/>
      <c r="IK288" s="4"/>
      <c r="IL288" s="4"/>
      <c r="IN288" s="4"/>
      <c r="IO288" s="4"/>
      <c r="IP288" s="4"/>
      <c r="IQ288" s="4"/>
      <c r="IS288" s="4"/>
      <c r="IT288" s="4"/>
      <c r="IU288" s="4"/>
      <c r="IV288" s="4"/>
      <c r="IW288" s="8"/>
      <c r="IX288" s="4"/>
      <c r="IY288" s="4"/>
      <c r="IZ288" s="4"/>
      <c r="JA288" s="4"/>
      <c r="JB288" s="8"/>
      <c r="JC288" s="4"/>
      <c r="JD288" s="4"/>
      <c r="JE288" s="4"/>
      <c r="JF288" s="4"/>
      <c r="JG288" s="4"/>
      <c r="JH288" s="4"/>
      <c r="JI288" s="4"/>
      <c r="JJ288" s="4"/>
      <c r="JK288" s="4"/>
      <c r="JL288" s="4"/>
      <c r="JM288" s="4"/>
      <c r="JN288" s="4"/>
      <c r="JO288" s="4"/>
      <c r="JP288" s="4"/>
      <c r="JQ288" s="4"/>
      <c r="JR288" s="4"/>
      <c r="JS288" s="4"/>
      <c r="JT288" s="4"/>
      <c r="JU288" s="4"/>
      <c r="JV288" s="4" t="s">
        <v>3027</v>
      </c>
      <c r="JW288" s="4" t="s">
        <v>644</v>
      </c>
      <c r="JX288" s="4" t="s">
        <v>320</v>
      </c>
      <c r="JY288" s="4"/>
      <c r="JZ288" s="4"/>
      <c r="KA288" s="4"/>
      <c r="KB288" s="4"/>
      <c r="KC288" s="4"/>
      <c r="KD288" s="4"/>
      <c r="KE288" s="4"/>
      <c r="KF288" s="4"/>
      <c r="KP288" s="5" t="s">
        <v>3028</v>
      </c>
      <c r="KQ288" s="5" t="s">
        <v>3029</v>
      </c>
      <c r="KR288" s="5" t="s">
        <v>3030</v>
      </c>
      <c r="KS288" s="5" t="s">
        <v>3028</v>
      </c>
      <c r="KT288" s="14" t="s">
        <v>3031</v>
      </c>
    </row>
    <row r="289" spans="1:306" ht="84" x14ac:dyDescent="0.25">
      <c r="A289" s="5" t="s">
        <v>3166</v>
      </c>
      <c r="B289" s="4" t="s">
        <v>383</v>
      </c>
      <c r="C289" s="7" t="s">
        <v>403</v>
      </c>
      <c r="D289" s="8" t="s">
        <v>3024</v>
      </c>
      <c r="E289" s="4">
        <v>334651</v>
      </c>
      <c r="G289" s="4" t="s">
        <v>427</v>
      </c>
      <c r="H289" s="6">
        <f>146+5.8/12.3</f>
        <v>146.47154471544715</v>
      </c>
      <c r="I289" s="6">
        <f>-33+1/14.8</f>
        <v>-32.932432432432435</v>
      </c>
      <c r="J289" s="4" t="s">
        <v>3167</v>
      </c>
      <c r="K289" s="4" t="s">
        <v>298</v>
      </c>
      <c r="L289" s="4" t="s">
        <v>299</v>
      </c>
      <c r="M289" s="4" t="s">
        <v>428</v>
      </c>
      <c r="N289" s="4" t="s">
        <v>800</v>
      </c>
      <c r="Q289" s="7"/>
      <c r="R289" s="7"/>
      <c r="Z289" s="4" t="s">
        <v>293</v>
      </c>
      <c r="AA289" s="7" t="s">
        <v>10242</v>
      </c>
      <c r="AB289" s="8" t="s">
        <v>638</v>
      </c>
      <c r="AC289" s="4" t="s">
        <v>301</v>
      </c>
      <c r="AD289" s="4" t="s">
        <v>382</v>
      </c>
      <c r="AE289" s="7">
        <v>428</v>
      </c>
      <c r="AF289" s="7">
        <v>3.4</v>
      </c>
      <c r="AG289" s="9" t="s">
        <v>379</v>
      </c>
      <c r="AH289" s="9" t="s">
        <v>483</v>
      </c>
      <c r="AI289" s="9" t="s">
        <v>373</v>
      </c>
      <c r="AJ289" s="9" t="s">
        <v>306</v>
      </c>
      <c r="AK289" s="9" t="s">
        <v>307</v>
      </c>
      <c r="AL289" s="9" t="s">
        <v>337</v>
      </c>
      <c r="AM289" s="8">
        <v>4</v>
      </c>
      <c r="AN289" s="4" t="s">
        <v>381</v>
      </c>
      <c r="AO289" s="4" t="s">
        <v>375</v>
      </c>
      <c r="AP289" s="4" t="s">
        <v>383</v>
      </c>
      <c r="AQ289" s="7" t="s">
        <v>403</v>
      </c>
      <c r="AR289" s="8" t="s">
        <v>3024</v>
      </c>
      <c r="AS289" s="7"/>
      <c r="AT289" s="7"/>
      <c r="BB289" s="4" t="s">
        <v>381</v>
      </c>
      <c r="BC289" s="4" t="s">
        <v>382</v>
      </c>
      <c r="BD289" s="4" t="s">
        <v>383</v>
      </c>
      <c r="BE289" s="7" t="s">
        <v>403</v>
      </c>
      <c r="BF289" s="8" t="s">
        <v>802</v>
      </c>
      <c r="BG289" s="7">
        <v>0</v>
      </c>
      <c r="BH289" s="7">
        <v>0</v>
      </c>
      <c r="BI289" s="9" t="s">
        <v>303</v>
      </c>
      <c r="BJ289" s="9" t="s">
        <v>406</v>
      </c>
      <c r="BO289" s="8">
        <v>5</v>
      </c>
      <c r="DZ289" s="31"/>
      <c r="EY289" s="6"/>
      <c r="FA289" s="6"/>
      <c r="FN289" s="6">
        <f>0.7877*(0.376*4500)/1000</f>
        <v>1.3327883999999999</v>
      </c>
      <c r="GP289" s="32"/>
      <c r="GY289" s="6" t="s">
        <v>309</v>
      </c>
      <c r="GZ289" s="6" t="s">
        <v>639</v>
      </c>
      <c r="HC289" s="6" t="s">
        <v>640</v>
      </c>
      <c r="HD289" s="8" t="s">
        <v>3168</v>
      </c>
      <c r="HE289" s="8">
        <v>41569</v>
      </c>
      <c r="HF289" s="8" t="s">
        <v>3169</v>
      </c>
      <c r="HG289" s="9" t="s">
        <v>805</v>
      </c>
      <c r="HY289" s="9"/>
      <c r="IW289" s="8"/>
      <c r="JB289" s="8"/>
      <c r="JV289" s="7" t="s">
        <v>767</v>
      </c>
      <c r="JW289" s="7" t="s">
        <v>644</v>
      </c>
      <c r="JX289" s="7" t="s">
        <v>320</v>
      </c>
      <c r="KP289" s="5" t="s">
        <v>3170</v>
      </c>
      <c r="KQ289" s="5" t="s">
        <v>3171</v>
      </c>
      <c r="KR289" s="5" t="s">
        <v>3172</v>
      </c>
      <c r="KS289" s="5" t="s">
        <v>3170</v>
      </c>
      <c r="KT289" s="5" t="s">
        <v>3173</v>
      </c>
    </row>
    <row r="290" spans="1:306" ht="96" x14ac:dyDescent="0.2">
      <c r="A290" s="5" t="s">
        <v>3487</v>
      </c>
      <c r="B290" s="4" t="s">
        <v>293</v>
      </c>
      <c r="C290" s="7" t="s">
        <v>10242</v>
      </c>
      <c r="D290" s="8" t="s">
        <v>638</v>
      </c>
      <c r="E290" s="44">
        <v>335520</v>
      </c>
      <c r="G290" s="4" t="s">
        <v>427</v>
      </c>
      <c r="H290" s="6">
        <f>151+51/60+40/3600</f>
        <v>151.86111111111111</v>
      </c>
      <c r="I290" s="6">
        <f>-(29+37/60+30/3600)</f>
        <v>-29.625</v>
      </c>
      <c r="K290" s="4" t="s">
        <v>298</v>
      </c>
      <c r="L290" s="4" t="s">
        <v>552</v>
      </c>
      <c r="M290" s="4" t="s">
        <v>899</v>
      </c>
      <c r="Q290" s="7"/>
      <c r="R290" s="7"/>
      <c r="Z290" s="4" t="s">
        <v>293</v>
      </c>
      <c r="AA290" s="7" t="s">
        <v>10242</v>
      </c>
      <c r="AB290" s="8" t="s">
        <v>638</v>
      </c>
      <c r="AC290" s="4" t="s">
        <v>301</v>
      </c>
      <c r="AD290" s="4" t="s">
        <v>302</v>
      </c>
      <c r="AE290" s="7">
        <v>240</v>
      </c>
      <c r="AF290" s="7">
        <v>1</v>
      </c>
      <c r="AG290" s="9" t="s">
        <v>379</v>
      </c>
      <c r="AH290" s="9" t="s">
        <v>429</v>
      </c>
      <c r="AI290" s="9" t="s">
        <v>845</v>
      </c>
      <c r="AJ290" s="9" t="s">
        <v>431</v>
      </c>
      <c r="AK290" s="9" t="s">
        <v>432</v>
      </c>
      <c r="AM290" s="8">
        <v>3</v>
      </c>
      <c r="AS290" s="7"/>
      <c r="AT290" s="7"/>
      <c r="BP290" s="7">
        <v>30</v>
      </c>
      <c r="CT290" s="6">
        <f>0.1*0.5994</f>
        <v>5.9940000000000007E-2</v>
      </c>
      <c r="CY290" s="6">
        <f>0.04*0.7879</f>
        <v>3.1516000000000002E-2</v>
      </c>
      <c r="DE290" s="6">
        <v>0.08</v>
      </c>
      <c r="DZ290" s="31"/>
      <c r="EY290" s="6"/>
      <c r="FA290" s="6"/>
      <c r="FI290" s="8">
        <f>1000*BP290*CT290/100</f>
        <v>17.982000000000003</v>
      </c>
      <c r="FN290" s="8">
        <f>1000*BP290*CY290/100</f>
        <v>9.4548000000000005</v>
      </c>
      <c r="FT290" s="8">
        <f>1000*BP290*DE290/100</f>
        <v>24</v>
      </c>
      <c r="GP290" s="32"/>
      <c r="GY290" s="6" t="s">
        <v>309</v>
      </c>
      <c r="GZ290" s="6" t="s">
        <v>1601</v>
      </c>
      <c r="HA290" s="6" t="s">
        <v>639</v>
      </c>
      <c r="HC290" s="6" t="s">
        <v>3488</v>
      </c>
      <c r="HD290" s="8" t="s">
        <v>3489</v>
      </c>
      <c r="HE290" s="8">
        <v>29113</v>
      </c>
      <c r="HF290" s="8" t="s">
        <v>3490</v>
      </c>
      <c r="HG290" s="8" t="s">
        <v>3491</v>
      </c>
      <c r="HY290" s="9"/>
      <c r="IB290" s="8" t="s">
        <v>3489</v>
      </c>
      <c r="IC290" s="8">
        <v>29113</v>
      </c>
      <c r="ID290" s="8" t="s">
        <v>3490</v>
      </c>
      <c r="IE290" s="8" t="s">
        <v>3491</v>
      </c>
      <c r="IF290" s="8" t="s">
        <v>445</v>
      </c>
      <c r="IG290" s="8" t="s">
        <v>3492</v>
      </c>
      <c r="IH290" s="8">
        <v>74801</v>
      </c>
      <c r="II290" s="8" t="s">
        <v>3493</v>
      </c>
      <c r="IJ290" s="8" t="s">
        <v>1634</v>
      </c>
      <c r="IK290" s="8" t="s">
        <v>319</v>
      </c>
      <c r="IW290" s="8"/>
      <c r="JB290" s="8"/>
      <c r="JV290" s="7" t="s">
        <v>3494</v>
      </c>
      <c r="JX290" s="7" t="s">
        <v>320</v>
      </c>
      <c r="JY290" s="7" t="s">
        <v>321</v>
      </c>
      <c r="JZ290" s="7" t="s">
        <v>322</v>
      </c>
      <c r="KG290" s="4" t="s">
        <v>323</v>
      </c>
      <c r="KP290" s="5" t="s">
        <v>3495</v>
      </c>
      <c r="KQ290" s="5" t="s">
        <v>3496</v>
      </c>
      <c r="KR290" s="5" t="s">
        <v>3495</v>
      </c>
      <c r="KS290" s="5" t="s">
        <v>3495</v>
      </c>
      <c r="KT290" s="5" t="s">
        <v>3497</v>
      </c>
    </row>
    <row r="291" spans="1:306" ht="72" x14ac:dyDescent="0.25">
      <c r="A291" s="5" t="s">
        <v>3978</v>
      </c>
      <c r="B291" s="4" t="s">
        <v>293</v>
      </c>
      <c r="C291" s="7" t="s">
        <v>10242</v>
      </c>
      <c r="D291" s="8" t="s">
        <v>638</v>
      </c>
      <c r="E291" s="4">
        <v>335940</v>
      </c>
      <c r="G291" s="4" t="s">
        <v>479</v>
      </c>
      <c r="H291" s="6">
        <v>145.38779600000001</v>
      </c>
      <c r="I291" s="6">
        <v>-17.380983000000001</v>
      </c>
      <c r="J291" s="4" t="s">
        <v>1017</v>
      </c>
      <c r="K291" s="4" t="s">
        <v>298</v>
      </c>
      <c r="L291" s="4" t="s">
        <v>1018</v>
      </c>
      <c r="M291" s="4" t="s">
        <v>1019</v>
      </c>
      <c r="Q291" s="8"/>
      <c r="R291" s="8"/>
      <c r="Z291" s="4" t="s">
        <v>293</v>
      </c>
      <c r="AA291" s="7" t="s">
        <v>10242</v>
      </c>
      <c r="AB291" s="8" t="s">
        <v>638</v>
      </c>
      <c r="AC291" s="4" t="s">
        <v>301</v>
      </c>
      <c r="AD291" s="4" t="s">
        <v>375</v>
      </c>
      <c r="AE291" s="8">
        <v>325</v>
      </c>
      <c r="AF291" s="8"/>
      <c r="AG291" s="9" t="s">
        <v>379</v>
      </c>
      <c r="AH291" s="9" t="s">
        <v>1156</v>
      </c>
      <c r="AM291" s="8">
        <v>3</v>
      </c>
      <c r="AN291" s="4" t="s">
        <v>381</v>
      </c>
      <c r="AO291" s="4" t="s">
        <v>382</v>
      </c>
      <c r="AP291" s="4" t="s">
        <v>383</v>
      </c>
      <c r="AQ291" s="7" t="s">
        <v>403</v>
      </c>
      <c r="AR291" s="8" t="s">
        <v>3024</v>
      </c>
      <c r="AS291" s="6">
        <v>7.03</v>
      </c>
      <c r="AT291" s="6">
        <v>7.0000000000000007E-2</v>
      </c>
      <c r="AU291" s="9" t="s">
        <v>379</v>
      </c>
      <c r="AV291" s="9" t="s">
        <v>483</v>
      </c>
      <c r="AW291" s="9" t="s">
        <v>1079</v>
      </c>
      <c r="AX291" s="9" t="s">
        <v>1238</v>
      </c>
      <c r="DZ291" s="31"/>
      <c r="EY291" s="6"/>
      <c r="FA291" s="6"/>
      <c r="FN291" s="6">
        <v>11.903</v>
      </c>
      <c r="GP291" s="32"/>
      <c r="GY291" s="6" t="s">
        <v>338</v>
      </c>
      <c r="GZ291" s="6" t="s">
        <v>639</v>
      </c>
      <c r="HC291" s="6" t="s">
        <v>640</v>
      </c>
      <c r="HD291" s="8" t="s">
        <v>1692</v>
      </c>
      <c r="HE291" s="8">
        <v>28530</v>
      </c>
      <c r="HF291" s="8" t="s">
        <v>2679</v>
      </c>
      <c r="HG291" s="8" t="s">
        <v>1133</v>
      </c>
      <c r="HY291" s="9"/>
      <c r="IB291" s="8" t="s">
        <v>1692</v>
      </c>
      <c r="IC291" s="8">
        <v>28530</v>
      </c>
      <c r="ID291" s="8" t="s">
        <v>2679</v>
      </c>
      <c r="IE291" s="8" t="s">
        <v>1133</v>
      </c>
      <c r="IF291" s="8" t="s">
        <v>319</v>
      </c>
      <c r="IR291" s="9"/>
      <c r="JV291" s="7" t="s">
        <v>3979</v>
      </c>
      <c r="JW291" s="7" t="s">
        <v>644</v>
      </c>
      <c r="KG291" s="4" t="s">
        <v>323</v>
      </c>
      <c r="KP291" s="5" t="s">
        <v>358</v>
      </c>
      <c r="KQ291" s="5" t="s">
        <v>3980</v>
      </c>
      <c r="KR291" s="5" t="s">
        <v>3981</v>
      </c>
      <c r="KS291" s="5" t="s">
        <v>1039</v>
      </c>
      <c r="KT291" s="5" t="s">
        <v>3982</v>
      </c>
    </row>
    <row r="292" spans="1:306" ht="36" x14ac:dyDescent="0.25">
      <c r="A292" s="5" t="s">
        <v>4078</v>
      </c>
      <c r="B292" s="4" t="s">
        <v>293</v>
      </c>
      <c r="C292" s="7" t="s">
        <v>10242</v>
      </c>
      <c r="D292" s="8" t="s">
        <v>638</v>
      </c>
      <c r="E292" s="4">
        <v>336084</v>
      </c>
      <c r="G292" s="4" t="s">
        <v>427</v>
      </c>
      <c r="H292" s="6">
        <v>147.32878691400001</v>
      </c>
      <c r="I292" s="6">
        <v>-35.7122443851</v>
      </c>
      <c r="J292" s="4" t="s">
        <v>4078</v>
      </c>
      <c r="K292" s="4" t="s">
        <v>298</v>
      </c>
      <c r="L292" s="4" t="s">
        <v>299</v>
      </c>
      <c r="M292" s="4" t="s">
        <v>428</v>
      </c>
      <c r="N292" s="4" t="s">
        <v>800</v>
      </c>
      <c r="Q292" s="7"/>
      <c r="R292" s="7"/>
      <c r="S292" s="4"/>
      <c r="Z292" s="4" t="s">
        <v>293</v>
      </c>
      <c r="AA292" s="7" t="s">
        <v>10242</v>
      </c>
      <c r="AB292" s="8" t="s">
        <v>638</v>
      </c>
      <c r="AC292" s="4" t="s">
        <v>301</v>
      </c>
      <c r="AD292" s="4" t="s">
        <v>302</v>
      </c>
      <c r="AE292" s="7">
        <v>420.70000000000005</v>
      </c>
      <c r="AF292" s="7">
        <v>0.1</v>
      </c>
      <c r="AG292" s="4" t="s">
        <v>303</v>
      </c>
      <c r="AH292" s="9" t="s">
        <v>304</v>
      </c>
      <c r="AI292" s="9" t="s">
        <v>598</v>
      </c>
      <c r="AJ292" s="9" t="s">
        <v>599</v>
      </c>
      <c r="AK292" s="9" t="s">
        <v>600</v>
      </c>
      <c r="AM292" s="8">
        <v>5</v>
      </c>
      <c r="AS292" s="7"/>
      <c r="AT292" s="7"/>
      <c r="BP292" s="7">
        <v>0.5</v>
      </c>
      <c r="CT292" s="6">
        <v>0.1</v>
      </c>
      <c r="DZ292" s="31"/>
      <c r="EY292" s="6"/>
      <c r="FA292" s="6"/>
      <c r="FI292" s="6">
        <f>1000*BP292*CT292/100</f>
        <v>0.5</v>
      </c>
      <c r="GP292" s="32"/>
      <c r="GY292" s="6" t="s">
        <v>309</v>
      </c>
      <c r="GZ292" s="6" t="s">
        <v>763</v>
      </c>
      <c r="HC292" s="6" t="s">
        <v>4079</v>
      </c>
      <c r="HD292" s="8" t="s">
        <v>4080</v>
      </c>
      <c r="HE292" s="8">
        <v>8422</v>
      </c>
      <c r="HF292" s="8" t="s">
        <v>4081</v>
      </c>
      <c r="HG292" s="9" t="s">
        <v>782</v>
      </c>
      <c r="HY292" s="9"/>
      <c r="IB292" s="8" t="s">
        <v>4080</v>
      </c>
      <c r="IC292" s="8">
        <v>8422</v>
      </c>
      <c r="ID292" s="8" t="s">
        <v>4081</v>
      </c>
      <c r="IE292" s="9" t="s">
        <v>782</v>
      </c>
      <c r="IW292" s="8"/>
      <c r="JB292" s="8"/>
      <c r="JV292" s="7" t="s">
        <v>4082</v>
      </c>
      <c r="JW292" s="7" t="s">
        <v>644</v>
      </c>
      <c r="KG292" s="4" t="s">
        <v>323</v>
      </c>
      <c r="KP292" s="18" t="s">
        <v>4083</v>
      </c>
      <c r="KQ292" s="5" t="s">
        <v>4084</v>
      </c>
      <c r="KR292" s="5" t="s">
        <v>4085</v>
      </c>
      <c r="KS292" s="5" t="s">
        <v>4086</v>
      </c>
      <c r="KT292" s="5" t="s">
        <v>4087</v>
      </c>
    </row>
    <row r="293" spans="1:306" ht="144" x14ac:dyDescent="0.25">
      <c r="A293" s="5" t="s">
        <v>4587</v>
      </c>
      <c r="B293" s="4" t="s">
        <v>293</v>
      </c>
      <c r="C293" s="7" t="s">
        <v>10242</v>
      </c>
      <c r="D293" s="8" t="s">
        <v>638</v>
      </c>
      <c r="E293" s="4">
        <v>334370</v>
      </c>
      <c r="G293" s="4" t="s">
        <v>427</v>
      </c>
      <c r="H293" s="6">
        <v>146.68459999999999</v>
      </c>
      <c r="I293" s="6">
        <v>-33.658499999999997</v>
      </c>
      <c r="J293" s="4" t="s">
        <v>4588</v>
      </c>
      <c r="K293" s="4" t="s">
        <v>298</v>
      </c>
      <c r="L293" s="4" t="s">
        <v>299</v>
      </c>
      <c r="M293" s="4" t="s">
        <v>428</v>
      </c>
      <c r="N293" s="4" t="s">
        <v>800</v>
      </c>
      <c r="Q293" s="7"/>
      <c r="R293" s="7"/>
      <c r="Z293" s="4" t="s">
        <v>293</v>
      </c>
      <c r="AA293" s="7" t="s">
        <v>10242</v>
      </c>
      <c r="AB293" s="8" t="s">
        <v>638</v>
      </c>
      <c r="AC293" s="4" t="s">
        <v>301</v>
      </c>
      <c r="AD293" s="4" t="s">
        <v>382</v>
      </c>
      <c r="AE293" s="7">
        <v>432.2</v>
      </c>
      <c r="AF293" s="7">
        <v>2.9</v>
      </c>
      <c r="AG293" s="9" t="s">
        <v>379</v>
      </c>
      <c r="AH293" s="9" t="s">
        <v>483</v>
      </c>
      <c r="AI293" s="9" t="s">
        <v>373</v>
      </c>
      <c r="AJ293" s="9" t="s">
        <v>306</v>
      </c>
      <c r="AK293" s="9" t="s">
        <v>307</v>
      </c>
      <c r="AL293" s="9" t="s">
        <v>337</v>
      </c>
      <c r="AM293" s="8">
        <v>4</v>
      </c>
      <c r="AN293" s="4" t="s">
        <v>301</v>
      </c>
      <c r="AO293" s="4" t="s">
        <v>382</v>
      </c>
      <c r="AP293" s="4" t="s">
        <v>293</v>
      </c>
      <c r="AQ293" s="7" t="s">
        <v>294</v>
      </c>
      <c r="AR293" s="8" t="s">
        <v>295</v>
      </c>
      <c r="AS293" s="7">
        <v>432.2</v>
      </c>
      <c r="AT293" s="7">
        <v>2.9</v>
      </c>
      <c r="AU293" s="9" t="s">
        <v>379</v>
      </c>
      <c r="AV293" s="9" t="s">
        <v>483</v>
      </c>
      <c r="AW293" s="9" t="s">
        <v>373</v>
      </c>
      <c r="AX293" s="9" t="s">
        <v>306</v>
      </c>
      <c r="AY293" s="9" t="s">
        <v>307</v>
      </c>
      <c r="AZ293" s="9" t="s">
        <v>337</v>
      </c>
      <c r="BA293" s="8">
        <v>4</v>
      </c>
      <c r="BB293" s="4" t="s">
        <v>381</v>
      </c>
      <c r="BC293" s="4" t="s">
        <v>375</v>
      </c>
      <c r="BD293" s="4" t="s">
        <v>383</v>
      </c>
      <c r="BE293" s="7" t="s">
        <v>403</v>
      </c>
      <c r="BF293" s="8" t="s">
        <v>3024</v>
      </c>
      <c r="BG293" s="7"/>
      <c r="BH293" s="7"/>
      <c r="DZ293" s="31"/>
      <c r="EY293" s="6"/>
      <c r="FA293" s="6"/>
      <c r="FN293" s="6">
        <f>(3000+3771+74)*0.7/1000</f>
        <v>4.7915000000000001</v>
      </c>
      <c r="GP293" s="32"/>
      <c r="GY293" s="6" t="s">
        <v>309</v>
      </c>
      <c r="GZ293" s="6" t="s">
        <v>639</v>
      </c>
      <c r="HC293" s="6" t="s">
        <v>640</v>
      </c>
      <c r="HD293" s="8" t="s">
        <v>4589</v>
      </c>
      <c r="HE293" s="8">
        <v>32694</v>
      </c>
      <c r="HF293" s="8" t="s">
        <v>4590</v>
      </c>
      <c r="HG293" s="9" t="s">
        <v>4591</v>
      </c>
      <c r="HH293" s="8" t="s">
        <v>4592</v>
      </c>
      <c r="HI293" s="8">
        <v>9537</v>
      </c>
      <c r="HJ293" s="8" t="s">
        <v>4593</v>
      </c>
      <c r="HK293" s="8" t="s">
        <v>2517</v>
      </c>
      <c r="HY293" s="9"/>
      <c r="IB293" s="8" t="s">
        <v>4592</v>
      </c>
      <c r="IC293" s="8">
        <v>9537</v>
      </c>
      <c r="ID293" s="8" t="s">
        <v>4593</v>
      </c>
      <c r="IE293" s="8" t="s">
        <v>2517</v>
      </c>
      <c r="IF293" s="8" t="s">
        <v>319</v>
      </c>
      <c r="IW293" s="8"/>
      <c r="JB293" s="8"/>
      <c r="JV293" s="7" t="s">
        <v>4594</v>
      </c>
      <c r="JW293" s="7" t="s">
        <v>644</v>
      </c>
      <c r="JX293" s="7" t="s">
        <v>320</v>
      </c>
      <c r="KG293" s="4" t="s">
        <v>323</v>
      </c>
      <c r="KP293" s="5" t="s">
        <v>358</v>
      </c>
      <c r="KQ293" s="5" t="s">
        <v>3171</v>
      </c>
      <c r="KR293" s="5" t="s">
        <v>3172</v>
      </c>
      <c r="KS293" s="5" t="s">
        <v>3170</v>
      </c>
      <c r="KT293" s="5" t="s">
        <v>4595</v>
      </c>
    </row>
    <row r="294" spans="1:306" ht="96" x14ac:dyDescent="0.2">
      <c r="A294" s="5" t="s">
        <v>5305</v>
      </c>
      <c r="B294" s="4" t="s">
        <v>293</v>
      </c>
      <c r="C294" s="7" t="s">
        <v>10242</v>
      </c>
      <c r="D294" s="8" t="s">
        <v>638</v>
      </c>
      <c r="E294" s="44">
        <v>859650</v>
      </c>
      <c r="G294" s="4" t="s">
        <v>773</v>
      </c>
      <c r="H294" s="6">
        <v>145.5292</v>
      </c>
      <c r="I294" s="6">
        <v>-37.225900000000003</v>
      </c>
      <c r="J294" s="4" t="s">
        <v>5306</v>
      </c>
      <c r="K294" s="4" t="s">
        <v>298</v>
      </c>
      <c r="L294" s="4" t="s">
        <v>299</v>
      </c>
      <c r="M294" s="4" t="s">
        <v>775</v>
      </c>
      <c r="N294" s="4" t="s">
        <v>2417</v>
      </c>
      <c r="Q294" s="7"/>
      <c r="R294" s="7"/>
      <c r="Z294" s="4" t="s">
        <v>293</v>
      </c>
      <c r="AA294" s="7" t="s">
        <v>10242</v>
      </c>
      <c r="AB294" s="8" t="s">
        <v>638</v>
      </c>
      <c r="AC294" s="4" t="s">
        <v>301</v>
      </c>
      <c r="AD294" s="4" t="s">
        <v>302</v>
      </c>
      <c r="AE294" s="7">
        <v>371.4</v>
      </c>
      <c r="AF294" s="7">
        <v>1.3</v>
      </c>
      <c r="AG294" s="9" t="s">
        <v>303</v>
      </c>
      <c r="AH294" s="9" t="s">
        <v>304</v>
      </c>
      <c r="AI294" s="9" t="s">
        <v>598</v>
      </c>
      <c r="AJ294" s="9" t="s">
        <v>599</v>
      </c>
      <c r="AK294" s="9" t="s">
        <v>600</v>
      </c>
      <c r="AM294" s="8">
        <v>5</v>
      </c>
      <c r="AS294" s="7"/>
      <c r="AT294" s="7"/>
      <c r="DZ294" s="31"/>
      <c r="EY294" s="6"/>
      <c r="FA294" s="6"/>
      <c r="GP294" s="32"/>
      <c r="GY294" s="6" t="s">
        <v>407</v>
      </c>
      <c r="HD294" s="8" t="s">
        <v>5307</v>
      </c>
      <c r="HE294" s="8">
        <v>79441</v>
      </c>
      <c r="HF294" s="8" t="s">
        <v>5308</v>
      </c>
      <c r="HG294" s="9" t="s">
        <v>318</v>
      </c>
      <c r="HQ294" s="9"/>
      <c r="HY294" s="9"/>
      <c r="IB294" s="8" t="s">
        <v>5307</v>
      </c>
      <c r="IC294" s="8">
        <v>79441</v>
      </c>
      <c r="ID294" s="8" t="s">
        <v>5308</v>
      </c>
      <c r="IE294" s="9" t="s">
        <v>318</v>
      </c>
      <c r="IF294" s="8" t="s">
        <v>319</v>
      </c>
      <c r="JV294" s="7" t="s">
        <v>2573</v>
      </c>
      <c r="JW294" s="7" t="s">
        <v>644</v>
      </c>
      <c r="JX294" s="7" t="s">
        <v>322</v>
      </c>
      <c r="KG294" s="4" t="s">
        <v>323</v>
      </c>
      <c r="KP294" s="5" t="s">
        <v>768</v>
      </c>
      <c r="KQ294" s="5" t="s">
        <v>5309</v>
      </c>
      <c r="KR294" s="5" t="s">
        <v>5309</v>
      </c>
      <c r="KT294" s="5" t="s">
        <v>5310</v>
      </c>
    </row>
    <row r="295" spans="1:306" ht="36" x14ac:dyDescent="0.2">
      <c r="A295" s="5" t="s">
        <v>5666</v>
      </c>
      <c r="B295" s="4" t="s">
        <v>293</v>
      </c>
      <c r="C295" s="7" t="s">
        <v>10242</v>
      </c>
      <c r="D295" s="8" t="s">
        <v>638</v>
      </c>
      <c r="E295" s="44">
        <v>859618</v>
      </c>
      <c r="F295" s="4">
        <v>1159953</v>
      </c>
      <c r="G295" s="4" t="s">
        <v>479</v>
      </c>
      <c r="H295" s="6">
        <v>145.13458900000001</v>
      </c>
      <c r="I295" s="6">
        <v>-16.620709999999999</v>
      </c>
      <c r="J295" s="4" t="s">
        <v>5425</v>
      </c>
      <c r="K295" s="4" t="s">
        <v>298</v>
      </c>
      <c r="L295" s="4" t="s">
        <v>1018</v>
      </c>
      <c r="Q295" s="8"/>
      <c r="R295" s="7"/>
      <c r="S295" s="4"/>
      <c r="Z295" s="4" t="s">
        <v>293</v>
      </c>
      <c r="AA295" s="7" t="s">
        <v>10242</v>
      </c>
      <c r="AB295" s="8" t="s">
        <v>638</v>
      </c>
      <c r="AC295" s="4" t="s">
        <v>301</v>
      </c>
      <c r="AE295" s="8"/>
      <c r="AF295" s="7"/>
      <c r="AG295" s="4"/>
      <c r="AM295" s="8">
        <v>3</v>
      </c>
      <c r="DZ295" s="31"/>
      <c r="EY295" s="6"/>
      <c r="FA295" s="6"/>
      <c r="FN295" s="6">
        <v>5.6539999999999999</v>
      </c>
      <c r="GP295" s="32"/>
      <c r="GY295" s="6" t="s">
        <v>338</v>
      </c>
      <c r="GZ295" s="6" t="s">
        <v>639</v>
      </c>
      <c r="HD295" s="8" t="s">
        <v>1023</v>
      </c>
      <c r="HE295" s="8">
        <v>8404</v>
      </c>
      <c r="HF295" s="8" t="s">
        <v>2739</v>
      </c>
      <c r="HG295" s="8" t="s">
        <v>1025</v>
      </c>
      <c r="HY295" s="9"/>
      <c r="IB295" s="8" t="s">
        <v>1023</v>
      </c>
      <c r="IC295" s="8">
        <v>8404</v>
      </c>
      <c r="ID295" s="8" t="s">
        <v>2739</v>
      </c>
      <c r="IE295" s="8" t="s">
        <v>1025</v>
      </c>
      <c r="IF295" s="8" t="s">
        <v>445</v>
      </c>
      <c r="IG295" s="8" t="s">
        <v>5667</v>
      </c>
      <c r="IH295" s="8">
        <v>29538</v>
      </c>
      <c r="II295" s="8" t="s">
        <v>5668</v>
      </c>
      <c r="IJ295" s="8" t="s">
        <v>493</v>
      </c>
      <c r="IR295" s="9"/>
      <c r="KQ295" s="5" t="s">
        <v>5669</v>
      </c>
      <c r="KS295" s="5" t="s">
        <v>1039</v>
      </c>
      <c r="KT295" s="5" t="s">
        <v>5670</v>
      </c>
    </row>
    <row r="296" spans="1:306" ht="111" x14ac:dyDescent="0.25">
      <c r="A296" s="5" t="s">
        <v>5848</v>
      </c>
      <c r="B296" s="4" t="s">
        <v>293</v>
      </c>
      <c r="C296" s="7" t="s">
        <v>10242</v>
      </c>
      <c r="D296" s="8" t="s">
        <v>638</v>
      </c>
      <c r="E296" s="4">
        <v>335652</v>
      </c>
      <c r="G296" s="4" t="s">
        <v>330</v>
      </c>
      <c r="H296" s="6">
        <v>116.9774</v>
      </c>
      <c r="I296" s="6">
        <v>-29.1785</v>
      </c>
      <c r="J296" s="4" t="s">
        <v>5849</v>
      </c>
      <c r="K296" s="4" t="s">
        <v>331</v>
      </c>
      <c r="L296" s="4" t="s">
        <v>500</v>
      </c>
      <c r="M296" s="4" t="s">
        <v>676</v>
      </c>
      <c r="N296" s="4" t="s">
        <v>677</v>
      </c>
      <c r="Q296" s="8"/>
      <c r="R296" s="8"/>
      <c r="Z296" s="4" t="s">
        <v>293</v>
      </c>
      <c r="AA296" s="7" t="s">
        <v>10242</v>
      </c>
      <c r="AB296" s="8" t="s">
        <v>638</v>
      </c>
      <c r="AC296" s="4" t="s">
        <v>301</v>
      </c>
      <c r="AD296" s="4" t="s">
        <v>302</v>
      </c>
      <c r="AE296" s="8">
        <v>2740</v>
      </c>
      <c r="AF296" s="8">
        <v>15</v>
      </c>
      <c r="AG296" s="9" t="s">
        <v>303</v>
      </c>
      <c r="AH296" s="9" t="s">
        <v>304</v>
      </c>
      <c r="AI296" s="9" t="s">
        <v>598</v>
      </c>
      <c r="AJ296" s="9" t="s">
        <v>599</v>
      </c>
      <c r="AK296" s="9" t="s">
        <v>600</v>
      </c>
      <c r="AM296" s="8">
        <v>5</v>
      </c>
      <c r="BG296" s="8"/>
      <c r="BH296" s="8"/>
      <c r="BP296" s="7">
        <v>259</v>
      </c>
      <c r="BQ296" s="7"/>
      <c r="BR296" s="6">
        <v>0.03</v>
      </c>
      <c r="BU296" s="8">
        <v>5</v>
      </c>
      <c r="BV296" s="6">
        <v>0.12</v>
      </c>
      <c r="CT296" s="10">
        <v>2.7E-2</v>
      </c>
      <c r="DE296" s="6">
        <v>0.11</v>
      </c>
      <c r="DZ296" s="31"/>
      <c r="EH296" s="10">
        <f>BP296*BR296/100</f>
        <v>7.7699999999999991E-2</v>
      </c>
      <c r="EK296" s="10">
        <f>BP296*BU296/1000</f>
        <v>1.2949999999999999</v>
      </c>
      <c r="EL296" s="6">
        <f>BP296*BV296</f>
        <v>31.08</v>
      </c>
      <c r="FI296" s="6">
        <f>1000*BP296*CT296/100</f>
        <v>69.930000000000007</v>
      </c>
      <c r="FT296" s="7">
        <f>1000*BP296*DE296/100</f>
        <v>284.89999999999998</v>
      </c>
      <c r="GP296" s="32"/>
      <c r="GY296" s="31" t="s">
        <v>407</v>
      </c>
      <c r="GZ296" s="6" t="s">
        <v>5285</v>
      </c>
      <c r="HA296" s="6" t="s">
        <v>436</v>
      </c>
      <c r="HB296" s="6" t="s">
        <v>1119</v>
      </c>
      <c r="HC296" s="6" t="s">
        <v>5850</v>
      </c>
      <c r="HD296" s="8" t="s">
        <v>4992</v>
      </c>
      <c r="HE296" s="8">
        <v>74802</v>
      </c>
      <c r="HF296" s="8" t="s">
        <v>5851</v>
      </c>
      <c r="HG296" s="9" t="s">
        <v>510</v>
      </c>
      <c r="HH296" s="8" t="s">
        <v>5852</v>
      </c>
      <c r="HI296" s="8">
        <v>27510</v>
      </c>
      <c r="HJ296" s="8" t="s">
        <v>5853</v>
      </c>
      <c r="HK296" s="9" t="s">
        <v>507</v>
      </c>
      <c r="IB296" s="8" t="s">
        <v>4992</v>
      </c>
      <c r="IC296" s="8">
        <v>74802</v>
      </c>
      <c r="ID296" s="8" t="s">
        <v>5851</v>
      </c>
      <c r="IE296" s="9" t="s">
        <v>510</v>
      </c>
      <c r="IF296" s="8" t="s">
        <v>445</v>
      </c>
      <c r="IG296" s="8" t="s">
        <v>5852</v>
      </c>
      <c r="IH296" s="8">
        <v>27510</v>
      </c>
      <c r="II296" s="8" t="s">
        <v>5853</v>
      </c>
      <c r="IJ296" s="9" t="s">
        <v>507</v>
      </c>
      <c r="IK296" s="8" t="s">
        <v>319</v>
      </c>
      <c r="JV296" s="7" t="s">
        <v>5854</v>
      </c>
      <c r="JW296" s="7" t="s">
        <v>5855</v>
      </c>
      <c r="JX296" s="7" t="s">
        <v>320</v>
      </c>
      <c r="JY296" s="7" t="s">
        <v>354</v>
      </c>
      <c r="JZ296" s="7" t="s">
        <v>322</v>
      </c>
      <c r="KA296" s="7" t="s">
        <v>354</v>
      </c>
      <c r="KB296" s="7" t="s">
        <v>5856</v>
      </c>
      <c r="KG296" s="4" t="s">
        <v>323</v>
      </c>
      <c r="KM296" s="4" t="s">
        <v>522</v>
      </c>
      <c r="KN296" s="4" t="s">
        <v>522</v>
      </c>
      <c r="KP296" s="5" t="s">
        <v>358</v>
      </c>
      <c r="KQ296" s="5" t="s">
        <v>5857</v>
      </c>
      <c r="KR296" s="5" t="s">
        <v>5858</v>
      </c>
      <c r="KS296" s="5" t="s">
        <v>5857</v>
      </c>
      <c r="KT296" s="14" t="s">
        <v>5859</v>
      </c>
    </row>
    <row r="297" spans="1:306" ht="100.5" x14ac:dyDescent="0.25">
      <c r="A297" s="5" t="s">
        <v>6395</v>
      </c>
      <c r="B297" s="4" t="s">
        <v>293</v>
      </c>
      <c r="C297" s="7" t="s">
        <v>10242</v>
      </c>
      <c r="D297" s="8" t="s">
        <v>638</v>
      </c>
      <c r="E297" s="4">
        <v>788384</v>
      </c>
      <c r="G297" s="4" t="s">
        <v>479</v>
      </c>
      <c r="H297" s="6">
        <v>146.2971555556</v>
      </c>
      <c r="I297" s="6">
        <v>-19.0015138889</v>
      </c>
      <c r="J297" s="4" t="s">
        <v>1600</v>
      </c>
      <c r="K297" s="4" t="s">
        <v>298</v>
      </c>
      <c r="L297" s="4" t="s">
        <v>760</v>
      </c>
      <c r="M297" s="4" t="s">
        <v>1047</v>
      </c>
      <c r="Q297" s="8"/>
      <c r="R297" s="8"/>
      <c r="Z297" s="4" t="s">
        <v>293</v>
      </c>
      <c r="AA297" s="7" t="s">
        <v>10242</v>
      </c>
      <c r="AB297" s="8" t="s">
        <v>638</v>
      </c>
      <c r="AC297" s="4" t="s">
        <v>301</v>
      </c>
      <c r="AD297" s="4" t="s">
        <v>375</v>
      </c>
      <c r="AE297" s="8">
        <v>339</v>
      </c>
      <c r="AF297" s="8">
        <v>2</v>
      </c>
      <c r="AG297" s="9" t="s">
        <v>303</v>
      </c>
      <c r="AH297" s="9" t="s">
        <v>304</v>
      </c>
      <c r="AI297" s="9" t="s">
        <v>598</v>
      </c>
      <c r="AJ297" s="9" t="s">
        <v>599</v>
      </c>
      <c r="AK297" s="9" t="s">
        <v>600</v>
      </c>
      <c r="AM297" s="8">
        <v>5</v>
      </c>
      <c r="AN297" s="4" t="s">
        <v>381</v>
      </c>
      <c r="AO297" s="4" t="s">
        <v>382</v>
      </c>
      <c r="AP297" s="4" t="s">
        <v>383</v>
      </c>
      <c r="AQ297" s="7" t="s">
        <v>403</v>
      </c>
      <c r="AR297" s="8" t="s">
        <v>6396</v>
      </c>
      <c r="AS297" s="7">
        <v>0</v>
      </c>
      <c r="AT297" s="7">
        <v>0</v>
      </c>
      <c r="AU297" s="9" t="s">
        <v>303</v>
      </c>
      <c r="AV297" s="9" t="s">
        <v>406</v>
      </c>
      <c r="BA297" s="8">
        <v>5</v>
      </c>
      <c r="DZ297" s="31"/>
      <c r="EY297" s="6"/>
      <c r="FA297" s="6"/>
      <c r="FI297" s="10">
        <f>22.35*(95.95/(95.95+ 2*32.066))/1000</f>
        <v>1.3396150098074738E-2</v>
      </c>
      <c r="FN297" s="8"/>
      <c r="FT297" s="9">
        <f>(495*0.7646)/1000</f>
        <v>0.37847699999999995</v>
      </c>
      <c r="FZ297" s="16">
        <v>1.06E-3</v>
      </c>
      <c r="GP297" s="32"/>
      <c r="GY297" s="6" t="s">
        <v>338</v>
      </c>
      <c r="GZ297" s="6" t="s">
        <v>916</v>
      </c>
      <c r="HB297" s="6" t="s">
        <v>6397</v>
      </c>
      <c r="HC297" s="6" t="s">
        <v>6398</v>
      </c>
      <c r="HD297" s="8" t="s">
        <v>6399</v>
      </c>
      <c r="HE297" s="8">
        <v>23943</v>
      </c>
      <c r="HF297" s="8" t="s">
        <v>6400</v>
      </c>
      <c r="HG297" s="8" t="s">
        <v>1606</v>
      </c>
      <c r="HJ297" s="9" t="s">
        <v>6401</v>
      </c>
      <c r="HK297" s="9" t="s">
        <v>412</v>
      </c>
      <c r="HY297" s="9"/>
      <c r="IB297" s="8" t="s">
        <v>6402</v>
      </c>
      <c r="IC297" s="8">
        <v>23891</v>
      </c>
      <c r="ID297" s="8" t="s">
        <v>6403</v>
      </c>
      <c r="IE297" s="8" t="s">
        <v>1606</v>
      </c>
      <c r="IF297" s="8" t="s">
        <v>445</v>
      </c>
      <c r="IG297" s="8" t="s">
        <v>6399</v>
      </c>
      <c r="IH297" s="8">
        <v>23943</v>
      </c>
      <c r="II297" s="8" t="s">
        <v>6400</v>
      </c>
      <c r="IJ297" s="8" t="s">
        <v>1606</v>
      </c>
      <c r="IK297" s="8" t="s">
        <v>319</v>
      </c>
      <c r="IR297" s="9"/>
      <c r="JV297" s="7" t="s">
        <v>6404</v>
      </c>
      <c r="JX297" s="7" t="s">
        <v>320</v>
      </c>
      <c r="KG297" s="4" t="s">
        <v>323</v>
      </c>
      <c r="KP297" s="5" t="s">
        <v>358</v>
      </c>
      <c r="KQ297" s="5" t="s">
        <v>6405</v>
      </c>
      <c r="KR297" s="5" t="s">
        <v>1609</v>
      </c>
      <c r="KS297" s="5" t="s">
        <v>1609</v>
      </c>
      <c r="KT297" s="5" t="s">
        <v>6406</v>
      </c>
    </row>
    <row r="298" spans="1:306" ht="84" x14ac:dyDescent="0.2">
      <c r="A298" s="5" t="s">
        <v>6529</v>
      </c>
      <c r="B298" s="4" t="s">
        <v>293</v>
      </c>
      <c r="C298" s="7" t="s">
        <v>10242</v>
      </c>
      <c r="D298" s="8" t="s">
        <v>638</v>
      </c>
      <c r="E298" s="44">
        <v>859655</v>
      </c>
      <c r="G298" s="4" t="s">
        <v>427</v>
      </c>
      <c r="H298" s="6">
        <v>151.560022</v>
      </c>
      <c r="I298" s="6">
        <v>-29.270479999999999</v>
      </c>
      <c r="J298" s="4" t="s">
        <v>1631</v>
      </c>
      <c r="K298" s="4" t="s">
        <v>298</v>
      </c>
      <c r="L298" s="4" t="s">
        <v>552</v>
      </c>
      <c r="M298" s="4" t="s">
        <v>899</v>
      </c>
      <c r="Q298" s="7"/>
      <c r="R298" s="7"/>
      <c r="Z298" s="4" t="s">
        <v>293</v>
      </c>
      <c r="AA298" s="7" t="s">
        <v>10242</v>
      </c>
      <c r="AB298" s="8" t="s">
        <v>638</v>
      </c>
      <c r="AC298" s="4" t="s">
        <v>301</v>
      </c>
      <c r="AD298" s="4" t="s">
        <v>302</v>
      </c>
      <c r="AE298" s="7">
        <v>243.79999999999998</v>
      </c>
      <c r="AF298" s="7">
        <v>0.5</v>
      </c>
      <c r="AG298" s="9" t="s">
        <v>379</v>
      </c>
      <c r="AH298" s="9" t="s">
        <v>335</v>
      </c>
      <c r="AI298" s="9" t="s">
        <v>504</v>
      </c>
      <c r="AJ298" s="9" t="s">
        <v>306</v>
      </c>
      <c r="AK298" s="9" t="s">
        <v>307</v>
      </c>
      <c r="AL298" s="9" t="s">
        <v>1295</v>
      </c>
      <c r="AM298" s="8">
        <v>4</v>
      </c>
      <c r="AS298" s="7"/>
      <c r="AT298" s="7"/>
      <c r="DZ298" s="31"/>
      <c r="EY298" s="6"/>
      <c r="FA298" s="6"/>
      <c r="GP298" s="32"/>
      <c r="GY298" s="6" t="s">
        <v>407</v>
      </c>
      <c r="HD298" s="8" t="s">
        <v>1632</v>
      </c>
      <c r="HE298" s="8">
        <v>12035</v>
      </c>
      <c r="HF298" s="8" t="s">
        <v>1633</v>
      </c>
      <c r="HG298" s="9" t="s">
        <v>1634</v>
      </c>
      <c r="HY298" s="9"/>
      <c r="IB298" s="8" t="s">
        <v>1632</v>
      </c>
      <c r="IC298" s="8">
        <v>12035</v>
      </c>
      <c r="ID298" s="8" t="s">
        <v>1633</v>
      </c>
      <c r="IE298" s="8" t="s">
        <v>1634</v>
      </c>
      <c r="IF298" s="8" t="s">
        <v>445</v>
      </c>
      <c r="IW298" s="8"/>
      <c r="JB298" s="8"/>
      <c r="JV298" s="7" t="s">
        <v>6530</v>
      </c>
      <c r="JW298" s="7" t="s">
        <v>644</v>
      </c>
      <c r="KP298" s="5" t="s">
        <v>1637</v>
      </c>
      <c r="KQ298" s="5" t="s">
        <v>1637</v>
      </c>
      <c r="KR298" s="5" t="s">
        <v>1637</v>
      </c>
      <c r="KT298" s="5" t="s">
        <v>6531</v>
      </c>
    </row>
    <row r="299" spans="1:306" ht="84" x14ac:dyDescent="0.25">
      <c r="A299" s="5" t="s">
        <v>6875</v>
      </c>
      <c r="B299" s="4" t="s">
        <v>383</v>
      </c>
      <c r="C299" s="7" t="s">
        <v>403</v>
      </c>
      <c r="D299" s="8" t="s">
        <v>3024</v>
      </c>
      <c r="E299" s="4">
        <v>559010</v>
      </c>
      <c r="G299" s="4" t="s">
        <v>773</v>
      </c>
      <c r="H299" s="6">
        <f>146+40/60</f>
        <v>146.66666666666666</v>
      </c>
      <c r="I299" s="6">
        <f>-(36+20/60)</f>
        <v>-36.333333333333336</v>
      </c>
      <c r="J299" s="4" t="s">
        <v>6876</v>
      </c>
      <c r="K299" s="4" t="s">
        <v>298</v>
      </c>
      <c r="L299" s="4" t="s">
        <v>299</v>
      </c>
      <c r="M299" s="4" t="s">
        <v>428</v>
      </c>
      <c r="N299" s="4" t="s">
        <v>800</v>
      </c>
      <c r="Z299" s="4" t="s">
        <v>293</v>
      </c>
      <c r="AA299" s="7" t="s">
        <v>10242</v>
      </c>
      <c r="AB299" s="8" t="s">
        <v>638</v>
      </c>
      <c r="AC299" s="4" t="s">
        <v>301</v>
      </c>
      <c r="AD299" s="4" t="s">
        <v>402</v>
      </c>
      <c r="AN299" s="4" t="s">
        <v>381</v>
      </c>
      <c r="AO299" s="4" t="s">
        <v>382</v>
      </c>
      <c r="AP299" s="4" t="s">
        <v>383</v>
      </c>
      <c r="AQ299" s="7" t="s">
        <v>403</v>
      </c>
      <c r="AR299" s="8" t="s">
        <v>3024</v>
      </c>
      <c r="AS299" s="7">
        <f>(5.333+2.58)/2</f>
        <v>3.9565000000000001</v>
      </c>
      <c r="AT299" s="7">
        <f>(5.333-2.58)/2</f>
        <v>1.3765000000000001</v>
      </c>
      <c r="AU299" s="9" t="s">
        <v>379</v>
      </c>
      <c r="AV299" s="9" t="s">
        <v>372</v>
      </c>
      <c r="BA299" s="8">
        <v>4</v>
      </c>
      <c r="BB299" s="4" t="s">
        <v>381</v>
      </c>
      <c r="BC299" s="4" t="s">
        <v>375</v>
      </c>
      <c r="BD299" s="4" t="s">
        <v>383</v>
      </c>
      <c r="BE299" s="7" t="s">
        <v>403</v>
      </c>
      <c r="BF299" s="8" t="s">
        <v>802</v>
      </c>
      <c r="BG299" s="7">
        <v>0</v>
      </c>
      <c r="BH299" s="7">
        <v>0</v>
      </c>
      <c r="BI299" s="9" t="s">
        <v>303</v>
      </c>
      <c r="BJ299" s="9" t="s">
        <v>406</v>
      </c>
      <c r="BO299" s="8">
        <v>5</v>
      </c>
      <c r="DZ299" s="31"/>
      <c r="FN299" s="6">
        <f>9.2*(118.71/(118.71+2*15.99))</f>
        <v>7.2475413099741184</v>
      </c>
      <c r="GP299" s="32"/>
      <c r="GY299" s="6" t="s">
        <v>309</v>
      </c>
      <c r="GZ299" s="6" t="s">
        <v>639</v>
      </c>
      <c r="HC299" s="6" t="s">
        <v>640</v>
      </c>
      <c r="HF299" s="8" t="s">
        <v>1967</v>
      </c>
      <c r="HG299" s="9" t="s">
        <v>412</v>
      </c>
      <c r="HJ299" s="9" t="s">
        <v>6877</v>
      </c>
      <c r="HK299" s="9" t="s">
        <v>6878</v>
      </c>
      <c r="HL299" s="8" t="s">
        <v>6879</v>
      </c>
      <c r="HM299" s="8">
        <v>15220</v>
      </c>
      <c r="HN299" s="9" t="s">
        <v>514</v>
      </c>
      <c r="HO299" s="9" t="s">
        <v>318</v>
      </c>
      <c r="IB299" s="8" t="s">
        <v>6879</v>
      </c>
      <c r="IC299" s="8">
        <v>15220</v>
      </c>
      <c r="ID299" s="9" t="s">
        <v>514</v>
      </c>
      <c r="IE299" s="9" t="s">
        <v>318</v>
      </c>
      <c r="IF299" s="8" t="s">
        <v>319</v>
      </c>
      <c r="KG299" s="4" t="s">
        <v>323</v>
      </c>
      <c r="KP299" s="5" t="s">
        <v>2819</v>
      </c>
      <c r="KQ299" s="5" t="s">
        <v>6880</v>
      </c>
      <c r="KS299" s="5" t="s">
        <v>2819</v>
      </c>
      <c r="KT299" s="5" t="s">
        <v>6881</v>
      </c>
    </row>
    <row r="300" spans="1:306" ht="24" x14ac:dyDescent="0.25">
      <c r="A300" s="5" t="s">
        <v>6887</v>
      </c>
      <c r="B300" s="4" t="s">
        <v>293</v>
      </c>
      <c r="C300" s="7" t="s">
        <v>10242</v>
      </c>
      <c r="D300" s="8" t="s">
        <v>638</v>
      </c>
      <c r="E300" s="4">
        <v>686863</v>
      </c>
      <c r="G300" s="4" t="s">
        <v>296</v>
      </c>
      <c r="H300" s="6">
        <v>147.66453141400001</v>
      </c>
      <c r="I300" s="6">
        <v>-41.714935926999999</v>
      </c>
      <c r="K300" s="4" t="s">
        <v>298</v>
      </c>
      <c r="L300" s="4" t="s">
        <v>299</v>
      </c>
      <c r="M300" s="4" t="s">
        <v>300</v>
      </c>
      <c r="Q300" s="8"/>
      <c r="R300" s="8"/>
      <c r="Z300" s="4" t="s">
        <v>293</v>
      </c>
      <c r="AA300" s="7" t="s">
        <v>10242</v>
      </c>
      <c r="AB300" s="8" t="s">
        <v>638</v>
      </c>
      <c r="AC300" s="4" t="s">
        <v>301</v>
      </c>
      <c r="AD300" s="4" t="s">
        <v>302</v>
      </c>
      <c r="AE300" s="8">
        <v>376</v>
      </c>
      <c r="AF300" s="8">
        <v>7</v>
      </c>
      <c r="AG300" s="9" t="s">
        <v>303</v>
      </c>
      <c r="AH300" s="9" t="s">
        <v>304</v>
      </c>
      <c r="AI300" s="9" t="s">
        <v>305</v>
      </c>
      <c r="AJ300" s="9" t="s">
        <v>306</v>
      </c>
      <c r="AK300" s="9" t="s">
        <v>307</v>
      </c>
      <c r="AL300" s="9" t="s">
        <v>308</v>
      </c>
      <c r="AM300" s="8">
        <v>5</v>
      </c>
      <c r="DZ300" s="31"/>
      <c r="FN300" s="6">
        <v>3.48</v>
      </c>
      <c r="GP300" s="32"/>
      <c r="GY300" s="6" t="s">
        <v>309</v>
      </c>
      <c r="GZ300" s="6" t="s">
        <v>639</v>
      </c>
      <c r="HC300" s="6" t="s">
        <v>640</v>
      </c>
      <c r="HD300" s="8" t="s">
        <v>6888</v>
      </c>
      <c r="HE300" s="8">
        <v>40854</v>
      </c>
      <c r="HF300" s="8" t="s">
        <v>6889</v>
      </c>
      <c r="HG300" s="8" t="s">
        <v>318</v>
      </c>
      <c r="IB300" s="8" t="s">
        <v>6888</v>
      </c>
      <c r="IC300" s="8">
        <v>40854</v>
      </c>
      <c r="ID300" s="8" t="s">
        <v>6889</v>
      </c>
      <c r="IE300" s="8" t="s">
        <v>318</v>
      </c>
      <c r="IF300" s="8" t="s">
        <v>445</v>
      </c>
      <c r="IG300" s="8" t="s">
        <v>6890</v>
      </c>
      <c r="IH300" s="8">
        <v>40851</v>
      </c>
      <c r="II300" s="8" t="s">
        <v>1928</v>
      </c>
      <c r="IJ300" s="8" t="s">
        <v>318</v>
      </c>
      <c r="IK300" s="8" t="s">
        <v>319</v>
      </c>
      <c r="JV300" s="7" t="s">
        <v>6891</v>
      </c>
      <c r="KG300" s="4" t="s">
        <v>323</v>
      </c>
      <c r="KP300" s="18" t="s">
        <v>324</v>
      </c>
      <c r="KQ300" s="5" t="s">
        <v>645</v>
      </c>
      <c r="KR300" s="5" t="s">
        <v>645</v>
      </c>
      <c r="KS300" s="5" t="s">
        <v>645</v>
      </c>
    </row>
    <row r="301" spans="1:306" ht="72" x14ac:dyDescent="0.25">
      <c r="A301" s="5" t="s">
        <v>7019</v>
      </c>
      <c r="B301" s="4" t="s">
        <v>293</v>
      </c>
      <c r="C301" s="7" t="s">
        <v>10242</v>
      </c>
      <c r="D301" s="8" t="s">
        <v>638</v>
      </c>
      <c r="E301" s="4">
        <v>687756</v>
      </c>
      <c r="G301" s="4" t="s">
        <v>296</v>
      </c>
      <c r="H301" s="6">
        <v>147.885426757</v>
      </c>
      <c r="I301" s="6">
        <v>-41.833598229000003</v>
      </c>
      <c r="K301" s="4" t="s">
        <v>298</v>
      </c>
      <c r="L301" s="4" t="s">
        <v>299</v>
      </c>
      <c r="M301" s="4" t="s">
        <v>300</v>
      </c>
      <c r="Q301" s="8"/>
      <c r="R301" s="8"/>
      <c r="Z301" s="4" t="s">
        <v>293</v>
      </c>
      <c r="AA301" s="7" t="s">
        <v>10242</v>
      </c>
      <c r="AB301" s="8" t="s">
        <v>638</v>
      </c>
      <c r="AC301" s="4" t="s">
        <v>301</v>
      </c>
      <c r="AD301" s="4" t="s">
        <v>302</v>
      </c>
      <c r="AE301" s="8">
        <v>377</v>
      </c>
      <c r="AF301" s="8">
        <v>10</v>
      </c>
      <c r="AG301" s="9" t="s">
        <v>303</v>
      </c>
      <c r="AH301" s="9" t="s">
        <v>304</v>
      </c>
      <c r="AI301" s="9" t="s">
        <v>305</v>
      </c>
      <c r="AJ301" s="9" t="s">
        <v>306</v>
      </c>
      <c r="AK301" s="9" t="s">
        <v>307</v>
      </c>
      <c r="AL301" s="9" t="s">
        <v>308</v>
      </c>
      <c r="AM301" s="8">
        <v>5</v>
      </c>
      <c r="BP301" s="7">
        <v>0.28000000000000003</v>
      </c>
      <c r="CY301" s="6">
        <v>0.33</v>
      </c>
      <c r="DZ301" s="31"/>
      <c r="FN301" s="6">
        <f>1000*BP301*CY301/100</f>
        <v>0.92400000000000004</v>
      </c>
      <c r="GP301" s="32"/>
      <c r="GY301" s="6" t="s">
        <v>309</v>
      </c>
      <c r="GZ301" s="6" t="s">
        <v>639</v>
      </c>
      <c r="HC301" s="6" t="s">
        <v>640</v>
      </c>
      <c r="HD301" s="8" t="s">
        <v>7020</v>
      </c>
      <c r="HE301" s="8">
        <v>16409</v>
      </c>
      <c r="HF301" s="8" t="s">
        <v>7021</v>
      </c>
      <c r="HG301" s="8" t="s">
        <v>318</v>
      </c>
      <c r="IB301" s="8" t="s">
        <v>7020</v>
      </c>
      <c r="IC301" s="8">
        <v>16409</v>
      </c>
      <c r="ID301" s="8" t="s">
        <v>7021</v>
      </c>
      <c r="IE301" s="8" t="s">
        <v>318</v>
      </c>
      <c r="IF301" s="8" t="s">
        <v>319</v>
      </c>
      <c r="JV301" s="7" t="s">
        <v>7022</v>
      </c>
      <c r="JX301" s="7" t="s">
        <v>320</v>
      </c>
      <c r="KG301" s="4" t="s">
        <v>323</v>
      </c>
      <c r="KP301" s="18" t="s">
        <v>324</v>
      </c>
      <c r="KQ301" s="5" t="s">
        <v>645</v>
      </c>
      <c r="KR301" s="5" t="s">
        <v>645</v>
      </c>
      <c r="KS301" s="5" t="s">
        <v>645</v>
      </c>
    </row>
    <row r="302" spans="1:306" ht="84" x14ac:dyDescent="0.2">
      <c r="A302" s="5" t="s">
        <v>7026</v>
      </c>
      <c r="B302" s="4" t="s">
        <v>293</v>
      </c>
      <c r="C302" s="7" t="s">
        <v>10242</v>
      </c>
      <c r="D302" s="8" t="s">
        <v>638</v>
      </c>
      <c r="E302" s="44">
        <v>859626</v>
      </c>
      <c r="F302" s="4">
        <v>1279716</v>
      </c>
      <c r="G302" s="4" t="s">
        <v>427</v>
      </c>
      <c r="H302" s="6">
        <v>152.077</v>
      </c>
      <c r="I302" s="6">
        <v>-28.679500000000001</v>
      </c>
      <c r="J302" s="4" t="s">
        <v>7027</v>
      </c>
      <c r="K302" s="4" t="s">
        <v>298</v>
      </c>
      <c r="L302" s="4" t="s">
        <v>552</v>
      </c>
      <c r="M302" s="4" t="s">
        <v>899</v>
      </c>
      <c r="Q302" s="7"/>
      <c r="R302" s="7"/>
      <c r="S302" s="4"/>
      <c r="Z302" s="4" t="s">
        <v>293</v>
      </c>
      <c r="AA302" s="7" t="s">
        <v>10242</v>
      </c>
      <c r="AB302" s="8" t="s">
        <v>638</v>
      </c>
      <c r="AC302" s="4" t="s">
        <v>301</v>
      </c>
      <c r="AD302" s="4" t="s">
        <v>302</v>
      </c>
      <c r="AE302" s="7">
        <v>242.10000000000002</v>
      </c>
      <c r="AF302" s="7">
        <v>0.7</v>
      </c>
      <c r="AG302" s="4" t="s">
        <v>303</v>
      </c>
      <c r="AH302" s="9" t="s">
        <v>304</v>
      </c>
      <c r="AI302" s="9" t="s">
        <v>598</v>
      </c>
      <c r="AJ302" s="9" t="s">
        <v>599</v>
      </c>
      <c r="AK302" s="9" t="s">
        <v>600</v>
      </c>
      <c r="AM302" s="8">
        <v>5</v>
      </c>
      <c r="AS302" s="7"/>
      <c r="AT302" s="7"/>
      <c r="DZ302" s="31"/>
      <c r="EY302" s="6"/>
      <c r="FA302" s="6"/>
      <c r="GP302" s="32"/>
      <c r="GY302" s="6" t="s">
        <v>407</v>
      </c>
      <c r="HD302" s="8" t="s">
        <v>1632</v>
      </c>
      <c r="HE302" s="8">
        <v>12035</v>
      </c>
      <c r="HF302" s="8" t="s">
        <v>1633</v>
      </c>
      <c r="HG302" s="9" t="s">
        <v>1634</v>
      </c>
      <c r="HY302" s="9"/>
      <c r="IB302" s="8" t="s">
        <v>1632</v>
      </c>
      <c r="IC302" s="8">
        <v>12035</v>
      </c>
      <c r="ID302" s="8" t="s">
        <v>1633</v>
      </c>
      <c r="IE302" s="8" t="s">
        <v>1634</v>
      </c>
      <c r="IF302" s="8" t="s">
        <v>445</v>
      </c>
      <c r="IW302" s="8"/>
      <c r="JB302" s="8"/>
      <c r="KQ302" s="5" t="s">
        <v>7028</v>
      </c>
      <c r="KR302" s="5" t="s">
        <v>7028</v>
      </c>
      <c r="KT302" s="5" t="s">
        <v>7029</v>
      </c>
    </row>
    <row r="303" spans="1:306" ht="84" x14ac:dyDescent="0.25">
      <c r="A303" s="5" t="s">
        <v>7329</v>
      </c>
      <c r="B303" s="4" t="s">
        <v>293</v>
      </c>
      <c r="C303" s="7" t="s">
        <v>10242</v>
      </c>
      <c r="D303" s="8" t="s">
        <v>638</v>
      </c>
      <c r="G303" s="4" t="s">
        <v>330</v>
      </c>
      <c r="J303" s="4" t="s">
        <v>1310</v>
      </c>
      <c r="K303" s="4" t="s">
        <v>331</v>
      </c>
      <c r="L303" s="4" t="s">
        <v>368</v>
      </c>
      <c r="M303" s="4" t="s">
        <v>369</v>
      </c>
      <c r="Q303" s="8"/>
      <c r="R303" s="8"/>
      <c r="Z303" s="4" t="s">
        <v>293</v>
      </c>
      <c r="AA303" s="7" t="s">
        <v>10242</v>
      </c>
      <c r="AB303" s="8" t="s">
        <v>638</v>
      </c>
      <c r="AC303" s="4" t="s">
        <v>301</v>
      </c>
      <c r="AD303" s="4" t="s">
        <v>302</v>
      </c>
      <c r="AE303" s="8">
        <v>3230</v>
      </c>
      <c r="AF303" s="8">
        <v>16</v>
      </c>
      <c r="AG303" s="9" t="s">
        <v>303</v>
      </c>
      <c r="AH303" s="9" t="s">
        <v>304</v>
      </c>
      <c r="AI303" s="9" t="s">
        <v>598</v>
      </c>
      <c r="AJ303" s="9" t="s">
        <v>599</v>
      </c>
      <c r="AK303" s="9" t="s">
        <v>600</v>
      </c>
      <c r="AM303" s="8">
        <v>5</v>
      </c>
      <c r="DZ303" s="31"/>
      <c r="GP303" s="32"/>
      <c r="GY303" s="6" t="s">
        <v>407</v>
      </c>
      <c r="HD303" s="8" t="s">
        <v>7330</v>
      </c>
      <c r="HE303" s="8">
        <v>69696</v>
      </c>
      <c r="HF303" s="8" t="s">
        <v>1315</v>
      </c>
      <c r="HG303" s="9" t="s">
        <v>792</v>
      </c>
      <c r="IB303" s="8" t="s">
        <v>7330</v>
      </c>
      <c r="IC303" s="8">
        <v>69696</v>
      </c>
      <c r="ID303" s="8" t="s">
        <v>1315</v>
      </c>
      <c r="IE303" s="9" t="s">
        <v>792</v>
      </c>
      <c r="IF303" s="8" t="s">
        <v>319</v>
      </c>
      <c r="JV303" s="7" t="s">
        <v>767</v>
      </c>
      <c r="KG303" s="4" t="s">
        <v>323</v>
      </c>
      <c r="KM303" s="4" t="s">
        <v>471</v>
      </c>
      <c r="KN303" s="4" t="s">
        <v>471</v>
      </c>
      <c r="KP303" s="5" t="s">
        <v>768</v>
      </c>
      <c r="KQ303" s="5" t="s">
        <v>7331</v>
      </c>
      <c r="KR303" s="5" t="s">
        <v>768</v>
      </c>
      <c r="KT303" s="5" t="s">
        <v>7332</v>
      </c>
    </row>
    <row r="304" spans="1:306" ht="144" x14ac:dyDescent="0.25">
      <c r="A304" s="5" t="s">
        <v>7384</v>
      </c>
      <c r="B304" s="4" t="s">
        <v>293</v>
      </c>
      <c r="C304" s="7" t="s">
        <v>10242</v>
      </c>
      <c r="D304" s="8" t="s">
        <v>638</v>
      </c>
      <c r="E304" s="4">
        <v>333937</v>
      </c>
      <c r="G304" s="4" t="s">
        <v>296</v>
      </c>
      <c r="H304" s="6">
        <v>145.20457333600001</v>
      </c>
      <c r="I304" s="6">
        <v>-41.912140194000003</v>
      </c>
      <c r="J304" s="4" t="s">
        <v>966</v>
      </c>
      <c r="K304" s="4" t="s">
        <v>298</v>
      </c>
      <c r="L304" s="4" t="s">
        <v>400</v>
      </c>
      <c r="M304" s="4" t="s">
        <v>401</v>
      </c>
      <c r="Q304" s="7"/>
      <c r="R304" s="7"/>
      <c r="Z304" s="4" t="s">
        <v>293</v>
      </c>
      <c r="AA304" s="7" t="s">
        <v>10242</v>
      </c>
      <c r="AB304" s="8" t="s">
        <v>638</v>
      </c>
      <c r="AC304" s="4" t="s">
        <v>301</v>
      </c>
      <c r="AD304" s="4" t="s">
        <v>302</v>
      </c>
      <c r="AE304" s="7">
        <v>359.9</v>
      </c>
      <c r="AF304" s="7">
        <v>1.9</v>
      </c>
      <c r="AG304" s="9" t="s">
        <v>379</v>
      </c>
      <c r="AH304" s="9" t="s">
        <v>483</v>
      </c>
      <c r="AI304" s="9" t="s">
        <v>373</v>
      </c>
      <c r="AJ304" s="9" t="s">
        <v>306</v>
      </c>
      <c r="AK304" s="9" t="s">
        <v>307</v>
      </c>
      <c r="AL304" s="9" t="s">
        <v>337</v>
      </c>
      <c r="AM304" s="8">
        <v>4</v>
      </c>
      <c r="BP304" s="7">
        <v>0.56200000000000006</v>
      </c>
      <c r="BS304" s="7">
        <v>1.4</v>
      </c>
      <c r="BU304" s="8">
        <v>36</v>
      </c>
      <c r="CY304" s="7">
        <v>0.5</v>
      </c>
      <c r="DZ304" s="31"/>
      <c r="EI304" s="10">
        <f>BP304*BS304/100</f>
        <v>7.868E-3</v>
      </c>
      <c r="EK304" s="10">
        <f>BP304*BU304/1000</f>
        <v>2.0232000000000003E-2</v>
      </c>
      <c r="EY304" s="6"/>
      <c r="FA304" s="6"/>
      <c r="FN304" s="7">
        <f>1000*BP304*CY304/100</f>
        <v>2.81</v>
      </c>
      <c r="GP304" s="32"/>
      <c r="GY304" s="6" t="s">
        <v>338</v>
      </c>
      <c r="GZ304" s="6" t="s">
        <v>639</v>
      </c>
      <c r="HA304" s="6" t="s">
        <v>1386</v>
      </c>
      <c r="HC304" s="6" t="s">
        <v>640</v>
      </c>
      <c r="HD304" s="8" t="s">
        <v>971</v>
      </c>
      <c r="HE304" s="8">
        <v>75564</v>
      </c>
      <c r="HF304" s="8" t="s">
        <v>3649</v>
      </c>
      <c r="HG304" s="9" t="s">
        <v>3650</v>
      </c>
      <c r="HQ304" s="9"/>
      <c r="HY304" s="9"/>
      <c r="IB304" s="8" t="s">
        <v>971</v>
      </c>
      <c r="IC304" s="8">
        <v>75564</v>
      </c>
      <c r="ID304" s="8" t="s">
        <v>3649</v>
      </c>
      <c r="IE304" s="9" t="s">
        <v>3650</v>
      </c>
      <c r="IF304" s="8" t="s">
        <v>319</v>
      </c>
      <c r="IM304" s="9"/>
      <c r="IR304" s="9"/>
      <c r="JV304" s="7" t="s">
        <v>7385</v>
      </c>
      <c r="JW304" s="7" t="s">
        <v>644</v>
      </c>
      <c r="JX304" s="7" t="s">
        <v>322</v>
      </c>
      <c r="JY304" s="7" t="s">
        <v>321</v>
      </c>
      <c r="JZ304" s="7" t="s">
        <v>320</v>
      </c>
      <c r="KG304" s="4" t="s">
        <v>323</v>
      </c>
      <c r="KP304" s="18" t="s">
        <v>324</v>
      </c>
      <c r="KQ304" s="5" t="s">
        <v>7386</v>
      </c>
      <c r="KR304" s="5" t="s">
        <v>3271</v>
      </c>
      <c r="KS304" s="5" t="s">
        <v>324</v>
      </c>
      <c r="KT304" s="5" t="s">
        <v>7387</v>
      </c>
    </row>
    <row r="305" spans="1:306" ht="96" x14ac:dyDescent="0.25">
      <c r="A305" s="5" t="s">
        <v>7478</v>
      </c>
      <c r="B305" s="4" t="s">
        <v>293</v>
      </c>
      <c r="C305" s="7" t="s">
        <v>10242</v>
      </c>
      <c r="D305" s="8" t="s">
        <v>638</v>
      </c>
      <c r="E305" s="4">
        <v>333605</v>
      </c>
      <c r="G305" s="4" t="s">
        <v>427</v>
      </c>
      <c r="H305" s="6">
        <v>151.56710000000001</v>
      </c>
      <c r="I305" s="6">
        <v>-29.4282</v>
      </c>
      <c r="J305" s="4" t="s">
        <v>1631</v>
      </c>
      <c r="K305" s="4" t="s">
        <v>298</v>
      </c>
      <c r="L305" s="4" t="s">
        <v>552</v>
      </c>
      <c r="M305" s="4" t="s">
        <v>899</v>
      </c>
      <c r="Q305" s="7"/>
      <c r="R305" s="7"/>
      <c r="Z305" s="4" t="s">
        <v>293</v>
      </c>
      <c r="AA305" s="7" t="s">
        <v>10242</v>
      </c>
      <c r="AB305" s="8" t="s">
        <v>638</v>
      </c>
      <c r="AC305" s="4" t="s">
        <v>301</v>
      </c>
      <c r="AD305" s="4" t="s">
        <v>375</v>
      </c>
      <c r="AE305" s="7">
        <v>245.1</v>
      </c>
      <c r="AF305" s="7">
        <v>4.4000000000000004</v>
      </c>
      <c r="AG305" s="9" t="s">
        <v>303</v>
      </c>
      <c r="AH305" s="9" t="s">
        <v>304</v>
      </c>
      <c r="AI305" s="9" t="s">
        <v>305</v>
      </c>
      <c r="AJ305" s="9" t="s">
        <v>306</v>
      </c>
      <c r="AK305" s="9" t="s">
        <v>307</v>
      </c>
      <c r="AL305" s="9" t="s">
        <v>308</v>
      </c>
      <c r="AM305" s="8">
        <v>5</v>
      </c>
      <c r="AS305" s="7"/>
      <c r="AT305" s="7"/>
      <c r="BP305" s="7">
        <v>36.299999999999997</v>
      </c>
      <c r="BR305" s="6">
        <v>7.0000000000000007E-2</v>
      </c>
      <c r="BU305" s="7">
        <v>3.8</v>
      </c>
      <c r="CY305" s="6">
        <v>0.16</v>
      </c>
      <c r="DZ305" s="31"/>
      <c r="EH305" s="10">
        <f>BP305*BR305/100</f>
        <v>2.5409999999999999E-2</v>
      </c>
      <c r="EK305" s="10">
        <f>BP305*BU305/1000</f>
        <v>0.13793999999999998</v>
      </c>
      <c r="EY305" s="6"/>
      <c r="FA305" s="6"/>
      <c r="FN305" s="8">
        <f>1000*BP305*CY305/100</f>
        <v>58.08</v>
      </c>
      <c r="GP305" s="32"/>
      <c r="GY305" s="6" t="s">
        <v>338</v>
      </c>
      <c r="GZ305" s="6" t="s">
        <v>639</v>
      </c>
      <c r="HA305" s="6" t="s">
        <v>994</v>
      </c>
      <c r="HB305" s="6" t="s">
        <v>462</v>
      </c>
      <c r="HC305" s="6" t="s">
        <v>640</v>
      </c>
      <c r="HD305" s="8" t="s">
        <v>7479</v>
      </c>
      <c r="HE305" s="8">
        <v>2168</v>
      </c>
      <c r="HF305" s="8" t="s">
        <v>7480</v>
      </c>
      <c r="HG305" s="9" t="s">
        <v>766</v>
      </c>
      <c r="HY305" s="9"/>
      <c r="IB305" s="8" t="s">
        <v>1632</v>
      </c>
      <c r="IC305" s="8">
        <v>12035</v>
      </c>
      <c r="ID305" s="8" t="s">
        <v>1635</v>
      </c>
      <c r="IE305" s="8" t="s">
        <v>1634</v>
      </c>
      <c r="IF305" s="8" t="s">
        <v>319</v>
      </c>
      <c r="IW305" s="8"/>
      <c r="JB305" s="8"/>
      <c r="JV305" s="7" t="s">
        <v>7481</v>
      </c>
      <c r="KG305" s="4" t="s">
        <v>323</v>
      </c>
      <c r="KP305" s="5" t="s">
        <v>358</v>
      </c>
      <c r="KQ305" s="5" t="s">
        <v>7482</v>
      </c>
      <c r="KR305" s="5" t="s">
        <v>7483</v>
      </c>
      <c r="KS305" s="5" t="s">
        <v>7484</v>
      </c>
      <c r="KT305" s="5" t="s">
        <v>7485</v>
      </c>
    </row>
    <row r="306" spans="1:306" ht="48" x14ac:dyDescent="0.25">
      <c r="A306" s="5" t="s">
        <v>8184</v>
      </c>
      <c r="B306" s="4" t="s">
        <v>293</v>
      </c>
      <c r="C306" s="7" t="s">
        <v>10242</v>
      </c>
      <c r="D306" s="8" t="s">
        <v>638</v>
      </c>
      <c r="E306" s="4">
        <v>335460</v>
      </c>
      <c r="G306" s="4" t="s">
        <v>479</v>
      </c>
      <c r="H306" s="6">
        <v>144.948913</v>
      </c>
      <c r="I306" s="6">
        <v>-17.078475000000001</v>
      </c>
      <c r="J306" s="4" t="s">
        <v>1129</v>
      </c>
      <c r="K306" s="4" t="s">
        <v>298</v>
      </c>
      <c r="L306" s="4" t="s">
        <v>1018</v>
      </c>
      <c r="Q306" s="8"/>
      <c r="R306" s="8"/>
      <c r="Z306" s="4" t="s">
        <v>293</v>
      </c>
      <c r="AA306" s="7" t="s">
        <v>10242</v>
      </c>
      <c r="AB306" s="8" t="s">
        <v>638</v>
      </c>
      <c r="AC306" s="4" t="s">
        <v>301</v>
      </c>
      <c r="AE306" s="8">
        <v>306</v>
      </c>
      <c r="AF306" s="8">
        <v>2</v>
      </c>
      <c r="AG306" s="9" t="s">
        <v>303</v>
      </c>
      <c r="AH306" s="9" t="s">
        <v>304</v>
      </c>
      <c r="AI306" s="9" t="s">
        <v>598</v>
      </c>
      <c r="AJ306" s="9" t="s">
        <v>599</v>
      </c>
      <c r="AK306" s="9" t="s">
        <v>600</v>
      </c>
      <c r="AM306" s="8">
        <v>5</v>
      </c>
      <c r="DZ306" s="31"/>
      <c r="EY306" s="6"/>
      <c r="FA306" s="6"/>
      <c r="FI306" s="6">
        <f>(1000*(0.514*0.07+1.879*0.08)/100)*(95.95/(95.95+2*32.06))</f>
        <v>1.1167292434559883</v>
      </c>
      <c r="FT306" s="6">
        <v>12.26</v>
      </c>
      <c r="GP306" s="32"/>
      <c r="GY306" s="6" t="s">
        <v>338</v>
      </c>
      <c r="GZ306" s="6" t="s">
        <v>916</v>
      </c>
      <c r="HA306" s="6" t="s">
        <v>763</v>
      </c>
      <c r="HC306" s="6" t="s">
        <v>5850</v>
      </c>
      <c r="HD306" s="8" t="s">
        <v>8185</v>
      </c>
      <c r="HE306" s="8">
        <v>22015</v>
      </c>
      <c r="HF306" s="8" t="s">
        <v>8186</v>
      </c>
      <c r="HG306" s="8" t="s">
        <v>1133</v>
      </c>
      <c r="HY306" s="9"/>
      <c r="IB306" s="8" t="s">
        <v>8185</v>
      </c>
      <c r="IC306" s="8">
        <v>22015</v>
      </c>
      <c r="ID306" s="8" t="s">
        <v>8186</v>
      </c>
      <c r="IE306" s="8" t="s">
        <v>1133</v>
      </c>
      <c r="IF306" s="8" t="s">
        <v>319</v>
      </c>
      <c r="IR306" s="9"/>
      <c r="JV306" s="7" t="s">
        <v>1134</v>
      </c>
      <c r="JW306" s="7" t="s">
        <v>644</v>
      </c>
      <c r="JX306" s="7" t="s">
        <v>320</v>
      </c>
      <c r="JY306" s="7" t="s">
        <v>354</v>
      </c>
      <c r="JZ306" s="7" t="s">
        <v>322</v>
      </c>
      <c r="KA306" s="7" t="s">
        <v>354</v>
      </c>
      <c r="KB306" s="7" t="s">
        <v>738</v>
      </c>
      <c r="KG306" s="4" t="s">
        <v>323</v>
      </c>
      <c r="KP306" s="5" t="s">
        <v>358</v>
      </c>
      <c r="KQ306" s="5" t="s">
        <v>8187</v>
      </c>
      <c r="KR306" s="5" t="s">
        <v>1609</v>
      </c>
      <c r="KS306" s="5" t="s">
        <v>8187</v>
      </c>
      <c r="KT306" s="5" t="s">
        <v>8188</v>
      </c>
    </row>
    <row r="307" spans="1:306" ht="24" x14ac:dyDescent="0.25">
      <c r="A307" s="5" t="s">
        <v>8326</v>
      </c>
      <c r="B307" s="4" t="s">
        <v>293</v>
      </c>
      <c r="C307" s="7" t="s">
        <v>10242</v>
      </c>
      <c r="D307" s="7" t="s">
        <v>638</v>
      </c>
      <c r="E307" s="4">
        <v>803908</v>
      </c>
      <c r="G307" s="4" t="s">
        <v>530</v>
      </c>
      <c r="H307" s="6">
        <v>132.07</v>
      </c>
      <c r="I307" s="6">
        <v>-14.12</v>
      </c>
      <c r="K307" s="4" t="s">
        <v>481</v>
      </c>
      <c r="L307" s="4" t="s">
        <v>532</v>
      </c>
      <c r="M307" s="4" t="s">
        <v>2483</v>
      </c>
      <c r="O307" s="7"/>
      <c r="Q307" s="8"/>
      <c r="R307" s="8"/>
      <c r="Z307" s="4" t="s">
        <v>293</v>
      </c>
      <c r="AA307" s="7" t="s">
        <v>10242</v>
      </c>
      <c r="AB307" s="7" t="s">
        <v>638</v>
      </c>
      <c r="AC307" s="4" t="s">
        <v>301</v>
      </c>
      <c r="AD307" s="4" t="s">
        <v>302</v>
      </c>
      <c r="AE307" s="8"/>
      <c r="AF307" s="8"/>
      <c r="AM307" s="8">
        <v>2</v>
      </c>
      <c r="DZ307" s="31"/>
      <c r="FI307" s="17">
        <f>0.5994*127/1000000</f>
        <v>7.6123800000000005E-5</v>
      </c>
      <c r="FN307" s="9"/>
      <c r="FT307" s="9">
        <v>0.161</v>
      </c>
      <c r="GP307" s="32"/>
      <c r="GY307" s="31" t="s">
        <v>407</v>
      </c>
      <c r="GZ307" s="6" t="s">
        <v>916</v>
      </c>
      <c r="HB307" s="6" t="s">
        <v>763</v>
      </c>
      <c r="HC307" s="6" t="s">
        <v>5850</v>
      </c>
      <c r="HD307" s="8" t="s">
        <v>8327</v>
      </c>
      <c r="HE307" s="8">
        <v>24140</v>
      </c>
      <c r="HF307" s="8" t="s">
        <v>8328</v>
      </c>
      <c r="HG307" s="9" t="s">
        <v>538</v>
      </c>
      <c r="IB307" s="8" t="s">
        <v>8327</v>
      </c>
      <c r="IC307" s="8">
        <v>24140</v>
      </c>
      <c r="ID307" s="8" t="s">
        <v>8328</v>
      </c>
      <c r="IE307" s="9" t="s">
        <v>538</v>
      </c>
      <c r="IF307" s="8" t="s">
        <v>319</v>
      </c>
      <c r="IW307" s="8"/>
      <c r="JB307" s="8"/>
      <c r="JV307" s="7" t="s">
        <v>2573</v>
      </c>
      <c r="JW307" s="7" t="s">
        <v>2573</v>
      </c>
      <c r="KG307" s="4" t="s">
        <v>323</v>
      </c>
      <c r="KP307" s="5" t="s">
        <v>739</v>
      </c>
      <c r="KQ307" s="5" t="s">
        <v>2485</v>
      </c>
      <c r="KS307" s="5" t="s">
        <v>2485</v>
      </c>
      <c r="KT307" s="5" t="s">
        <v>8329</v>
      </c>
    </row>
    <row r="308" spans="1:306" ht="48" x14ac:dyDescent="0.25">
      <c r="A308" s="5" t="s">
        <v>1525</v>
      </c>
      <c r="B308" s="4" t="s">
        <v>293</v>
      </c>
      <c r="C308" s="7" t="s">
        <v>758</v>
      </c>
      <c r="D308" s="8" t="s">
        <v>1526</v>
      </c>
      <c r="E308" s="4">
        <v>657037</v>
      </c>
      <c r="G308" s="4" t="s">
        <v>427</v>
      </c>
      <c r="H308" s="6">
        <v>149.023455934</v>
      </c>
      <c r="I308" s="6">
        <v>-32.423239987999999</v>
      </c>
      <c r="J308" s="4" t="s">
        <v>1527</v>
      </c>
      <c r="K308" s="4" t="s">
        <v>298</v>
      </c>
      <c r="L308" s="4" t="s">
        <v>299</v>
      </c>
      <c r="M308" s="4" t="s">
        <v>1359</v>
      </c>
      <c r="N308" s="4" t="s">
        <v>1360</v>
      </c>
      <c r="P308" s="8"/>
      <c r="Q308" s="8"/>
      <c r="Z308" s="4" t="s">
        <v>293</v>
      </c>
      <c r="AA308" s="7" t="s">
        <v>758</v>
      </c>
      <c r="AB308" s="8" t="s">
        <v>1526</v>
      </c>
      <c r="AC308" s="4" t="s">
        <v>301</v>
      </c>
      <c r="AD308" s="8" t="s">
        <v>302</v>
      </c>
      <c r="AE308" s="8">
        <v>438</v>
      </c>
      <c r="AG308" s="9" t="s">
        <v>379</v>
      </c>
      <c r="AH308" s="9" t="s">
        <v>380</v>
      </c>
      <c r="AM308" s="8">
        <v>3</v>
      </c>
      <c r="AS308" s="7"/>
      <c r="AT308" s="7"/>
      <c r="BP308" s="7">
        <v>583</v>
      </c>
      <c r="BR308" s="6">
        <v>0.18</v>
      </c>
      <c r="BV308" s="6">
        <v>0.34</v>
      </c>
      <c r="DZ308" s="31"/>
      <c r="EH308" s="10">
        <f t="shared" ref="EH308:EH314" si="18">BP308*BR308/100</f>
        <v>1.0493999999999999</v>
      </c>
      <c r="EL308" s="6">
        <f t="shared" ref="EL308:EL314" si="19">BP308*BV308</f>
        <v>198.22000000000003</v>
      </c>
      <c r="GP308" s="32"/>
      <c r="GY308" s="6" t="s">
        <v>338</v>
      </c>
      <c r="GZ308" s="6" t="s">
        <v>1528</v>
      </c>
      <c r="HC308" s="6" t="s">
        <v>1529</v>
      </c>
      <c r="HD308" s="8" t="s">
        <v>1530</v>
      </c>
      <c r="HE308" s="8">
        <v>24837</v>
      </c>
      <c r="HF308" s="8" t="s">
        <v>1531</v>
      </c>
      <c r="HG308" s="9" t="s">
        <v>1532</v>
      </c>
      <c r="HH308" s="9" t="s">
        <v>1533</v>
      </c>
      <c r="HJ308" s="9" t="s">
        <v>1534</v>
      </c>
      <c r="HL308" s="9" t="s">
        <v>1535</v>
      </c>
      <c r="HN308" s="9" t="s">
        <v>1536</v>
      </c>
      <c r="IB308" s="8" t="s">
        <v>1530</v>
      </c>
      <c r="IC308" s="8">
        <v>24837</v>
      </c>
      <c r="ID308" s="8" t="s">
        <v>1531</v>
      </c>
      <c r="IE308" s="9" t="s">
        <v>1532</v>
      </c>
      <c r="IF308" s="8" t="s">
        <v>445</v>
      </c>
      <c r="IG308" s="9" t="s">
        <v>1533</v>
      </c>
      <c r="II308" s="9" t="s">
        <v>1534</v>
      </c>
      <c r="IJ308" s="9"/>
      <c r="IK308" s="8" t="s">
        <v>445</v>
      </c>
      <c r="IL308" s="9" t="s">
        <v>1535</v>
      </c>
      <c r="IN308" s="9" t="s">
        <v>1536</v>
      </c>
      <c r="IP308" s="9" t="s">
        <v>445</v>
      </c>
      <c r="IQ308" s="9" t="s">
        <v>1537</v>
      </c>
      <c r="IS308" s="9" t="s">
        <v>1536</v>
      </c>
      <c r="IW308" s="8"/>
      <c r="JB308" s="8"/>
      <c r="JV308" s="7" t="s">
        <v>1538</v>
      </c>
      <c r="JX308" s="7" t="s">
        <v>353</v>
      </c>
      <c r="JY308" s="7" t="s">
        <v>321</v>
      </c>
      <c r="JZ308" s="7" t="s">
        <v>320</v>
      </c>
      <c r="KP308" s="5" t="s">
        <v>1539</v>
      </c>
      <c r="KQ308" s="5" t="s">
        <v>1540</v>
      </c>
      <c r="KS308" s="5" t="s">
        <v>1541</v>
      </c>
      <c r="KT308" s="5" t="s">
        <v>1542</v>
      </c>
    </row>
    <row r="309" spans="1:306" ht="96" x14ac:dyDescent="0.25">
      <c r="A309" s="5" t="s">
        <v>1872</v>
      </c>
      <c r="B309" s="4" t="s">
        <v>293</v>
      </c>
      <c r="C309" s="7" t="s">
        <v>758</v>
      </c>
      <c r="D309" s="8" t="s">
        <v>1526</v>
      </c>
      <c r="E309" s="4">
        <v>335258</v>
      </c>
      <c r="G309" s="4" t="s">
        <v>427</v>
      </c>
      <c r="H309" s="6">
        <v>149.01225884799999</v>
      </c>
      <c r="I309" s="6">
        <v>-33.464900585999999</v>
      </c>
      <c r="J309" s="4" t="s">
        <v>1358</v>
      </c>
      <c r="K309" s="4" t="s">
        <v>298</v>
      </c>
      <c r="L309" s="4" t="s">
        <v>299</v>
      </c>
      <c r="M309" s="4" t="s">
        <v>1359</v>
      </c>
      <c r="N309" s="4" t="s">
        <v>1360</v>
      </c>
      <c r="Q309" s="7"/>
      <c r="R309" s="7"/>
      <c r="Z309" s="4" t="s">
        <v>293</v>
      </c>
      <c r="AA309" s="7" t="s">
        <v>758</v>
      </c>
      <c r="AB309" s="8" t="s">
        <v>1526</v>
      </c>
      <c r="AC309" s="4" t="s">
        <v>301</v>
      </c>
      <c r="AD309" s="4" t="s">
        <v>302</v>
      </c>
      <c r="AE309" s="7">
        <v>441.8</v>
      </c>
      <c r="AF309" s="7">
        <v>1.4</v>
      </c>
      <c r="AG309" s="9" t="s">
        <v>303</v>
      </c>
      <c r="AH309" s="9" t="s">
        <v>304</v>
      </c>
      <c r="AI309" s="9" t="s">
        <v>598</v>
      </c>
      <c r="AJ309" s="9" t="s">
        <v>599</v>
      </c>
      <c r="AK309" s="9" t="s">
        <v>600</v>
      </c>
      <c r="AM309" s="8">
        <v>5</v>
      </c>
      <c r="AS309" s="7"/>
      <c r="AT309" s="7"/>
      <c r="BP309" s="7">
        <f>54.96+0.18+3000</f>
        <v>3055.14</v>
      </c>
      <c r="BR309" s="6">
        <f>(0.3*54.96+0.33*0.18+0.26*3000)/(54.96+0.18+3000)</f>
        <v>0.26072369842298554</v>
      </c>
      <c r="BV309" s="6">
        <f>(1.18*54.96+1.1*0.18+0.38*3000)/(54.96+0.18+3000)</f>
        <v>0.39443390482923862</v>
      </c>
      <c r="DZ309" s="31"/>
      <c r="EH309" s="10">
        <f t="shared" si="18"/>
        <v>7.9654740000000004</v>
      </c>
      <c r="EL309" s="6">
        <f t="shared" si="19"/>
        <v>1205.0508</v>
      </c>
      <c r="GP309" s="32"/>
      <c r="GY309" s="6" t="s">
        <v>435</v>
      </c>
      <c r="GZ309" s="6" t="s">
        <v>1528</v>
      </c>
      <c r="HC309" s="6" t="s">
        <v>1529</v>
      </c>
      <c r="HD309" s="8" t="s">
        <v>1363</v>
      </c>
      <c r="HE309" s="8">
        <v>6819</v>
      </c>
      <c r="HF309" s="8" t="s">
        <v>1873</v>
      </c>
      <c r="HG309" s="9" t="s">
        <v>1365</v>
      </c>
      <c r="HH309" s="8" t="s">
        <v>1874</v>
      </c>
      <c r="HJ309" s="8" t="s">
        <v>1875</v>
      </c>
      <c r="HK309" s="9" t="s">
        <v>1365</v>
      </c>
      <c r="HL309" s="8" t="s">
        <v>1876</v>
      </c>
      <c r="HN309" s="9" t="s">
        <v>1877</v>
      </c>
      <c r="IB309" s="8" t="s">
        <v>1363</v>
      </c>
      <c r="IC309" s="8">
        <v>6819</v>
      </c>
      <c r="ID309" s="8" t="s">
        <v>1873</v>
      </c>
      <c r="IE309" s="9" t="s">
        <v>1365</v>
      </c>
      <c r="IF309" s="8" t="s">
        <v>445</v>
      </c>
      <c r="IG309" s="8" t="s">
        <v>1874</v>
      </c>
      <c r="II309" s="8" t="s">
        <v>1875</v>
      </c>
      <c r="IJ309" s="9" t="s">
        <v>1365</v>
      </c>
      <c r="IK309" s="8" t="s">
        <v>445</v>
      </c>
      <c r="IL309" s="8" t="s">
        <v>1876</v>
      </c>
      <c r="IN309" s="9" t="s">
        <v>1877</v>
      </c>
      <c r="IO309" s="9" t="s">
        <v>1365</v>
      </c>
      <c r="IP309" s="9" t="s">
        <v>319</v>
      </c>
      <c r="IW309" s="8"/>
      <c r="JB309" s="8"/>
      <c r="JV309" s="7" t="s">
        <v>1878</v>
      </c>
      <c r="JX309" s="7" t="s">
        <v>320</v>
      </c>
      <c r="JY309" s="7" t="s">
        <v>321</v>
      </c>
      <c r="JZ309" s="7" t="s">
        <v>353</v>
      </c>
      <c r="KA309" s="7" t="s">
        <v>448</v>
      </c>
      <c r="KB309" s="7" t="s">
        <v>355</v>
      </c>
      <c r="KG309" s="4" t="s">
        <v>323</v>
      </c>
      <c r="KM309" s="4" t="s">
        <v>836</v>
      </c>
      <c r="KN309" s="4" t="s">
        <v>836</v>
      </c>
      <c r="KP309" s="5" t="s">
        <v>1373</v>
      </c>
      <c r="KQ309" s="5" t="s">
        <v>1879</v>
      </c>
      <c r="KR309" s="5" t="s">
        <v>1880</v>
      </c>
      <c r="KS309" s="5" t="s">
        <v>1881</v>
      </c>
      <c r="KT309" s="5" t="s">
        <v>1882</v>
      </c>
    </row>
    <row r="310" spans="1:306" ht="156" x14ac:dyDescent="0.25">
      <c r="A310" s="5" t="s">
        <v>1883</v>
      </c>
      <c r="B310" s="4" t="s">
        <v>293</v>
      </c>
      <c r="C310" s="7" t="s">
        <v>758</v>
      </c>
      <c r="D310" s="8" t="s">
        <v>1526</v>
      </c>
      <c r="E310" s="4">
        <v>335835</v>
      </c>
      <c r="G310" s="4" t="s">
        <v>427</v>
      </c>
      <c r="H310" s="6">
        <v>148.994093161</v>
      </c>
      <c r="I310" s="6">
        <v>-33.455310998999998</v>
      </c>
      <c r="J310" s="4" t="s">
        <v>1358</v>
      </c>
      <c r="K310" s="4" t="s">
        <v>298</v>
      </c>
      <c r="L310" s="4" t="s">
        <v>299</v>
      </c>
      <c r="M310" s="4" t="s">
        <v>1359</v>
      </c>
      <c r="N310" s="4" t="s">
        <v>1360</v>
      </c>
      <c r="Q310" s="7"/>
      <c r="R310" s="7"/>
      <c r="Z310" s="4" t="s">
        <v>293</v>
      </c>
      <c r="AA310" s="7" t="s">
        <v>758</v>
      </c>
      <c r="AB310" s="8" t="s">
        <v>1526</v>
      </c>
      <c r="AC310" s="4" t="s">
        <v>301</v>
      </c>
      <c r="AD310" s="4" t="s">
        <v>402</v>
      </c>
      <c r="AE310" s="7">
        <f>AVERAGE(450.5,450.8)</f>
        <v>450.65</v>
      </c>
      <c r="AF310" s="7">
        <f>SQRT(1.7^2+1.4^2)/2</f>
        <v>1.1011357772772621</v>
      </c>
      <c r="AG310" s="9" t="s">
        <v>303</v>
      </c>
      <c r="AH310" s="9" t="s">
        <v>304</v>
      </c>
      <c r="AI310" s="9" t="s">
        <v>598</v>
      </c>
      <c r="AJ310" s="9" t="s">
        <v>599</v>
      </c>
      <c r="AK310" s="9" t="s">
        <v>600</v>
      </c>
      <c r="AM310" s="8">
        <v>5</v>
      </c>
      <c r="AN310" s="4" t="s">
        <v>991</v>
      </c>
      <c r="AO310" s="4" t="s">
        <v>375</v>
      </c>
      <c r="AP310" s="4" t="s">
        <v>293</v>
      </c>
      <c r="AQ310" s="7" t="s">
        <v>758</v>
      </c>
      <c r="AR310" s="8" t="s">
        <v>1526</v>
      </c>
      <c r="AS310" s="7">
        <v>442.9</v>
      </c>
      <c r="AT310" s="7">
        <v>1.4</v>
      </c>
      <c r="AU310" s="9" t="s">
        <v>303</v>
      </c>
      <c r="AV310" s="9" t="s">
        <v>304</v>
      </c>
      <c r="AW310" s="9" t="s">
        <v>598</v>
      </c>
      <c r="AX310" s="9" t="s">
        <v>599</v>
      </c>
      <c r="AY310" s="9" t="s">
        <v>600</v>
      </c>
      <c r="BA310" s="8">
        <v>5</v>
      </c>
      <c r="BP310" s="7">
        <f>687.37+140+120+39</f>
        <v>986.37</v>
      </c>
      <c r="BR310" s="6">
        <f>(0.19*687.37+0.13*140+0.17*120+0.25*39)/(687.37+140+120+39)</f>
        <v>0.18142309680951366</v>
      </c>
      <c r="BV310" s="6">
        <f>(0.74*687.37+0.47*140+0.38*120+0.4*39)/(687.37+140+120+39)</f>
        <v>0.64443748289181546</v>
      </c>
      <c r="DZ310" s="31"/>
      <c r="EH310" s="10">
        <f t="shared" si="18"/>
        <v>1.7895030000000001</v>
      </c>
      <c r="EL310" s="6">
        <f t="shared" si="19"/>
        <v>635.65380000000005</v>
      </c>
      <c r="GP310" s="32"/>
      <c r="GY310" s="6" t="s">
        <v>435</v>
      </c>
      <c r="GZ310" s="6" t="s">
        <v>1528</v>
      </c>
      <c r="HC310" s="6" t="s">
        <v>1529</v>
      </c>
      <c r="HD310" s="8" t="s">
        <v>1874</v>
      </c>
      <c r="HF310" s="8" t="s">
        <v>1367</v>
      </c>
      <c r="HG310" s="9" t="s">
        <v>1365</v>
      </c>
      <c r="IB310" s="8" t="s">
        <v>1874</v>
      </c>
      <c r="ID310" s="8" t="s">
        <v>1367</v>
      </c>
      <c r="IE310" s="9" t="s">
        <v>1365</v>
      </c>
      <c r="IF310" s="9" t="s">
        <v>445</v>
      </c>
      <c r="IH310" s="9"/>
      <c r="II310" s="9"/>
      <c r="IJ310" s="9"/>
      <c r="IW310" s="8"/>
      <c r="JB310" s="8"/>
      <c r="JV310" s="9" t="s">
        <v>1884</v>
      </c>
      <c r="JX310" s="7" t="s">
        <v>320</v>
      </c>
      <c r="KG310" s="4" t="s">
        <v>323</v>
      </c>
      <c r="KM310" s="4" t="s">
        <v>836</v>
      </c>
      <c r="KN310" s="4" t="s">
        <v>836</v>
      </c>
      <c r="KP310" s="5" t="s">
        <v>1373</v>
      </c>
      <c r="KQ310" s="5" t="s">
        <v>1885</v>
      </c>
      <c r="KR310" s="5" t="s">
        <v>1373</v>
      </c>
      <c r="KS310" s="5" t="s">
        <v>1881</v>
      </c>
      <c r="KT310" s="5" t="s">
        <v>1886</v>
      </c>
    </row>
    <row r="311" spans="1:306" ht="36" x14ac:dyDescent="0.25">
      <c r="A311" s="5" t="s">
        <v>2513</v>
      </c>
      <c r="B311" s="4" t="s">
        <v>293</v>
      </c>
      <c r="C311" s="7" t="s">
        <v>758</v>
      </c>
      <c r="D311" s="8" t="s">
        <v>1526</v>
      </c>
      <c r="E311" s="4">
        <v>455897</v>
      </c>
      <c r="G311" s="4" t="s">
        <v>427</v>
      </c>
      <c r="H311" s="6">
        <v>147.3908481</v>
      </c>
      <c r="I311" s="6">
        <v>-34.206496600000001</v>
      </c>
      <c r="J311" s="4" t="s">
        <v>2514</v>
      </c>
      <c r="K311" s="4" t="s">
        <v>298</v>
      </c>
      <c r="L311" s="4" t="s">
        <v>299</v>
      </c>
      <c r="M311" s="4" t="s">
        <v>1359</v>
      </c>
      <c r="N311" s="4" t="s">
        <v>1360</v>
      </c>
      <c r="Q311" s="8"/>
      <c r="Z311" s="4" t="s">
        <v>293</v>
      </c>
      <c r="AA311" s="7" t="s">
        <v>758</v>
      </c>
      <c r="AB311" s="8" t="s">
        <v>1526</v>
      </c>
      <c r="AC311" s="4" t="s">
        <v>301</v>
      </c>
      <c r="AD311" s="4" t="s">
        <v>302</v>
      </c>
      <c r="AE311" s="8">
        <v>438</v>
      </c>
      <c r="AG311" s="9" t="s">
        <v>379</v>
      </c>
      <c r="AH311" s="9" t="s">
        <v>1156</v>
      </c>
      <c r="AM311" s="8">
        <v>3</v>
      </c>
      <c r="AS311" s="7"/>
      <c r="AT311" s="7"/>
      <c r="BP311" s="7">
        <v>24</v>
      </c>
      <c r="BR311" s="6">
        <v>0.3</v>
      </c>
      <c r="BV311" s="6">
        <v>0.31</v>
      </c>
      <c r="DZ311" s="31"/>
      <c r="EH311" s="10">
        <f t="shared" si="18"/>
        <v>7.1999999999999995E-2</v>
      </c>
      <c r="EL311" s="6">
        <f t="shared" si="19"/>
        <v>7.4399999999999995</v>
      </c>
      <c r="GP311" s="32"/>
      <c r="GY311" s="6" t="s">
        <v>338</v>
      </c>
      <c r="GZ311" s="6" t="s">
        <v>1361</v>
      </c>
      <c r="HC311" s="6" t="s">
        <v>1529</v>
      </c>
      <c r="HD311" s="8" t="s">
        <v>2515</v>
      </c>
      <c r="HE311" s="8">
        <v>21844</v>
      </c>
      <c r="HF311" s="8" t="s">
        <v>2516</v>
      </c>
      <c r="HG311" s="9" t="s">
        <v>2517</v>
      </c>
      <c r="HJ311" s="9" t="s">
        <v>2518</v>
      </c>
      <c r="HK311" s="9" t="s">
        <v>2517</v>
      </c>
      <c r="IB311" s="8" t="s">
        <v>2515</v>
      </c>
      <c r="IC311" s="8">
        <v>21844</v>
      </c>
      <c r="ID311" s="8" t="s">
        <v>2516</v>
      </c>
      <c r="IE311" s="9" t="s">
        <v>2517</v>
      </c>
      <c r="IF311" s="9" t="s">
        <v>445</v>
      </c>
      <c r="II311" s="9" t="s">
        <v>2518</v>
      </c>
      <c r="IJ311" s="9" t="s">
        <v>2517</v>
      </c>
      <c r="IK311" s="8" t="s">
        <v>319</v>
      </c>
      <c r="IW311" s="8"/>
      <c r="JB311" s="8"/>
      <c r="KP311" s="5" t="s">
        <v>2519</v>
      </c>
      <c r="KQ311" s="5" t="s">
        <v>2520</v>
      </c>
      <c r="KS311" s="5" t="s">
        <v>2521</v>
      </c>
      <c r="KT311" s="5" t="s">
        <v>2522</v>
      </c>
    </row>
    <row r="312" spans="1:306" ht="48" x14ac:dyDescent="0.25">
      <c r="A312" s="5" t="s">
        <v>3187</v>
      </c>
      <c r="B312" s="4" t="s">
        <v>293</v>
      </c>
      <c r="C312" s="7" t="s">
        <v>758</v>
      </c>
      <c r="D312" s="8" t="s">
        <v>1526</v>
      </c>
      <c r="E312" s="4">
        <v>455895</v>
      </c>
      <c r="G312" s="4" t="s">
        <v>427</v>
      </c>
      <c r="H312" s="6">
        <v>147.41341220000001</v>
      </c>
      <c r="I312" s="6">
        <v>-34.244659859999999</v>
      </c>
      <c r="J312" s="4" t="s">
        <v>2514</v>
      </c>
      <c r="K312" s="4" t="s">
        <v>298</v>
      </c>
      <c r="L312" s="4" t="s">
        <v>299</v>
      </c>
      <c r="M312" s="4" t="s">
        <v>1359</v>
      </c>
      <c r="N312" s="4" t="s">
        <v>1360</v>
      </c>
      <c r="Q312" s="8"/>
      <c r="Z312" s="4" t="s">
        <v>293</v>
      </c>
      <c r="AA312" s="7" t="s">
        <v>758</v>
      </c>
      <c r="AB312" s="8" t="s">
        <v>1526</v>
      </c>
      <c r="AC312" s="4" t="s">
        <v>301</v>
      </c>
      <c r="AD312" s="4" t="s">
        <v>302</v>
      </c>
      <c r="AE312" s="8">
        <v>438</v>
      </c>
      <c r="AG312" s="9" t="s">
        <v>379</v>
      </c>
      <c r="AH312" s="9" t="s">
        <v>1156</v>
      </c>
      <c r="AM312" s="8">
        <v>3</v>
      </c>
      <c r="AS312" s="7"/>
      <c r="AT312" s="7"/>
      <c r="BP312" s="7">
        <v>14</v>
      </c>
      <c r="BR312" s="6">
        <v>0.21</v>
      </c>
      <c r="BV312" s="6">
        <v>0.35</v>
      </c>
      <c r="DZ312" s="31"/>
      <c r="EH312" s="10">
        <f t="shared" si="18"/>
        <v>2.9399999999999999E-2</v>
      </c>
      <c r="EL312" s="6">
        <f t="shared" si="19"/>
        <v>4.8999999999999995</v>
      </c>
      <c r="GP312" s="32"/>
      <c r="GY312" s="6" t="s">
        <v>338</v>
      </c>
      <c r="GZ312" s="6" t="s">
        <v>1528</v>
      </c>
      <c r="HC312" s="6" t="s">
        <v>1529</v>
      </c>
      <c r="HD312" s="8" t="s">
        <v>2515</v>
      </c>
      <c r="HE312" s="8">
        <v>21844</v>
      </c>
      <c r="HF312" s="8" t="s">
        <v>2516</v>
      </c>
      <c r="HG312" s="9" t="s">
        <v>2517</v>
      </c>
      <c r="HJ312" s="9" t="s">
        <v>2518</v>
      </c>
      <c r="HK312" s="9" t="s">
        <v>2517</v>
      </c>
      <c r="IB312" s="8" t="s">
        <v>2515</v>
      </c>
      <c r="IC312" s="8">
        <v>21844</v>
      </c>
      <c r="ID312" s="8" t="s">
        <v>2516</v>
      </c>
      <c r="IE312" s="9" t="s">
        <v>2517</v>
      </c>
      <c r="IF312" s="9" t="s">
        <v>445</v>
      </c>
      <c r="II312" s="9" t="s">
        <v>2518</v>
      </c>
      <c r="IJ312" s="9" t="s">
        <v>2517</v>
      </c>
      <c r="IK312" s="8" t="s">
        <v>319</v>
      </c>
      <c r="IW312" s="8"/>
      <c r="JB312" s="8"/>
      <c r="JV312" s="7" t="s">
        <v>3188</v>
      </c>
      <c r="JX312" s="7" t="s">
        <v>353</v>
      </c>
      <c r="JY312" s="7" t="s">
        <v>354</v>
      </c>
      <c r="JZ312" s="7" t="s">
        <v>320</v>
      </c>
      <c r="KA312" s="7" t="s">
        <v>354</v>
      </c>
      <c r="KB312" s="7" t="s">
        <v>355</v>
      </c>
      <c r="KP312" s="5" t="s">
        <v>2519</v>
      </c>
      <c r="KQ312" s="5" t="s">
        <v>2520</v>
      </c>
      <c r="KS312" s="5" t="s">
        <v>2521</v>
      </c>
      <c r="KT312" s="5" t="s">
        <v>2522</v>
      </c>
    </row>
    <row r="313" spans="1:306" ht="84" x14ac:dyDescent="0.2">
      <c r="A313" s="5" t="s">
        <v>4401</v>
      </c>
      <c r="B313" s="4" t="s">
        <v>293</v>
      </c>
      <c r="C313" s="7" t="s">
        <v>758</v>
      </c>
      <c r="D313" s="8" t="s">
        <v>1526</v>
      </c>
      <c r="E313" s="44">
        <v>924922</v>
      </c>
      <c r="G313" s="4" t="s">
        <v>427</v>
      </c>
      <c r="H313" s="6">
        <v>149.017667402</v>
      </c>
      <c r="I313" s="6">
        <v>-32.411599373000001</v>
      </c>
      <c r="J313" s="4" t="s">
        <v>1527</v>
      </c>
      <c r="K313" s="4" t="s">
        <v>298</v>
      </c>
      <c r="L313" s="4" t="s">
        <v>299</v>
      </c>
      <c r="M313" s="4" t="s">
        <v>1359</v>
      </c>
      <c r="N313" s="4" t="s">
        <v>1360</v>
      </c>
      <c r="P313" s="8"/>
      <c r="Q313" s="8"/>
      <c r="Z313" s="4" t="s">
        <v>293</v>
      </c>
      <c r="AA313" s="7" t="s">
        <v>758</v>
      </c>
      <c r="AB313" s="8" t="s">
        <v>1526</v>
      </c>
      <c r="AC313" s="4" t="s">
        <v>301</v>
      </c>
      <c r="AD313" s="8" t="s">
        <v>375</v>
      </c>
      <c r="AE313" s="8">
        <v>438</v>
      </c>
      <c r="AG313" s="9" t="s">
        <v>379</v>
      </c>
      <c r="AH313" s="9" t="s">
        <v>380</v>
      </c>
      <c r="AM313" s="8">
        <v>3</v>
      </c>
      <c r="BP313" s="7">
        <v>213</v>
      </c>
      <c r="BR313" s="6">
        <v>0.2</v>
      </c>
      <c r="BV313" s="6">
        <v>0.2</v>
      </c>
      <c r="DZ313" s="31"/>
      <c r="EH313" s="10">
        <f t="shared" si="18"/>
        <v>0.42599999999999999</v>
      </c>
      <c r="EL313" s="7">
        <f t="shared" si="19"/>
        <v>42.6</v>
      </c>
      <c r="GP313" s="32"/>
      <c r="GY313" s="6" t="s">
        <v>338</v>
      </c>
      <c r="GZ313" s="6" t="s">
        <v>1361</v>
      </c>
      <c r="HC313" s="6" t="s">
        <v>1529</v>
      </c>
      <c r="HD313" s="8" t="s">
        <v>1530</v>
      </c>
      <c r="HE313" s="8">
        <v>24837</v>
      </c>
      <c r="HF313" s="8" t="s">
        <v>1531</v>
      </c>
      <c r="HG313" s="9" t="s">
        <v>1532</v>
      </c>
      <c r="HH313" s="9" t="s">
        <v>4402</v>
      </c>
      <c r="HJ313" s="9" t="s">
        <v>4403</v>
      </c>
      <c r="IB313" s="8" t="s">
        <v>1530</v>
      </c>
      <c r="IC313" s="8">
        <v>24837</v>
      </c>
      <c r="ID313" s="8" t="s">
        <v>1531</v>
      </c>
      <c r="IE313" s="9" t="s">
        <v>1532</v>
      </c>
      <c r="IF313" s="8" t="s">
        <v>445</v>
      </c>
      <c r="IG313" s="9" t="s">
        <v>4402</v>
      </c>
      <c r="II313" s="9" t="s">
        <v>4403</v>
      </c>
      <c r="IK313" s="8" t="s">
        <v>319</v>
      </c>
      <c r="IL313" s="9" t="s">
        <v>1625</v>
      </c>
      <c r="IN313" s="9" t="s">
        <v>4404</v>
      </c>
      <c r="IP313" s="9" t="s">
        <v>350</v>
      </c>
      <c r="JV313" s="7" t="s">
        <v>4405</v>
      </c>
      <c r="JX313" s="7" t="s">
        <v>320</v>
      </c>
      <c r="JY313" s="7" t="s">
        <v>354</v>
      </c>
      <c r="JZ313" s="7" t="s">
        <v>353</v>
      </c>
      <c r="KA313" s="7" t="s">
        <v>354</v>
      </c>
      <c r="KB313" s="7" t="s">
        <v>355</v>
      </c>
      <c r="KG313" s="4" t="s">
        <v>323</v>
      </c>
      <c r="KP313" s="5" t="s">
        <v>1539</v>
      </c>
      <c r="KQ313" s="5" t="s">
        <v>1539</v>
      </c>
      <c r="KS313" s="5" t="s">
        <v>1539</v>
      </c>
      <c r="KT313" s="5" t="s">
        <v>1542</v>
      </c>
    </row>
    <row r="314" spans="1:306" ht="60" x14ac:dyDescent="0.25">
      <c r="A314" s="5" t="s">
        <v>4980</v>
      </c>
      <c r="B314" s="4" t="s">
        <v>293</v>
      </c>
      <c r="C314" s="7" t="s">
        <v>758</v>
      </c>
      <c r="D314" s="8" t="s">
        <v>1526</v>
      </c>
      <c r="E314" s="4">
        <v>455899</v>
      </c>
      <c r="G314" s="4" t="s">
        <v>427</v>
      </c>
      <c r="H314" s="6">
        <v>147.3865089</v>
      </c>
      <c r="I314" s="6">
        <v>-34.18442177</v>
      </c>
      <c r="J314" s="4" t="s">
        <v>2514</v>
      </c>
      <c r="K314" s="4" t="s">
        <v>298</v>
      </c>
      <c r="L314" s="4" t="s">
        <v>299</v>
      </c>
      <c r="M314" s="4" t="s">
        <v>1359</v>
      </c>
      <c r="N314" s="4" t="s">
        <v>1360</v>
      </c>
      <c r="Q314" s="8"/>
      <c r="R314" s="8"/>
      <c r="Z314" s="4" t="s">
        <v>293</v>
      </c>
      <c r="AA314" s="7" t="s">
        <v>758</v>
      </c>
      <c r="AB314" s="8" t="s">
        <v>1526</v>
      </c>
      <c r="AC314" s="4" t="s">
        <v>301</v>
      </c>
      <c r="AD314" s="4" t="s">
        <v>375</v>
      </c>
      <c r="AE314" s="8">
        <v>436</v>
      </c>
      <c r="AF314" s="8">
        <v>3</v>
      </c>
      <c r="AG314" s="9" t="s">
        <v>379</v>
      </c>
      <c r="AH314" s="9" t="s">
        <v>483</v>
      </c>
      <c r="AI314" s="9" t="s">
        <v>373</v>
      </c>
      <c r="AJ314" s="9" t="s">
        <v>306</v>
      </c>
      <c r="AK314" s="9" t="s">
        <v>307</v>
      </c>
      <c r="AL314" s="9" t="s">
        <v>337</v>
      </c>
      <c r="AM314" s="8">
        <v>4</v>
      </c>
      <c r="AN314" s="4" t="s">
        <v>381</v>
      </c>
      <c r="AO314" s="4" t="s">
        <v>402</v>
      </c>
      <c r="AP314" s="4" t="s">
        <v>383</v>
      </c>
      <c r="AQ314" s="7" t="s">
        <v>384</v>
      </c>
      <c r="AR314" s="8" t="s">
        <v>827</v>
      </c>
      <c r="AS314" s="7">
        <v>0</v>
      </c>
      <c r="AT314" s="7">
        <v>0</v>
      </c>
      <c r="AU314" s="9" t="s">
        <v>303</v>
      </c>
      <c r="AV314" s="9" t="s">
        <v>406</v>
      </c>
      <c r="BA314" s="8">
        <v>5</v>
      </c>
      <c r="BP314" s="7">
        <v>26</v>
      </c>
      <c r="BR314" s="6">
        <v>0.34</v>
      </c>
      <c r="BV314" s="6">
        <v>0.38</v>
      </c>
      <c r="DZ314" s="31"/>
      <c r="EH314" s="10">
        <f t="shared" si="18"/>
        <v>8.8399999999999992E-2</v>
      </c>
      <c r="EL314" s="6">
        <f t="shared" si="19"/>
        <v>9.8800000000000008</v>
      </c>
      <c r="EY314" s="6"/>
      <c r="FA314" s="6"/>
      <c r="GP314" s="32"/>
      <c r="GY314" s="6" t="s">
        <v>338</v>
      </c>
      <c r="GZ314" s="6" t="s">
        <v>1361</v>
      </c>
      <c r="HC314" s="6" t="s">
        <v>1529</v>
      </c>
      <c r="HD314" s="8" t="s">
        <v>2515</v>
      </c>
      <c r="HE314" s="8">
        <v>21844</v>
      </c>
      <c r="HF314" s="8" t="s">
        <v>4981</v>
      </c>
      <c r="HG314" s="9" t="s">
        <v>2517</v>
      </c>
      <c r="HJ314" s="9" t="s">
        <v>2946</v>
      </c>
      <c r="HK314" s="9" t="s">
        <v>2517</v>
      </c>
      <c r="HY314" s="9"/>
      <c r="IB314" s="8" t="s">
        <v>2515</v>
      </c>
      <c r="IC314" s="8">
        <v>21844</v>
      </c>
      <c r="ID314" s="8" t="s">
        <v>4981</v>
      </c>
      <c r="IE314" s="9" t="s">
        <v>2517</v>
      </c>
      <c r="IF314" s="9" t="s">
        <v>445</v>
      </c>
      <c r="II314" s="9" t="s">
        <v>2946</v>
      </c>
      <c r="IJ314" s="9" t="s">
        <v>2517</v>
      </c>
      <c r="IK314" s="8" t="s">
        <v>319</v>
      </c>
      <c r="IW314" s="8"/>
      <c r="JB314" s="8"/>
      <c r="JV314" s="7" t="s">
        <v>3188</v>
      </c>
      <c r="JX314" s="7" t="s">
        <v>353</v>
      </c>
      <c r="JY314" s="7" t="s">
        <v>354</v>
      </c>
      <c r="JZ314" s="7" t="s">
        <v>320</v>
      </c>
      <c r="KA314" s="7" t="s">
        <v>354</v>
      </c>
      <c r="KB314" s="7" t="s">
        <v>355</v>
      </c>
      <c r="KP314" s="5" t="s">
        <v>2519</v>
      </c>
      <c r="KQ314" s="5" t="s">
        <v>4982</v>
      </c>
      <c r="KR314" s="5" t="s">
        <v>2519</v>
      </c>
      <c r="KS314" s="5" t="s">
        <v>2521</v>
      </c>
      <c r="KT314" s="5" t="s">
        <v>4983</v>
      </c>
    </row>
    <row r="315" spans="1:306" ht="132" x14ac:dyDescent="0.25">
      <c r="A315" s="5" t="s">
        <v>6300</v>
      </c>
      <c r="B315" s="4" t="s">
        <v>293</v>
      </c>
      <c r="C315" s="7" t="s">
        <v>758</v>
      </c>
      <c r="D315" s="8" t="s">
        <v>1526</v>
      </c>
      <c r="E315" s="4">
        <v>335362</v>
      </c>
      <c r="G315" s="4" t="s">
        <v>427</v>
      </c>
      <c r="H315" s="6">
        <v>148</v>
      </c>
      <c r="I315" s="6">
        <v>-32.92</v>
      </c>
      <c r="J315" s="4" t="s">
        <v>3115</v>
      </c>
      <c r="K315" s="4" t="s">
        <v>298</v>
      </c>
      <c r="L315" s="4" t="s">
        <v>299</v>
      </c>
      <c r="M315" s="4" t="s">
        <v>1359</v>
      </c>
      <c r="N315" s="4" t="s">
        <v>1360</v>
      </c>
      <c r="P315" s="8"/>
      <c r="Q315" s="7"/>
      <c r="R315" s="7"/>
      <c r="Z315" s="4" t="s">
        <v>293</v>
      </c>
      <c r="AA315" s="7" t="s">
        <v>758</v>
      </c>
      <c r="AB315" s="8" t="s">
        <v>1526</v>
      </c>
      <c r="AC315" s="4" t="s">
        <v>301</v>
      </c>
      <c r="AD315" s="8" t="s">
        <v>375</v>
      </c>
      <c r="AE315" s="7">
        <f>AVERAGE(437.6,439)</f>
        <v>438.3</v>
      </c>
      <c r="AF315" s="7">
        <f>SQRT(2.2^2+2.2^2)/2</f>
        <v>1.5556349186104046</v>
      </c>
      <c r="AG315" s="9" t="s">
        <v>303</v>
      </c>
      <c r="AH315" s="9" t="s">
        <v>304</v>
      </c>
      <c r="AI315" s="9" t="s">
        <v>598</v>
      </c>
      <c r="AJ315" s="9" t="s">
        <v>599</v>
      </c>
      <c r="AK315" s="9" t="s">
        <v>600</v>
      </c>
      <c r="AM315" s="8">
        <v>5</v>
      </c>
      <c r="AN315" s="4" t="s">
        <v>381</v>
      </c>
      <c r="AO315" s="4" t="s">
        <v>382</v>
      </c>
      <c r="AP315" s="4" t="s">
        <v>383</v>
      </c>
      <c r="AQ315" s="7" t="s">
        <v>384</v>
      </c>
      <c r="AR315" s="8" t="s">
        <v>827</v>
      </c>
      <c r="AS315" s="7">
        <v>0</v>
      </c>
      <c r="AT315" s="7">
        <v>0</v>
      </c>
      <c r="AU315" s="9" t="s">
        <v>303</v>
      </c>
      <c r="AV315" s="9" t="s">
        <v>406</v>
      </c>
      <c r="BA315" s="8">
        <v>5</v>
      </c>
      <c r="DZ315" s="31"/>
      <c r="EH315" s="7">
        <f>0.9+(481.53*0.56+121.17*0.58)/100</f>
        <v>4.2993540000000001</v>
      </c>
      <c r="EL315" s="8">
        <f>1.2*31.1+481.52*0.18+121.17*0.22</f>
        <v>150.65099999999998</v>
      </c>
      <c r="EY315" s="6"/>
      <c r="FA315" s="6"/>
      <c r="GP315" s="32"/>
      <c r="GY315" s="6" t="s">
        <v>435</v>
      </c>
      <c r="GZ315" s="6" t="s">
        <v>994</v>
      </c>
      <c r="HA315" s="6" t="s">
        <v>436</v>
      </c>
      <c r="HC315" s="6" t="s">
        <v>1529</v>
      </c>
      <c r="HD315" s="8" t="s">
        <v>6301</v>
      </c>
      <c r="HE315" s="8">
        <v>24582</v>
      </c>
      <c r="HF315" s="8" t="s">
        <v>6302</v>
      </c>
      <c r="HG315" s="9" t="s">
        <v>1365</v>
      </c>
      <c r="HH315" s="8" t="s">
        <v>3116</v>
      </c>
      <c r="HI315" s="8">
        <v>7578</v>
      </c>
      <c r="HJ315" s="9" t="s">
        <v>6303</v>
      </c>
      <c r="HK315" s="9" t="s">
        <v>466</v>
      </c>
      <c r="HL315" s="9" t="s">
        <v>6304</v>
      </c>
      <c r="HN315" s="9" t="s">
        <v>6305</v>
      </c>
      <c r="HO315" s="9" t="s">
        <v>440</v>
      </c>
      <c r="HP315" s="9" t="s">
        <v>6306</v>
      </c>
      <c r="HR315" s="9" t="s">
        <v>6307</v>
      </c>
      <c r="HS315" s="9" t="s">
        <v>1365</v>
      </c>
      <c r="HY315" s="9"/>
      <c r="IB315" s="8" t="s">
        <v>3116</v>
      </c>
      <c r="IC315" s="8">
        <v>7578</v>
      </c>
      <c r="ID315" s="9" t="s">
        <v>6303</v>
      </c>
      <c r="IE315" s="9" t="s">
        <v>466</v>
      </c>
      <c r="IF315" s="8" t="s">
        <v>445</v>
      </c>
      <c r="IG315" s="8" t="s">
        <v>6301</v>
      </c>
      <c r="IH315" s="8">
        <v>24582</v>
      </c>
      <c r="II315" s="8" t="s">
        <v>6302</v>
      </c>
      <c r="IJ315" s="9" t="s">
        <v>1365</v>
      </c>
      <c r="IK315" s="8" t="s">
        <v>445</v>
      </c>
      <c r="IL315" s="9" t="s">
        <v>6304</v>
      </c>
      <c r="IM315" s="9"/>
      <c r="IN315" s="9" t="s">
        <v>6305</v>
      </c>
      <c r="IO315" s="9" t="s">
        <v>440</v>
      </c>
      <c r="IP315" s="9" t="s">
        <v>445</v>
      </c>
      <c r="IQ315" s="9" t="s">
        <v>6306</v>
      </c>
      <c r="IR315" s="9"/>
      <c r="IS315" s="9" t="s">
        <v>6307</v>
      </c>
      <c r="IT315" s="9" t="s">
        <v>1365</v>
      </c>
      <c r="IU315" s="9" t="s">
        <v>445</v>
      </c>
      <c r="IV315" s="9" t="s">
        <v>6308</v>
      </c>
      <c r="IW315" s="8"/>
      <c r="IX315" s="9" t="s">
        <v>1367</v>
      </c>
      <c r="IY315" s="9" t="s">
        <v>2517</v>
      </c>
      <c r="IZ315" s="9" t="s">
        <v>319</v>
      </c>
      <c r="JA315" s="9" t="s">
        <v>6309</v>
      </c>
      <c r="JB315" s="8"/>
      <c r="JC315" s="9" t="s">
        <v>2192</v>
      </c>
      <c r="JD315" s="9" t="s">
        <v>2517</v>
      </c>
      <c r="JE315" s="9" t="s">
        <v>350</v>
      </c>
      <c r="JU315" s="7" t="s">
        <v>6310</v>
      </c>
      <c r="JV315" s="7" t="s">
        <v>6311</v>
      </c>
      <c r="JX315" s="7" t="s">
        <v>320</v>
      </c>
      <c r="JY315" s="7" t="s">
        <v>354</v>
      </c>
      <c r="JZ315" s="7" t="s">
        <v>353</v>
      </c>
      <c r="KG315" s="4" t="s">
        <v>1893</v>
      </c>
      <c r="KH315" s="4" t="s">
        <v>1317</v>
      </c>
      <c r="KM315" s="4" t="s">
        <v>3942</v>
      </c>
      <c r="KN315" s="4" t="s">
        <v>3942</v>
      </c>
      <c r="KP315" s="5" t="s">
        <v>6312</v>
      </c>
      <c r="KQ315" s="5" t="s">
        <v>6313</v>
      </c>
      <c r="KR315" s="5" t="s">
        <v>6314</v>
      </c>
      <c r="KS315" s="5" t="s">
        <v>6312</v>
      </c>
      <c r="KT315" s="5" t="s">
        <v>6315</v>
      </c>
    </row>
    <row r="316" spans="1:306" ht="144" x14ac:dyDescent="0.25">
      <c r="A316" s="5" t="s">
        <v>6892</v>
      </c>
      <c r="B316" s="4" t="s">
        <v>293</v>
      </c>
      <c r="C316" s="7" t="s">
        <v>758</v>
      </c>
      <c r="D316" s="8" t="s">
        <v>1526</v>
      </c>
      <c r="E316" s="4">
        <v>335424</v>
      </c>
      <c r="G316" s="4" t="s">
        <v>427</v>
      </c>
      <c r="H316" s="6">
        <v>148.974929178</v>
      </c>
      <c r="I316" s="6">
        <v>-33.437095681000002</v>
      </c>
      <c r="J316" s="4" t="s">
        <v>1358</v>
      </c>
      <c r="K316" s="4" t="s">
        <v>298</v>
      </c>
      <c r="L316" s="4" t="s">
        <v>299</v>
      </c>
      <c r="M316" s="4" t="s">
        <v>1359</v>
      </c>
      <c r="N316" s="4" t="s">
        <v>1360</v>
      </c>
      <c r="Q316" s="7"/>
      <c r="R316" s="7"/>
      <c r="Z316" s="4" t="s">
        <v>293</v>
      </c>
      <c r="AA316" s="7" t="s">
        <v>758</v>
      </c>
      <c r="AB316" s="8" t="s">
        <v>1526</v>
      </c>
      <c r="AC316" s="4" t="s">
        <v>301</v>
      </c>
      <c r="AD316" s="4" t="s">
        <v>302</v>
      </c>
      <c r="AE316" s="7">
        <v>455.8</v>
      </c>
      <c r="AF316" s="7">
        <v>4.4000000000000004</v>
      </c>
      <c r="AG316" s="9" t="s">
        <v>379</v>
      </c>
      <c r="AH316" s="9" t="s">
        <v>483</v>
      </c>
      <c r="AI316" s="9" t="s">
        <v>373</v>
      </c>
      <c r="AJ316" s="9" t="s">
        <v>306</v>
      </c>
      <c r="AK316" s="9" t="s">
        <v>307</v>
      </c>
      <c r="AM316" s="8">
        <v>4</v>
      </c>
      <c r="AS316" s="7"/>
      <c r="AT316" s="7"/>
      <c r="BP316" s="7">
        <f>76.69+110+41</f>
        <v>227.69</v>
      </c>
      <c r="BR316" s="6">
        <f>(0.63*76.69+0.3*110+0.4*41)/(76.69+110+41)</f>
        <v>0.42915674821028593</v>
      </c>
      <c r="BV316" s="6">
        <f>(1.83*76.69+0.56*110+0.38*41)/(76.69+110+41)</f>
        <v>0.95534586499187502</v>
      </c>
      <c r="DZ316" s="31"/>
      <c r="EH316" s="10">
        <f>BP316*BR316/100</f>
        <v>0.9771470000000001</v>
      </c>
      <c r="EL316" s="6">
        <f>BP316*BV316</f>
        <v>217.52270000000001</v>
      </c>
      <c r="GP316" s="32"/>
      <c r="GY316" s="6" t="s">
        <v>435</v>
      </c>
      <c r="GZ316" s="6" t="s">
        <v>436</v>
      </c>
      <c r="HC316" s="6" t="s">
        <v>1529</v>
      </c>
      <c r="HD316" s="8" t="s">
        <v>1363</v>
      </c>
      <c r="HE316" s="8">
        <v>6819</v>
      </c>
      <c r="HF316" s="8" t="s">
        <v>6893</v>
      </c>
      <c r="HG316" s="9" t="s">
        <v>1365</v>
      </c>
      <c r="HH316" s="9" t="s">
        <v>6894</v>
      </c>
      <c r="HJ316" s="9" t="s">
        <v>6895</v>
      </c>
      <c r="HK316" s="9" t="s">
        <v>4591</v>
      </c>
      <c r="HL316" s="9" t="s">
        <v>6896</v>
      </c>
      <c r="HN316" s="9" t="s">
        <v>6897</v>
      </c>
      <c r="HO316" s="9" t="s">
        <v>4591</v>
      </c>
      <c r="HP316" s="9" t="s">
        <v>6898</v>
      </c>
      <c r="HQ316" s="8">
        <v>29503</v>
      </c>
      <c r="HR316" s="9" t="s">
        <v>6899</v>
      </c>
      <c r="IB316" s="8" t="s">
        <v>1363</v>
      </c>
      <c r="IC316" s="8">
        <v>6819</v>
      </c>
      <c r="ID316" s="8" t="s">
        <v>6893</v>
      </c>
      <c r="IE316" s="9" t="s">
        <v>1365</v>
      </c>
      <c r="IF316" s="8" t="s">
        <v>445</v>
      </c>
      <c r="IG316" s="9" t="s">
        <v>6894</v>
      </c>
      <c r="II316" s="9" t="s">
        <v>6895</v>
      </c>
      <c r="IJ316" s="9" t="s">
        <v>6900</v>
      </c>
      <c r="IK316" s="8" t="s">
        <v>445</v>
      </c>
      <c r="IL316" s="9" t="s">
        <v>6901</v>
      </c>
      <c r="IN316" s="9" t="s">
        <v>6897</v>
      </c>
      <c r="IO316" s="9" t="s">
        <v>6900</v>
      </c>
      <c r="IP316" s="9" t="s">
        <v>319</v>
      </c>
      <c r="IW316" s="8"/>
      <c r="JB316" s="8"/>
      <c r="JV316" s="7" t="s">
        <v>6902</v>
      </c>
      <c r="JX316" s="7" t="s">
        <v>320</v>
      </c>
      <c r="JY316" s="7" t="s">
        <v>354</v>
      </c>
      <c r="JZ316" s="7" t="s">
        <v>353</v>
      </c>
      <c r="KA316" s="7" t="s">
        <v>354</v>
      </c>
      <c r="KB316" s="7" t="s">
        <v>355</v>
      </c>
      <c r="KG316" s="4" t="s">
        <v>323</v>
      </c>
      <c r="KM316" s="4" t="s">
        <v>836</v>
      </c>
      <c r="KN316" s="4" t="s">
        <v>836</v>
      </c>
      <c r="KP316" s="5" t="s">
        <v>1373</v>
      </c>
      <c r="KQ316" s="5" t="s">
        <v>4903</v>
      </c>
      <c r="KR316" s="5" t="s">
        <v>1373</v>
      </c>
      <c r="KS316" s="5" t="s">
        <v>1881</v>
      </c>
      <c r="KT316" s="5" t="s">
        <v>6903</v>
      </c>
    </row>
    <row r="317" spans="1:306" ht="84" x14ac:dyDescent="0.25">
      <c r="A317" s="5" t="s">
        <v>7531</v>
      </c>
      <c r="B317" s="4" t="s">
        <v>293</v>
      </c>
      <c r="C317" s="7" t="s">
        <v>758</v>
      </c>
      <c r="D317" s="8" t="s">
        <v>1526</v>
      </c>
      <c r="E317" s="4">
        <v>407981</v>
      </c>
      <c r="G317" s="4" t="s">
        <v>427</v>
      </c>
      <c r="H317" s="6">
        <v>147.46721890000001</v>
      </c>
      <c r="I317" s="6">
        <v>-34.325102039999997</v>
      </c>
      <c r="J317" s="4" t="s">
        <v>2514</v>
      </c>
      <c r="K317" s="4" t="s">
        <v>298</v>
      </c>
      <c r="L317" s="4" t="s">
        <v>299</v>
      </c>
      <c r="M317" s="4" t="s">
        <v>1359</v>
      </c>
      <c r="N317" s="4" t="s">
        <v>1360</v>
      </c>
      <c r="Q317" s="8"/>
      <c r="Z317" s="4" t="s">
        <v>293</v>
      </c>
      <c r="AA317" s="7" t="s">
        <v>758</v>
      </c>
      <c r="AB317" s="8" t="s">
        <v>1526</v>
      </c>
      <c r="AC317" s="4" t="s">
        <v>301</v>
      </c>
      <c r="AD317" s="4" t="s">
        <v>375</v>
      </c>
      <c r="AE317" s="8">
        <v>438</v>
      </c>
      <c r="AG317" s="9" t="s">
        <v>379</v>
      </c>
      <c r="AH317" s="9" t="s">
        <v>1156</v>
      </c>
      <c r="AM317" s="8">
        <v>3</v>
      </c>
      <c r="AN317" s="4" t="s">
        <v>381</v>
      </c>
      <c r="AO317" s="4" t="s">
        <v>402</v>
      </c>
      <c r="AP317" s="4" t="s">
        <v>476</v>
      </c>
      <c r="AQ317" s="7" t="s">
        <v>477</v>
      </c>
      <c r="AR317" s="8" t="s">
        <v>2770</v>
      </c>
      <c r="AS317" s="8">
        <v>436</v>
      </c>
      <c r="AT317" s="8"/>
      <c r="AU317" s="9" t="s">
        <v>379</v>
      </c>
      <c r="AV317" s="9" t="s">
        <v>1156</v>
      </c>
      <c r="BA317" s="8">
        <v>3</v>
      </c>
      <c r="BP317" s="7">
        <f>25+16</f>
        <v>41</v>
      </c>
      <c r="BR317" s="6">
        <f>(25*0.34+16*0.24)/(25+16)</f>
        <v>0.30097560975609755</v>
      </c>
      <c r="BV317" s="6">
        <f>(25*0.48+16*0.3)/(25+16)</f>
        <v>0.40975609756097564</v>
      </c>
      <c r="DZ317" s="31"/>
      <c r="EH317" s="10">
        <f>BP317*BR317/100</f>
        <v>0.1234</v>
      </c>
      <c r="EL317" s="6">
        <f>BP317*BV317</f>
        <v>16.8</v>
      </c>
      <c r="GP317" s="32"/>
      <c r="GY317" s="6" t="s">
        <v>338</v>
      </c>
      <c r="GZ317" s="6" t="s">
        <v>436</v>
      </c>
      <c r="HC317" s="6" t="s">
        <v>1529</v>
      </c>
      <c r="HD317" s="8" t="s">
        <v>2515</v>
      </c>
      <c r="HE317" s="8">
        <v>21844</v>
      </c>
      <c r="HF317" s="8" t="s">
        <v>7532</v>
      </c>
      <c r="HG317" s="9" t="s">
        <v>2517</v>
      </c>
      <c r="HJ317" s="9" t="s">
        <v>2518</v>
      </c>
      <c r="HK317" s="9" t="s">
        <v>2517</v>
      </c>
      <c r="IB317" s="8" t="s">
        <v>2515</v>
      </c>
      <c r="IC317" s="8">
        <v>21844</v>
      </c>
      <c r="ID317" s="8" t="s">
        <v>7532</v>
      </c>
      <c r="IE317" s="9" t="s">
        <v>2517</v>
      </c>
      <c r="IF317" s="9" t="s">
        <v>445</v>
      </c>
      <c r="II317" s="9" t="s">
        <v>2518</v>
      </c>
      <c r="IJ317" s="9" t="s">
        <v>2517</v>
      </c>
      <c r="IK317" s="8" t="s">
        <v>319</v>
      </c>
      <c r="IW317" s="8"/>
      <c r="JB317" s="8"/>
      <c r="JV317" s="7" t="s">
        <v>7533</v>
      </c>
      <c r="JX317" s="7" t="s">
        <v>353</v>
      </c>
      <c r="JY317" s="7" t="s">
        <v>354</v>
      </c>
      <c r="JZ317" s="7" t="s">
        <v>320</v>
      </c>
      <c r="KA317" s="7" t="s">
        <v>354</v>
      </c>
      <c r="KB317" s="7" t="s">
        <v>355</v>
      </c>
      <c r="KG317" s="4" t="s">
        <v>2775</v>
      </c>
      <c r="KH317" s="4" t="s">
        <v>1317</v>
      </c>
      <c r="KI317" s="4" t="s">
        <v>356</v>
      </c>
      <c r="KJ317" s="4" t="s">
        <v>1317</v>
      </c>
      <c r="KP317" s="5" t="s">
        <v>2519</v>
      </c>
      <c r="KQ317" s="5" t="s">
        <v>2520</v>
      </c>
      <c r="KS317" s="5" t="s">
        <v>2521</v>
      </c>
      <c r="KT317" s="5" t="s">
        <v>2522</v>
      </c>
    </row>
    <row r="318" spans="1:306" ht="48" x14ac:dyDescent="0.25">
      <c r="A318" s="5" t="s">
        <v>8346</v>
      </c>
      <c r="B318" s="4" t="s">
        <v>293</v>
      </c>
      <c r="C318" s="7" t="s">
        <v>758</v>
      </c>
      <c r="D318" s="8" t="s">
        <v>1526</v>
      </c>
      <c r="E318" s="4">
        <v>455893</v>
      </c>
      <c r="G318" s="4" t="s">
        <v>427</v>
      </c>
      <c r="H318" s="6">
        <v>147.3383432</v>
      </c>
      <c r="I318" s="6">
        <v>-34.046360540000002</v>
      </c>
      <c r="J318" s="4" t="s">
        <v>2514</v>
      </c>
      <c r="K318" s="4" t="s">
        <v>298</v>
      </c>
      <c r="L318" s="4" t="s">
        <v>299</v>
      </c>
      <c r="M318" s="4" t="s">
        <v>1359</v>
      </c>
      <c r="N318" s="4" t="s">
        <v>1360</v>
      </c>
      <c r="Q318" s="7"/>
      <c r="R318" s="7"/>
      <c r="Z318" s="4" t="s">
        <v>293</v>
      </c>
      <c r="AA318" s="7" t="s">
        <v>758</v>
      </c>
      <c r="AB318" s="8" t="s">
        <v>1526</v>
      </c>
      <c r="AC318" s="4" t="s">
        <v>301</v>
      </c>
      <c r="AD318" s="4" t="s">
        <v>302</v>
      </c>
      <c r="AE318" s="7">
        <v>438</v>
      </c>
      <c r="AF318" s="7">
        <v>1.4</v>
      </c>
      <c r="AG318" s="9" t="s">
        <v>303</v>
      </c>
      <c r="AH318" s="9" t="s">
        <v>304</v>
      </c>
      <c r="AI318" s="9" t="s">
        <v>598</v>
      </c>
      <c r="AJ318" s="9" t="s">
        <v>599</v>
      </c>
      <c r="AK318" s="9" t="s">
        <v>600</v>
      </c>
      <c r="AM318" s="8">
        <v>5</v>
      </c>
      <c r="AS318" s="7"/>
      <c r="AT318" s="7"/>
      <c r="BP318" s="7">
        <v>127</v>
      </c>
      <c r="BR318" s="6">
        <v>0.32</v>
      </c>
      <c r="BV318" s="6">
        <v>0.14000000000000001</v>
      </c>
      <c r="DZ318" s="31"/>
      <c r="EH318" s="10">
        <f>BP318*BR318/100</f>
        <v>0.40639999999999998</v>
      </c>
      <c r="EL318" s="6">
        <f>BP318*BV318</f>
        <v>17.78</v>
      </c>
      <c r="GP318" s="32"/>
      <c r="GY318" s="6" t="s">
        <v>338</v>
      </c>
      <c r="GZ318" s="6" t="s">
        <v>436</v>
      </c>
      <c r="HC318" s="6" t="s">
        <v>1529</v>
      </c>
      <c r="HD318" s="8" t="s">
        <v>2515</v>
      </c>
      <c r="HE318" s="8">
        <v>21844</v>
      </c>
      <c r="HF318" s="8" t="s">
        <v>8347</v>
      </c>
      <c r="HG318" s="9" t="s">
        <v>2517</v>
      </c>
      <c r="HJ318" s="9" t="s">
        <v>8348</v>
      </c>
      <c r="HK318" s="9" t="s">
        <v>2517</v>
      </c>
      <c r="IB318" s="8" t="s">
        <v>2515</v>
      </c>
      <c r="IC318" s="8">
        <v>21844</v>
      </c>
      <c r="ID318" s="8" t="s">
        <v>8347</v>
      </c>
      <c r="IE318" s="9" t="s">
        <v>2517</v>
      </c>
      <c r="IF318" s="9" t="s">
        <v>445</v>
      </c>
      <c r="II318" s="9" t="s">
        <v>8348</v>
      </c>
      <c r="IJ318" s="9" t="s">
        <v>2517</v>
      </c>
      <c r="IK318" s="8" t="s">
        <v>319</v>
      </c>
      <c r="IW318" s="8"/>
      <c r="JB318" s="8"/>
      <c r="JV318" s="7" t="s">
        <v>3188</v>
      </c>
      <c r="JX318" s="7" t="s">
        <v>353</v>
      </c>
      <c r="JY318" s="7" t="s">
        <v>354</v>
      </c>
      <c r="JZ318" s="7" t="s">
        <v>320</v>
      </c>
      <c r="KA318" s="7" t="s">
        <v>354</v>
      </c>
      <c r="KB318" s="7" t="s">
        <v>355</v>
      </c>
      <c r="KP318" s="5" t="s">
        <v>2519</v>
      </c>
      <c r="KQ318" s="5" t="s">
        <v>8349</v>
      </c>
      <c r="KR318" s="5" t="s">
        <v>8350</v>
      </c>
      <c r="KS318" s="5" t="s">
        <v>2521</v>
      </c>
      <c r="KT318" s="5" t="s">
        <v>718</v>
      </c>
    </row>
    <row r="319" spans="1:306" ht="108" x14ac:dyDescent="0.25">
      <c r="A319" s="5" t="s">
        <v>1427</v>
      </c>
      <c r="B319" s="4" t="s">
        <v>293</v>
      </c>
      <c r="C319" s="7" t="s">
        <v>758</v>
      </c>
      <c r="D319" s="8" t="s">
        <v>1428</v>
      </c>
      <c r="E319" s="4">
        <v>637223</v>
      </c>
      <c r="G319" s="4" t="s">
        <v>330</v>
      </c>
      <c r="H319" s="6">
        <v>116.61463682599999</v>
      </c>
      <c r="I319" s="6">
        <v>-30.969342452999999</v>
      </c>
      <c r="J319" s="4" t="s">
        <v>1429</v>
      </c>
      <c r="K319" s="4" t="s">
        <v>331</v>
      </c>
      <c r="L319" s="4" t="s">
        <v>500</v>
      </c>
      <c r="M319" s="4" t="s">
        <v>1430</v>
      </c>
      <c r="N319" s="4" t="s">
        <v>1431</v>
      </c>
      <c r="Q319" s="8"/>
      <c r="Z319" s="4" t="s">
        <v>293</v>
      </c>
      <c r="AA319" s="7" t="s">
        <v>758</v>
      </c>
      <c r="AB319" s="8" t="s">
        <v>1428</v>
      </c>
      <c r="AC319" s="4" t="s">
        <v>301</v>
      </c>
      <c r="AD319" s="4" t="s">
        <v>302</v>
      </c>
      <c r="AE319" s="8">
        <v>2976</v>
      </c>
      <c r="AG319" s="9" t="s">
        <v>379</v>
      </c>
      <c r="AH319" s="9" t="s">
        <v>1156</v>
      </c>
      <c r="AM319" s="8">
        <v>2</v>
      </c>
      <c r="AS319" s="8"/>
      <c r="BG319" s="8"/>
      <c r="BP319" s="7">
        <v>1015.7</v>
      </c>
      <c r="BQ319" s="8"/>
      <c r="BR319" s="6">
        <v>0.23</v>
      </c>
      <c r="BU319" s="7">
        <v>1</v>
      </c>
      <c r="BV319" s="9">
        <v>2.3E-2</v>
      </c>
      <c r="CT319" s="10">
        <v>4.7000000000000002E-3</v>
      </c>
      <c r="DZ319" s="31"/>
      <c r="EH319" s="10">
        <f>BP319*BR319/100</f>
        <v>2.3361100000000001</v>
      </c>
      <c r="EK319" s="10">
        <f>BP319*BU319/1000</f>
        <v>1.0157</v>
      </c>
      <c r="EL319" s="6">
        <f>BP319*BV319</f>
        <v>23.3611</v>
      </c>
      <c r="FI319" s="6">
        <f>1000*BP319*CT319/100</f>
        <v>47.737899999999996</v>
      </c>
      <c r="GP319" s="32"/>
      <c r="GY319" s="6" t="s">
        <v>338</v>
      </c>
      <c r="GZ319" s="6" t="s">
        <v>994</v>
      </c>
      <c r="HA319" s="6" t="s">
        <v>763</v>
      </c>
      <c r="HB319" s="6" t="s">
        <v>1432</v>
      </c>
      <c r="HC319" s="6" t="s">
        <v>1433</v>
      </c>
      <c r="HD319" s="8" t="s">
        <v>1434</v>
      </c>
      <c r="HF319" s="8" t="s">
        <v>1435</v>
      </c>
      <c r="HG319" s="9" t="s">
        <v>389</v>
      </c>
      <c r="IB319" s="8" t="s">
        <v>1434</v>
      </c>
      <c r="ID319" s="8" t="s">
        <v>1435</v>
      </c>
      <c r="IE319" s="9" t="s">
        <v>389</v>
      </c>
      <c r="IF319" s="8" t="s">
        <v>445</v>
      </c>
      <c r="IG319" s="8" t="s">
        <v>1436</v>
      </c>
      <c r="II319" s="8" t="s">
        <v>1437</v>
      </c>
      <c r="IJ319" s="8" t="s">
        <v>507</v>
      </c>
      <c r="IK319" s="8" t="s">
        <v>350</v>
      </c>
      <c r="IN319" s="9" t="s">
        <v>1438</v>
      </c>
      <c r="IO319" s="9" t="s">
        <v>329</v>
      </c>
      <c r="IP319" s="9" t="s">
        <v>329</v>
      </c>
      <c r="IR319" s="9"/>
      <c r="IS319" s="9" t="s">
        <v>528</v>
      </c>
      <c r="IT319" s="9" t="s">
        <v>329</v>
      </c>
      <c r="IU319" s="9" t="s">
        <v>329</v>
      </c>
      <c r="IX319" s="9" t="s">
        <v>658</v>
      </c>
      <c r="IY319" s="9" t="s">
        <v>1303</v>
      </c>
      <c r="IZ319" s="9" t="s">
        <v>350</v>
      </c>
      <c r="KM319" s="4" t="s">
        <v>542</v>
      </c>
      <c r="KN319" s="4" t="s">
        <v>1439</v>
      </c>
      <c r="KP319" s="5" t="s">
        <v>1440</v>
      </c>
      <c r="KQ319" s="5" t="s">
        <v>1441</v>
      </c>
      <c r="KS319" s="5" t="s">
        <v>1442</v>
      </c>
      <c r="KT319" s="5" t="s">
        <v>1443</v>
      </c>
    </row>
    <row r="320" spans="1:306" ht="144" x14ac:dyDescent="0.25">
      <c r="A320" s="5" t="s">
        <v>1554</v>
      </c>
      <c r="B320" s="4" t="s">
        <v>293</v>
      </c>
      <c r="C320" s="7" t="s">
        <v>758</v>
      </c>
      <c r="D320" s="8" t="s">
        <v>1428</v>
      </c>
      <c r="E320" s="4">
        <v>335111</v>
      </c>
      <c r="G320" s="4" t="s">
        <v>330</v>
      </c>
      <c r="H320" s="6">
        <v>116.35</v>
      </c>
      <c r="I320" s="6">
        <v>-32.75</v>
      </c>
      <c r="J320" s="4" t="s">
        <v>1555</v>
      </c>
      <c r="K320" s="4" t="s">
        <v>331</v>
      </c>
      <c r="L320" s="4" t="s">
        <v>500</v>
      </c>
      <c r="M320" s="4" t="s">
        <v>1430</v>
      </c>
      <c r="Q320" s="8"/>
      <c r="R320" s="8"/>
      <c r="S320" s="4"/>
      <c r="Z320" s="4" t="s">
        <v>293</v>
      </c>
      <c r="AA320" s="7" t="s">
        <v>758</v>
      </c>
      <c r="AB320" s="8" t="s">
        <v>1428</v>
      </c>
      <c r="AC320" s="4" t="s">
        <v>301</v>
      </c>
      <c r="AD320" s="4" t="s">
        <v>382</v>
      </c>
      <c r="AE320" s="8">
        <v>2707</v>
      </c>
      <c r="AF320" s="8">
        <v>13</v>
      </c>
      <c r="AG320" s="4" t="s">
        <v>303</v>
      </c>
      <c r="AH320" s="9" t="s">
        <v>304</v>
      </c>
      <c r="AI320" s="9" t="s">
        <v>598</v>
      </c>
      <c r="AJ320" s="9" t="s">
        <v>599</v>
      </c>
      <c r="AK320" s="9" t="s">
        <v>307</v>
      </c>
      <c r="AM320" s="8">
        <v>5</v>
      </c>
      <c r="AN320" s="4" t="s">
        <v>991</v>
      </c>
      <c r="AO320" s="4" t="s">
        <v>375</v>
      </c>
      <c r="AP320" s="4" t="s">
        <v>1899</v>
      </c>
      <c r="AQ320" s="7" t="s">
        <v>1557</v>
      </c>
      <c r="AR320" s="8" t="s">
        <v>1558</v>
      </c>
      <c r="AS320" s="8">
        <v>2629</v>
      </c>
      <c r="AT320" s="8">
        <v>34</v>
      </c>
      <c r="AU320" s="4" t="s">
        <v>303</v>
      </c>
      <c r="AV320" s="9" t="s">
        <v>304</v>
      </c>
      <c r="AW320" s="9" t="s">
        <v>598</v>
      </c>
      <c r="AX320" s="9" t="s">
        <v>599</v>
      </c>
      <c r="AY320" s="9" t="s">
        <v>1081</v>
      </c>
      <c r="BA320" s="8">
        <v>5</v>
      </c>
      <c r="BG320" s="8"/>
      <c r="BH320" s="8"/>
      <c r="BI320" s="4"/>
      <c r="BP320" s="7">
        <f>875+134+5</f>
        <v>1014</v>
      </c>
      <c r="BQ320" s="8"/>
      <c r="BR320" s="6">
        <f>((134+5)*(100*0.0065/(134+5))+875*0.11)/(134+5+875)</f>
        <v>9.5562130177514804E-2</v>
      </c>
      <c r="BV320" s="6">
        <f>((134+5)*(189/(134+5))+875*0.75)/(134+5+875)</f>
        <v>0.83357988165680474</v>
      </c>
      <c r="DZ320" s="31"/>
      <c r="EH320" s="10">
        <f>BP320*BR320/100</f>
        <v>0.96900000000000008</v>
      </c>
      <c r="EL320" s="8">
        <f>BP320*BV320</f>
        <v>845.25</v>
      </c>
      <c r="FA320" s="6"/>
      <c r="GP320" s="32"/>
      <c r="GY320" s="6" t="s">
        <v>435</v>
      </c>
      <c r="GZ320" s="6" t="s">
        <v>1528</v>
      </c>
      <c r="HA320" s="6" t="s">
        <v>994</v>
      </c>
      <c r="HC320" s="6" t="s">
        <v>1559</v>
      </c>
      <c r="HD320" s="8" t="s">
        <v>1560</v>
      </c>
      <c r="HE320" s="8">
        <v>26208</v>
      </c>
      <c r="HF320" s="8" t="s">
        <v>1561</v>
      </c>
      <c r="HG320" s="9" t="s">
        <v>507</v>
      </c>
      <c r="ID320" s="8" t="s">
        <v>1562</v>
      </c>
      <c r="IE320" s="8" t="s">
        <v>507</v>
      </c>
      <c r="IF320" s="8" t="s">
        <v>1563</v>
      </c>
      <c r="IG320" s="8" t="s">
        <v>1564</v>
      </c>
      <c r="II320" s="8" t="s">
        <v>1565</v>
      </c>
      <c r="IJ320" s="8" t="s">
        <v>507</v>
      </c>
      <c r="IK320" s="8" t="s">
        <v>1566</v>
      </c>
      <c r="IM320" s="9"/>
      <c r="IR320" s="9"/>
      <c r="JV320" s="7" t="s">
        <v>1567</v>
      </c>
      <c r="JW320" s="7" t="s">
        <v>1568</v>
      </c>
      <c r="JX320" s="7" t="s">
        <v>322</v>
      </c>
      <c r="JY320" s="7" t="s">
        <v>448</v>
      </c>
      <c r="JZ320" s="7" t="s">
        <v>320</v>
      </c>
      <c r="KG320" s="4" t="s">
        <v>323</v>
      </c>
      <c r="KM320" s="4" t="s">
        <v>521</v>
      </c>
      <c r="KN320" s="4" t="s">
        <v>522</v>
      </c>
      <c r="KP320" s="5" t="s">
        <v>1569</v>
      </c>
      <c r="KQ320" s="5" t="s">
        <v>1570</v>
      </c>
      <c r="KR320" s="5" t="s">
        <v>1571</v>
      </c>
      <c r="KS320" s="5" t="s">
        <v>1569</v>
      </c>
      <c r="KT320" s="14" t="s">
        <v>1572</v>
      </c>
    </row>
    <row r="321" spans="1:306" ht="120" x14ac:dyDescent="0.25">
      <c r="A321" s="5" t="s">
        <v>2001</v>
      </c>
      <c r="B321" s="4" t="s">
        <v>293</v>
      </c>
      <c r="C321" s="7" t="s">
        <v>758</v>
      </c>
      <c r="D321" s="8" t="s">
        <v>1428</v>
      </c>
      <c r="E321" s="4">
        <v>335407</v>
      </c>
      <c r="G321" s="4" t="s">
        <v>427</v>
      </c>
      <c r="H321" s="6">
        <v>148.80000999999999</v>
      </c>
      <c r="I321" s="6">
        <v>-33.429209999999998</v>
      </c>
      <c r="J321" s="4" t="s">
        <v>2001</v>
      </c>
      <c r="K321" s="4" t="s">
        <v>298</v>
      </c>
      <c r="L321" s="4" t="s">
        <v>299</v>
      </c>
      <c r="M321" s="4" t="s">
        <v>1359</v>
      </c>
      <c r="N321" s="4" t="s">
        <v>1360</v>
      </c>
      <c r="Q321" s="8"/>
      <c r="R321" s="8"/>
      <c r="Z321" s="4" t="s">
        <v>293</v>
      </c>
      <c r="AA321" s="7" t="s">
        <v>758</v>
      </c>
      <c r="AB321" s="8" t="s">
        <v>1428</v>
      </c>
      <c r="AC321" s="4" t="s">
        <v>301</v>
      </c>
      <c r="AD321" s="4" t="s">
        <v>382</v>
      </c>
      <c r="AE321" s="8">
        <v>469</v>
      </c>
      <c r="AF321" s="8"/>
      <c r="AG321" s="9" t="s">
        <v>379</v>
      </c>
      <c r="AH321" s="9" t="s">
        <v>483</v>
      </c>
      <c r="AM321" s="8">
        <v>2</v>
      </c>
      <c r="AN321" s="4" t="s">
        <v>301</v>
      </c>
      <c r="AO321" s="4" t="s">
        <v>382</v>
      </c>
      <c r="AP321" s="4" t="s">
        <v>293</v>
      </c>
      <c r="AQ321" s="7" t="s">
        <v>294</v>
      </c>
      <c r="AR321" s="8" t="s">
        <v>2002</v>
      </c>
      <c r="AS321" s="8">
        <v>469</v>
      </c>
      <c r="AT321" s="7"/>
      <c r="AU321" s="9" t="s">
        <v>379</v>
      </c>
      <c r="AV321" s="9" t="s">
        <v>1156</v>
      </c>
      <c r="BA321" s="8">
        <v>2</v>
      </c>
      <c r="BB321" s="4" t="s">
        <v>381</v>
      </c>
      <c r="BC321" s="4" t="s">
        <v>402</v>
      </c>
      <c r="BD321" s="4" t="s">
        <v>383</v>
      </c>
      <c r="BE321" s="7" t="s">
        <v>384</v>
      </c>
      <c r="BF321" s="8" t="s">
        <v>827</v>
      </c>
      <c r="BG321" s="7">
        <v>0</v>
      </c>
      <c r="BH321" s="7">
        <v>0</v>
      </c>
      <c r="BI321" s="9" t="s">
        <v>303</v>
      </c>
      <c r="BJ321" s="9" t="s">
        <v>406</v>
      </c>
      <c r="BO321" s="8">
        <v>5</v>
      </c>
      <c r="DZ321" s="31"/>
      <c r="EH321" s="10">
        <f>27*0.2/100+10/1000000</f>
        <v>5.4010000000000009E-2</v>
      </c>
      <c r="EL321" s="6">
        <f>4*1.19+0.318</f>
        <v>5.0779999999999994</v>
      </c>
      <c r="EY321" s="6"/>
      <c r="FA321" s="6"/>
      <c r="GP321" s="32"/>
      <c r="GY321" s="6" t="s">
        <v>309</v>
      </c>
      <c r="GZ321" s="6" t="s">
        <v>1361</v>
      </c>
      <c r="HC321" s="6" t="s">
        <v>1559</v>
      </c>
      <c r="HD321" s="8" t="s">
        <v>2003</v>
      </c>
      <c r="HE321" s="8">
        <v>3613</v>
      </c>
      <c r="HF321" s="8" t="s">
        <v>2004</v>
      </c>
      <c r="HG321" s="9" t="s">
        <v>466</v>
      </c>
      <c r="HH321" s="9" t="s">
        <v>2005</v>
      </c>
      <c r="HI321" s="8">
        <v>3613</v>
      </c>
      <c r="HJ321" s="9" t="s">
        <v>2006</v>
      </c>
      <c r="HK321" s="9" t="s">
        <v>466</v>
      </c>
      <c r="HY321" s="9"/>
      <c r="IB321" s="8" t="s">
        <v>2003</v>
      </c>
      <c r="IC321" s="8">
        <v>3613</v>
      </c>
      <c r="ID321" s="8" t="s">
        <v>2004</v>
      </c>
      <c r="IE321" s="9" t="s">
        <v>466</v>
      </c>
      <c r="IF321" s="9" t="s">
        <v>445</v>
      </c>
      <c r="IG321" s="9" t="s">
        <v>2005</v>
      </c>
      <c r="IH321" s="8">
        <v>3613</v>
      </c>
      <c r="II321" s="9" t="s">
        <v>2007</v>
      </c>
      <c r="IJ321" s="9" t="s">
        <v>466</v>
      </c>
      <c r="IK321" s="8" t="s">
        <v>319</v>
      </c>
      <c r="IW321" s="8"/>
      <c r="JB321" s="8"/>
      <c r="JV321" s="7" t="s">
        <v>2008</v>
      </c>
      <c r="JX321" s="7" t="s">
        <v>320</v>
      </c>
      <c r="JY321" s="7" t="s">
        <v>321</v>
      </c>
      <c r="JZ321" s="7" t="s">
        <v>353</v>
      </c>
      <c r="KG321" s="4" t="s">
        <v>323</v>
      </c>
      <c r="KP321" s="18" t="s">
        <v>2009</v>
      </c>
      <c r="KQ321" s="5" t="s">
        <v>2010</v>
      </c>
      <c r="KR321" s="5" t="s">
        <v>2011</v>
      </c>
      <c r="KS321" s="5" t="s">
        <v>2012</v>
      </c>
      <c r="KT321" s="5" t="s">
        <v>2013</v>
      </c>
    </row>
    <row r="322" spans="1:306" ht="144" x14ac:dyDescent="0.25">
      <c r="A322" s="5" t="s">
        <v>2240</v>
      </c>
      <c r="B322" s="4" t="s">
        <v>293</v>
      </c>
      <c r="C322" s="7" t="s">
        <v>758</v>
      </c>
      <c r="D322" s="8" t="s">
        <v>1428</v>
      </c>
      <c r="E322" s="4">
        <v>598780</v>
      </c>
      <c r="G322" s="4" t="s">
        <v>479</v>
      </c>
      <c r="H322" s="6">
        <v>151.85245911000001</v>
      </c>
      <c r="I322" s="6">
        <v>-25.641911246999999</v>
      </c>
      <c r="J322" s="4" t="s">
        <v>2241</v>
      </c>
      <c r="K322" s="4" t="s">
        <v>298</v>
      </c>
      <c r="L322" s="4" t="s">
        <v>552</v>
      </c>
      <c r="M322" s="4" t="s">
        <v>2242</v>
      </c>
      <c r="Q322" s="7"/>
      <c r="R322" s="7"/>
      <c r="Z322" s="4" t="s">
        <v>293</v>
      </c>
      <c r="AA322" s="7" t="s">
        <v>758</v>
      </c>
      <c r="AB322" s="8" t="s">
        <v>1428</v>
      </c>
      <c r="AC322" s="4" t="s">
        <v>301</v>
      </c>
      <c r="AD322" s="4" t="s">
        <v>375</v>
      </c>
      <c r="AE322" s="7">
        <v>231.5</v>
      </c>
      <c r="AF322" s="7">
        <v>0.9</v>
      </c>
      <c r="AG322" s="9" t="s">
        <v>303</v>
      </c>
      <c r="AH322" s="9" t="s">
        <v>304</v>
      </c>
      <c r="AI322" s="9" t="s">
        <v>598</v>
      </c>
      <c r="AJ322" s="9" t="s">
        <v>599</v>
      </c>
      <c r="AK322" s="9" t="s">
        <v>600</v>
      </c>
      <c r="AM322" s="8">
        <v>5</v>
      </c>
      <c r="AN322" s="4" t="s">
        <v>381</v>
      </c>
      <c r="AO322" s="4" t="s">
        <v>382</v>
      </c>
      <c r="AP322" s="4" t="s">
        <v>383</v>
      </c>
      <c r="AQ322" s="7" t="s">
        <v>384</v>
      </c>
      <c r="AR322" s="8" t="s">
        <v>827</v>
      </c>
      <c r="AS322" s="7">
        <v>0</v>
      </c>
      <c r="AT322" s="7">
        <v>0</v>
      </c>
      <c r="AU322" s="9" t="s">
        <v>303</v>
      </c>
      <c r="AV322" s="9" t="s">
        <v>406</v>
      </c>
      <c r="BA322" s="8">
        <v>5</v>
      </c>
      <c r="BP322" s="7">
        <v>26.9</v>
      </c>
      <c r="BR322" s="6">
        <v>0.38</v>
      </c>
      <c r="DZ322" s="31"/>
      <c r="EH322" s="10">
        <f>BP322*BR322/100</f>
        <v>0.10221999999999999</v>
      </c>
      <c r="EY322" s="6"/>
      <c r="FA322" s="6"/>
      <c r="GP322" s="32"/>
      <c r="GY322" s="6" t="s">
        <v>338</v>
      </c>
      <c r="GZ322" s="6" t="s">
        <v>994</v>
      </c>
      <c r="HC322" s="6" t="s">
        <v>1559</v>
      </c>
      <c r="HD322" s="8" t="s">
        <v>2243</v>
      </c>
      <c r="HE322" s="8">
        <v>5093</v>
      </c>
      <c r="HF322" s="8" t="s">
        <v>2244</v>
      </c>
      <c r="HG322" s="9" t="s">
        <v>2245</v>
      </c>
      <c r="HH322" s="8" t="s">
        <v>2246</v>
      </c>
      <c r="HI322" s="8">
        <v>4208</v>
      </c>
      <c r="HJ322" s="8" t="s">
        <v>2247</v>
      </c>
      <c r="HK322" s="8" t="s">
        <v>562</v>
      </c>
      <c r="HY322" s="9"/>
      <c r="IB322" s="8" t="s">
        <v>2246</v>
      </c>
      <c r="IC322" s="8">
        <v>4208</v>
      </c>
      <c r="ID322" s="8" t="s">
        <v>2247</v>
      </c>
      <c r="IE322" s="8" t="s">
        <v>562</v>
      </c>
      <c r="IF322" s="8" t="s">
        <v>319</v>
      </c>
      <c r="IR322" s="9"/>
      <c r="JV322" s="7" t="s">
        <v>2248</v>
      </c>
      <c r="JX322" s="7" t="s">
        <v>320</v>
      </c>
      <c r="JY322" s="7" t="s">
        <v>321</v>
      </c>
      <c r="JZ322" s="7" t="s">
        <v>353</v>
      </c>
      <c r="KG322" s="4" t="s">
        <v>1893</v>
      </c>
      <c r="KH322" s="4" t="s">
        <v>1317</v>
      </c>
      <c r="KP322" s="5" t="s">
        <v>2249</v>
      </c>
      <c r="KQ322" s="5" t="s">
        <v>2250</v>
      </c>
      <c r="KR322" s="5" t="s">
        <v>2251</v>
      </c>
      <c r="KS322" s="5" t="s">
        <v>2249</v>
      </c>
      <c r="KT322" s="5" t="s">
        <v>2252</v>
      </c>
    </row>
    <row r="323" spans="1:306" ht="144" x14ac:dyDescent="0.25">
      <c r="A323" s="5" t="s">
        <v>2383</v>
      </c>
      <c r="B323" s="4" t="s">
        <v>293</v>
      </c>
      <c r="C323" s="7" t="s">
        <v>758</v>
      </c>
      <c r="D323" s="8" t="s">
        <v>1428</v>
      </c>
      <c r="E323" s="4">
        <v>335760</v>
      </c>
      <c r="G323" s="4" t="s">
        <v>427</v>
      </c>
      <c r="H323" s="6">
        <v>148.86793</v>
      </c>
      <c r="I323" s="6">
        <v>-33.052190000000003</v>
      </c>
      <c r="J323" s="4" t="s">
        <v>2383</v>
      </c>
      <c r="K323" s="4" t="s">
        <v>298</v>
      </c>
      <c r="L323" s="4" t="s">
        <v>299</v>
      </c>
      <c r="M323" s="4" t="s">
        <v>1359</v>
      </c>
      <c r="N323" s="4" t="s">
        <v>1360</v>
      </c>
      <c r="Q323" s="7"/>
      <c r="R323" s="7"/>
      <c r="Z323" s="4" t="s">
        <v>293</v>
      </c>
      <c r="AA323" s="7" t="s">
        <v>758</v>
      </c>
      <c r="AB323" s="8" t="s">
        <v>1428</v>
      </c>
      <c r="AC323" s="4" t="s">
        <v>301</v>
      </c>
      <c r="AD323" s="4" t="s">
        <v>375</v>
      </c>
      <c r="AE323" s="7">
        <v>449.1</v>
      </c>
      <c r="AF323" s="7">
        <v>1.5</v>
      </c>
      <c r="AG323" s="9" t="s">
        <v>379</v>
      </c>
      <c r="AH323" s="9" t="s">
        <v>483</v>
      </c>
      <c r="AI323" s="9" t="s">
        <v>2384</v>
      </c>
      <c r="AJ323" s="9" t="s">
        <v>431</v>
      </c>
      <c r="AK323" s="9" t="s">
        <v>432</v>
      </c>
      <c r="AM323" s="8">
        <v>4</v>
      </c>
      <c r="AN323" s="4" t="s">
        <v>381</v>
      </c>
      <c r="AO323" s="4" t="s">
        <v>402</v>
      </c>
      <c r="AP323" s="4" t="s">
        <v>383</v>
      </c>
      <c r="AQ323" s="7" t="s">
        <v>384</v>
      </c>
      <c r="AR323" s="8" t="s">
        <v>827</v>
      </c>
      <c r="AS323" s="7">
        <v>0</v>
      </c>
      <c r="AT323" s="7">
        <v>0</v>
      </c>
      <c r="AU323" s="9" t="s">
        <v>303</v>
      </c>
      <c r="AV323" s="9" t="s">
        <v>406</v>
      </c>
      <c r="BA323" s="8">
        <v>5</v>
      </c>
      <c r="BP323" s="7">
        <v>87</v>
      </c>
      <c r="BR323" s="6">
        <v>0.36</v>
      </c>
      <c r="BV323" s="6">
        <v>0.32</v>
      </c>
      <c r="DZ323" s="31"/>
      <c r="EH323" s="10">
        <f>BP323*BR323/100</f>
        <v>0.31319999999999998</v>
      </c>
      <c r="EL323" s="6">
        <f>BP323*BV323</f>
        <v>27.84</v>
      </c>
      <c r="EY323" s="6"/>
      <c r="FA323" s="6"/>
      <c r="GP323" s="32"/>
      <c r="GY323" s="6" t="s">
        <v>338</v>
      </c>
      <c r="GZ323" s="6" t="s">
        <v>1361</v>
      </c>
      <c r="HC323" s="6" t="s">
        <v>1559</v>
      </c>
      <c r="HD323" s="8" t="s">
        <v>2385</v>
      </c>
      <c r="HE323" s="8">
        <v>25904</v>
      </c>
      <c r="HF323" s="8" t="s">
        <v>2386</v>
      </c>
      <c r="HG323" s="8" t="s">
        <v>466</v>
      </c>
      <c r="HH323" s="8" t="s">
        <v>2387</v>
      </c>
      <c r="HI323" s="8">
        <v>37468</v>
      </c>
      <c r="HJ323" s="8" t="s">
        <v>2388</v>
      </c>
      <c r="HK323" s="8" t="s">
        <v>466</v>
      </c>
      <c r="HY323" s="9"/>
      <c r="IB323" s="8" t="s">
        <v>2385</v>
      </c>
      <c r="IC323" s="8">
        <v>25904</v>
      </c>
      <c r="ID323" s="8" t="s">
        <v>2386</v>
      </c>
      <c r="IE323" s="8" t="s">
        <v>466</v>
      </c>
      <c r="IF323" s="8" t="s">
        <v>445</v>
      </c>
      <c r="IG323" s="8" t="s">
        <v>2387</v>
      </c>
      <c r="IH323" s="8">
        <v>37468</v>
      </c>
      <c r="II323" s="8" t="s">
        <v>2388</v>
      </c>
      <c r="IJ323" s="8" t="s">
        <v>466</v>
      </c>
      <c r="IK323" s="8" t="s">
        <v>319</v>
      </c>
      <c r="IW323" s="8"/>
      <c r="JB323" s="8"/>
      <c r="JV323" s="7" t="s">
        <v>2389</v>
      </c>
      <c r="JX323" s="7" t="s">
        <v>353</v>
      </c>
      <c r="JY323" s="7" t="s">
        <v>354</v>
      </c>
      <c r="JZ323" s="7" t="s">
        <v>320</v>
      </c>
      <c r="KG323" s="4" t="s">
        <v>323</v>
      </c>
      <c r="KP323" s="18" t="s">
        <v>2390</v>
      </c>
      <c r="KQ323" s="5" t="s">
        <v>2391</v>
      </c>
      <c r="KR323" s="5" t="s">
        <v>2392</v>
      </c>
      <c r="KS323" s="5" t="s">
        <v>2393</v>
      </c>
      <c r="KT323" s="5" t="s">
        <v>2394</v>
      </c>
    </row>
    <row r="324" spans="1:306" ht="108" x14ac:dyDescent="0.25">
      <c r="A324" s="5" t="s">
        <v>2623</v>
      </c>
      <c r="B324" s="4" t="s">
        <v>293</v>
      </c>
      <c r="C324" s="7" t="s">
        <v>758</v>
      </c>
      <c r="D324" s="8" t="s">
        <v>1428</v>
      </c>
      <c r="E324" s="4">
        <v>637224</v>
      </c>
      <c r="G324" s="4" t="s">
        <v>330</v>
      </c>
      <c r="H324" s="6">
        <v>116.61997136700001</v>
      </c>
      <c r="I324" s="6">
        <v>-31.031581761999998</v>
      </c>
      <c r="J324" s="4" t="s">
        <v>1429</v>
      </c>
      <c r="K324" s="4" t="s">
        <v>331</v>
      </c>
      <c r="L324" s="4" t="s">
        <v>500</v>
      </c>
      <c r="M324" s="4" t="s">
        <v>1430</v>
      </c>
      <c r="N324" s="4" t="s">
        <v>1431</v>
      </c>
      <c r="Q324" s="8"/>
      <c r="R324" s="8"/>
      <c r="Z324" s="4" t="s">
        <v>293</v>
      </c>
      <c r="AA324" s="7" t="s">
        <v>758</v>
      </c>
      <c r="AB324" s="8" t="s">
        <v>1428</v>
      </c>
      <c r="AC324" s="4" t="s">
        <v>301</v>
      </c>
      <c r="AD324" s="4" t="s">
        <v>302</v>
      </c>
      <c r="AE324" s="8">
        <v>2976</v>
      </c>
      <c r="AF324" s="8">
        <v>17</v>
      </c>
      <c r="AG324" s="9" t="s">
        <v>303</v>
      </c>
      <c r="AH324" s="9" t="s">
        <v>304</v>
      </c>
      <c r="AI324" s="9" t="s">
        <v>598</v>
      </c>
      <c r="AJ324" s="9" t="s">
        <v>599</v>
      </c>
      <c r="AK324" s="9" t="s">
        <v>600</v>
      </c>
      <c r="AM324" s="8">
        <v>5</v>
      </c>
      <c r="AS324" s="8"/>
      <c r="AT324" s="8"/>
      <c r="BG324" s="8"/>
      <c r="BH324" s="8"/>
      <c r="BP324" s="7">
        <v>239.1</v>
      </c>
      <c r="BQ324" s="8"/>
      <c r="BR324" s="6">
        <v>0.35</v>
      </c>
      <c r="BU324" s="7">
        <v>1.6</v>
      </c>
      <c r="BV324" s="9">
        <v>2.1000000000000001E-2</v>
      </c>
      <c r="CT324" s="10">
        <v>4.8999999999999998E-3</v>
      </c>
      <c r="DZ324" s="31"/>
      <c r="EH324" s="10">
        <f>BP324*BR324/100</f>
        <v>0.83684999999999987</v>
      </c>
      <c r="EK324" s="10">
        <f>BP324*BU324/1000</f>
        <v>0.38256000000000001</v>
      </c>
      <c r="EL324" s="6">
        <f>BP324*BV324</f>
        <v>5.0211000000000006</v>
      </c>
      <c r="FI324" s="6">
        <f>1000*BP324*CT324/100</f>
        <v>11.7159</v>
      </c>
      <c r="GP324" s="32"/>
      <c r="GY324" s="6" t="s">
        <v>338</v>
      </c>
      <c r="GZ324" s="6" t="s">
        <v>994</v>
      </c>
      <c r="HB324" s="6" t="s">
        <v>2624</v>
      </c>
      <c r="HC324" s="6" t="s">
        <v>1433</v>
      </c>
      <c r="HD324" s="8" t="s">
        <v>1434</v>
      </c>
      <c r="HF324" s="8" t="s">
        <v>1435</v>
      </c>
      <c r="HG324" s="9" t="s">
        <v>389</v>
      </c>
      <c r="IB324" s="8" t="s">
        <v>1434</v>
      </c>
      <c r="ID324" s="8" t="s">
        <v>1435</v>
      </c>
      <c r="IE324" s="9" t="s">
        <v>389</v>
      </c>
      <c r="IF324" s="8" t="s">
        <v>445</v>
      </c>
      <c r="IG324" s="8" t="s">
        <v>1436</v>
      </c>
      <c r="II324" s="8" t="s">
        <v>1437</v>
      </c>
      <c r="IJ324" s="8" t="s">
        <v>507</v>
      </c>
      <c r="IK324" s="8" t="s">
        <v>350</v>
      </c>
      <c r="IN324" s="9" t="s">
        <v>1438</v>
      </c>
      <c r="IO324" s="9" t="s">
        <v>329</v>
      </c>
      <c r="IP324" s="9" t="s">
        <v>329</v>
      </c>
      <c r="IR324" s="9"/>
      <c r="IS324" s="9" t="s">
        <v>2625</v>
      </c>
      <c r="IT324" s="9" t="s">
        <v>329</v>
      </c>
      <c r="IU324" s="9" t="s">
        <v>329</v>
      </c>
      <c r="IX324" s="9" t="s">
        <v>658</v>
      </c>
      <c r="IY324" s="9" t="s">
        <v>1303</v>
      </c>
      <c r="IZ324" s="9" t="s">
        <v>350</v>
      </c>
      <c r="JV324" s="7" t="s">
        <v>2626</v>
      </c>
      <c r="JW324" s="7" t="s">
        <v>2627</v>
      </c>
      <c r="JX324" s="7" t="s">
        <v>322</v>
      </c>
      <c r="JY324" s="7" t="s">
        <v>354</v>
      </c>
      <c r="JZ324" s="7" t="s">
        <v>353</v>
      </c>
      <c r="KA324" s="7" t="s">
        <v>354</v>
      </c>
      <c r="KB324" s="7" t="s">
        <v>320</v>
      </c>
      <c r="KG324" s="4" t="s">
        <v>323</v>
      </c>
      <c r="KM324" s="4" t="s">
        <v>542</v>
      </c>
      <c r="KN324" s="4" t="s">
        <v>1439</v>
      </c>
      <c r="KP324" s="5" t="s">
        <v>1440</v>
      </c>
      <c r="KQ324" s="5" t="s">
        <v>1441</v>
      </c>
      <c r="KR324" s="5" t="s">
        <v>2628</v>
      </c>
      <c r="KS324" s="5" t="s">
        <v>1442</v>
      </c>
      <c r="KT324" s="14" t="s">
        <v>2629</v>
      </c>
    </row>
    <row r="325" spans="1:306" ht="60" x14ac:dyDescent="0.25">
      <c r="A325" s="5" t="s">
        <v>2813</v>
      </c>
      <c r="B325" s="4" t="s">
        <v>293</v>
      </c>
      <c r="C325" s="7" t="s">
        <v>758</v>
      </c>
      <c r="D325" s="8" t="s">
        <v>1428</v>
      </c>
      <c r="E325" s="4">
        <v>774649</v>
      </c>
      <c r="F325" s="4">
        <v>423490</v>
      </c>
      <c r="G325" s="4" t="s">
        <v>773</v>
      </c>
      <c r="H325" s="6">
        <v>148.30374876900001</v>
      </c>
      <c r="I325" s="6">
        <v>-37.579327096999997</v>
      </c>
      <c r="K325" s="4" t="s">
        <v>298</v>
      </c>
      <c r="L325" s="4" t="s">
        <v>299</v>
      </c>
      <c r="M325" s="4" t="s">
        <v>775</v>
      </c>
      <c r="N325" s="4" t="s">
        <v>2417</v>
      </c>
      <c r="Z325" s="4" t="s">
        <v>293</v>
      </c>
      <c r="AA325" s="7" t="s">
        <v>758</v>
      </c>
      <c r="AB325" s="8" t="s">
        <v>1428</v>
      </c>
      <c r="AC325" s="4" t="s">
        <v>301</v>
      </c>
      <c r="AD325" s="4" t="s">
        <v>302</v>
      </c>
      <c r="BP325" s="7">
        <v>2</v>
      </c>
      <c r="BR325" s="7">
        <v>0.3</v>
      </c>
      <c r="DZ325" s="31"/>
      <c r="EH325" s="10">
        <f>BP325*BR325/100</f>
        <v>6.0000000000000001E-3</v>
      </c>
      <c r="GP325" s="32"/>
      <c r="GY325" s="6" t="s">
        <v>309</v>
      </c>
      <c r="GZ325" s="6" t="s">
        <v>994</v>
      </c>
      <c r="HC325" s="6" t="s">
        <v>1559</v>
      </c>
      <c r="HD325" s="8" t="s">
        <v>2165</v>
      </c>
      <c r="HE325" s="8">
        <v>23907</v>
      </c>
      <c r="HF325" s="8" t="s">
        <v>2166</v>
      </c>
      <c r="HG325" s="9" t="s">
        <v>997</v>
      </c>
      <c r="HH325" s="9" t="s">
        <v>2814</v>
      </c>
      <c r="HI325" s="8">
        <v>37716</v>
      </c>
      <c r="HJ325" s="9" t="s">
        <v>2815</v>
      </c>
      <c r="HK325" s="9" t="s">
        <v>1760</v>
      </c>
      <c r="IB325" s="8" t="s">
        <v>2814</v>
      </c>
      <c r="IC325" s="8">
        <v>37716</v>
      </c>
      <c r="ID325" s="8" t="s">
        <v>2815</v>
      </c>
      <c r="IE325" s="8" t="s">
        <v>1760</v>
      </c>
      <c r="IF325" s="8" t="s">
        <v>810</v>
      </c>
      <c r="JV325" s="7" t="s">
        <v>2816</v>
      </c>
      <c r="JX325" s="7" t="s">
        <v>320</v>
      </c>
      <c r="KP325" s="5" t="s">
        <v>2817</v>
      </c>
      <c r="KQ325" s="5" t="s">
        <v>2818</v>
      </c>
      <c r="KS325" s="5" t="s">
        <v>2819</v>
      </c>
      <c r="KT325" s="5" t="s">
        <v>2820</v>
      </c>
    </row>
    <row r="326" spans="1:306" ht="73.5" x14ac:dyDescent="0.2">
      <c r="A326" s="5" t="s">
        <v>3076</v>
      </c>
      <c r="B326" s="4" t="s">
        <v>293</v>
      </c>
      <c r="C326" s="7" t="s">
        <v>758</v>
      </c>
      <c r="D326" s="8" t="s">
        <v>1428</v>
      </c>
      <c r="E326" s="44">
        <v>859599</v>
      </c>
      <c r="F326" s="4">
        <v>1125287</v>
      </c>
      <c r="G326" s="4" t="s">
        <v>427</v>
      </c>
      <c r="H326" s="6">
        <v>147.42441370399999</v>
      </c>
      <c r="I326" s="6">
        <v>-33.717702903000003</v>
      </c>
      <c r="J326" s="4" t="s">
        <v>2076</v>
      </c>
      <c r="K326" s="4" t="s">
        <v>298</v>
      </c>
      <c r="L326" s="4" t="s">
        <v>299</v>
      </c>
      <c r="M326" s="4" t="s">
        <v>1359</v>
      </c>
      <c r="N326" s="4" t="s">
        <v>1360</v>
      </c>
      <c r="Q326" s="7"/>
      <c r="R326" s="7"/>
      <c r="Z326" s="4" t="s">
        <v>293</v>
      </c>
      <c r="AA326" s="7" t="s">
        <v>758</v>
      </c>
      <c r="AB326" s="8" t="s">
        <v>1428</v>
      </c>
      <c r="AC326" s="4" t="s">
        <v>301</v>
      </c>
      <c r="AD326" s="4" t="s">
        <v>302</v>
      </c>
      <c r="AE326" s="7">
        <v>455.9</v>
      </c>
      <c r="AF326" s="7">
        <v>5.6</v>
      </c>
      <c r="AG326" s="9" t="s">
        <v>379</v>
      </c>
      <c r="AH326" s="9" t="s">
        <v>3077</v>
      </c>
      <c r="AI326" s="9" t="s">
        <v>373</v>
      </c>
      <c r="AJ326" s="9" t="s">
        <v>306</v>
      </c>
      <c r="AK326" s="9" t="s">
        <v>307</v>
      </c>
      <c r="AL326" s="9" t="s">
        <v>337</v>
      </c>
      <c r="AM326" s="8">
        <v>5</v>
      </c>
      <c r="AN326" s="4" t="s">
        <v>301</v>
      </c>
      <c r="AO326" s="4" t="s">
        <v>302</v>
      </c>
      <c r="AP326" s="4" t="s">
        <v>293</v>
      </c>
      <c r="AQ326" s="7" t="s">
        <v>758</v>
      </c>
      <c r="AR326" s="8" t="s">
        <v>1428</v>
      </c>
      <c r="AS326" s="4">
        <v>450.9</v>
      </c>
      <c r="AT326" s="4">
        <v>5.5</v>
      </c>
      <c r="AU326" s="4" t="s">
        <v>379</v>
      </c>
      <c r="AV326" s="9" t="s">
        <v>3078</v>
      </c>
      <c r="AW326" s="9" t="s">
        <v>373</v>
      </c>
      <c r="AX326" s="9" t="s">
        <v>306</v>
      </c>
      <c r="AY326" s="9" t="s">
        <v>307</v>
      </c>
      <c r="AZ326" s="9" t="s">
        <v>337</v>
      </c>
      <c r="BA326" s="8">
        <v>5</v>
      </c>
      <c r="BB326" s="4" t="s">
        <v>381</v>
      </c>
      <c r="BC326" s="4" t="s">
        <v>402</v>
      </c>
      <c r="BG326" s="7">
        <v>439.59999999999997</v>
      </c>
      <c r="BH326" s="7">
        <v>4.5</v>
      </c>
      <c r="BI326" s="9" t="s">
        <v>379</v>
      </c>
      <c r="BJ326" s="9" t="s">
        <v>3079</v>
      </c>
      <c r="BK326" s="9" t="s">
        <v>430</v>
      </c>
      <c r="BL326" s="9" t="s">
        <v>431</v>
      </c>
      <c r="BM326" s="9" t="s">
        <v>432</v>
      </c>
      <c r="BO326" s="8">
        <v>3</v>
      </c>
      <c r="DZ326" s="31"/>
      <c r="EY326" s="6"/>
      <c r="FA326" s="6"/>
      <c r="GP326" s="32"/>
      <c r="GY326" s="6" t="s">
        <v>407</v>
      </c>
      <c r="HD326" s="8" t="s">
        <v>2077</v>
      </c>
      <c r="HE326" s="8">
        <v>37285</v>
      </c>
      <c r="HF326" s="8" t="s">
        <v>1168</v>
      </c>
      <c r="HG326" s="9" t="s">
        <v>466</v>
      </c>
      <c r="HY326" s="9"/>
      <c r="ID326" s="8" t="s">
        <v>1168</v>
      </c>
      <c r="IE326" s="8" t="s">
        <v>466</v>
      </c>
      <c r="IF326" s="8" t="s">
        <v>445</v>
      </c>
      <c r="IW326" s="8"/>
      <c r="JB326" s="8"/>
      <c r="JV326" s="7" t="s">
        <v>3080</v>
      </c>
      <c r="JX326" s="7" t="s">
        <v>353</v>
      </c>
      <c r="KP326" s="5" t="s">
        <v>3073</v>
      </c>
      <c r="KQ326" s="5" t="s">
        <v>3081</v>
      </c>
      <c r="KR326" s="5" t="s">
        <v>3082</v>
      </c>
      <c r="KT326" s="5" t="s">
        <v>3083</v>
      </c>
    </row>
    <row r="327" spans="1:306" ht="36" x14ac:dyDescent="0.2">
      <c r="A327" s="5" t="s">
        <v>3105</v>
      </c>
      <c r="B327" s="4" t="s">
        <v>293</v>
      </c>
      <c r="C327" s="7" t="s">
        <v>758</v>
      </c>
      <c r="D327" s="8" t="s">
        <v>1428</v>
      </c>
      <c r="E327" s="44">
        <v>859601</v>
      </c>
      <c r="F327" s="4">
        <v>1129332</v>
      </c>
      <c r="G327" s="4" t="s">
        <v>427</v>
      </c>
      <c r="H327" s="6">
        <v>147.48370476400001</v>
      </c>
      <c r="I327" s="6">
        <v>-33.755239234999998</v>
      </c>
      <c r="J327" s="4" t="s">
        <v>2076</v>
      </c>
      <c r="K327" s="4" t="s">
        <v>298</v>
      </c>
      <c r="L327" s="4" t="s">
        <v>299</v>
      </c>
      <c r="M327" s="4" t="s">
        <v>1359</v>
      </c>
      <c r="N327" s="4" t="s">
        <v>1360</v>
      </c>
      <c r="Q327" s="7"/>
      <c r="R327" s="7"/>
      <c r="Z327" s="4" t="s">
        <v>293</v>
      </c>
      <c r="AA327" s="7" t="s">
        <v>758</v>
      </c>
      <c r="AB327" s="8" t="s">
        <v>1428</v>
      </c>
      <c r="AC327" s="4" t="s">
        <v>301</v>
      </c>
      <c r="AD327" s="4" t="s">
        <v>302</v>
      </c>
      <c r="AE327" s="7">
        <v>463.5</v>
      </c>
      <c r="AF327" s="7">
        <v>2.1</v>
      </c>
      <c r="AG327" s="9" t="s">
        <v>303</v>
      </c>
      <c r="AH327" s="9" t="s">
        <v>304</v>
      </c>
      <c r="AI327" s="9" t="s">
        <v>598</v>
      </c>
      <c r="AJ327" s="9" t="s">
        <v>599</v>
      </c>
      <c r="AK327" s="9" t="s">
        <v>600</v>
      </c>
      <c r="AM327" s="8">
        <v>5</v>
      </c>
      <c r="AS327" s="7"/>
      <c r="AT327" s="7"/>
      <c r="DZ327" s="31"/>
      <c r="EY327" s="6"/>
      <c r="FA327" s="6"/>
      <c r="GP327" s="32"/>
      <c r="GY327" s="6" t="s">
        <v>407</v>
      </c>
      <c r="HD327" s="8" t="s">
        <v>2077</v>
      </c>
      <c r="HE327" s="8">
        <v>37285</v>
      </c>
      <c r="HF327" s="8" t="s">
        <v>3106</v>
      </c>
      <c r="HG327" s="9" t="s">
        <v>466</v>
      </c>
      <c r="HH327" s="8" t="s">
        <v>3107</v>
      </c>
      <c r="HI327" s="8">
        <v>37285</v>
      </c>
      <c r="HJ327" s="8" t="s">
        <v>3108</v>
      </c>
      <c r="HK327" s="9" t="s">
        <v>466</v>
      </c>
      <c r="HY327" s="9"/>
      <c r="IB327" s="8" t="s">
        <v>2077</v>
      </c>
      <c r="IC327" s="8">
        <v>37285</v>
      </c>
      <c r="ID327" s="8" t="s">
        <v>3106</v>
      </c>
      <c r="IE327" s="9" t="s">
        <v>466</v>
      </c>
      <c r="IF327" s="8" t="s">
        <v>445</v>
      </c>
      <c r="IG327" s="8" t="s">
        <v>3107</v>
      </c>
      <c r="IH327" s="8">
        <v>37285</v>
      </c>
      <c r="II327" s="8" t="s">
        <v>3108</v>
      </c>
      <c r="IJ327" s="9" t="s">
        <v>466</v>
      </c>
      <c r="IK327" s="8" t="s">
        <v>445</v>
      </c>
      <c r="IL327" s="8" t="s">
        <v>3109</v>
      </c>
      <c r="IM327" s="8">
        <v>37285</v>
      </c>
      <c r="IN327" s="9" t="s">
        <v>3110</v>
      </c>
      <c r="IO327" s="9" t="s">
        <v>466</v>
      </c>
      <c r="IP327" s="9" t="s">
        <v>319</v>
      </c>
      <c r="IQ327" s="8" t="s">
        <v>3111</v>
      </c>
      <c r="IR327" s="8">
        <v>37285</v>
      </c>
      <c r="IS327" s="9" t="s">
        <v>3112</v>
      </c>
      <c r="IU327" s="9" t="s">
        <v>350</v>
      </c>
      <c r="IW327" s="8"/>
      <c r="JB327" s="8"/>
      <c r="JV327" s="7" t="s">
        <v>3113</v>
      </c>
      <c r="JX327" s="7" t="s">
        <v>353</v>
      </c>
      <c r="KP327" s="5" t="s">
        <v>3073</v>
      </c>
      <c r="KQ327" s="5" t="s">
        <v>3073</v>
      </c>
      <c r="KR327" s="5" t="s">
        <v>3073</v>
      </c>
    </row>
    <row r="328" spans="1:306" ht="36" x14ac:dyDescent="0.25">
      <c r="A328" s="5" t="s">
        <v>5039</v>
      </c>
      <c r="B328" s="4" t="s">
        <v>293</v>
      </c>
      <c r="C328" s="7" t="s">
        <v>758</v>
      </c>
      <c r="D328" s="8" t="s">
        <v>1428</v>
      </c>
      <c r="E328" s="4">
        <v>335549</v>
      </c>
      <c r="G328" s="4" t="s">
        <v>427</v>
      </c>
      <c r="H328" s="6">
        <v>147.542798</v>
      </c>
      <c r="I328" s="6">
        <v>-33.737386999999998</v>
      </c>
      <c r="J328" s="4" t="s">
        <v>2076</v>
      </c>
      <c r="K328" s="4" t="s">
        <v>298</v>
      </c>
      <c r="L328" s="4" t="s">
        <v>299</v>
      </c>
      <c r="M328" s="4" t="s">
        <v>1359</v>
      </c>
      <c r="N328" s="4" t="s">
        <v>1360</v>
      </c>
      <c r="Q328" s="8"/>
      <c r="R328" s="8"/>
      <c r="Z328" s="4" t="s">
        <v>293</v>
      </c>
      <c r="AA328" s="7" t="s">
        <v>758</v>
      </c>
      <c r="AB328" s="8" t="s">
        <v>1428</v>
      </c>
      <c r="AC328" s="4" t="s">
        <v>301</v>
      </c>
      <c r="AD328" s="4" t="s">
        <v>302</v>
      </c>
      <c r="AE328" s="8">
        <v>467</v>
      </c>
      <c r="AF328" s="8">
        <v>2</v>
      </c>
      <c r="AG328" s="9" t="s">
        <v>303</v>
      </c>
      <c r="AH328" s="9" t="s">
        <v>304</v>
      </c>
      <c r="AI328" s="9" t="s">
        <v>598</v>
      </c>
      <c r="AJ328" s="9" t="s">
        <v>599</v>
      </c>
      <c r="AK328" s="9" t="s">
        <v>600</v>
      </c>
      <c r="AM328" s="8">
        <v>5</v>
      </c>
      <c r="AS328" s="7"/>
      <c r="AT328" s="7"/>
      <c r="BP328" s="7">
        <v>122.97</v>
      </c>
      <c r="BR328" s="6">
        <v>0.46</v>
      </c>
      <c r="BV328" s="6">
        <v>0.27</v>
      </c>
      <c r="DZ328" s="31"/>
      <c r="EH328" s="10">
        <f t="shared" ref="EH328:EH334" si="20">BP328*BR328/100</f>
        <v>0.565662</v>
      </c>
      <c r="EL328" s="6">
        <f>BP328*BV328</f>
        <v>33.201900000000002</v>
      </c>
      <c r="EY328" s="6"/>
      <c r="FA328" s="6"/>
      <c r="GP328" s="32"/>
      <c r="GY328" s="6" t="s">
        <v>338</v>
      </c>
      <c r="GZ328" s="6" t="s">
        <v>1361</v>
      </c>
      <c r="HC328" s="6" t="s">
        <v>1559</v>
      </c>
      <c r="HD328" s="8" t="s">
        <v>2077</v>
      </c>
      <c r="HE328" s="8">
        <v>34285</v>
      </c>
      <c r="HF328" s="8" t="s">
        <v>5040</v>
      </c>
      <c r="HG328" s="9" t="s">
        <v>466</v>
      </c>
      <c r="HY328" s="9"/>
      <c r="IB328" s="8" t="s">
        <v>2077</v>
      </c>
      <c r="IC328" s="8">
        <v>34285</v>
      </c>
      <c r="ID328" s="8" t="s">
        <v>5040</v>
      </c>
      <c r="IE328" s="9" t="s">
        <v>466</v>
      </c>
      <c r="IF328" s="8" t="s">
        <v>319</v>
      </c>
      <c r="IG328" s="8" t="s">
        <v>5041</v>
      </c>
      <c r="II328" s="8" t="s">
        <v>4072</v>
      </c>
      <c r="IK328" s="8" t="s">
        <v>350</v>
      </c>
      <c r="IW328" s="8"/>
      <c r="JB328" s="8"/>
      <c r="JV328" s="7" t="s">
        <v>5042</v>
      </c>
      <c r="JX328" s="7" t="s">
        <v>320</v>
      </c>
      <c r="JY328" s="7" t="s">
        <v>321</v>
      </c>
      <c r="JZ328" s="7" t="s">
        <v>353</v>
      </c>
      <c r="KG328" s="4" t="s">
        <v>323</v>
      </c>
      <c r="KP328" s="5" t="s">
        <v>358</v>
      </c>
      <c r="KQ328" s="5" t="s">
        <v>5043</v>
      </c>
      <c r="KR328" s="5" t="s">
        <v>5044</v>
      </c>
      <c r="KS328" s="5" t="s">
        <v>5045</v>
      </c>
      <c r="KT328" s="5" t="s">
        <v>718</v>
      </c>
    </row>
    <row r="329" spans="1:306" ht="48" x14ac:dyDescent="0.25">
      <c r="A329" s="5" t="s">
        <v>5365</v>
      </c>
      <c r="B329" s="4" t="s">
        <v>293</v>
      </c>
      <c r="C329" s="7" t="s">
        <v>758</v>
      </c>
      <c r="D329" s="8" t="s">
        <v>1428</v>
      </c>
      <c r="E329" s="4">
        <v>333810</v>
      </c>
      <c r="G329" s="4" t="s">
        <v>330</v>
      </c>
      <c r="H329" s="6">
        <v>127.48892600000001</v>
      </c>
      <c r="I329" s="6">
        <v>-18.438908000000001</v>
      </c>
      <c r="J329" s="4" t="s">
        <v>4683</v>
      </c>
      <c r="K329" s="4" t="s">
        <v>481</v>
      </c>
      <c r="L329" s="4" t="s">
        <v>3050</v>
      </c>
      <c r="Q329" s="7"/>
      <c r="R329" s="7"/>
      <c r="Z329" s="4" t="s">
        <v>293</v>
      </c>
      <c r="AA329" s="7" t="s">
        <v>758</v>
      </c>
      <c r="AB329" s="8" t="s">
        <v>1428</v>
      </c>
      <c r="AC329" s="4" t="s">
        <v>301</v>
      </c>
      <c r="AD329" s="4" t="s">
        <v>302</v>
      </c>
      <c r="AE329" s="7">
        <v>1843</v>
      </c>
      <c r="AF329" s="7">
        <v>2</v>
      </c>
      <c r="AG329" s="9" t="s">
        <v>379</v>
      </c>
      <c r="AH329" s="9" t="s">
        <v>460</v>
      </c>
      <c r="AI329" s="9" t="s">
        <v>373</v>
      </c>
      <c r="AJ329" s="9" t="s">
        <v>306</v>
      </c>
      <c r="AK329" s="9" t="s">
        <v>307</v>
      </c>
      <c r="AL329" s="9" t="s">
        <v>337</v>
      </c>
      <c r="AM329" s="8">
        <v>3</v>
      </c>
      <c r="AS329" s="7"/>
      <c r="AT329" s="7"/>
      <c r="BG329" s="7"/>
      <c r="BH329" s="7"/>
      <c r="BP329" s="7">
        <v>114</v>
      </c>
      <c r="BQ329" s="8"/>
      <c r="BR329" s="7">
        <v>0.2</v>
      </c>
      <c r="DZ329" s="31"/>
      <c r="EH329" s="10">
        <f t="shared" si="20"/>
        <v>0.22800000000000001</v>
      </c>
      <c r="FA329" s="6"/>
      <c r="GP329" s="32"/>
      <c r="GY329" s="6" t="s">
        <v>309</v>
      </c>
      <c r="GZ329" s="6" t="s">
        <v>994</v>
      </c>
      <c r="HC329" s="6" t="s">
        <v>1559</v>
      </c>
      <c r="HD329" s="8" t="s">
        <v>5366</v>
      </c>
      <c r="HE329" s="8">
        <v>21138</v>
      </c>
      <c r="HF329" s="8" t="s">
        <v>5367</v>
      </c>
      <c r="HG329" s="9" t="s">
        <v>538</v>
      </c>
      <c r="IB329" s="8" t="s">
        <v>5366</v>
      </c>
      <c r="IC329" s="8">
        <v>21138</v>
      </c>
      <c r="ID329" s="8" t="s">
        <v>5368</v>
      </c>
      <c r="IE329" s="9" t="s">
        <v>538</v>
      </c>
      <c r="IF329" s="8" t="s">
        <v>319</v>
      </c>
      <c r="IM329" s="9"/>
      <c r="IR329" s="9"/>
      <c r="JV329" s="7" t="s">
        <v>5369</v>
      </c>
      <c r="JW329" s="7" t="s">
        <v>2627</v>
      </c>
      <c r="JX329" s="7" t="s">
        <v>320</v>
      </c>
      <c r="KG329" s="4" t="s">
        <v>323</v>
      </c>
      <c r="KM329" s="4" t="s">
        <v>391</v>
      </c>
      <c r="KN329" s="4" t="s">
        <v>391</v>
      </c>
      <c r="KP329" s="5" t="s">
        <v>5370</v>
      </c>
      <c r="KQ329" s="5" t="s">
        <v>5371</v>
      </c>
      <c r="KR329" s="5" t="s">
        <v>3060</v>
      </c>
      <c r="KS329" s="5" t="s">
        <v>5370</v>
      </c>
      <c r="KT329" s="5" t="s">
        <v>5372</v>
      </c>
    </row>
    <row r="330" spans="1:306" ht="108" x14ac:dyDescent="0.25">
      <c r="A330" s="5" t="s">
        <v>6438</v>
      </c>
      <c r="B330" s="4" t="s">
        <v>293</v>
      </c>
      <c r="C330" s="7" t="s">
        <v>758</v>
      </c>
      <c r="D330" s="8" t="s">
        <v>1428</v>
      </c>
      <c r="E330" s="4">
        <v>637225</v>
      </c>
      <c r="G330" s="4" t="s">
        <v>330</v>
      </c>
      <c r="H330" s="6">
        <v>116.670933875</v>
      </c>
      <c r="I330" s="6">
        <v>-31.087520433000002</v>
      </c>
      <c r="J330" s="4" t="s">
        <v>1429</v>
      </c>
      <c r="K330" s="4" t="s">
        <v>331</v>
      </c>
      <c r="L330" s="4" t="s">
        <v>500</v>
      </c>
      <c r="M330" s="4" t="s">
        <v>1430</v>
      </c>
      <c r="N330" s="4" t="s">
        <v>1431</v>
      </c>
      <c r="Q330" s="8"/>
      <c r="Z330" s="4" t="s">
        <v>293</v>
      </c>
      <c r="AA330" s="7" t="s">
        <v>758</v>
      </c>
      <c r="AB330" s="8" t="s">
        <v>1428</v>
      </c>
      <c r="AC330" s="4" t="s">
        <v>301</v>
      </c>
      <c r="AD330" s="4" t="s">
        <v>302</v>
      </c>
      <c r="AE330" s="8">
        <v>2976</v>
      </c>
      <c r="AG330" s="9" t="s">
        <v>379</v>
      </c>
      <c r="AH330" s="9" t="s">
        <v>1156</v>
      </c>
      <c r="AM330" s="8">
        <v>2</v>
      </c>
      <c r="AS330" s="8"/>
      <c r="BG330" s="8"/>
      <c r="BP330" s="7">
        <v>21.5</v>
      </c>
      <c r="BQ330" s="8"/>
      <c r="BR330" s="6">
        <v>0.38</v>
      </c>
      <c r="BU330" s="7"/>
      <c r="BV330" s="9"/>
      <c r="CT330" s="10">
        <v>3.8999999999999998E-3</v>
      </c>
      <c r="DZ330" s="31"/>
      <c r="EH330" s="10">
        <f t="shared" si="20"/>
        <v>8.1699999999999995E-2</v>
      </c>
      <c r="FI330" s="6">
        <f>1000*BP330*CT330/100</f>
        <v>0.83849999999999991</v>
      </c>
      <c r="GP330" s="32"/>
      <c r="GY330" s="6" t="s">
        <v>338</v>
      </c>
      <c r="GZ330" s="6" t="s">
        <v>994</v>
      </c>
      <c r="HB330" s="6" t="s">
        <v>763</v>
      </c>
      <c r="HC330" s="6" t="s">
        <v>1433</v>
      </c>
      <c r="HD330" s="8" t="s">
        <v>1434</v>
      </c>
      <c r="HF330" s="8" t="s">
        <v>1435</v>
      </c>
      <c r="HG330" s="9" t="s">
        <v>389</v>
      </c>
      <c r="IB330" s="8" t="s">
        <v>1434</v>
      </c>
      <c r="ID330" s="8" t="s">
        <v>1435</v>
      </c>
      <c r="IE330" s="9" t="s">
        <v>389</v>
      </c>
      <c r="IF330" s="8" t="s">
        <v>445</v>
      </c>
      <c r="IG330" s="8" t="s">
        <v>1436</v>
      </c>
      <c r="II330" s="8" t="s">
        <v>1437</v>
      </c>
      <c r="IJ330" s="8" t="s">
        <v>507</v>
      </c>
      <c r="IK330" s="8" t="s">
        <v>350</v>
      </c>
      <c r="IN330" s="9" t="s">
        <v>1438</v>
      </c>
      <c r="IO330" s="9" t="s">
        <v>329</v>
      </c>
      <c r="IP330" s="9" t="s">
        <v>329</v>
      </c>
      <c r="IR330" s="9"/>
      <c r="IS330" s="9" t="s">
        <v>528</v>
      </c>
      <c r="IT330" s="9" t="s">
        <v>329</v>
      </c>
      <c r="IU330" s="9" t="s">
        <v>329</v>
      </c>
      <c r="IX330" s="9" t="s">
        <v>658</v>
      </c>
      <c r="IY330" s="9" t="s">
        <v>1303</v>
      </c>
      <c r="IZ330" s="9" t="s">
        <v>350</v>
      </c>
      <c r="KM330" s="4" t="s">
        <v>542</v>
      </c>
      <c r="KN330" s="4" t="s">
        <v>1439</v>
      </c>
      <c r="KP330" s="5" t="s">
        <v>1440</v>
      </c>
      <c r="KQ330" s="5" t="s">
        <v>1441</v>
      </c>
      <c r="KS330" s="5" t="s">
        <v>1442</v>
      </c>
      <c r="KT330" s="5" t="s">
        <v>1443</v>
      </c>
    </row>
    <row r="331" spans="1:306" ht="60" x14ac:dyDescent="0.25">
      <c r="A331" s="5" t="s">
        <v>7262</v>
      </c>
      <c r="B331" s="4" t="s">
        <v>293</v>
      </c>
      <c r="C331" s="7" t="s">
        <v>758</v>
      </c>
      <c r="D331" s="8" t="s">
        <v>1428</v>
      </c>
      <c r="E331" s="4">
        <v>333580</v>
      </c>
      <c r="G331" s="4" t="s">
        <v>330</v>
      </c>
      <c r="H331" s="6">
        <v>120.11</v>
      </c>
      <c r="I331" s="6">
        <v>-20.89</v>
      </c>
      <c r="J331" s="4" t="s">
        <v>7263</v>
      </c>
      <c r="K331" s="4" t="s">
        <v>331</v>
      </c>
      <c r="L331" s="4" t="s">
        <v>368</v>
      </c>
      <c r="M331" s="4" t="s">
        <v>369</v>
      </c>
      <c r="Q331" s="8"/>
      <c r="R331" s="8"/>
      <c r="Z331" s="4" t="s">
        <v>293</v>
      </c>
      <c r="AA331" s="7" t="s">
        <v>758</v>
      </c>
      <c r="AB331" s="8" t="s">
        <v>1428</v>
      </c>
      <c r="AC331" s="4" t="s">
        <v>301</v>
      </c>
      <c r="AD331" s="4" t="s">
        <v>302</v>
      </c>
      <c r="AE331" s="8">
        <v>3298</v>
      </c>
      <c r="AF331" s="8">
        <v>11</v>
      </c>
      <c r="AG331" s="9" t="s">
        <v>303</v>
      </c>
      <c r="AH331" s="9" t="s">
        <v>304</v>
      </c>
      <c r="AI331" s="9" t="s">
        <v>598</v>
      </c>
      <c r="AJ331" s="9" t="s">
        <v>599</v>
      </c>
      <c r="AK331" s="9" t="s">
        <v>600</v>
      </c>
      <c r="AM331" s="8">
        <v>5</v>
      </c>
      <c r="AS331" s="8"/>
      <c r="AT331" s="8"/>
      <c r="BG331" s="8"/>
      <c r="BH331" s="8"/>
      <c r="BP331" s="7">
        <f>652.3+400</f>
        <v>1052.3</v>
      </c>
      <c r="BQ331" s="8"/>
      <c r="BR331" s="6">
        <f>(0.08*652.3+0.07*400)/(652.3+400)</f>
        <v>7.6198802622826189E-2</v>
      </c>
      <c r="BU331" s="7">
        <f>(1.3*652.3+1.1*400)/(652.3+400)</f>
        <v>1.223976052456524</v>
      </c>
      <c r="BV331" s="7"/>
      <c r="CT331" s="6">
        <f>(0.05*652.3+0.04*400)/(652.3+400)</f>
        <v>4.6198802622826197E-2</v>
      </c>
      <c r="DZ331" s="31"/>
      <c r="EH331" s="10">
        <f t="shared" si="20"/>
        <v>0.80184</v>
      </c>
      <c r="EK331" s="10">
        <f>BP331*BU331/1000</f>
        <v>1.28799</v>
      </c>
      <c r="FA331" s="6"/>
      <c r="FI331" s="8">
        <f>1000*BP331*CT331/100</f>
        <v>486.15000000000009</v>
      </c>
      <c r="GP331" s="32"/>
      <c r="GY331" s="6" t="s">
        <v>338</v>
      </c>
      <c r="GZ331" s="6" t="s">
        <v>4421</v>
      </c>
      <c r="HA331" s="6" t="s">
        <v>994</v>
      </c>
      <c r="HB331" s="6" t="s">
        <v>462</v>
      </c>
      <c r="HC331" s="6" t="s">
        <v>1433</v>
      </c>
      <c r="HD331" s="8" t="s">
        <v>7264</v>
      </c>
      <c r="HE331" s="8">
        <v>25763</v>
      </c>
      <c r="HF331" s="8" t="s">
        <v>7265</v>
      </c>
      <c r="HG331" s="8" t="s">
        <v>792</v>
      </c>
      <c r="HH331" s="8" t="s">
        <v>7266</v>
      </c>
      <c r="HI331" s="8">
        <v>14834</v>
      </c>
      <c r="HJ331" s="8" t="s">
        <v>7267</v>
      </c>
      <c r="HK331" s="9" t="s">
        <v>792</v>
      </c>
      <c r="HL331" s="9" t="s">
        <v>6029</v>
      </c>
      <c r="HM331" s="8">
        <v>25151</v>
      </c>
      <c r="HN331" s="9" t="s">
        <v>7268</v>
      </c>
      <c r="HO331" s="9" t="s">
        <v>792</v>
      </c>
      <c r="HQ331" s="9"/>
      <c r="HR331" s="9" t="s">
        <v>7269</v>
      </c>
      <c r="HS331" s="9" t="s">
        <v>792</v>
      </c>
      <c r="IB331" s="8" t="s">
        <v>7264</v>
      </c>
      <c r="IC331" s="8">
        <v>25763</v>
      </c>
      <c r="ID331" s="8" t="s">
        <v>7265</v>
      </c>
      <c r="IE331" s="8" t="s">
        <v>792</v>
      </c>
      <c r="IF331" s="8" t="s">
        <v>445</v>
      </c>
      <c r="IG331" s="8" t="s">
        <v>7266</v>
      </c>
      <c r="IH331" s="8">
        <v>14834</v>
      </c>
      <c r="II331" s="8" t="s">
        <v>7267</v>
      </c>
      <c r="IJ331" s="9" t="s">
        <v>792</v>
      </c>
      <c r="IK331" s="9" t="s">
        <v>445</v>
      </c>
      <c r="IL331" s="9" t="s">
        <v>6029</v>
      </c>
      <c r="IM331" s="8">
        <v>25151</v>
      </c>
      <c r="IN331" s="9" t="s">
        <v>7268</v>
      </c>
      <c r="IO331" s="9" t="s">
        <v>792</v>
      </c>
      <c r="IP331" s="9" t="s">
        <v>445</v>
      </c>
      <c r="IQ331" s="8" t="s">
        <v>7270</v>
      </c>
      <c r="IR331" s="8">
        <v>36951</v>
      </c>
      <c r="IS331" s="8" t="s">
        <v>1168</v>
      </c>
      <c r="IT331" s="8" t="s">
        <v>792</v>
      </c>
      <c r="IU331" s="8" t="s">
        <v>445</v>
      </c>
      <c r="IX331" s="9" t="s">
        <v>7269</v>
      </c>
      <c r="IY331" s="9" t="s">
        <v>792</v>
      </c>
      <c r="IZ331" s="9" t="s">
        <v>319</v>
      </c>
      <c r="JV331" s="7" t="s">
        <v>7271</v>
      </c>
      <c r="JW331" s="7" t="s">
        <v>2627</v>
      </c>
      <c r="JX331" s="7" t="s">
        <v>322</v>
      </c>
      <c r="JY331" s="7" t="s">
        <v>354</v>
      </c>
      <c r="JZ331" s="7" t="s">
        <v>320</v>
      </c>
      <c r="KG331" s="4" t="s">
        <v>323</v>
      </c>
      <c r="KP331" s="5" t="s">
        <v>7272</v>
      </c>
      <c r="KQ331" s="5" t="s">
        <v>7273</v>
      </c>
      <c r="KR331" s="5" t="s">
        <v>7274</v>
      </c>
      <c r="KS331" s="5" t="s">
        <v>7272</v>
      </c>
      <c r="KT331" s="22" t="s">
        <v>7275</v>
      </c>
    </row>
    <row r="332" spans="1:306" ht="144" x14ac:dyDescent="0.25">
      <c r="A332" s="5" t="s">
        <v>7566</v>
      </c>
      <c r="B332" s="4" t="s">
        <v>383</v>
      </c>
      <c r="C332" s="7" t="s">
        <v>384</v>
      </c>
      <c r="D332" s="8" t="s">
        <v>827</v>
      </c>
      <c r="E332" s="4">
        <v>467811</v>
      </c>
      <c r="G332" s="4" t="s">
        <v>773</v>
      </c>
      <c r="H332" s="24">
        <v>142.60749999999999</v>
      </c>
      <c r="I332" s="6">
        <v>-37.61139</v>
      </c>
      <c r="J332" s="4" t="s">
        <v>2061</v>
      </c>
      <c r="K332" s="4" t="s">
        <v>298</v>
      </c>
      <c r="L332" s="4" t="s">
        <v>400</v>
      </c>
      <c r="M332" s="4" t="s">
        <v>2062</v>
      </c>
      <c r="Q332" s="7"/>
      <c r="R332" s="7"/>
      <c r="Z332" s="4" t="s">
        <v>293</v>
      </c>
      <c r="AA332" s="7" t="s">
        <v>758</v>
      </c>
      <c r="AB332" s="8" t="s">
        <v>1428</v>
      </c>
      <c r="AC332" s="4" t="s">
        <v>301</v>
      </c>
      <c r="AD332" s="4" t="s">
        <v>382</v>
      </c>
      <c r="AE332" s="7">
        <v>500.6</v>
      </c>
      <c r="AF332" s="7">
        <v>2</v>
      </c>
      <c r="AG332" s="9" t="s">
        <v>303</v>
      </c>
      <c r="AH332" s="9" t="s">
        <v>304</v>
      </c>
      <c r="AI332" s="9" t="s">
        <v>598</v>
      </c>
      <c r="AJ332" s="9" t="s">
        <v>599</v>
      </c>
      <c r="AK332" s="9" t="s">
        <v>600</v>
      </c>
      <c r="AM332" s="8">
        <v>5</v>
      </c>
      <c r="AN332" s="4" t="s">
        <v>381</v>
      </c>
      <c r="AO332" s="4" t="s">
        <v>375</v>
      </c>
      <c r="AP332" s="4" t="s">
        <v>383</v>
      </c>
      <c r="AQ332" s="7" t="s">
        <v>384</v>
      </c>
      <c r="AR332" s="8" t="s">
        <v>827</v>
      </c>
      <c r="AS332" s="7">
        <v>0</v>
      </c>
      <c r="AT332" s="7">
        <v>0</v>
      </c>
      <c r="AU332" s="9" t="s">
        <v>303</v>
      </c>
      <c r="AV332" s="9" t="s">
        <v>406</v>
      </c>
      <c r="BA332" s="8">
        <v>5</v>
      </c>
      <c r="BP332" s="7">
        <v>18</v>
      </c>
      <c r="BR332" s="7">
        <v>0.4</v>
      </c>
      <c r="BU332" s="7">
        <v>1.5</v>
      </c>
      <c r="BV332" s="6">
        <v>0.04</v>
      </c>
      <c r="DZ332" s="31"/>
      <c r="EH332" s="10">
        <f t="shared" si="20"/>
        <v>7.2000000000000008E-2</v>
      </c>
      <c r="EK332" s="10">
        <f>BP332*BU332/1000</f>
        <v>2.7E-2</v>
      </c>
      <c r="EL332" s="6">
        <f>BP332*BV332</f>
        <v>0.72</v>
      </c>
      <c r="EY332" s="6"/>
      <c r="FA332" s="6"/>
      <c r="GP332" s="32"/>
      <c r="GY332" s="6" t="s">
        <v>338</v>
      </c>
      <c r="GZ332" s="6" t="s">
        <v>994</v>
      </c>
      <c r="HB332" s="6" t="s">
        <v>1432</v>
      </c>
      <c r="HC332" s="6" t="s">
        <v>1559</v>
      </c>
      <c r="HD332" s="8" t="s">
        <v>2066</v>
      </c>
      <c r="HE332" s="8">
        <v>24532</v>
      </c>
      <c r="HF332" s="8" t="s">
        <v>2067</v>
      </c>
      <c r="HG332" s="9" t="s">
        <v>415</v>
      </c>
      <c r="HH332" s="9" t="s">
        <v>3257</v>
      </c>
      <c r="HI332" s="8">
        <v>24290</v>
      </c>
      <c r="HJ332" s="9" t="s">
        <v>7567</v>
      </c>
      <c r="HK332" s="9" t="s">
        <v>415</v>
      </c>
      <c r="HN332" s="9" t="s">
        <v>7568</v>
      </c>
      <c r="HO332" s="9" t="s">
        <v>415</v>
      </c>
      <c r="HQ332" s="9"/>
      <c r="HY332" s="9"/>
      <c r="IB332" s="8" t="s">
        <v>2066</v>
      </c>
      <c r="IC332" s="8">
        <v>24532</v>
      </c>
      <c r="ID332" s="8" t="s">
        <v>2067</v>
      </c>
      <c r="IE332" s="9" t="s">
        <v>415</v>
      </c>
      <c r="IF332" s="8" t="s">
        <v>445</v>
      </c>
      <c r="IG332" s="9"/>
      <c r="II332" s="9" t="s">
        <v>7568</v>
      </c>
      <c r="IJ332" s="9" t="s">
        <v>415</v>
      </c>
      <c r="IK332" s="8" t="s">
        <v>319</v>
      </c>
      <c r="JV332" s="7" t="s">
        <v>7569</v>
      </c>
      <c r="JX332" s="7" t="s">
        <v>320</v>
      </c>
      <c r="KG332" s="4" t="s">
        <v>323</v>
      </c>
      <c r="KM332" s="4" t="s">
        <v>471</v>
      </c>
      <c r="KN332" s="4" t="s">
        <v>471</v>
      </c>
      <c r="KP332" s="18" t="s">
        <v>7570</v>
      </c>
      <c r="KQ332" s="5" t="s">
        <v>7571</v>
      </c>
      <c r="KR332" s="5" t="s">
        <v>7572</v>
      </c>
      <c r="KS332" s="5" t="s">
        <v>2071</v>
      </c>
      <c r="KT332" s="5" t="s">
        <v>7573</v>
      </c>
    </row>
    <row r="333" spans="1:306" ht="48" x14ac:dyDescent="0.2">
      <c r="A333" s="5" t="s">
        <v>8037</v>
      </c>
      <c r="B333" s="4" t="s">
        <v>293</v>
      </c>
      <c r="C333" s="7" t="s">
        <v>758</v>
      </c>
      <c r="D333" s="8" t="s">
        <v>1428</v>
      </c>
      <c r="E333" s="44">
        <v>467260</v>
      </c>
      <c r="F333" s="4">
        <v>1166327</v>
      </c>
      <c r="G333" s="4" t="s">
        <v>479</v>
      </c>
      <c r="H333" s="6">
        <v>150.87496100000001</v>
      </c>
      <c r="I333" s="6">
        <v>-24.806470000000001</v>
      </c>
      <c r="K333" s="4" t="s">
        <v>298</v>
      </c>
      <c r="L333" s="4" t="s">
        <v>552</v>
      </c>
      <c r="M333" s="4" t="s">
        <v>2723</v>
      </c>
      <c r="N333" s="4" t="s">
        <v>8038</v>
      </c>
      <c r="Q333" s="7"/>
      <c r="R333" s="7"/>
      <c r="Z333" s="4" t="s">
        <v>293</v>
      </c>
      <c r="AA333" s="7" t="s">
        <v>758</v>
      </c>
      <c r="AB333" s="8" t="s">
        <v>1428</v>
      </c>
      <c r="AC333" s="4" t="s">
        <v>301</v>
      </c>
      <c r="AD333" s="4" t="s">
        <v>302</v>
      </c>
      <c r="AE333" s="7">
        <v>244.31480845193573</v>
      </c>
      <c r="AF333" s="7">
        <v>1.2215740422596788</v>
      </c>
      <c r="AG333" s="9" t="s">
        <v>303</v>
      </c>
      <c r="AH333" s="9" t="s">
        <v>304</v>
      </c>
      <c r="AI333" s="9" t="s">
        <v>598</v>
      </c>
      <c r="AJ333" s="9" t="s">
        <v>599</v>
      </c>
      <c r="AK333" s="9" t="s">
        <v>600</v>
      </c>
      <c r="AM333" s="8">
        <v>5</v>
      </c>
      <c r="BP333" s="7">
        <v>242</v>
      </c>
      <c r="BR333" s="9">
        <v>0.1173</v>
      </c>
      <c r="BU333" s="6">
        <v>1.54</v>
      </c>
      <c r="CT333" s="9">
        <v>2.58E-2</v>
      </c>
      <c r="DE333" s="10">
        <f>0.003888*(183.84/(183.84+3*15.99))</f>
        <v>3.0834300504723696E-3</v>
      </c>
      <c r="DZ333" s="31"/>
      <c r="EH333" s="10">
        <f t="shared" si="20"/>
        <v>0.28386600000000001</v>
      </c>
      <c r="EK333" s="10">
        <f>BP333*BU333/1000</f>
        <v>0.37268000000000001</v>
      </c>
      <c r="FI333" s="6">
        <f>1000*BP333*CT333/100</f>
        <v>62.436000000000007</v>
      </c>
      <c r="FT333" s="6">
        <f>1000*BP333*DE333/100</f>
        <v>7.4619007221431346</v>
      </c>
      <c r="GP333" s="32"/>
      <c r="GY333" s="6" t="s">
        <v>338</v>
      </c>
      <c r="GZ333" s="6" t="s">
        <v>4421</v>
      </c>
      <c r="HB333" s="6" t="s">
        <v>8039</v>
      </c>
      <c r="HC333" s="6" t="s">
        <v>1433</v>
      </c>
      <c r="HD333" s="8" t="s">
        <v>8040</v>
      </c>
      <c r="HE333" s="8">
        <v>35005</v>
      </c>
      <c r="HF333" s="8" t="s">
        <v>8041</v>
      </c>
      <c r="HG333" s="9" t="s">
        <v>3491</v>
      </c>
      <c r="IB333" s="8" t="s">
        <v>8040</v>
      </c>
      <c r="IC333" s="8">
        <v>35005</v>
      </c>
      <c r="ID333" s="8" t="s">
        <v>8041</v>
      </c>
      <c r="IE333" s="9" t="s">
        <v>3491</v>
      </c>
      <c r="IF333" s="8" t="s">
        <v>445</v>
      </c>
      <c r="II333" s="8" t="s">
        <v>8042</v>
      </c>
      <c r="IK333" s="8" t="s">
        <v>319</v>
      </c>
      <c r="JV333" s="7" t="s">
        <v>8043</v>
      </c>
      <c r="JX333" s="7" t="s">
        <v>320</v>
      </c>
      <c r="JY333" s="7" t="s">
        <v>448</v>
      </c>
      <c r="JZ333" s="7" t="s">
        <v>353</v>
      </c>
      <c r="KP333" s="5" t="s">
        <v>768</v>
      </c>
      <c r="KQ333" s="5" t="s">
        <v>8044</v>
      </c>
      <c r="KR333" s="5" t="s">
        <v>768</v>
      </c>
      <c r="KS333" s="5" t="s">
        <v>8045</v>
      </c>
      <c r="KT333" s="5" t="s">
        <v>8046</v>
      </c>
    </row>
    <row r="334" spans="1:306" ht="60" x14ac:dyDescent="0.25">
      <c r="A334" s="5" t="s">
        <v>8330</v>
      </c>
      <c r="B334" s="4" t="s">
        <v>293</v>
      </c>
      <c r="C334" s="7" t="s">
        <v>758</v>
      </c>
      <c r="D334" s="8" t="s">
        <v>1428</v>
      </c>
      <c r="E334" s="4">
        <v>335024</v>
      </c>
      <c r="G334" s="4" t="s">
        <v>427</v>
      </c>
      <c r="H334" s="6">
        <v>148.64399420999999</v>
      </c>
      <c r="I334" s="6">
        <v>-32.729995336000002</v>
      </c>
      <c r="K334" s="4" t="s">
        <v>298</v>
      </c>
      <c r="L334" s="4" t="s">
        <v>299</v>
      </c>
      <c r="M334" s="4" t="s">
        <v>1359</v>
      </c>
      <c r="Q334" s="4"/>
      <c r="R334" s="8"/>
      <c r="Z334" s="4" t="s">
        <v>293</v>
      </c>
      <c r="AA334" s="7" t="s">
        <v>758</v>
      </c>
      <c r="AB334" s="8" t="s">
        <v>1428</v>
      </c>
      <c r="AC334" s="4" t="s">
        <v>301</v>
      </c>
      <c r="AD334" s="4" t="s">
        <v>302</v>
      </c>
      <c r="AE334" s="4">
        <v>409</v>
      </c>
      <c r="AF334" s="8">
        <v>2</v>
      </c>
      <c r="AG334" s="9" t="s">
        <v>379</v>
      </c>
      <c r="AH334" s="9" t="s">
        <v>483</v>
      </c>
      <c r="AI334" s="9" t="s">
        <v>5056</v>
      </c>
      <c r="AJ334" s="9" t="s">
        <v>4264</v>
      </c>
      <c r="AK334" s="9" t="s">
        <v>1081</v>
      </c>
      <c r="AM334" s="8">
        <v>3</v>
      </c>
      <c r="AS334" s="7"/>
      <c r="AT334" s="7"/>
      <c r="BP334" s="7">
        <v>12.8</v>
      </c>
      <c r="BR334" s="6">
        <v>0.38</v>
      </c>
      <c r="BU334" s="7">
        <v>2.2000000000000002</v>
      </c>
      <c r="BV334" s="6">
        <v>0.14000000000000001</v>
      </c>
      <c r="CQ334" s="8"/>
      <c r="CS334" s="8"/>
      <c r="CT334" s="10">
        <v>1.2E-2</v>
      </c>
      <c r="DC334" s="8"/>
      <c r="DD334" s="8"/>
      <c r="DZ334" s="31"/>
      <c r="EH334" s="10">
        <f t="shared" si="20"/>
        <v>4.864000000000001E-2</v>
      </c>
      <c r="EK334" s="6">
        <f>BP334*BU334/1000</f>
        <v>2.8160000000000004E-2</v>
      </c>
      <c r="EL334" s="6">
        <f>BP334*BV334</f>
        <v>1.7920000000000003</v>
      </c>
      <c r="FI334" s="6">
        <f>1000*BP334*CT334/100</f>
        <v>1.536</v>
      </c>
      <c r="GP334" s="32"/>
      <c r="GY334" s="6" t="s">
        <v>338</v>
      </c>
      <c r="GZ334" s="6" t="s">
        <v>994</v>
      </c>
      <c r="HA334" s="6" t="s">
        <v>8331</v>
      </c>
      <c r="HB334" s="6" t="s">
        <v>462</v>
      </c>
      <c r="HC334" s="6" t="s">
        <v>1433</v>
      </c>
      <c r="HD334" s="8" t="s">
        <v>8332</v>
      </c>
      <c r="HE334" s="8">
        <v>23864</v>
      </c>
      <c r="HF334" s="8" t="s">
        <v>8333</v>
      </c>
      <c r="HG334" s="9" t="s">
        <v>1507</v>
      </c>
      <c r="IB334" s="8" t="s">
        <v>8332</v>
      </c>
      <c r="IC334" s="8">
        <v>23864</v>
      </c>
      <c r="ID334" s="8" t="s">
        <v>8333</v>
      </c>
      <c r="IE334" s="9" t="s">
        <v>1507</v>
      </c>
      <c r="IF334" s="8" t="s">
        <v>319</v>
      </c>
      <c r="IW334" s="8"/>
      <c r="JB334" s="8"/>
      <c r="JV334" s="7" t="s">
        <v>8334</v>
      </c>
      <c r="JX334" s="7" t="s">
        <v>320</v>
      </c>
      <c r="JY334" s="7" t="s">
        <v>354</v>
      </c>
      <c r="JZ334" s="7" t="s">
        <v>353</v>
      </c>
      <c r="KG334" s="4" t="s">
        <v>323</v>
      </c>
      <c r="KP334" s="5" t="s">
        <v>8335</v>
      </c>
      <c r="KQ334" s="5" t="s">
        <v>8336</v>
      </c>
      <c r="KR334" s="5" t="s">
        <v>8337</v>
      </c>
      <c r="KS334" s="5" t="s">
        <v>8335</v>
      </c>
      <c r="KT334" s="5" t="s">
        <v>8338</v>
      </c>
    </row>
    <row r="335" spans="1:306" ht="24" x14ac:dyDescent="0.25">
      <c r="A335" s="5" t="s">
        <v>757</v>
      </c>
      <c r="B335" s="4" t="s">
        <v>293</v>
      </c>
      <c r="C335" s="7" t="s">
        <v>758</v>
      </c>
      <c r="D335" s="8" t="s">
        <v>759</v>
      </c>
      <c r="E335" s="38">
        <v>526757</v>
      </c>
      <c r="F335" s="4">
        <v>1169500</v>
      </c>
      <c r="G335" s="4" t="s">
        <v>479</v>
      </c>
      <c r="H335" s="6">
        <v>147.281567</v>
      </c>
      <c r="I335" s="6">
        <v>-22.310669999999998</v>
      </c>
      <c r="K335" s="4" t="s">
        <v>298</v>
      </c>
      <c r="L335" s="4" t="s">
        <v>760</v>
      </c>
      <c r="M335" s="4" t="s">
        <v>761</v>
      </c>
      <c r="Q335" s="7"/>
      <c r="R335" s="7"/>
      <c r="Z335" s="4" t="s">
        <v>293</v>
      </c>
      <c r="AA335" s="7" t="s">
        <v>758</v>
      </c>
      <c r="AB335" s="8" t="s">
        <v>759</v>
      </c>
      <c r="AC335" s="4" t="s">
        <v>301</v>
      </c>
      <c r="AE335" s="7">
        <v>309.82417256750352</v>
      </c>
      <c r="AF335" s="7">
        <v>1.5491208628375177</v>
      </c>
      <c r="AG335" s="9" t="s">
        <v>303</v>
      </c>
      <c r="AH335" s="9" t="s">
        <v>304</v>
      </c>
      <c r="AI335" s="9" t="s">
        <v>598</v>
      </c>
      <c r="AJ335" s="9" t="s">
        <v>599</v>
      </c>
      <c r="AK335" s="9" t="s">
        <v>600</v>
      </c>
      <c r="AM335" s="8">
        <v>5</v>
      </c>
      <c r="AN335" s="4" t="s">
        <v>381</v>
      </c>
      <c r="AO335" s="4" t="s">
        <v>382</v>
      </c>
      <c r="AP335" s="4" t="s">
        <v>383</v>
      </c>
      <c r="AQ335" s="7" t="s">
        <v>384</v>
      </c>
      <c r="AR335" s="8" t="s">
        <v>762</v>
      </c>
      <c r="AS335" s="7">
        <v>0</v>
      </c>
      <c r="AT335" s="7">
        <v>0</v>
      </c>
      <c r="AU335" s="9" t="s">
        <v>303</v>
      </c>
      <c r="AV335" s="9" t="s">
        <v>406</v>
      </c>
      <c r="BA335" s="8">
        <v>5</v>
      </c>
      <c r="BP335" s="7">
        <v>114</v>
      </c>
      <c r="CT335" s="9">
        <v>5.5E-2</v>
      </c>
      <c r="DZ335" s="31"/>
      <c r="FI335" s="6">
        <f>1000*BP335*CT335/100</f>
        <v>62.7</v>
      </c>
      <c r="GP335" s="32"/>
      <c r="GY335" s="6" t="s">
        <v>338</v>
      </c>
      <c r="GZ335" s="6" t="s">
        <v>763</v>
      </c>
      <c r="HC335" s="6" t="s">
        <v>764</v>
      </c>
      <c r="HF335" s="8" t="s">
        <v>765</v>
      </c>
      <c r="HG335" s="9" t="s">
        <v>766</v>
      </c>
      <c r="ID335" s="8" t="s">
        <v>765</v>
      </c>
      <c r="IE335" s="9" t="s">
        <v>766</v>
      </c>
      <c r="IF335" s="8" t="s">
        <v>319</v>
      </c>
      <c r="JV335" s="7" t="s">
        <v>767</v>
      </c>
      <c r="JW335" s="7" t="s">
        <v>644</v>
      </c>
      <c r="JX335" s="7" t="s">
        <v>320</v>
      </c>
      <c r="KP335" s="5" t="s">
        <v>768</v>
      </c>
      <c r="KQ335" s="5" t="s">
        <v>769</v>
      </c>
      <c r="KR335" s="5" t="s">
        <v>768</v>
      </c>
      <c r="KS335" s="5" t="s">
        <v>770</v>
      </c>
      <c r="KT335" s="5" t="s">
        <v>771</v>
      </c>
    </row>
    <row r="336" spans="1:306" ht="96" x14ac:dyDescent="0.2">
      <c r="A336" s="5" t="s">
        <v>5883</v>
      </c>
      <c r="B336" s="4" t="s">
        <v>293</v>
      </c>
      <c r="C336" s="7" t="s">
        <v>758</v>
      </c>
      <c r="D336" s="8" t="s">
        <v>759</v>
      </c>
      <c r="E336" s="44">
        <v>859651</v>
      </c>
      <c r="G336" s="4" t="s">
        <v>427</v>
      </c>
      <c r="H336" s="6">
        <v>149.714</v>
      </c>
      <c r="I336" s="6">
        <v>-32.86</v>
      </c>
      <c r="K336" s="4" t="s">
        <v>298</v>
      </c>
      <c r="L336" s="4" t="s">
        <v>299</v>
      </c>
      <c r="M336" s="4" t="s">
        <v>1359</v>
      </c>
      <c r="Q336" s="4"/>
      <c r="R336" s="7"/>
      <c r="Z336" s="4" t="s">
        <v>293</v>
      </c>
      <c r="AA336" s="7" t="s">
        <v>758</v>
      </c>
      <c r="AB336" s="8" t="s">
        <v>759</v>
      </c>
      <c r="AC336" s="4" t="s">
        <v>301</v>
      </c>
      <c r="AD336" s="4" t="s">
        <v>302</v>
      </c>
      <c r="AE336" s="4">
        <v>328</v>
      </c>
      <c r="AF336" s="7">
        <v>2.2999999999999998</v>
      </c>
      <c r="AG336" s="9" t="s">
        <v>379</v>
      </c>
      <c r="AH336" s="9" t="s">
        <v>483</v>
      </c>
      <c r="AJ336" s="9" t="s">
        <v>4264</v>
      </c>
      <c r="AM336" s="8">
        <v>3</v>
      </c>
      <c r="AS336" s="7"/>
      <c r="AT336" s="7"/>
      <c r="BP336" s="7">
        <v>16</v>
      </c>
      <c r="CQ336" s="8"/>
      <c r="CS336" s="8"/>
      <c r="CT336" s="10">
        <v>4.3999999999999997E-2</v>
      </c>
      <c r="DC336" s="8"/>
      <c r="DD336" s="8"/>
      <c r="DZ336" s="31"/>
      <c r="FI336" s="6">
        <f>1000*BP336*CT336/100</f>
        <v>7.04</v>
      </c>
      <c r="GP336" s="32"/>
      <c r="GY336" s="6" t="s">
        <v>309</v>
      </c>
      <c r="GZ336" s="6" t="s">
        <v>763</v>
      </c>
      <c r="HC336" s="6" t="s">
        <v>764</v>
      </c>
      <c r="HD336" s="8" t="s">
        <v>4023</v>
      </c>
      <c r="HE336" s="8">
        <v>30854</v>
      </c>
      <c r="HF336" s="8" t="s">
        <v>4024</v>
      </c>
      <c r="HG336" s="9" t="s">
        <v>444</v>
      </c>
      <c r="IB336" s="8" t="s">
        <v>4023</v>
      </c>
      <c r="IC336" s="8">
        <v>30854</v>
      </c>
      <c r="ID336" s="8" t="s">
        <v>4024</v>
      </c>
      <c r="IE336" s="9" t="s">
        <v>444</v>
      </c>
      <c r="IF336" s="8" t="s">
        <v>445</v>
      </c>
      <c r="IG336" s="8" t="s">
        <v>5884</v>
      </c>
      <c r="IH336" s="8">
        <v>27689</v>
      </c>
      <c r="II336" s="8" t="s">
        <v>5885</v>
      </c>
      <c r="IJ336" s="8" t="s">
        <v>1265</v>
      </c>
      <c r="IK336" s="8" t="s">
        <v>319</v>
      </c>
      <c r="IN336" s="9" t="s">
        <v>5886</v>
      </c>
      <c r="IP336" s="9" t="s">
        <v>329</v>
      </c>
      <c r="IW336" s="8"/>
      <c r="JB336" s="8"/>
      <c r="JV336" s="7" t="s">
        <v>5887</v>
      </c>
      <c r="JX336" s="7" t="s">
        <v>320</v>
      </c>
      <c r="KG336" s="4" t="s">
        <v>323</v>
      </c>
      <c r="KP336" s="5" t="s">
        <v>4835</v>
      </c>
      <c r="KQ336" s="5" t="s">
        <v>5888</v>
      </c>
      <c r="KR336" s="5" t="s">
        <v>5889</v>
      </c>
      <c r="KS336" s="5" t="s">
        <v>5889</v>
      </c>
      <c r="KT336" s="5" t="s">
        <v>5890</v>
      </c>
    </row>
    <row r="337" spans="1:306" ht="96" x14ac:dyDescent="0.25">
      <c r="A337" s="5" t="s">
        <v>7758</v>
      </c>
      <c r="B337" s="4" t="s">
        <v>293</v>
      </c>
      <c r="C337" s="7" t="s">
        <v>758</v>
      </c>
      <c r="D337" s="8" t="s">
        <v>759</v>
      </c>
      <c r="E337" s="4">
        <v>550517</v>
      </c>
      <c r="G337" s="4" t="s">
        <v>773</v>
      </c>
      <c r="H337" s="6">
        <v>147.97813089600001</v>
      </c>
      <c r="I337" s="6">
        <v>-36.338156327</v>
      </c>
      <c r="J337" s="4" t="s">
        <v>7758</v>
      </c>
      <c r="K337" s="4" t="s">
        <v>298</v>
      </c>
      <c r="L337" s="4" t="s">
        <v>299</v>
      </c>
      <c r="M337" s="4" t="s">
        <v>428</v>
      </c>
      <c r="N337" s="4" t="s">
        <v>2164</v>
      </c>
      <c r="Q337" s="7"/>
      <c r="R337" s="7"/>
      <c r="S337" s="4"/>
      <c r="Z337" s="4" t="s">
        <v>293</v>
      </c>
      <c r="AA337" s="7" t="s">
        <v>758</v>
      </c>
      <c r="AB337" s="8" t="s">
        <v>759</v>
      </c>
      <c r="AC337" s="4" t="s">
        <v>301</v>
      </c>
      <c r="AD337" s="4" t="s">
        <v>302</v>
      </c>
      <c r="AE337" s="7">
        <v>412</v>
      </c>
      <c r="AF337" s="7">
        <v>1.3</v>
      </c>
      <c r="AG337" s="4" t="s">
        <v>303</v>
      </c>
      <c r="AH337" s="9" t="s">
        <v>304</v>
      </c>
      <c r="AI337" s="9" t="s">
        <v>598</v>
      </c>
      <c r="AJ337" s="9" t="s">
        <v>599</v>
      </c>
      <c r="AK337" s="9" t="s">
        <v>600</v>
      </c>
      <c r="AM337" s="8">
        <v>5</v>
      </c>
      <c r="BP337" s="7">
        <v>203</v>
      </c>
      <c r="BR337" s="10">
        <v>8.2699999999999996E-2</v>
      </c>
      <c r="BU337" s="6">
        <v>2.97</v>
      </c>
      <c r="CT337" s="10">
        <v>3.5499999999999997E-2</v>
      </c>
      <c r="DZ337" s="31"/>
      <c r="EH337" s="10">
        <f>BP337*BR337/100</f>
        <v>0.167881</v>
      </c>
      <c r="EK337" s="10">
        <f>BP337*BU337/1000</f>
        <v>0.60291000000000006</v>
      </c>
      <c r="EY337" s="6"/>
      <c r="FA337" s="6"/>
      <c r="FI337" s="6">
        <f>1000*BP337*CT337/100</f>
        <v>72.064999999999998</v>
      </c>
      <c r="GP337" s="32"/>
      <c r="GY337" s="6" t="s">
        <v>338</v>
      </c>
      <c r="GZ337" s="6" t="s">
        <v>4421</v>
      </c>
      <c r="HB337" s="6" t="s">
        <v>462</v>
      </c>
      <c r="HC337" s="6" t="s">
        <v>7759</v>
      </c>
      <c r="HD337" s="8" t="s">
        <v>7760</v>
      </c>
      <c r="HE337" s="8">
        <v>37765</v>
      </c>
      <c r="HF337" s="9" t="s">
        <v>7761</v>
      </c>
      <c r="HG337" s="9" t="s">
        <v>782</v>
      </c>
      <c r="HQ337" s="9"/>
      <c r="HY337" s="9"/>
      <c r="IB337" s="8" t="s">
        <v>7760</v>
      </c>
      <c r="IC337" s="8">
        <v>37765</v>
      </c>
      <c r="ID337" s="9" t="s">
        <v>7761</v>
      </c>
      <c r="IE337" s="9" t="s">
        <v>782</v>
      </c>
      <c r="IF337" s="9" t="s">
        <v>319</v>
      </c>
      <c r="JV337" s="7" t="s">
        <v>7762</v>
      </c>
      <c r="JX337" s="7" t="s">
        <v>320</v>
      </c>
      <c r="KG337" s="4" t="s">
        <v>323</v>
      </c>
      <c r="KP337" s="5" t="s">
        <v>7763</v>
      </c>
      <c r="KQ337" s="5" t="s">
        <v>7764</v>
      </c>
      <c r="KR337" s="5" t="s">
        <v>3235</v>
      </c>
      <c r="KS337" s="5" t="s">
        <v>7763</v>
      </c>
      <c r="KT337" s="5" t="s">
        <v>7765</v>
      </c>
    </row>
    <row r="338" spans="1:306" ht="144" x14ac:dyDescent="0.25">
      <c r="A338" s="5" t="s">
        <v>2206</v>
      </c>
      <c r="B338" s="4" t="s">
        <v>293</v>
      </c>
      <c r="C338" s="7" t="s">
        <v>896</v>
      </c>
      <c r="D338" s="8" t="s">
        <v>2207</v>
      </c>
      <c r="E338" s="4">
        <v>333707</v>
      </c>
      <c r="G338" s="4" t="s">
        <v>296</v>
      </c>
      <c r="H338" s="6">
        <v>145.38543235899999</v>
      </c>
      <c r="I338" s="6">
        <v>-41.479981643999999</v>
      </c>
      <c r="J338" s="4" t="s">
        <v>2208</v>
      </c>
      <c r="K338" s="4" t="s">
        <v>298</v>
      </c>
      <c r="L338" s="4" t="s">
        <v>400</v>
      </c>
      <c r="M338" s="4" t="s">
        <v>401</v>
      </c>
      <c r="Q338" s="8"/>
      <c r="R338" s="8"/>
      <c r="Z338" s="4" t="s">
        <v>293</v>
      </c>
      <c r="AA338" s="7" t="s">
        <v>896</v>
      </c>
      <c r="AB338" s="8" t="s">
        <v>2207</v>
      </c>
      <c r="AC338" s="4" t="s">
        <v>301</v>
      </c>
      <c r="AD338" s="4" t="s">
        <v>375</v>
      </c>
      <c r="AE338" s="8">
        <v>368</v>
      </c>
      <c r="AF338" s="8">
        <v>8</v>
      </c>
      <c r="AG338" s="9" t="s">
        <v>303</v>
      </c>
      <c r="AH338" s="9" t="s">
        <v>304</v>
      </c>
      <c r="AI338" s="9" t="s">
        <v>305</v>
      </c>
      <c r="AJ338" s="9" t="s">
        <v>306</v>
      </c>
      <c r="AK338" s="9" t="s">
        <v>307</v>
      </c>
      <c r="AL338" s="9" t="s">
        <v>308</v>
      </c>
      <c r="AM338" s="8">
        <v>5</v>
      </c>
      <c r="AN338" s="4" t="s">
        <v>301</v>
      </c>
      <c r="AO338" s="4" t="s">
        <v>382</v>
      </c>
      <c r="AP338" s="4" t="s">
        <v>1556</v>
      </c>
      <c r="AQ338" s="7" t="s">
        <v>294</v>
      </c>
      <c r="AR338" s="8" t="s">
        <v>2002</v>
      </c>
      <c r="AS338" s="8">
        <v>368</v>
      </c>
      <c r="AT338" s="8">
        <v>8</v>
      </c>
      <c r="AU338" s="9" t="s">
        <v>303</v>
      </c>
      <c r="AV338" s="9" t="s">
        <v>304</v>
      </c>
      <c r="AW338" s="9" t="s">
        <v>305</v>
      </c>
      <c r="AX338" s="9" t="s">
        <v>306</v>
      </c>
      <c r="AY338" s="9" t="s">
        <v>307</v>
      </c>
      <c r="AZ338" s="9" t="s">
        <v>308</v>
      </c>
      <c r="BA338" s="8">
        <v>5</v>
      </c>
      <c r="BP338" s="7">
        <f>5.645035+6.119+3.98</f>
        <v>15.744035</v>
      </c>
      <c r="BR338" s="6">
        <f>(0.28*5.645035+0.25*6.119+0*3.98)/(5.645035+6.119+3.98)</f>
        <v>0.19755798307104883</v>
      </c>
      <c r="CT338" s="10"/>
      <c r="CY338" s="6">
        <f>(0.68*5.645035+0.68*6.119+0*3.98)/(5.645035+6.119+3.98)</f>
        <v>0.50809997564156839</v>
      </c>
      <c r="DE338" s="6">
        <f>(0*5.645035+0*6.119+0.3*3.98)/(5.645035+6.119+3.98)</f>
        <v>7.583824604048453E-2</v>
      </c>
      <c r="DZ338" s="31"/>
      <c r="EH338" s="10">
        <f>BP338*BR338/100</f>
        <v>3.1103598000000003E-2</v>
      </c>
      <c r="EY338" s="6"/>
      <c r="FA338" s="6"/>
      <c r="FN338" s="8">
        <f>1000*BP338*CY338/100</f>
        <v>79.995438000000007</v>
      </c>
      <c r="FT338" s="7">
        <f>1000*BP338*DE338/100</f>
        <v>11.939999999999998</v>
      </c>
      <c r="GP338" s="32"/>
      <c r="GY338" s="6" t="s">
        <v>435</v>
      </c>
      <c r="GZ338" s="6" t="s">
        <v>639</v>
      </c>
      <c r="HA338" s="6" t="s">
        <v>916</v>
      </c>
      <c r="HB338" s="6" t="s">
        <v>994</v>
      </c>
      <c r="HC338" s="6" t="s">
        <v>1362</v>
      </c>
      <c r="HD338" s="8" t="s">
        <v>2209</v>
      </c>
      <c r="HE338" s="8">
        <v>7994</v>
      </c>
      <c r="HF338" s="8" t="s">
        <v>2210</v>
      </c>
      <c r="HG338" s="9" t="s">
        <v>2211</v>
      </c>
      <c r="HJ338" s="9" t="s">
        <v>2212</v>
      </c>
      <c r="HK338" s="9" t="s">
        <v>318</v>
      </c>
      <c r="HQ338" s="9"/>
      <c r="HY338" s="9"/>
      <c r="IB338" s="9"/>
      <c r="ID338" s="9" t="s">
        <v>2212</v>
      </c>
      <c r="IE338" s="9" t="s">
        <v>318</v>
      </c>
      <c r="IF338" s="8" t="s">
        <v>319</v>
      </c>
      <c r="IG338" s="8" t="s">
        <v>2213</v>
      </c>
      <c r="IH338" s="8">
        <v>11660</v>
      </c>
      <c r="II338" s="8" t="s">
        <v>2214</v>
      </c>
      <c r="IJ338" s="8" t="s">
        <v>318</v>
      </c>
      <c r="IK338" s="8" t="s">
        <v>319</v>
      </c>
      <c r="IM338" s="9"/>
      <c r="IR338" s="9"/>
      <c r="JV338" s="7" t="s">
        <v>2215</v>
      </c>
      <c r="JW338" s="7" t="s">
        <v>2216</v>
      </c>
      <c r="JX338" s="7" t="s">
        <v>322</v>
      </c>
      <c r="JY338" s="7" t="s">
        <v>354</v>
      </c>
      <c r="JZ338" s="7" t="s">
        <v>320</v>
      </c>
      <c r="KA338" s="7" t="s">
        <v>354</v>
      </c>
      <c r="KB338" s="7" t="s">
        <v>353</v>
      </c>
      <c r="KC338" s="7" t="s">
        <v>321</v>
      </c>
      <c r="KD338" s="7" t="s">
        <v>738</v>
      </c>
      <c r="KG338" s="4" t="s">
        <v>323</v>
      </c>
      <c r="KP338" s="18" t="s">
        <v>324</v>
      </c>
      <c r="KQ338" s="5" t="s">
        <v>2217</v>
      </c>
      <c r="KR338" s="5" t="s">
        <v>2218</v>
      </c>
      <c r="KS338" s="5" t="s">
        <v>2219</v>
      </c>
      <c r="KT338" s="14" t="s">
        <v>2220</v>
      </c>
    </row>
    <row r="339" spans="1:306" ht="132" x14ac:dyDescent="0.25">
      <c r="A339" s="5" t="s">
        <v>5398</v>
      </c>
      <c r="B339" s="4" t="s">
        <v>293</v>
      </c>
      <c r="C339" s="7" t="s">
        <v>896</v>
      </c>
      <c r="D339" s="8" t="s">
        <v>2207</v>
      </c>
      <c r="E339" s="4">
        <v>335457</v>
      </c>
      <c r="G339" s="4" t="s">
        <v>296</v>
      </c>
      <c r="H339" s="6">
        <v>145.52305444300001</v>
      </c>
      <c r="I339" s="6">
        <v>-41.432292191999998</v>
      </c>
      <c r="J339" s="4" t="s">
        <v>4521</v>
      </c>
      <c r="K339" s="4" t="s">
        <v>298</v>
      </c>
      <c r="L339" s="4" t="s">
        <v>400</v>
      </c>
      <c r="M339" s="4" t="s">
        <v>401</v>
      </c>
      <c r="Q339" s="7"/>
      <c r="R339" s="7"/>
      <c r="Z339" s="4" t="s">
        <v>293</v>
      </c>
      <c r="AA339" s="7" t="s">
        <v>896</v>
      </c>
      <c r="AB339" s="8" t="s">
        <v>2207</v>
      </c>
      <c r="AC339" s="4" t="s">
        <v>301</v>
      </c>
      <c r="AD339" s="4" t="s">
        <v>1902</v>
      </c>
      <c r="AE339" s="7">
        <v>373.2</v>
      </c>
      <c r="AF339" s="7">
        <v>1.9</v>
      </c>
      <c r="AG339" s="9" t="s">
        <v>379</v>
      </c>
      <c r="AH339" s="9" t="s">
        <v>483</v>
      </c>
      <c r="AI339" s="9" t="s">
        <v>373</v>
      </c>
      <c r="AJ339" s="9" t="s">
        <v>306</v>
      </c>
      <c r="AK339" s="9" t="s">
        <v>307</v>
      </c>
      <c r="AL339" s="9" t="s">
        <v>337</v>
      </c>
      <c r="AM339" s="8">
        <v>4</v>
      </c>
      <c r="AN339" s="4" t="s">
        <v>301</v>
      </c>
      <c r="AO339" s="4" t="s">
        <v>382</v>
      </c>
      <c r="AP339" s="4" t="s">
        <v>1556</v>
      </c>
      <c r="AQ339" s="7" t="s">
        <v>10242</v>
      </c>
      <c r="AR339" s="8" t="s">
        <v>638</v>
      </c>
      <c r="AS339" s="7">
        <v>373.2</v>
      </c>
      <c r="AT339" s="7">
        <v>1.9</v>
      </c>
      <c r="AU339" s="9" t="s">
        <v>379</v>
      </c>
      <c r="AV339" s="9" t="s">
        <v>483</v>
      </c>
      <c r="AW339" s="9" t="s">
        <v>373</v>
      </c>
      <c r="AX339" s="9" t="s">
        <v>306</v>
      </c>
      <c r="AY339" s="9" t="s">
        <v>307</v>
      </c>
      <c r="AZ339" s="9" t="s">
        <v>337</v>
      </c>
      <c r="BA339" s="8">
        <v>4</v>
      </c>
      <c r="BB339" s="4" t="s">
        <v>301</v>
      </c>
      <c r="BC339" s="4" t="s">
        <v>402</v>
      </c>
      <c r="BD339" s="4" t="s">
        <v>1556</v>
      </c>
      <c r="BE339" s="7" t="s">
        <v>294</v>
      </c>
      <c r="BF339" s="8" t="s">
        <v>2002</v>
      </c>
      <c r="BG339" s="7">
        <v>373.2</v>
      </c>
      <c r="BH339" s="7">
        <v>1.9</v>
      </c>
      <c r="BI339" s="9" t="s">
        <v>379</v>
      </c>
      <c r="BJ339" s="9" t="s">
        <v>483</v>
      </c>
      <c r="BK339" s="9" t="s">
        <v>373</v>
      </c>
      <c r="BL339" s="9" t="s">
        <v>306</v>
      </c>
      <c r="BM339" s="9" t="s">
        <v>307</v>
      </c>
      <c r="BN339" s="9" t="s">
        <v>337</v>
      </c>
      <c r="BO339" s="8">
        <v>4</v>
      </c>
      <c r="BP339" s="7">
        <v>10.54</v>
      </c>
      <c r="CY339" s="6">
        <v>1.46</v>
      </c>
      <c r="DZ339" s="31"/>
      <c r="EY339" s="6"/>
      <c r="FA339" s="6"/>
      <c r="FN339" s="8">
        <f>1000*BP339*CY339/100</f>
        <v>153.88399999999999</v>
      </c>
      <c r="GP339" s="32"/>
      <c r="GY339" s="6" t="s">
        <v>309</v>
      </c>
      <c r="GZ339" s="6" t="s">
        <v>639</v>
      </c>
      <c r="HC339" s="6" t="s">
        <v>5399</v>
      </c>
      <c r="HD339" s="8" t="s">
        <v>2865</v>
      </c>
      <c r="HE339" s="8">
        <v>14603</v>
      </c>
      <c r="HF339" s="8" t="s">
        <v>3648</v>
      </c>
      <c r="HG339" s="9" t="s">
        <v>2867</v>
      </c>
      <c r="HH339" s="9" t="s">
        <v>5400</v>
      </c>
      <c r="HJ339" s="9" t="s">
        <v>5401</v>
      </c>
      <c r="HK339" s="9" t="s">
        <v>318</v>
      </c>
      <c r="HQ339" s="9"/>
      <c r="HY339" s="9"/>
      <c r="IB339" s="9" t="s">
        <v>5400</v>
      </c>
      <c r="ID339" s="9" t="s">
        <v>5402</v>
      </c>
      <c r="IE339" s="9" t="s">
        <v>318</v>
      </c>
      <c r="IF339" s="8" t="s">
        <v>319</v>
      </c>
      <c r="IG339" s="8" t="s">
        <v>5403</v>
      </c>
      <c r="IH339" s="8">
        <v>20401</v>
      </c>
      <c r="II339" s="8" t="s">
        <v>5404</v>
      </c>
      <c r="IJ339" s="8" t="s">
        <v>318</v>
      </c>
      <c r="IK339" s="8" t="s">
        <v>319</v>
      </c>
      <c r="IM339" s="9"/>
      <c r="IR339" s="9"/>
      <c r="JV339" s="7" t="s">
        <v>5405</v>
      </c>
      <c r="JW339" s="7" t="s">
        <v>2216</v>
      </c>
      <c r="JX339" s="7" t="s">
        <v>322</v>
      </c>
      <c r="JY339" s="7" t="s">
        <v>448</v>
      </c>
      <c r="JZ339" s="7" t="s">
        <v>353</v>
      </c>
      <c r="KA339" s="7" t="s">
        <v>321</v>
      </c>
      <c r="KB339" s="7" t="s">
        <v>320</v>
      </c>
      <c r="KG339" s="4" t="s">
        <v>323</v>
      </c>
      <c r="KP339" s="18" t="s">
        <v>324</v>
      </c>
      <c r="KQ339" s="5" t="s">
        <v>5406</v>
      </c>
      <c r="KR339" s="5" t="s">
        <v>3271</v>
      </c>
      <c r="KS339" s="5" t="s">
        <v>324</v>
      </c>
      <c r="KT339" s="5" t="s">
        <v>5407</v>
      </c>
    </row>
    <row r="340" spans="1:306" ht="48" customHeight="1" x14ac:dyDescent="0.25">
      <c r="A340" s="5" t="s">
        <v>6882</v>
      </c>
      <c r="B340" s="4" t="s">
        <v>293</v>
      </c>
      <c r="C340" s="7" t="s">
        <v>896</v>
      </c>
      <c r="D340" s="8" t="s">
        <v>2207</v>
      </c>
      <c r="E340" s="4">
        <v>336113</v>
      </c>
      <c r="G340" s="4" t="s">
        <v>296</v>
      </c>
      <c r="H340" s="6">
        <v>145.435199165</v>
      </c>
      <c r="I340" s="6">
        <v>-41.799961875999998</v>
      </c>
      <c r="J340" s="4" t="s">
        <v>6882</v>
      </c>
      <c r="K340" s="4" t="s">
        <v>298</v>
      </c>
      <c r="L340" s="4" t="s">
        <v>400</v>
      </c>
      <c r="M340" s="4" t="s">
        <v>401</v>
      </c>
      <c r="Q340" s="8"/>
      <c r="R340" s="8"/>
      <c r="Z340" s="4" t="s">
        <v>293</v>
      </c>
      <c r="AA340" s="7" t="s">
        <v>896</v>
      </c>
      <c r="AB340" s="8" t="s">
        <v>2207</v>
      </c>
      <c r="AC340" s="4" t="s">
        <v>301</v>
      </c>
      <c r="AD340" s="4" t="s">
        <v>375</v>
      </c>
      <c r="AE340" s="8">
        <v>368</v>
      </c>
      <c r="AF340" s="8">
        <v>7</v>
      </c>
      <c r="AG340" s="9" t="s">
        <v>303</v>
      </c>
      <c r="AH340" s="9" t="s">
        <v>304</v>
      </c>
      <c r="AI340" s="9" t="s">
        <v>305</v>
      </c>
      <c r="AJ340" s="9" t="s">
        <v>306</v>
      </c>
      <c r="AK340" s="9" t="s">
        <v>307</v>
      </c>
      <c r="AL340" s="9" t="s">
        <v>308</v>
      </c>
      <c r="AM340" s="8">
        <v>5</v>
      </c>
      <c r="AN340" s="4" t="s">
        <v>301</v>
      </c>
      <c r="AO340" s="4" t="s">
        <v>382</v>
      </c>
      <c r="AP340" s="4" t="s">
        <v>293</v>
      </c>
      <c r="AQ340" s="7" t="s">
        <v>294</v>
      </c>
      <c r="AR340" s="8" t="s">
        <v>295</v>
      </c>
      <c r="AS340" s="8">
        <v>368</v>
      </c>
      <c r="AT340" s="8">
        <v>7</v>
      </c>
      <c r="AU340" s="9" t="s">
        <v>303</v>
      </c>
      <c r="AV340" s="9" t="s">
        <v>304</v>
      </c>
      <c r="AW340" s="9" t="s">
        <v>305</v>
      </c>
      <c r="AX340" s="9" t="s">
        <v>306</v>
      </c>
      <c r="AY340" s="9" t="s">
        <v>307</v>
      </c>
      <c r="AZ340" s="9" t="s">
        <v>308</v>
      </c>
      <c r="BA340" s="8">
        <v>5</v>
      </c>
      <c r="BB340" s="4" t="s">
        <v>381</v>
      </c>
      <c r="BC340" s="4" t="s">
        <v>402</v>
      </c>
      <c r="BD340" s="4" t="s">
        <v>383</v>
      </c>
      <c r="BE340" s="7" t="s">
        <v>384</v>
      </c>
      <c r="BF340" s="8" t="s">
        <v>801</v>
      </c>
      <c r="BG340" s="7">
        <v>0</v>
      </c>
      <c r="BH340" s="7">
        <v>0</v>
      </c>
      <c r="BI340" s="9" t="s">
        <v>303</v>
      </c>
      <c r="BJ340" s="9" t="s">
        <v>406</v>
      </c>
      <c r="BO340" s="8">
        <v>5</v>
      </c>
      <c r="DZ340" s="31"/>
      <c r="EH340" s="10">
        <f>91740/1000000</f>
        <v>9.1740000000000002E-2</v>
      </c>
      <c r="EY340" s="6"/>
      <c r="FA340" s="6"/>
      <c r="FN340" s="8">
        <v>682</v>
      </c>
      <c r="GP340" s="32"/>
      <c r="GY340" s="6" t="s">
        <v>435</v>
      </c>
      <c r="GZ340" s="6" t="s">
        <v>639</v>
      </c>
      <c r="HB340" s="6" t="s">
        <v>994</v>
      </c>
      <c r="HC340" s="6" t="s">
        <v>1362</v>
      </c>
      <c r="HD340" s="8" t="s">
        <v>5743</v>
      </c>
      <c r="HE340" s="8">
        <v>17488</v>
      </c>
      <c r="HF340" s="8" t="s">
        <v>5744</v>
      </c>
      <c r="HG340" s="9" t="s">
        <v>4612</v>
      </c>
      <c r="HH340" s="9" t="s">
        <v>5741</v>
      </c>
      <c r="HI340" s="8">
        <v>4898</v>
      </c>
      <c r="HJ340" s="9" t="s">
        <v>6763</v>
      </c>
      <c r="HK340" s="9" t="s">
        <v>4612</v>
      </c>
      <c r="HQ340" s="9"/>
      <c r="HY340" s="9"/>
      <c r="IB340" s="8" t="s">
        <v>2871</v>
      </c>
      <c r="IC340" s="8">
        <v>33459</v>
      </c>
      <c r="ID340" s="8" t="s">
        <v>2872</v>
      </c>
      <c r="IE340" s="8" t="s">
        <v>318</v>
      </c>
      <c r="IF340" s="8" t="s">
        <v>319</v>
      </c>
      <c r="IM340" s="9"/>
      <c r="IR340" s="9"/>
      <c r="JV340" s="7" t="s">
        <v>6883</v>
      </c>
      <c r="JX340" s="7" t="s">
        <v>320</v>
      </c>
      <c r="JY340" s="7" t="s">
        <v>448</v>
      </c>
      <c r="JZ340" s="7" t="s">
        <v>322</v>
      </c>
      <c r="KG340" s="4" t="s">
        <v>323</v>
      </c>
      <c r="KP340" s="18" t="s">
        <v>324</v>
      </c>
      <c r="KQ340" s="5" t="s">
        <v>6884</v>
      </c>
      <c r="KR340" s="5" t="s">
        <v>2218</v>
      </c>
      <c r="KS340" s="5" t="s">
        <v>6885</v>
      </c>
      <c r="KT340" s="14" t="s">
        <v>6886</v>
      </c>
    </row>
    <row r="341" spans="1:306" ht="108" x14ac:dyDescent="0.25">
      <c r="A341" s="5" t="s">
        <v>1357</v>
      </c>
      <c r="B341" s="4" t="s">
        <v>293</v>
      </c>
      <c r="C341" s="7" t="s">
        <v>896</v>
      </c>
      <c r="D341" s="8" t="s">
        <v>897</v>
      </c>
      <c r="E341" s="4">
        <v>335278</v>
      </c>
      <c r="G341" s="4" t="s">
        <v>427</v>
      </c>
      <c r="H341" s="6">
        <v>148.99127379800001</v>
      </c>
      <c r="I341" s="6">
        <v>-33.442100496999998</v>
      </c>
      <c r="J341" s="4" t="s">
        <v>1358</v>
      </c>
      <c r="K341" s="4" t="s">
        <v>298</v>
      </c>
      <c r="L341" s="4" t="s">
        <v>299</v>
      </c>
      <c r="M341" s="4" t="s">
        <v>1359</v>
      </c>
      <c r="N341" s="4" t="s">
        <v>1360</v>
      </c>
      <c r="Q341" s="8"/>
      <c r="Z341" s="4" t="s">
        <v>293</v>
      </c>
      <c r="AA341" s="7" t="s">
        <v>896</v>
      </c>
      <c r="AB341" s="8" t="s">
        <v>897</v>
      </c>
      <c r="AC341" s="4" t="s">
        <v>301</v>
      </c>
      <c r="AD341" s="4" t="s">
        <v>375</v>
      </c>
      <c r="AE341" s="8">
        <v>442</v>
      </c>
      <c r="AG341" s="9" t="s">
        <v>379</v>
      </c>
      <c r="AH341" s="9" t="s">
        <v>1156</v>
      </c>
      <c r="AM341" s="8">
        <v>3</v>
      </c>
      <c r="AN341" s="4" t="s">
        <v>381</v>
      </c>
      <c r="AO341" s="4" t="s">
        <v>382</v>
      </c>
      <c r="AP341" s="4" t="s">
        <v>383</v>
      </c>
      <c r="AQ341" s="7" t="s">
        <v>384</v>
      </c>
      <c r="AR341" s="8" t="s">
        <v>827</v>
      </c>
      <c r="AS341" s="7">
        <v>0</v>
      </c>
      <c r="AT341" s="7">
        <v>0</v>
      </c>
      <c r="AU341" s="9" t="s">
        <v>303</v>
      </c>
      <c r="AV341" s="9" t="s">
        <v>406</v>
      </c>
      <c r="BA341" s="8">
        <v>5</v>
      </c>
      <c r="BP341" s="7">
        <v>30</v>
      </c>
      <c r="BR341" s="6">
        <v>0.5</v>
      </c>
      <c r="BV341" s="6">
        <v>0.4</v>
      </c>
      <c r="DZ341" s="31"/>
      <c r="EH341" s="10">
        <f>BP341*BR341/100</f>
        <v>0.15</v>
      </c>
      <c r="EL341" s="6">
        <f>BP341*BV341</f>
        <v>12</v>
      </c>
      <c r="GP341" s="32"/>
      <c r="GY341" s="6" t="s">
        <v>309</v>
      </c>
      <c r="GZ341" s="6" t="s">
        <v>1361</v>
      </c>
      <c r="HC341" s="6" t="s">
        <v>1362</v>
      </c>
      <c r="HD341" s="8" t="s">
        <v>1363</v>
      </c>
      <c r="HE341" s="8">
        <v>6819</v>
      </c>
      <c r="HF341" s="8" t="s">
        <v>1364</v>
      </c>
      <c r="HG341" s="9" t="s">
        <v>1365</v>
      </c>
      <c r="IB341" s="8" t="s">
        <v>1366</v>
      </c>
      <c r="ID341" s="8" t="s">
        <v>1367</v>
      </c>
      <c r="IE341" s="9" t="s">
        <v>1365</v>
      </c>
      <c r="IF341" s="9" t="s">
        <v>329</v>
      </c>
      <c r="IG341" s="8" t="s">
        <v>1368</v>
      </c>
      <c r="II341" s="8" t="s">
        <v>1369</v>
      </c>
      <c r="IJ341" s="9" t="s">
        <v>1365</v>
      </c>
      <c r="IK341" s="9" t="s">
        <v>329</v>
      </c>
      <c r="IL341" s="8" t="s">
        <v>1370</v>
      </c>
      <c r="IN341" s="8" t="s">
        <v>1371</v>
      </c>
      <c r="IP341" s="9" t="s">
        <v>350</v>
      </c>
      <c r="IW341" s="8"/>
      <c r="JB341" s="8"/>
      <c r="JV341" s="7" t="s">
        <v>1372</v>
      </c>
      <c r="JX341" s="7" t="s">
        <v>320</v>
      </c>
      <c r="JY341" s="7" t="s">
        <v>354</v>
      </c>
      <c r="JZ341" s="7" t="s">
        <v>353</v>
      </c>
      <c r="KA341" s="7" t="s">
        <v>354</v>
      </c>
      <c r="KB341" s="7" t="s">
        <v>355</v>
      </c>
      <c r="KG341" s="4" t="s">
        <v>323</v>
      </c>
      <c r="KM341" s="4" t="s">
        <v>836</v>
      </c>
      <c r="KN341" s="4" t="s">
        <v>836</v>
      </c>
      <c r="KP341" s="5" t="s">
        <v>1373</v>
      </c>
      <c r="KQ341" s="5" t="s">
        <v>1374</v>
      </c>
      <c r="KS341" s="5" t="s">
        <v>1375</v>
      </c>
      <c r="KT341" s="5" t="s">
        <v>1376</v>
      </c>
    </row>
    <row r="342" spans="1:306" ht="120" x14ac:dyDescent="0.25">
      <c r="A342" s="5" t="s">
        <v>4901</v>
      </c>
      <c r="B342" s="4" t="s">
        <v>293</v>
      </c>
      <c r="C342" s="7" t="s">
        <v>896</v>
      </c>
      <c r="D342" s="8" t="s">
        <v>897</v>
      </c>
      <c r="E342" s="4">
        <v>337042</v>
      </c>
      <c r="G342" s="4" t="s">
        <v>427</v>
      </c>
      <c r="H342" s="6">
        <v>149.01439512799999</v>
      </c>
      <c r="I342" s="6">
        <v>-33.457255101999998</v>
      </c>
      <c r="J342" s="4" t="s">
        <v>1358</v>
      </c>
      <c r="K342" s="4" t="s">
        <v>298</v>
      </c>
      <c r="L342" s="4" t="s">
        <v>299</v>
      </c>
      <c r="M342" s="4" t="s">
        <v>1359</v>
      </c>
      <c r="N342" s="4" t="s">
        <v>1360</v>
      </c>
      <c r="Q342" s="8"/>
      <c r="Z342" s="4" t="s">
        <v>293</v>
      </c>
      <c r="AA342" s="7" t="s">
        <v>896</v>
      </c>
      <c r="AB342" s="8" t="s">
        <v>897</v>
      </c>
      <c r="AC342" s="4" t="s">
        <v>301</v>
      </c>
      <c r="AD342" s="4" t="s">
        <v>375</v>
      </c>
      <c r="AE342" s="8">
        <v>442</v>
      </c>
      <c r="AG342" s="9" t="s">
        <v>379</v>
      </c>
      <c r="AH342" s="9" t="s">
        <v>1156</v>
      </c>
      <c r="AM342" s="8">
        <v>3</v>
      </c>
      <c r="AN342" s="4" t="s">
        <v>381</v>
      </c>
      <c r="AO342" s="4" t="s">
        <v>382</v>
      </c>
      <c r="AP342" s="4" t="s">
        <v>383</v>
      </c>
      <c r="AQ342" s="7" t="s">
        <v>384</v>
      </c>
      <c r="AR342" s="8" t="s">
        <v>827</v>
      </c>
      <c r="AS342" s="7">
        <v>0</v>
      </c>
      <c r="AT342" s="7">
        <v>0</v>
      </c>
      <c r="AU342" s="9" t="s">
        <v>303</v>
      </c>
      <c r="AV342" s="9" t="s">
        <v>406</v>
      </c>
      <c r="BA342" s="8">
        <v>5</v>
      </c>
      <c r="BP342" s="7">
        <v>8</v>
      </c>
      <c r="BR342" s="6">
        <v>0.4</v>
      </c>
      <c r="BV342" s="6">
        <v>0.3</v>
      </c>
      <c r="DZ342" s="31"/>
      <c r="EH342" s="10">
        <f>BP342*BR342/100</f>
        <v>3.2000000000000001E-2</v>
      </c>
      <c r="EL342" s="6">
        <f>BP342*BV342</f>
        <v>2.4</v>
      </c>
      <c r="GP342" s="32"/>
      <c r="GY342" s="6" t="s">
        <v>309</v>
      </c>
      <c r="GZ342" s="6" t="s">
        <v>1361</v>
      </c>
      <c r="HC342" s="6" t="s">
        <v>1362</v>
      </c>
      <c r="HD342" s="8" t="s">
        <v>1363</v>
      </c>
      <c r="HE342" s="8">
        <v>6819</v>
      </c>
      <c r="HF342" s="8" t="s">
        <v>1364</v>
      </c>
      <c r="HG342" s="9" t="s">
        <v>1365</v>
      </c>
      <c r="IB342" s="8" t="s">
        <v>1366</v>
      </c>
      <c r="ID342" s="8" t="s">
        <v>1367</v>
      </c>
      <c r="IE342" s="9" t="s">
        <v>1365</v>
      </c>
      <c r="IF342" s="9" t="s">
        <v>329</v>
      </c>
      <c r="IG342" s="8" t="s">
        <v>1368</v>
      </c>
      <c r="II342" s="8" t="s">
        <v>1369</v>
      </c>
      <c r="IJ342" s="9" t="s">
        <v>1365</v>
      </c>
      <c r="IK342" s="9" t="s">
        <v>329</v>
      </c>
      <c r="IL342" s="8" t="s">
        <v>1370</v>
      </c>
      <c r="IN342" s="8" t="s">
        <v>1371</v>
      </c>
      <c r="IP342" s="9" t="s">
        <v>350</v>
      </c>
      <c r="IW342" s="8"/>
      <c r="JB342" s="8"/>
      <c r="JV342" s="7" t="s">
        <v>4902</v>
      </c>
      <c r="JX342" s="7" t="s">
        <v>320</v>
      </c>
      <c r="JY342" s="7" t="s">
        <v>354</v>
      </c>
      <c r="JZ342" s="7" t="s">
        <v>353</v>
      </c>
      <c r="KA342" s="7" t="s">
        <v>354</v>
      </c>
      <c r="KB342" s="7" t="s">
        <v>355</v>
      </c>
      <c r="KG342" s="4" t="s">
        <v>323</v>
      </c>
      <c r="KM342" s="4" t="s">
        <v>836</v>
      </c>
      <c r="KN342" s="4" t="s">
        <v>836</v>
      </c>
      <c r="KP342" s="5" t="s">
        <v>1373</v>
      </c>
      <c r="KQ342" s="5" t="s">
        <v>4903</v>
      </c>
      <c r="KS342" s="5" t="s">
        <v>1375</v>
      </c>
      <c r="KT342" s="5" t="s">
        <v>1376</v>
      </c>
    </row>
    <row r="343" spans="1:306" ht="96" x14ac:dyDescent="0.2">
      <c r="A343" s="5" t="s">
        <v>5499</v>
      </c>
      <c r="B343" s="4" t="s">
        <v>293</v>
      </c>
      <c r="C343" s="30" t="s">
        <v>896</v>
      </c>
      <c r="D343" s="7" t="s">
        <v>897</v>
      </c>
      <c r="E343" s="44">
        <v>334400</v>
      </c>
      <c r="F343" s="45"/>
      <c r="G343" s="4" t="s">
        <v>479</v>
      </c>
      <c r="H343" s="6">
        <v>140.0445</v>
      </c>
      <c r="I343" s="6">
        <v>-20.7759</v>
      </c>
      <c r="J343" s="4" t="s">
        <v>2964</v>
      </c>
      <c r="K343" s="4" t="s">
        <v>481</v>
      </c>
      <c r="L343" s="4" t="s">
        <v>651</v>
      </c>
      <c r="M343" s="4" t="s">
        <v>1950</v>
      </c>
      <c r="O343" s="7"/>
      <c r="Q343" s="8"/>
      <c r="R343" s="8"/>
      <c r="Z343" s="4" t="s">
        <v>293</v>
      </c>
      <c r="AA343" s="30" t="s">
        <v>896</v>
      </c>
      <c r="AB343" s="7" t="s">
        <v>897</v>
      </c>
      <c r="AC343" s="4" t="s">
        <v>301</v>
      </c>
      <c r="AD343" s="4" t="s">
        <v>371</v>
      </c>
      <c r="AE343" s="8">
        <v>1715</v>
      </c>
      <c r="AF343" s="8">
        <v>10</v>
      </c>
      <c r="AG343" s="9" t="s">
        <v>379</v>
      </c>
      <c r="AH343" s="9" t="s">
        <v>335</v>
      </c>
      <c r="AI343" s="9" t="s">
        <v>503</v>
      </c>
      <c r="AJ343" s="9" t="s">
        <v>306</v>
      </c>
      <c r="AK343" s="9" t="s">
        <v>307</v>
      </c>
      <c r="AL343" s="9" t="s">
        <v>308</v>
      </c>
      <c r="AM343" s="8">
        <v>4</v>
      </c>
      <c r="AN343" s="4" t="s">
        <v>301</v>
      </c>
      <c r="AO343" s="4" t="s">
        <v>402</v>
      </c>
      <c r="AP343" s="4" t="s">
        <v>3797</v>
      </c>
      <c r="AQ343" s="7" t="s">
        <v>3797</v>
      </c>
      <c r="AR343" s="8" t="s">
        <v>3797</v>
      </c>
      <c r="AS343" s="7">
        <v>1576</v>
      </c>
      <c r="AT343" s="7">
        <v>7</v>
      </c>
      <c r="AU343" s="9" t="s">
        <v>303</v>
      </c>
      <c r="AV343" s="9" t="s">
        <v>335</v>
      </c>
      <c r="AW343" s="9" t="s">
        <v>503</v>
      </c>
      <c r="AX343" s="9" t="s">
        <v>306</v>
      </c>
      <c r="AY343" s="9" t="s">
        <v>307</v>
      </c>
      <c r="AZ343" s="9" t="s">
        <v>308</v>
      </c>
      <c r="BA343" s="8">
        <v>5</v>
      </c>
      <c r="BB343" s="4" t="s">
        <v>301</v>
      </c>
      <c r="BC343" s="4" t="s">
        <v>375</v>
      </c>
      <c r="BD343" s="4" t="s">
        <v>376</v>
      </c>
      <c r="BE343" s="7" t="s">
        <v>591</v>
      </c>
      <c r="BF343" s="8" t="s">
        <v>2371</v>
      </c>
      <c r="BG343" s="8">
        <v>1523</v>
      </c>
      <c r="BH343" s="8">
        <v>16</v>
      </c>
      <c r="BI343" s="9" t="s">
        <v>379</v>
      </c>
      <c r="BJ343" s="9" t="s">
        <v>335</v>
      </c>
      <c r="BK343" s="9" t="s">
        <v>3240</v>
      </c>
      <c r="BL343" s="9" t="s">
        <v>306</v>
      </c>
      <c r="BM343" s="9" t="s">
        <v>5500</v>
      </c>
      <c r="BN343" s="9" t="s">
        <v>308</v>
      </c>
      <c r="BO343" s="8">
        <v>5</v>
      </c>
      <c r="BP343" s="7">
        <v>1.92</v>
      </c>
      <c r="BR343" s="6">
        <v>2.59</v>
      </c>
      <c r="BV343" s="6">
        <v>0.41</v>
      </c>
      <c r="DZ343" s="31"/>
      <c r="EB343" s="10"/>
      <c r="EH343" s="10">
        <f>BP343*BR343/100</f>
        <v>4.9727999999999994E-2</v>
      </c>
      <c r="EK343" s="6"/>
      <c r="EL343" s="6">
        <f>BP343*BV343</f>
        <v>0.7871999999999999</v>
      </c>
      <c r="GP343" s="32"/>
      <c r="GY343" s="6" t="s">
        <v>338</v>
      </c>
      <c r="GZ343" s="6" t="s">
        <v>994</v>
      </c>
      <c r="HB343" s="6" t="s">
        <v>436</v>
      </c>
      <c r="HC343" s="6" t="s">
        <v>1362</v>
      </c>
      <c r="HD343" s="8" t="s">
        <v>2965</v>
      </c>
      <c r="HE343" s="8">
        <v>4727</v>
      </c>
      <c r="HF343" s="8" t="s">
        <v>5060</v>
      </c>
      <c r="HG343" s="9" t="s">
        <v>490</v>
      </c>
      <c r="IB343" s="8" t="s">
        <v>2967</v>
      </c>
      <c r="IC343" s="8">
        <v>25823</v>
      </c>
      <c r="ID343" s="8" t="s">
        <v>2968</v>
      </c>
      <c r="IE343" s="8" t="s">
        <v>490</v>
      </c>
      <c r="IF343" s="8" t="s">
        <v>445</v>
      </c>
      <c r="JX343" s="7" t="s">
        <v>322</v>
      </c>
      <c r="JY343" s="7" t="s">
        <v>448</v>
      </c>
      <c r="JZ343" s="7" t="s">
        <v>320</v>
      </c>
      <c r="KA343" s="7" t="s">
        <v>321</v>
      </c>
      <c r="KB343" s="7" t="s">
        <v>353</v>
      </c>
      <c r="KP343" s="5" t="s">
        <v>5501</v>
      </c>
      <c r="KQ343" s="5" t="s">
        <v>5501</v>
      </c>
      <c r="KR343" s="5" t="s">
        <v>5501</v>
      </c>
      <c r="KS343" s="5" t="s">
        <v>5502</v>
      </c>
      <c r="KT343" s="5" t="s">
        <v>5503</v>
      </c>
    </row>
    <row r="344" spans="1:306" ht="120" x14ac:dyDescent="0.25">
      <c r="A344" s="5" t="s">
        <v>1942</v>
      </c>
      <c r="B344" s="4" t="s">
        <v>293</v>
      </c>
      <c r="C344" s="7" t="s">
        <v>896</v>
      </c>
      <c r="D344" s="8" t="s">
        <v>897</v>
      </c>
      <c r="E344" s="4">
        <v>595848</v>
      </c>
      <c r="G344" s="4" t="s">
        <v>427</v>
      </c>
      <c r="H344" s="6">
        <v>146.30828519299999</v>
      </c>
      <c r="I344" s="6">
        <v>-31.626997047</v>
      </c>
      <c r="J344" s="4" t="s">
        <v>1943</v>
      </c>
      <c r="K344" s="4" t="s">
        <v>298</v>
      </c>
      <c r="L344" s="4" t="s">
        <v>299</v>
      </c>
      <c r="M344" s="4" t="s">
        <v>428</v>
      </c>
      <c r="N344" s="4" t="s">
        <v>990</v>
      </c>
      <c r="Q344" s="7"/>
      <c r="R344" s="7"/>
      <c r="Z344" s="4" t="s">
        <v>293</v>
      </c>
      <c r="AA344" s="7" t="s">
        <v>896</v>
      </c>
      <c r="AB344" s="8" t="s">
        <v>897</v>
      </c>
      <c r="AC344" s="4" t="s">
        <v>301</v>
      </c>
      <c r="AD344" s="4" t="s">
        <v>375</v>
      </c>
      <c r="AE344" s="7"/>
      <c r="AF344" s="7"/>
      <c r="AN344" s="4" t="s">
        <v>381</v>
      </c>
      <c r="AO344" s="4" t="s">
        <v>382</v>
      </c>
      <c r="AP344" s="4" t="s">
        <v>383</v>
      </c>
      <c r="AQ344" s="7" t="s">
        <v>384</v>
      </c>
      <c r="AR344" s="8" t="s">
        <v>827</v>
      </c>
      <c r="AS344" s="7">
        <v>0</v>
      </c>
      <c r="AT344" s="7">
        <v>0</v>
      </c>
      <c r="AU344" s="9" t="s">
        <v>303</v>
      </c>
      <c r="AV344" s="9" t="s">
        <v>406</v>
      </c>
      <c r="BA344" s="8">
        <v>5</v>
      </c>
      <c r="BP344" s="7">
        <v>1.83</v>
      </c>
      <c r="BR344" s="6">
        <v>1.74</v>
      </c>
      <c r="DZ344" s="31"/>
      <c r="EH344" s="10">
        <f>BP344*BR344/100</f>
        <v>3.1842000000000002E-2</v>
      </c>
      <c r="GP344" s="32"/>
      <c r="GY344" s="6" t="s">
        <v>338</v>
      </c>
      <c r="GZ344" s="6" t="s">
        <v>994</v>
      </c>
      <c r="HC344" s="6" t="s">
        <v>1362</v>
      </c>
      <c r="HD344" s="8" t="s">
        <v>1198</v>
      </c>
      <c r="HE344" s="8">
        <v>27158</v>
      </c>
      <c r="HF344" s="8" t="s">
        <v>1199</v>
      </c>
      <c r="HG344" s="9" t="s">
        <v>1200</v>
      </c>
      <c r="IB344" s="8" t="s">
        <v>1198</v>
      </c>
      <c r="IC344" s="8">
        <v>27158</v>
      </c>
      <c r="ID344" s="8" t="s">
        <v>1944</v>
      </c>
      <c r="IE344" s="9" t="s">
        <v>1200</v>
      </c>
      <c r="IF344" s="9"/>
      <c r="IH344" s="9"/>
      <c r="II344" s="9"/>
      <c r="IJ344" s="9"/>
      <c r="IW344" s="8"/>
      <c r="JB344" s="8"/>
      <c r="JV344" s="9" t="s">
        <v>632</v>
      </c>
      <c r="JX344" s="7" t="s">
        <v>320</v>
      </c>
      <c r="JY344" s="7" t="s">
        <v>448</v>
      </c>
      <c r="JZ344" s="7" t="s">
        <v>322</v>
      </c>
      <c r="KG344" s="4" t="s">
        <v>323</v>
      </c>
      <c r="KM344" s="4" t="s">
        <v>391</v>
      </c>
      <c r="KN344" s="4" t="s">
        <v>391</v>
      </c>
      <c r="KP344" s="5" t="s">
        <v>1945</v>
      </c>
      <c r="KQ344" s="5" t="s">
        <v>1946</v>
      </c>
      <c r="KS344" s="5" t="s">
        <v>1945</v>
      </c>
      <c r="KT344" s="5" t="s">
        <v>1947</v>
      </c>
    </row>
    <row r="345" spans="1:306" ht="96" x14ac:dyDescent="0.25">
      <c r="A345" s="5" t="s">
        <v>895</v>
      </c>
      <c r="B345" s="4" t="s">
        <v>293</v>
      </c>
      <c r="C345" s="7" t="s">
        <v>896</v>
      </c>
      <c r="D345" s="8" t="s">
        <v>897</v>
      </c>
      <c r="E345" s="38">
        <v>859578</v>
      </c>
      <c r="F345" s="4">
        <v>1130821</v>
      </c>
      <c r="G345" s="4" t="s">
        <v>427</v>
      </c>
      <c r="H345" s="6">
        <v>150.93700000000001</v>
      </c>
      <c r="I345" s="6">
        <v>-30.910399999999999</v>
      </c>
      <c r="J345" s="4" t="s">
        <v>898</v>
      </c>
      <c r="K345" s="4" t="s">
        <v>298</v>
      </c>
      <c r="L345" s="4" t="s">
        <v>552</v>
      </c>
      <c r="M345" s="4" t="s">
        <v>899</v>
      </c>
      <c r="Q345" s="7"/>
      <c r="R345" s="7"/>
      <c r="S345" s="4"/>
      <c r="Z345" s="4" t="s">
        <v>293</v>
      </c>
      <c r="AA345" s="7" t="s">
        <v>896</v>
      </c>
      <c r="AB345" s="8" t="s">
        <v>897</v>
      </c>
      <c r="AC345" s="4" t="s">
        <v>301</v>
      </c>
      <c r="AD345" s="4" t="s">
        <v>302</v>
      </c>
      <c r="AE345" s="7">
        <v>258.5</v>
      </c>
      <c r="AF345" s="7">
        <v>0.8</v>
      </c>
      <c r="AG345" s="4" t="s">
        <v>303</v>
      </c>
      <c r="AH345" s="9" t="s">
        <v>304</v>
      </c>
      <c r="AI345" s="9" t="s">
        <v>598</v>
      </c>
      <c r="AJ345" s="9" t="s">
        <v>599</v>
      </c>
      <c r="AK345" s="9" t="s">
        <v>600</v>
      </c>
      <c r="AM345" s="8">
        <v>5</v>
      </c>
      <c r="AS345" s="7"/>
      <c r="AT345" s="7"/>
      <c r="DZ345" s="31"/>
      <c r="EY345" s="6"/>
      <c r="FA345" s="6"/>
      <c r="GP345" s="32"/>
      <c r="GY345" s="6" t="s">
        <v>407</v>
      </c>
      <c r="HD345" s="8" t="s">
        <v>900</v>
      </c>
      <c r="HE345" s="8">
        <v>70280</v>
      </c>
      <c r="HF345" s="8" t="s">
        <v>901</v>
      </c>
      <c r="HG345" s="9" t="s">
        <v>902</v>
      </c>
      <c r="HY345" s="9"/>
      <c r="IB345" s="8" t="s">
        <v>903</v>
      </c>
      <c r="IC345" s="8">
        <v>8716</v>
      </c>
      <c r="ID345" s="8" t="s">
        <v>904</v>
      </c>
      <c r="IE345" s="8" t="s">
        <v>905</v>
      </c>
      <c r="IF345" s="8" t="s">
        <v>906</v>
      </c>
      <c r="IG345" s="8" t="s">
        <v>907</v>
      </c>
      <c r="IH345" s="8">
        <v>41049</v>
      </c>
      <c r="II345" s="8" t="s">
        <v>908</v>
      </c>
      <c r="IJ345" s="8" t="s">
        <v>905</v>
      </c>
      <c r="IK345" s="8" t="s">
        <v>906</v>
      </c>
      <c r="IW345" s="8"/>
      <c r="JB345" s="8"/>
      <c r="JV345" s="7" t="s">
        <v>909</v>
      </c>
      <c r="JW345" s="7" t="s">
        <v>910</v>
      </c>
      <c r="KG345" s="4" t="s">
        <v>323</v>
      </c>
      <c r="KM345" s="4" t="s">
        <v>911</v>
      </c>
      <c r="KN345" s="4" t="s">
        <v>911</v>
      </c>
      <c r="KP345" s="5" t="s">
        <v>912</v>
      </c>
      <c r="KQ345" s="5" t="s">
        <v>912</v>
      </c>
      <c r="KR345" s="5" t="s">
        <v>912</v>
      </c>
      <c r="KT345" s="5" t="s">
        <v>913</v>
      </c>
    </row>
    <row r="346" spans="1:306" ht="132" x14ac:dyDescent="0.25">
      <c r="A346" s="5" t="s">
        <v>1735</v>
      </c>
      <c r="B346" s="4" t="s">
        <v>293</v>
      </c>
      <c r="C346" s="7" t="s">
        <v>896</v>
      </c>
      <c r="D346" s="8" t="s">
        <v>897</v>
      </c>
      <c r="E346" s="4">
        <v>333484</v>
      </c>
      <c r="G346" s="4" t="s">
        <v>427</v>
      </c>
      <c r="H346" s="6">
        <v>149.15880000000001</v>
      </c>
      <c r="I346" s="6">
        <v>-33.526499999999999</v>
      </c>
      <c r="J346" s="4" t="s">
        <v>1735</v>
      </c>
      <c r="K346" s="4" t="s">
        <v>298</v>
      </c>
      <c r="L346" s="4" t="s">
        <v>299</v>
      </c>
      <c r="M346" s="4" t="s">
        <v>1359</v>
      </c>
      <c r="N346" s="4" t="s">
        <v>1360</v>
      </c>
      <c r="Q346" s="8"/>
      <c r="R346" s="8"/>
      <c r="Z346" s="4" t="s">
        <v>293</v>
      </c>
      <c r="AA346" s="7" t="s">
        <v>896</v>
      </c>
      <c r="AB346" s="8" t="s">
        <v>897</v>
      </c>
      <c r="AC346" s="4" t="s">
        <v>301</v>
      </c>
      <c r="AD346" s="4" t="s">
        <v>375</v>
      </c>
      <c r="AE346" s="8">
        <v>431</v>
      </c>
      <c r="AF346" s="8">
        <v>3</v>
      </c>
      <c r="AG346" s="9" t="s">
        <v>379</v>
      </c>
      <c r="AH346" s="9" t="s">
        <v>483</v>
      </c>
      <c r="AI346" s="9" t="s">
        <v>373</v>
      </c>
      <c r="AJ346" s="9" t="s">
        <v>306</v>
      </c>
      <c r="AK346" s="9" t="s">
        <v>307</v>
      </c>
      <c r="AL346" s="9" t="s">
        <v>337</v>
      </c>
      <c r="AM346" s="8">
        <v>4</v>
      </c>
      <c r="AN346" s="4" t="s">
        <v>381</v>
      </c>
      <c r="AO346" s="4" t="s">
        <v>382</v>
      </c>
      <c r="AP346" s="4" t="s">
        <v>383</v>
      </c>
      <c r="AQ346" s="7" t="s">
        <v>384</v>
      </c>
      <c r="AR346" s="8" t="s">
        <v>827</v>
      </c>
      <c r="AS346" s="7">
        <v>0</v>
      </c>
      <c r="AT346" s="7">
        <v>0</v>
      </c>
      <c r="AU346" s="9" t="s">
        <v>303</v>
      </c>
      <c r="AV346" s="9" t="s">
        <v>406</v>
      </c>
      <c r="BA346" s="8">
        <v>5</v>
      </c>
      <c r="DZ346" s="31"/>
      <c r="EH346" s="9">
        <v>1.2999999999999999E-2</v>
      </c>
      <c r="EL346" s="6">
        <f>0.99*31.1</f>
        <v>30.789000000000001</v>
      </c>
      <c r="EY346" s="6"/>
      <c r="FA346" s="6"/>
      <c r="GP346" s="32"/>
      <c r="GY346" s="6" t="s">
        <v>309</v>
      </c>
      <c r="GZ346" s="6" t="s">
        <v>436</v>
      </c>
      <c r="HB346" s="6" t="s">
        <v>994</v>
      </c>
      <c r="HC346" s="6" t="s">
        <v>1362</v>
      </c>
      <c r="HD346" s="8" t="s">
        <v>1736</v>
      </c>
      <c r="HE346" s="8">
        <v>31722</v>
      </c>
      <c r="HF346" s="8" t="s">
        <v>1737</v>
      </c>
      <c r="HG346" s="9" t="s">
        <v>440</v>
      </c>
      <c r="HY346" s="9"/>
      <c r="IB346" s="8" t="s">
        <v>1738</v>
      </c>
      <c r="IC346" s="8">
        <v>29501</v>
      </c>
      <c r="ID346" s="8" t="s">
        <v>1739</v>
      </c>
      <c r="IE346" s="8" t="s">
        <v>1550</v>
      </c>
      <c r="IF346" s="8" t="s">
        <v>445</v>
      </c>
      <c r="IG346" s="8" t="s">
        <v>1740</v>
      </c>
      <c r="IH346" s="8">
        <v>3588</v>
      </c>
      <c r="II346" s="8" t="s">
        <v>1741</v>
      </c>
      <c r="IJ346" s="8" t="s">
        <v>805</v>
      </c>
      <c r="IK346" s="8" t="s">
        <v>445</v>
      </c>
      <c r="IL346" s="8" t="s">
        <v>1742</v>
      </c>
      <c r="IN346" s="8" t="s">
        <v>1743</v>
      </c>
      <c r="IO346" s="8" t="s">
        <v>805</v>
      </c>
      <c r="IP346" s="8" t="s">
        <v>350</v>
      </c>
      <c r="IQ346" s="8" t="s">
        <v>1744</v>
      </c>
      <c r="IS346" s="8" t="s">
        <v>1745</v>
      </c>
      <c r="IT346" s="8" t="s">
        <v>805</v>
      </c>
      <c r="IU346" s="8" t="s">
        <v>350</v>
      </c>
      <c r="IV346" s="9" t="s">
        <v>1746</v>
      </c>
      <c r="IW346" s="8"/>
      <c r="IX346" s="9" t="s">
        <v>1747</v>
      </c>
      <c r="IZ346" s="9" t="s">
        <v>350</v>
      </c>
      <c r="JA346" s="9" t="s">
        <v>1748</v>
      </c>
      <c r="JB346" s="8"/>
      <c r="JC346" s="9" t="s">
        <v>1749</v>
      </c>
      <c r="JE346" s="9" t="s">
        <v>329</v>
      </c>
      <c r="JV346" s="7" t="s">
        <v>1750</v>
      </c>
      <c r="JW346" s="7" t="s">
        <v>910</v>
      </c>
      <c r="JX346" s="7" t="s">
        <v>322</v>
      </c>
      <c r="JY346" s="7" t="s">
        <v>354</v>
      </c>
      <c r="JZ346" s="7" t="s">
        <v>353</v>
      </c>
      <c r="KA346" s="7" t="s">
        <v>448</v>
      </c>
      <c r="KB346" s="7" t="s">
        <v>320</v>
      </c>
      <c r="KG346" s="4" t="s">
        <v>323</v>
      </c>
      <c r="KP346" s="5" t="s">
        <v>358</v>
      </c>
      <c r="KQ346" s="5" t="s">
        <v>1751</v>
      </c>
      <c r="KR346" s="5" t="s">
        <v>1752</v>
      </c>
      <c r="KS346" s="5" t="s">
        <v>1753</v>
      </c>
      <c r="KT346" s="52" t="s">
        <v>1754</v>
      </c>
    </row>
    <row r="347" spans="1:306" ht="36" x14ac:dyDescent="0.25">
      <c r="A347" s="5" t="s">
        <v>2075</v>
      </c>
      <c r="B347" s="4" t="s">
        <v>293</v>
      </c>
      <c r="C347" s="7" t="s">
        <v>896</v>
      </c>
      <c r="D347" s="8" t="s">
        <v>897</v>
      </c>
      <c r="G347" s="4" t="s">
        <v>427</v>
      </c>
      <c r="H347" s="6">
        <v>147.4648</v>
      </c>
      <c r="I347" s="6">
        <v>-33.6355</v>
      </c>
      <c r="J347" s="4" t="s">
        <v>2076</v>
      </c>
      <c r="K347" s="4" t="s">
        <v>298</v>
      </c>
      <c r="L347" s="4" t="s">
        <v>299</v>
      </c>
      <c r="M347" s="4" t="s">
        <v>1359</v>
      </c>
      <c r="N347" s="4" t="s">
        <v>1360</v>
      </c>
      <c r="Q347" s="7"/>
      <c r="R347" s="7"/>
      <c r="Z347" s="4" t="s">
        <v>293</v>
      </c>
      <c r="AA347" s="7" t="s">
        <v>896</v>
      </c>
      <c r="AB347" s="8" t="s">
        <v>897</v>
      </c>
      <c r="AC347" s="4" t="s">
        <v>301</v>
      </c>
      <c r="AD347" s="4" t="s">
        <v>302</v>
      </c>
      <c r="AE347" s="7">
        <v>451.4</v>
      </c>
      <c r="AF347" s="7">
        <v>2.2999999999999998</v>
      </c>
      <c r="AG347" s="9" t="s">
        <v>303</v>
      </c>
      <c r="AH347" s="9" t="s">
        <v>304</v>
      </c>
      <c r="AI347" s="9" t="s">
        <v>598</v>
      </c>
      <c r="AJ347" s="9" t="s">
        <v>599</v>
      </c>
      <c r="AK347" s="9" t="s">
        <v>600</v>
      </c>
      <c r="AM347" s="8">
        <v>5</v>
      </c>
      <c r="AS347" s="7"/>
      <c r="AT347" s="7"/>
      <c r="DZ347" s="31"/>
      <c r="EY347" s="6"/>
      <c r="FA347" s="6"/>
      <c r="GP347" s="32"/>
      <c r="GY347" s="31" t="s">
        <v>407</v>
      </c>
      <c r="HD347" s="8" t="s">
        <v>2077</v>
      </c>
      <c r="HE347" s="8">
        <v>37285</v>
      </c>
      <c r="HF347" s="8" t="s">
        <v>2078</v>
      </c>
      <c r="HG347" s="9" t="s">
        <v>466</v>
      </c>
      <c r="HY347" s="9"/>
      <c r="ID347" s="8" t="s">
        <v>2079</v>
      </c>
      <c r="IW347" s="8"/>
      <c r="JB347" s="8"/>
      <c r="JV347" s="7" t="s">
        <v>2080</v>
      </c>
      <c r="JW347" s="7" t="s">
        <v>2081</v>
      </c>
      <c r="JX347" s="7" t="s">
        <v>353</v>
      </c>
      <c r="JY347" s="7" t="s">
        <v>354</v>
      </c>
      <c r="JZ347" s="7" t="s">
        <v>320</v>
      </c>
      <c r="KG347" s="4" t="s">
        <v>323</v>
      </c>
      <c r="KP347" s="5" t="s">
        <v>768</v>
      </c>
      <c r="KQ347" s="5" t="s">
        <v>768</v>
      </c>
      <c r="KS347" s="5" t="s">
        <v>768</v>
      </c>
    </row>
    <row r="348" spans="1:306" ht="72" x14ac:dyDescent="0.25">
      <c r="A348" s="5" t="s">
        <v>6258</v>
      </c>
      <c r="B348" s="4" t="s">
        <v>293</v>
      </c>
      <c r="C348" s="7" t="s">
        <v>896</v>
      </c>
      <c r="D348" s="8" t="s">
        <v>897</v>
      </c>
      <c r="G348" s="4" t="s">
        <v>427</v>
      </c>
      <c r="H348" s="6">
        <v>145.984981387</v>
      </c>
      <c r="I348" s="6">
        <v>-32.187974034</v>
      </c>
      <c r="K348" s="4" t="s">
        <v>298</v>
      </c>
      <c r="L348" s="4" t="s">
        <v>299</v>
      </c>
      <c r="M348" s="4" t="s">
        <v>428</v>
      </c>
      <c r="N348" s="4" t="s">
        <v>1757</v>
      </c>
      <c r="Q348" s="7"/>
      <c r="R348" s="7"/>
      <c r="Z348" s="4" t="s">
        <v>293</v>
      </c>
      <c r="AA348" s="7" t="s">
        <v>896</v>
      </c>
      <c r="AB348" s="8" t="s">
        <v>897</v>
      </c>
      <c r="AC348" s="4" t="s">
        <v>301</v>
      </c>
      <c r="AD348" s="4" t="s">
        <v>375</v>
      </c>
      <c r="AE348" s="7">
        <v>418.2</v>
      </c>
      <c r="AF348" s="7">
        <v>0.3</v>
      </c>
      <c r="AG348" s="9" t="s">
        <v>379</v>
      </c>
      <c r="AH348" s="9" t="s">
        <v>429</v>
      </c>
      <c r="AI348" s="9" t="s">
        <v>845</v>
      </c>
      <c r="AJ348" s="9" t="s">
        <v>431</v>
      </c>
      <c r="AK348" s="9" t="s">
        <v>307</v>
      </c>
      <c r="AM348" s="8">
        <v>4</v>
      </c>
      <c r="AS348" s="7"/>
      <c r="AT348" s="7"/>
      <c r="DZ348" s="31"/>
      <c r="GP348" s="32"/>
      <c r="GY348" s="6" t="s">
        <v>407</v>
      </c>
      <c r="HD348" s="4" t="s">
        <v>4970</v>
      </c>
      <c r="HE348" s="8">
        <v>16866</v>
      </c>
      <c r="HF348" s="4" t="s">
        <v>6259</v>
      </c>
      <c r="HG348" s="4" t="s">
        <v>782</v>
      </c>
      <c r="IB348" s="8" t="s">
        <v>6260</v>
      </c>
      <c r="ID348" s="8" t="s">
        <v>6261</v>
      </c>
      <c r="IW348" s="8"/>
      <c r="JB348" s="8"/>
      <c r="JV348" s="7" t="s">
        <v>6262</v>
      </c>
      <c r="JX348" s="7" t="s">
        <v>322</v>
      </c>
      <c r="KG348" s="4" t="s">
        <v>323</v>
      </c>
      <c r="KP348" s="5" t="s">
        <v>6263</v>
      </c>
      <c r="KQ348" s="5" t="s">
        <v>6264</v>
      </c>
      <c r="KR348" s="5" t="s">
        <v>6265</v>
      </c>
      <c r="KT348" s="5" t="s">
        <v>6266</v>
      </c>
    </row>
    <row r="349" spans="1:306" ht="108" x14ac:dyDescent="0.2">
      <c r="A349" s="5" t="s">
        <v>7703</v>
      </c>
      <c r="B349" s="4" t="s">
        <v>293</v>
      </c>
      <c r="C349" s="7" t="s">
        <v>896</v>
      </c>
      <c r="D349" s="8" t="s">
        <v>897</v>
      </c>
      <c r="E349" s="44">
        <v>865588</v>
      </c>
      <c r="G349" s="4" t="s">
        <v>427</v>
      </c>
      <c r="H349" s="6">
        <v>147.74870000000001</v>
      </c>
      <c r="I349" s="6">
        <v>-32.9666</v>
      </c>
      <c r="J349" s="4" t="s">
        <v>7704</v>
      </c>
      <c r="K349" s="4" t="s">
        <v>298</v>
      </c>
      <c r="L349" s="4" t="s">
        <v>299</v>
      </c>
      <c r="M349" s="4" t="s">
        <v>1359</v>
      </c>
      <c r="N349" s="4" t="s">
        <v>1360</v>
      </c>
      <c r="Q349" s="8"/>
      <c r="R349" s="8"/>
      <c r="Z349" s="4" t="s">
        <v>293</v>
      </c>
      <c r="AA349" s="7" t="s">
        <v>896</v>
      </c>
      <c r="AB349" s="8" t="s">
        <v>897</v>
      </c>
      <c r="AC349" s="4" t="s">
        <v>301</v>
      </c>
      <c r="AD349" s="4" t="s">
        <v>375</v>
      </c>
      <c r="AE349" s="8">
        <v>438</v>
      </c>
      <c r="AF349" s="8"/>
      <c r="AG349" s="9" t="s">
        <v>379</v>
      </c>
      <c r="AH349" s="9" t="s">
        <v>380</v>
      </c>
      <c r="AM349" s="8">
        <v>2</v>
      </c>
      <c r="AN349" s="4" t="s">
        <v>301</v>
      </c>
      <c r="AO349" s="4" t="s">
        <v>382</v>
      </c>
      <c r="AP349" s="4" t="s">
        <v>293</v>
      </c>
      <c r="AQ349" s="7" t="s">
        <v>758</v>
      </c>
      <c r="AR349" s="8" t="s">
        <v>1526</v>
      </c>
      <c r="AS349" s="8">
        <v>438</v>
      </c>
      <c r="AT349" s="8"/>
      <c r="AU349" s="9" t="s">
        <v>379</v>
      </c>
      <c r="AV349" s="9" t="s">
        <v>380</v>
      </c>
      <c r="BA349" s="8">
        <v>2</v>
      </c>
      <c r="BB349" s="4" t="s">
        <v>381</v>
      </c>
      <c r="BC349" s="4" t="s">
        <v>402</v>
      </c>
      <c r="BD349" s="4" t="s">
        <v>383</v>
      </c>
      <c r="BE349" s="7" t="s">
        <v>384</v>
      </c>
      <c r="BF349" s="8" t="s">
        <v>433</v>
      </c>
      <c r="BG349" s="7">
        <v>0</v>
      </c>
      <c r="BH349" s="7">
        <v>0</v>
      </c>
      <c r="BI349" s="9" t="s">
        <v>303</v>
      </c>
      <c r="BJ349" s="9" t="s">
        <v>406</v>
      </c>
      <c r="BO349" s="8">
        <v>5</v>
      </c>
      <c r="BS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31"/>
      <c r="EA349" s="7"/>
      <c r="EB349" s="7"/>
      <c r="EC349" s="7"/>
      <c r="ED349" s="7"/>
      <c r="EE349" s="7"/>
      <c r="EF349" s="7"/>
      <c r="EG349" s="7"/>
      <c r="EH349" s="20">
        <f>4.5/1000000</f>
        <v>4.5000000000000001E-6</v>
      </c>
      <c r="EK349" s="20">
        <f>1.4/1000000</f>
        <v>1.3999999999999999E-6</v>
      </c>
      <c r="EL349" s="10">
        <f>(11.85+0.689+0.47)/1000</f>
        <v>1.3009E-2</v>
      </c>
      <c r="EY349" s="6"/>
      <c r="FA349" s="6"/>
      <c r="GP349" s="32"/>
      <c r="GY349" s="6" t="s">
        <v>309</v>
      </c>
      <c r="GZ349" s="6" t="s">
        <v>436</v>
      </c>
      <c r="HB349" s="6" t="s">
        <v>1988</v>
      </c>
      <c r="HC349" s="6" t="s">
        <v>1362</v>
      </c>
      <c r="HD349" s="6" t="s">
        <v>7705</v>
      </c>
      <c r="HE349" s="8">
        <v>15797</v>
      </c>
      <c r="HF349" s="8" t="s">
        <v>7706</v>
      </c>
      <c r="HG349" s="9" t="s">
        <v>440</v>
      </c>
      <c r="HY349" s="9"/>
      <c r="IB349" s="6" t="s">
        <v>7705</v>
      </c>
      <c r="IC349" s="8">
        <v>15797</v>
      </c>
      <c r="ID349" s="8" t="s">
        <v>7706</v>
      </c>
      <c r="IE349" s="9" t="s">
        <v>440</v>
      </c>
      <c r="IF349" s="8" t="s">
        <v>445</v>
      </c>
      <c r="II349" s="8" t="s">
        <v>7707</v>
      </c>
      <c r="IJ349" s="8" t="s">
        <v>1365</v>
      </c>
      <c r="IK349" s="8" t="s">
        <v>319</v>
      </c>
      <c r="IW349" s="8"/>
      <c r="JB349" s="8"/>
      <c r="JV349" s="7" t="s">
        <v>7708</v>
      </c>
      <c r="JX349" s="7" t="s">
        <v>320</v>
      </c>
      <c r="JY349" s="7" t="s">
        <v>354</v>
      </c>
      <c r="JZ349" s="7" t="s">
        <v>353</v>
      </c>
      <c r="KA349" s="7" t="s">
        <v>321</v>
      </c>
      <c r="KB349" s="7" t="s">
        <v>355</v>
      </c>
      <c r="KG349" s="4" t="s">
        <v>323</v>
      </c>
      <c r="KP349" s="5" t="s">
        <v>7709</v>
      </c>
      <c r="KQ349" s="5" t="s">
        <v>7709</v>
      </c>
      <c r="KT349" s="5" t="s">
        <v>7710</v>
      </c>
    </row>
    <row r="350" spans="1:306" ht="156" x14ac:dyDescent="0.25">
      <c r="A350" s="5" t="s">
        <v>6834</v>
      </c>
      <c r="B350" s="4" t="s">
        <v>293</v>
      </c>
      <c r="C350" s="7" t="s">
        <v>896</v>
      </c>
      <c r="D350" s="8" t="s">
        <v>4346</v>
      </c>
      <c r="E350" s="4">
        <v>334276</v>
      </c>
      <c r="G350" s="4" t="s">
        <v>479</v>
      </c>
      <c r="H350" s="6">
        <v>144.40469999999999</v>
      </c>
      <c r="I350" s="6">
        <v>-17.1187</v>
      </c>
      <c r="J350" s="4" t="s">
        <v>4639</v>
      </c>
      <c r="K350" s="4" t="s">
        <v>298</v>
      </c>
      <c r="L350" s="4" t="s">
        <v>1018</v>
      </c>
      <c r="M350" s="4" t="s">
        <v>1019</v>
      </c>
      <c r="Q350" s="8"/>
      <c r="R350" s="8"/>
      <c r="S350" s="4"/>
      <c r="U350" s="8"/>
      <c r="V350" s="8"/>
      <c r="W350" s="8"/>
      <c r="X350" s="8"/>
      <c r="Z350" s="4" t="s">
        <v>293</v>
      </c>
      <c r="AA350" s="7" t="s">
        <v>896</v>
      </c>
      <c r="AB350" s="8" t="s">
        <v>4346</v>
      </c>
      <c r="AC350" s="4" t="s">
        <v>301</v>
      </c>
      <c r="AD350" s="4" t="s">
        <v>375</v>
      </c>
      <c r="AE350" s="8">
        <v>327</v>
      </c>
      <c r="AF350" s="8">
        <v>4</v>
      </c>
      <c r="AG350" s="4" t="s">
        <v>303</v>
      </c>
      <c r="AH350" s="9" t="s">
        <v>304</v>
      </c>
      <c r="AI350" s="8" t="s">
        <v>598</v>
      </c>
      <c r="AJ350" s="8" t="s">
        <v>599</v>
      </c>
      <c r="AK350" s="8" t="s">
        <v>600</v>
      </c>
      <c r="AL350" s="8"/>
      <c r="AM350" s="8">
        <v>4</v>
      </c>
      <c r="AN350" s="4" t="s">
        <v>301</v>
      </c>
      <c r="AO350" s="4" t="s">
        <v>375</v>
      </c>
      <c r="AP350" s="4" t="s">
        <v>293</v>
      </c>
      <c r="AQ350" s="7" t="s">
        <v>896</v>
      </c>
      <c r="AR350" s="8" t="s">
        <v>4346</v>
      </c>
      <c r="AS350" s="8">
        <v>315</v>
      </c>
      <c r="AT350" s="8">
        <v>2</v>
      </c>
      <c r="AU350" s="4" t="s">
        <v>303</v>
      </c>
      <c r="AV350" s="9" t="s">
        <v>304</v>
      </c>
      <c r="AW350" s="8" t="s">
        <v>598</v>
      </c>
      <c r="AX350" s="8" t="s">
        <v>599</v>
      </c>
      <c r="AY350" s="8" t="s">
        <v>600</v>
      </c>
      <c r="AZ350" s="8"/>
      <c r="BA350" s="8">
        <v>4</v>
      </c>
      <c r="BB350" s="4" t="s">
        <v>381</v>
      </c>
      <c r="BC350" s="4" t="s">
        <v>382</v>
      </c>
      <c r="BD350" s="4" t="s">
        <v>383</v>
      </c>
      <c r="BE350" s="7" t="s">
        <v>384</v>
      </c>
      <c r="BF350" s="8" t="s">
        <v>827</v>
      </c>
      <c r="BG350" s="7">
        <v>0</v>
      </c>
      <c r="BH350" s="7">
        <v>0</v>
      </c>
      <c r="BI350" s="9" t="s">
        <v>303</v>
      </c>
      <c r="BJ350" s="9" t="s">
        <v>406</v>
      </c>
      <c r="BO350" s="8">
        <v>5</v>
      </c>
      <c r="BP350" s="7">
        <f>12.8+40.1</f>
        <v>52.900000000000006</v>
      </c>
      <c r="BR350" s="7">
        <f>(0.5*12.8+0.3*40.1)/(12.8+40.1)</f>
        <v>0.34839319470699431</v>
      </c>
      <c r="BV350" s="7">
        <f>(2*12.8+0.8*40.1)/(12.8+40.1)</f>
        <v>1.090359168241966</v>
      </c>
      <c r="DZ350" s="31"/>
      <c r="EH350" s="10">
        <f>BP350*BR350/100</f>
        <v>0.18429999999999999</v>
      </c>
      <c r="EL350" s="6">
        <f>BP350*BV350</f>
        <v>57.680000000000007</v>
      </c>
      <c r="GP350" s="32"/>
      <c r="GY350" s="6" t="s">
        <v>338</v>
      </c>
      <c r="GZ350" s="6" t="s">
        <v>1528</v>
      </c>
      <c r="HC350" s="6" t="s">
        <v>1362</v>
      </c>
      <c r="HD350" s="7" t="s">
        <v>2676</v>
      </c>
      <c r="HE350" s="8">
        <v>3981</v>
      </c>
      <c r="HF350" s="7" t="s">
        <v>2677</v>
      </c>
      <c r="HG350" s="7" t="s">
        <v>2678</v>
      </c>
      <c r="IB350" s="7" t="s">
        <v>6835</v>
      </c>
      <c r="ID350" s="7" t="s">
        <v>6836</v>
      </c>
      <c r="IE350" s="4" t="s">
        <v>1133</v>
      </c>
      <c r="IF350" s="7" t="s">
        <v>319</v>
      </c>
      <c r="IG350" s="8" t="s">
        <v>6837</v>
      </c>
      <c r="II350" s="8" t="s">
        <v>6838</v>
      </c>
      <c r="IJ350" s="4" t="s">
        <v>1133</v>
      </c>
      <c r="IK350" s="4" t="s">
        <v>319</v>
      </c>
      <c r="IL350" s="7"/>
      <c r="IM350" s="7"/>
      <c r="IN350" s="7"/>
      <c r="JV350" s="7" t="s">
        <v>6839</v>
      </c>
      <c r="KP350" s="5" t="s">
        <v>358</v>
      </c>
      <c r="KQ350" s="5" t="s">
        <v>6840</v>
      </c>
      <c r="KR350" s="5" t="s">
        <v>6841</v>
      </c>
      <c r="KS350" s="5" t="s">
        <v>6841</v>
      </c>
      <c r="KT350" s="5" t="s">
        <v>6842</v>
      </c>
    </row>
    <row r="351" spans="1:306" ht="120" x14ac:dyDescent="0.2">
      <c r="A351" s="5" t="s">
        <v>4345</v>
      </c>
      <c r="B351" s="4" t="s">
        <v>293</v>
      </c>
      <c r="C351" s="7" t="s">
        <v>896</v>
      </c>
      <c r="D351" s="8" t="s">
        <v>4346</v>
      </c>
      <c r="E351" s="44">
        <v>859612</v>
      </c>
      <c r="F351" s="4">
        <v>1125562</v>
      </c>
      <c r="G351" s="4" t="s">
        <v>427</v>
      </c>
      <c r="H351" s="6">
        <v>148.99118000000001</v>
      </c>
      <c r="I351" s="6">
        <v>-33.623559999999998</v>
      </c>
      <c r="J351" s="4" t="s">
        <v>4347</v>
      </c>
      <c r="K351" s="4" t="s">
        <v>298</v>
      </c>
      <c r="L351" s="4" t="s">
        <v>299</v>
      </c>
      <c r="M351" s="4" t="s">
        <v>1359</v>
      </c>
      <c r="N351" s="4" t="s">
        <v>1360</v>
      </c>
      <c r="Q351" s="8"/>
      <c r="R351" s="8"/>
      <c r="Z351" s="4" t="s">
        <v>293</v>
      </c>
      <c r="AA351" s="7" t="s">
        <v>896</v>
      </c>
      <c r="AB351" s="8" t="s">
        <v>4346</v>
      </c>
      <c r="AC351" s="4" t="s">
        <v>301</v>
      </c>
      <c r="AD351" s="4" t="s">
        <v>375</v>
      </c>
      <c r="AE351" s="8">
        <v>439</v>
      </c>
      <c r="AF351" s="8"/>
      <c r="AG351" s="9" t="s">
        <v>379</v>
      </c>
      <c r="AH351" s="9" t="s">
        <v>1156</v>
      </c>
      <c r="AM351" s="8">
        <v>3</v>
      </c>
      <c r="AN351" s="4" t="s">
        <v>301</v>
      </c>
      <c r="AO351" s="4" t="s">
        <v>402</v>
      </c>
      <c r="AP351" s="4" t="s">
        <v>476</v>
      </c>
      <c r="AQ351" s="7" t="s">
        <v>1557</v>
      </c>
      <c r="AR351" s="8" t="s">
        <v>1558</v>
      </c>
      <c r="AS351" s="8">
        <v>439</v>
      </c>
      <c r="AT351" s="8">
        <v>4</v>
      </c>
      <c r="AU351" s="9" t="s">
        <v>379</v>
      </c>
      <c r="AV351" s="9" t="s">
        <v>429</v>
      </c>
      <c r="AW351" s="9" t="s">
        <v>430</v>
      </c>
      <c r="AX351" s="9" t="s">
        <v>431</v>
      </c>
      <c r="AY351" s="9" t="s">
        <v>432</v>
      </c>
      <c r="BA351" s="8">
        <v>4</v>
      </c>
      <c r="BB351" s="4" t="s">
        <v>301</v>
      </c>
      <c r="BC351" s="4" t="s">
        <v>402</v>
      </c>
      <c r="BD351" s="4" t="s">
        <v>293</v>
      </c>
      <c r="BE351" s="7" t="s">
        <v>294</v>
      </c>
      <c r="BF351" s="8" t="s">
        <v>2002</v>
      </c>
      <c r="BG351" s="8">
        <v>439</v>
      </c>
      <c r="BI351" s="9" t="s">
        <v>379</v>
      </c>
      <c r="BJ351" s="9" t="s">
        <v>1156</v>
      </c>
      <c r="BO351" s="8">
        <v>2</v>
      </c>
      <c r="BP351" s="7">
        <f>0.12+1.6+0.42+0.23</f>
        <v>2.37</v>
      </c>
      <c r="BV351" s="6">
        <f>(9.65*0.12+2.8*1.6+3.55*0.42+2.5*0.23)/(0.12+1.6+0.42+0.23)</f>
        <v>3.2506329113924046</v>
      </c>
      <c r="DZ351" s="31"/>
      <c r="EL351" s="6">
        <f>BP351*BV351</f>
        <v>7.7039999999999997</v>
      </c>
      <c r="EY351" s="6"/>
      <c r="FA351" s="6"/>
      <c r="GP351" s="32"/>
      <c r="GY351" s="6" t="s">
        <v>309</v>
      </c>
      <c r="GZ351" s="6" t="s">
        <v>436</v>
      </c>
      <c r="HC351" s="6" t="s">
        <v>1362</v>
      </c>
      <c r="HD351" s="8" t="s">
        <v>4348</v>
      </c>
      <c r="HE351" s="8">
        <v>4594</v>
      </c>
      <c r="HF351" s="8" t="s">
        <v>4349</v>
      </c>
      <c r="HG351" s="9" t="s">
        <v>1550</v>
      </c>
      <c r="HH351" s="9" t="s">
        <v>4350</v>
      </c>
      <c r="HI351" s="8">
        <v>29584</v>
      </c>
      <c r="HJ351" s="9" t="s">
        <v>4351</v>
      </c>
      <c r="HK351" s="8" t="s">
        <v>1365</v>
      </c>
      <c r="HY351" s="9"/>
      <c r="IB351" s="8" t="s">
        <v>4352</v>
      </c>
      <c r="IC351" s="8">
        <v>31723</v>
      </c>
      <c r="ID351" s="8" t="s">
        <v>4353</v>
      </c>
      <c r="IE351" s="8" t="s">
        <v>440</v>
      </c>
      <c r="IF351" s="8" t="s">
        <v>445</v>
      </c>
      <c r="IG351" s="8" t="s">
        <v>4354</v>
      </c>
      <c r="IH351" s="8">
        <v>29916</v>
      </c>
      <c r="II351" s="8" t="s">
        <v>4355</v>
      </c>
      <c r="IJ351" s="8" t="s">
        <v>1365</v>
      </c>
      <c r="IK351" s="8" t="s">
        <v>319</v>
      </c>
      <c r="IL351" s="9" t="s">
        <v>4356</v>
      </c>
      <c r="IM351" s="8">
        <v>9077</v>
      </c>
      <c r="IN351" s="9" t="s">
        <v>4357</v>
      </c>
      <c r="IO351" s="8" t="s">
        <v>1365</v>
      </c>
      <c r="IP351" s="9" t="s">
        <v>319</v>
      </c>
      <c r="IQ351" s="9" t="s">
        <v>4350</v>
      </c>
      <c r="IR351" s="8">
        <v>29584</v>
      </c>
      <c r="IS351" s="9" t="s">
        <v>4351</v>
      </c>
      <c r="IT351" s="8" t="s">
        <v>1365</v>
      </c>
      <c r="IU351" s="9" t="s">
        <v>319</v>
      </c>
      <c r="IW351" s="8"/>
      <c r="JB351" s="8"/>
      <c r="JV351" s="7" t="s">
        <v>4358</v>
      </c>
      <c r="JW351" s="7" t="s">
        <v>910</v>
      </c>
      <c r="JX351" s="7" t="s">
        <v>322</v>
      </c>
      <c r="JY351" s="7" t="s">
        <v>354</v>
      </c>
      <c r="JZ351" s="7" t="s">
        <v>320</v>
      </c>
      <c r="KG351" s="4" t="s">
        <v>323</v>
      </c>
      <c r="KP351" s="18" t="s">
        <v>4359</v>
      </c>
      <c r="KQ351" s="5" t="s">
        <v>4360</v>
      </c>
      <c r="KR351" s="5" t="s">
        <v>2392</v>
      </c>
      <c r="KS351" s="5" t="s">
        <v>4361</v>
      </c>
      <c r="KT351" s="5" t="s">
        <v>4362</v>
      </c>
    </row>
    <row r="352" spans="1:306" ht="132" x14ac:dyDescent="0.25">
      <c r="A352" s="14" t="s">
        <v>7316</v>
      </c>
      <c r="B352" s="29" t="s">
        <v>293</v>
      </c>
      <c r="C352" s="30" t="s">
        <v>896</v>
      </c>
      <c r="D352" s="26" t="s">
        <v>4346</v>
      </c>
      <c r="E352" s="29">
        <v>334542</v>
      </c>
      <c r="F352" s="29"/>
      <c r="G352" s="29" t="s">
        <v>296</v>
      </c>
      <c r="H352" s="31">
        <v>146.02785474300001</v>
      </c>
      <c r="I352" s="31">
        <v>-41.494727527999999</v>
      </c>
      <c r="J352" s="29" t="s">
        <v>2780</v>
      </c>
      <c r="K352" s="29" t="s">
        <v>298</v>
      </c>
      <c r="L352" s="29" t="s">
        <v>400</v>
      </c>
      <c r="M352" s="29" t="s">
        <v>401</v>
      </c>
      <c r="N352" s="29"/>
      <c r="O352" s="26"/>
      <c r="P352" s="29"/>
      <c r="Q352" s="26"/>
      <c r="R352" s="30"/>
      <c r="S352" s="27"/>
      <c r="T352" s="27"/>
      <c r="U352" s="27"/>
      <c r="V352" s="27"/>
      <c r="W352" s="27"/>
      <c r="X352" s="27"/>
      <c r="Y352" s="26"/>
      <c r="Z352" s="29" t="s">
        <v>293</v>
      </c>
      <c r="AA352" s="30" t="s">
        <v>896</v>
      </c>
      <c r="AB352" s="26" t="s">
        <v>4346</v>
      </c>
      <c r="AC352" s="29" t="s">
        <v>301</v>
      </c>
      <c r="AD352" s="29" t="s">
        <v>302</v>
      </c>
      <c r="AE352" s="26">
        <v>383</v>
      </c>
      <c r="AF352" s="30"/>
      <c r="AG352" s="27" t="s">
        <v>379</v>
      </c>
      <c r="AH352" s="27" t="s">
        <v>1156</v>
      </c>
      <c r="AI352" s="27"/>
      <c r="AJ352" s="27"/>
      <c r="AK352" s="27"/>
      <c r="AL352" s="27"/>
      <c r="AM352" s="26">
        <v>3</v>
      </c>
      <c r="AN352" s="29"/>
      <c r="AO352" s="29"/>
      <c r="AP352" s="29"/>
      <c r="AQ352" s="30"/>
      <c r="AR352" s="26"/>
      <c r="AS352" s="27"/>
      <c r="AT352" s="27"/>
      <c r="AU352" s="27"/>
      <c r="AV352" s="27"/>
      <c r="AW352" s="27"/>
      <c r="AX352" s="27"/>
      <c r="AY352" s="27"/>
      <c r="AZ352" s="27"/>
      <c r="BA352" s="26"/>
      <c r="BB352" s="29"/>
      <c r="BC352" s="29"/>
      <c r="BD352" s="29"/>
      <c r="BE352" s="30"/>
      <c r="BF352" s="26"/>
      <c r="BG352" s="27"/>
      <c r="BH352" s="27"/>
      <c r="BI352" s="27"/>
      <c r="BJ352" s="27"/>
      <c r="BK352" s="27"/>
      <c r="BL352" s="27"/>
      <c r="BM352" s="27"/>
      <c r="BN352" s="27"/>
      <c r="BO352" s="26"/>
      <c r="BP352" s="30">
        <v>0.1125</v>
      </c>
      <c r="BQ352" s="31"/>
      <c r="BR352" s="31"/>
      <c r="BS352" s="31"/>
      <c r="BT352" s="31"/>
      <c r="BU352" s="31"/>
      <c r="BV352" s="31">
        <v>3.94</v>
      </c>
      <c r="BW352" s="31"/>
      <c r="BX352" s="31"/>
      <c r="BY352" s="31"/>
      <c r="BZ352" s="31"/>
      <c r="CA352" s="31"/>
      <c r="CB352" s="31"/>
      <c r="CC352" s="31"/>
      <c r="CD352" s="31"/>
      <c r="CE352" s="31"/>
      <c r="CF352" s="31"/>
      <c r="CG352" s="31"/>
      <c r="CH352" s="31"/>
      <c r="CI352" s="31"/>
      <c r="CJ352" s="31"/>
      <c r="CK352" s="31"/>
      <c r="CL352" s="31"/>
      <c r="CM352" s="31"/>
      <c r="CN352" s="31"/>
      <c r="CO352" s="31"/>
      <c r="CP352" s="31"/>
      <c r="CQ352" s="31"/>
      <c r="CR352" s="31"/>
      <c r="CS352" s="31"/>
      <c r="CT352" s="31"/>
      <c r="CU352" s="31"/>
      <c r="CV352" s="31"/>
      <c r="CW352" s="31"/>
      <c r="CX352" s="31"/>
      <c r="CY352" s="31"/>
      <c r="CZ352" s="31"/>
      <c r="DA352" s="31"/>
      <c r="DB352" s="31"/>
      <c r="DC352" s="31"/>
      <c r="DD352" s="31"/>
      <c r="DE352" s="31"/>
      <c r="DF352" s="31"/>
      <c r="DG352" s="31"/>
      <c r="DH352" s="31"/>
      <c r="DI352" s="31"/>
      <c r="DJ352" s="31">
        <v>0.27</v>
      </c>
      <c r="DK352" s="31"/>
      <c r="DL352" s="31"/>
      <c r="DM352" s="31"/>
      <c r="DN352" s="31"/>
      <c r="DO352" s="31"/>
      <c r="DP352" s="31"/>
      <c r="DQ352" s="31"/>
      <c r="DR352" s="31"/>
      <c r="DS352" s="31"/>
      <c r="DT352" s="31"/>
      <c r="DU352" s="31"/>
      <c r="DV352" s="31"/>
      <c r="DW352" s="31"/>
      <c r="DX352" s="31"/>
      <c r="DY352" s="31"/>
      <c r="DZ352" s="31"/>
      <c r="EA352" s="31"/>
      <c r="EB352" s="31"/>
      <c r="EC352" s="31"/>
      <c r="ED352" s="31"/>
      <c r="EE352" s="31"/>
      <c r="EF352" s="31"/>
      <c r="EG352" s="31"/>
      <c r="EH352" s="32"/>
      <c r="EI352" s="32"/>
      <c r="EJ352" s="32"/>
      <c r="EK352" s="32"/>
      <c r="EL352" s="31">
        <f>BP352*BV352</f>
        <v>0.44324999999999998</v>
      </c>
      <c r="EM352" s="31"/>
      <c r="EN352" s="31"/>
      <c r="EO352" s="31"/>
      <c r="EP352" s="31"/>
      <c r="EQ352" s="31"/>
      <c r="ER352" s="31"/>
      <c r="ES352" s="31"/>
      <c r="ET352" s="31"/>
      <c r="EU352" s="31"/>
      <c r="EV352" s="31"/>
      <c r="EW352" s="31"/>
      <c r="EX352" s="31"/>
      <c r="EY352" s="31"/>
      <c r="EZ352" s="31"/>
      <c r="FA352" s="31"/>
      <c r="FB352" s="31"/>
      <c r="FC352" s="31"/>
      <c r="FD352" s="31"/>
      <c r="FE352" s="31"/>
      <c r="FF352" s="31"/>
      <c r="FG352" s="31"/>
      <c r="FH352" s="31"/>
      <c r="FI352" s="31"/>
      <c r="FJ352" s="31"/>
      <c r="FK352" s="31"/>
      <c r="FL352" s="31"/>
      <c r="FM352" s="31"/>
      <c r="FN352" s="31"/>
      <c r="FO352" s="31"/>
      <c r="FP352" s="31"/>
      <c r="FQ352" s="31"/>
      <c r="FR352" s="31"/>
      <c r="FS352" s="31"/>
      <c r="FT352" s="31"/>
      <c r="FU352" s="31"/>
      <c r="FV352" s="31"/>
      <c r="FW352" s="31"/>
      <c r="FX352" s="31"/>
      <c r="FY352" s="31"/>
      <c r="FZ352" s="27">
        <f>1000*BP352*DJ352/100</f>
        <v>0.30375000000000002</v>
      </c>
      <c r="GA352" s="31"/>
      <c r="GB352" s="31"/>
      <c r="GC352" s="31"/>
      <c r="GD352" s="31"/>
      <c r="GE352" s="31"/>
      <c r="GF352" s="31"/>
      <c r="GG352" s="31"/>
      <c r="GH352" s="31"/>
      <c r="GI352" s="31"/>
      <c r="GJ352" s="31"/>
      <c r="GK352" s="31"/>
      <c r="GL352" s="31"/>
      <c r="GM352" s="31"/>
      <c r="GN352" s="31"/>
      <c r="GO352" s="31"/>
      <c r="GP352" s="32"/>
      <c r="GQ352" s="31"/>
      <c r="GR352" s="31"/>
      <c r="GS352" s="31"/>
      <c r="GT352" s="31"/>
      <c r="GU352" s="31"/>
      <c r="GV352" s="31"/>
      <c r="GW352" s="31"/>
      <c r="GX352" s="31"/>
      <c r="GY352" s="31" t="s">
        <v>338</v>
      </c>
      <c r="GZ352" s="31" t="s">
        <v>436</v>
      </c>
      <c r="HA352" s="31"/>
      <c r="HB352" s="31" t="s">
        <v>1022</v>
      </c>
      <c r="HC352" s="31" t="s">
        <v>1362</v>
      </c>
      <c r="HD352" s="26" t="s">
        <v>3744</v>
      </c>
      <c r="HE352" s="26">
        <v>7586</v>
      </c>
      <c r="HF352" s="26" t="s">
        <v>4522</v>
      </c>
      <c r="HG352" s="27" t="s">
        <v>4523</v>
      </c>
      <c r="HH352" s="27" t="s">
        <v>2781</v>
      </c>
      <c r="HI352" s="26">
        <v>27837</v>
      </c>
      <c r="HJ352" s="27" t="s">
        <v>2782</v>
      </c>
      <c r="HK352" s="27" t="s">
        <v>2783</v>
      </c>
      <c r="HL352" s="27"/>
      <c r="HM352" s="26"/>
      <c r="HN352" s="27"/>
      <c r="HO352" s="27"/>
      <c r="HP352" s="27"/>
      <c r="HQ352" s="27"/>
      <c r="HR352" s="27"/>
      <c r="HS352" s="27"/>
      <c r="HT352" s="27"/>
      <c r="HU352" s="27"/>
      <c r="HV352" s="27"/>
      <c r="HW352" s="27"/>
      <c r="HX352" s="27"/>
      <c r="HY352" s="27"/>
      <c r="HZ352" s="27"/>
      <c r="IA352" s="27"/>
      <c r="IB352" s="26" t="s">
        <v>2784</v>
      </c>
      <c r="IC352" s="26">
        <v>5570</v>
      </c>
      <c r="ID352" s="26" t="s">
        <v>2785</v>
      </c>
      <c r="IE352" s="26" t="s">
        <v>2787</v>
      </c>
      <c r="IF352" s="26" t="s">
        <v>319</v>
      </c>
      <c r="IG352" s="26"/>
      <c r="IH352" s="26"/>
      <c r="II352" s="26"/>
      <c r="IJ352" s="26"/>
      <c r="IK352" s="26"/>
      <c r="IL352" s="27"/>
      <c r="IM352" s="27"/>
      <c r="IN352" s="27"/>
      <c r="IO352" s="27"/>
      <c r="IP352" s="27"/>
      <c r="IQ352" s="27"/>
      <c r="IR352" s="27"/>
      <c r="IS352" s="27"/>
      <c r="IT352" s="27"/>
      <c r="IU352" s="27"/>
      <c r="IV352" s="27"/>
      <c r="IW352" s="27"/>
      <c r="IX352" s="27"/>
      <c r="IY352" s="27"/>
      <c r="IZ352" s="27"/>
      <c r="JA352" s="27"/>
      <c r="JB352" s="27"/>
      <c r="JC352" s="27"/>
      <c r="JD352" s="27"/>
      <c r="JE352" s="27"/>
      <c r="JF352" s="27"/>
      <c r="JG352" s="27"/>
      <c r="JH352" s="27"/>
      <c r="JI352" s="27"/>
      <c r="JJ352" s="27"/>
      <c r="JK352" s="27"/>
      <c r="JL352" s="27"/>
      <c r="JM352" s="27"/>
      <c r="JN352" s="27"/>
      <c r="JO352" s="27"/>
      <c r="JP352" s="27"/>
      <c r="JQ352" s="27"/>
      <c r="JR352" s="27"/>
      <c r="JS352" s="27"/>
      <c r="JT352" s="27"/>
      <c r="JU352" s="30"/>
      <c r="JV352" s="30" t="s">
        <v>7317</v>
      </c>
      <c r="JW352" s="30" t="s">
        <v>910</v>
      </c>
      <c r="JX352" s="30" t="s">
        <v>353</v>
      </c>
      <c r="JY352" s="30" t="s">
        <v>448</v>
      </c>
      <c r="JZ352" s="30" t="s">
        <v>320</v>
      </c>
      <c r="KA352" s="30"/>
      <c r="KB352" s="30"/>
      <c r="KC352" s="30"/>
      <c r="KD352" s="30"/>
      <c r="KE352" s="30"/>
      <c r="KF352" s="30"/>
      <c r="KG352" s="29" t="s">
        <v>323</v>
      </c>
      <c r="KH352" s="29"/>
      <c r="KI352" s="29"/>
      <c r="KJ352" s="29"/>
      <c r="KK352" s="29"/>
      <c r="KL352" s="29"/>
      <c r="KM352" s="29"/>
      <c r="KN352" s="29"/>
      <c r="KO352" s="29"/>
      <c r="KP352" s="14" t="s">
        <v>324</v>
      </c>
      <c r="KQ352" s="14" t="s">
        <v>7318</v>
      </c>
      <c r="KR352" s="14" t="s">
        <v>768</v>
      </c>
      <c r="KS352" s="14" t="s">
        <v>7319</v>
      </c>
      <c r="KT352" s="14" t="s">
        <v>7320</v>
      </c>
    </row>
    <row r="353" spans="1:306" ht="145.5" x14ac:dyDescent="0.25">
      <c r="A353" s="5" t="s">
        <v>7935</v>
      </c>
      <c r="B353" s="29" t="s">
        <v>293</v>
      </c>
      <c r="C353" s="30" t="s">
        <v>896</v>
      </c>
      <c r="D353" s="8" t="s">
        <v>7936</v>
      </c>
      <c r="E353" s="4">
        <v>429716</v>
      </c>
      <c r="G353" s="4" t="s">
        <v>593</v>
      </c>
      <c r="H353" s="6">
        <v>136.47988470000001</v>
      </c>
      <c r="I353" s="6">
        <v>-32.775140399999998</v>
      </c>
      <c r="J353" s="4" t="s">
        <v>5123</v>
      </c>
      <c r="K353" s="4" t="s">
        <v>595</v>
      </c>
      <c r="L353" s="4" t="s">
        <v>596</v>
      </c>
      <c r="M353" s="4" t="s">
        <v>1166</v>
      </c>
      <c r="Q353" s="8"/>
      <c r="R353" s="8"/>
      <c r="Z353" s="29" t="s">
        <v>293</v>
      </c>
      <c r="AA353" s="30" t="s">
        <v>896</v>
      </c>
      <c r="AB353" s="8" t="s">
        <v>7936</v>
      </c>
      <c r="AC353" s="4" t="s">
        <v>301</v>
      </c>
      <c r="AD353" s="4" t="s">
        <v>382</v>
      </c>
      <c r="AE353" s="8">
        <v>1588</v>
      </c>
      <c r="AF353" s="8">
        <v>4</v>
      </c>
      <c r="AG353" s="9" t="s">
        <v>379</v>
      </c>
      <c r="AH353" s="9" t="s">
        <v>5174</v>
      </c>
      <c r="AI353" s="9" t="s">
        <v>373</v>
      </c>
      <c r="AJ353" s="9" t="s">
        <v>306</v>
      </c>
      <c r="AK353" s="9" t="s">
        <v>307</v>
      </c>
      <c r="AL353" s="9" t="s">
        <v>337</v>
      </c>
      <c r="AM353" s="8">
        <v>4</v>
      </c>
      <c r="AN353" s="4" t="s">
        <v>301</v>
      </c>
      <c r="AO353" s="4" t="s">
        <v>382</v>
      </c>
      <c r="AP353" s="4" t="s">
        <v>1899</v>
      </c>
      <c r="AQ353" s="7" t="s">
        <v>1557</v>
      </c>
      <c r="AR353" s="8" t="s">
        <v>1558</v>
      </c>
      <c r="AS353" s="8">
        <v>1596</v>
      </c>
      <c r="AT353" s="8">
        <v>8</v>
      </c>
      <c r="AU353" s="9" t="s">
        <v>379</v>
      </c>
      <c r="AV353" s="9" t="s">
        <v>429</v>
      </c>
      <c r="AW353" s="9" t="s">
        <v>430</v>
      </c>
      <c r="AX353" s="9" t="s">
        <v>431</v>
      </c>
      <c r="AY353" s="9" t="s">
        <v>432</v>
      </c>
      <c r="BA353" s="8">
        <v>3</v>
      </c>
      <c r="BB353" s="4" t="s">
        <v>381</v>
      </c>
      <c r="BC353" s="4" t="s">
        <v>402</v>
      </c>
      <c r="BD353" s="4" t="s">
        <v>383</v>
      </c>
      <c r="BE353" s="7" t="s">
        <v>384</v>
      </c>
      <c r="BF353" s="8" t="s">
        <v>433</v>
      </c>
      <c r="BG353" s="7">
        <v>0</v>
      </c>
      <c r="BH353" s="7">
        <v>0</v>
      </c>
      <c r="BI353" s="9" t="s">
        <v>379</v>
      </c>
      <c r="BJ353" s="9" t="s">
        <v>406</v>
      </c>
      <c r="BO353" s="8">
        <v>5</v>
      </c>
      <c r="BV353" s="7"/>
      <c r="DZ353" s="31"/>
      <c r="EB353" s="10"/>
      <c r="EL353" s="7">
        <f>1.106*4.3</f>
        <v>4.7557999999999998</v>
      </c>
      <c r="EY353" s="6">
        <f>1.15*59.4/100</f>
        <v>0.68309999999999993</v>
      </c>
      <c r="FA353" s="6"/>
      <c r="GP353" s="32"/>
      <c r="GY353" s="6" t="s">
        <v>338</v>
      </c>
      <c r="GZ353" s="6" t="s">
        <v>7937</v>
      </c>
      <c r="HD353" s="4" t="s">
        <v>3791</v>
      </c>
      <c r="HE353" s="4">
        <v>25953</v>
      </c>
      <c r="HF353" s="4" t="s">
        <v>7938</v>
      </c>
      <c r="HG353" s="4" t="s">
        <v>538</v>
      </c>
      <c r="HH353" s="8" t="s">
        <v>2034</v>
      </c>
      <c r="HI353" s="8">
        <v>5603</v>
      </c>
      <c r="HJ353" s="8" t="s">
        <v>7939</v>
      </c>
      <c r="HK353" s="9" t="s">
        <v>538</v>
      </c>
      <c r="HL353" s="9" t="s">
        <v>7940</v>
      </c>
      <c r="HM353" s="8">
        <v>81891</v>
      </c>
      <c r="HN353" s="9" t="s">
        <v>7941</v>
      </c>
      <c r="HO353" s="9" t="s">
        <v>349</v>
      </c>
      <c r="HY353" s="9"/>
      <c r="IB353" s="8" t="s">
        <v>2034</v>
      </c>
      <c r="IC353" s="8">
        <v>5603</v>
      </c>
      <c r="ID353" s="8" t="s">
        <v>7939</v>
      </c>
      <c r="IE353" s="9" t="s">
        <v>538</v>
      </c>
      <c r="IF353" s="8" t="s">
        <v>445</v>
      </c>
      <c r="IG353" s="8" t="s">
        <v>7942</v>
      </c>
      <c r="II353" s="8" t="s">
        <v>7943</v>
      </c>
      <c r="IJ353" s="8" t="s">
        <v>349</v>
      </c>
      <c r="IK353" s="8" t="s">
        <v>319</v>
      </c>
      <c r="IM353" s="9"/>
      <c r="JV353" s="7" t="s">
        <v>7944</v>
      </c>
      <c r="JX353" s="7" t="s">
        <v>353</v>
      </c>
      <c r="JY353" s="7" t="s">
        <v>354</v>
      </c>
      <c r="JZ353" s="7" t="s">
        <v>320</v>
      </c>
      <c r="KG353" s="4" t="s">
        <v>323</v>
      </c>
      <c r="KP353" s="18" t="s">
        <v>7945</v>
      </c>
      <c r="KQ353" s="5" t="s">
        <v>7946</v>
      </c>
      <c r="KR353" s="5" t="s">
        <v>1178</v>
      </c>
      <c r="KS353" s="5" t="s">
        <v>7947</v>
      </c>
      <c r="KT353" s="14" t="s">
        <v>7948</v>
      </c>
    </row>
    <row r="354" spans="1:306" ht="96" x14ac:dyDescent="0.25">
      <c r="A354" s="14" t="s">
        <v>4519</v>
      </c>
      <c r="B354" s="29" t="s">
        <v>293</v>
      </c>
      <c r="C354" s="30" t="s">
        <v>896</v>
      </c>
      <c r="D354" s="26" t="s">
        <v>4520</v>
      </c>
      <c r="E354" s="29">
        <v>334729</v>
      </c>
      <c r="F354" s="29"/>
      <c r="G354" s="29" t="s">
        <v>296</v>
      </c>
      <c r="H354" s="31">
        <v>145.77472879300001</v>
      </c>
      <c r="I354" s="31">
        <v>-41.312477641000001</v>
      </c>
      <c r="J354" s="29" t="s">
        <v>4521</v>
      </c>
      <c r="K354" s="29" t="s">
        <v>298</v>
      </c>
      <c r="L354" s="29" t="s">
        <v>400</v>
      </c>
      <c r="M354" s="29" t="s">
        <v>401</v>
      </c>
      <c r="N354" s="29"/>
      <c r="O354" s="26"/>
      <c r="P354" s="29"/>
      <c r="Q354" s="30"/>
      <c r="R354" s="30"/>
      <c r="S354" s="27"/>
      <c r="T354" s="27"/>
      <c r="U354" s="27"/>
      <c r="V354" s="27"/>
      <c r="W354" s="27"/>
      <c r="X354" s="27"/>
      <c r="Y354" s="26"/>
      <c r="Z354" s="29" t="s">
        <v>293</v>
      </c>
      <c r="AA354" s="30" t="s">
        <v>896</v>
      </c>
      <c r="AB354" s="26" t="s">
        <v>4520</v>
      </c>
      <c r="AC354" s="29" t="s">
        <v>301</v>
      </c>
      <c r="AD354" s="29" t="s">
        <v>375</v>
      </c>
      <c r="AE354" s="30">
        <v>373.59999999999997</v>
      </c>
      <c r="AF354" s="30">
        <v>1.8</v>
      </c>
      <c r="AG354" s="27" t="s">
        <v>379</v>
      </c>
      <c r="AH354" s="27" t="s">
        <v>483</v>
      </c>
      <c r="AI354" s="27" t="s">
        <v>373</v>
      </c>
      <c r="AJ354" s="27" t="s">
        <v>306</v>
      </c>
      <c r="AK354" s="27" t="s">
        <v>307</v>
      </c>
      <c r="AL354" s="27" t="s">
        <v>337</v>
      </c>
      <c r="AM354" s="26">
        <v>4</v>
      </c>
      <c r="AN354" s="29" t="s">
        <v>381</v>
      </c>
      <c r="AO354" s="29" t="s">
        <v>382</v>
      </c>
      <c r="AP354" s="29" t="s">
        <v>383</v>
      </c>
      <c r="AQ354" s="30" t="s">
        <v>384</v>
      </c>
      <c r="AR354" s="26" t="s">
        <v>385</v>
      </c>
      <c r="AS354" s="30">
        <v>0</v>
      </c>
      <c r="AT354" s="30">
        <v>0</v>
      </c>
      <c r="AU354" s="27" t="s">
        <v>303</v>
      </c>
      <c r="AV354" s="27" t="s">
        <v>406</v>
      </c>
      <c r="AW354" s="27"/>
      <c r="AX354" s="27"/>
      <c r="AY354" s="27"/>
      <c r="AZ354" s="27"/>
      <c r="BA354" s="26">
        <v>5</v>
      </c>
      <c r="BB354" s="29"/>
      <c r="BC354" s="29"/>
      <c r="BD354" s="29"/>
      <c r="BE354" s="30"/>
      <c r="BF354" s="26"/>
      <c r="BG354" s="27"/>
      <c r="BH354" s="27"/>
      <c r="BI354" s="27"/>
      <c r="BJ354" s="27"/>
      <c r="BK354" s="27"/>
      <c r="BL354" s="27"/>
      <c r="BM354" s="27"/>
      <c r="BN354" s="27"/>
      <c r="BO354" s="26"/>
      <c r="BP354" s="30">
        <f>4.27+10.126+0.2</f>
        <v>14.595999999999998</v>
      </c>
      <c r="BQ354" s="31"/>
      <c r="BR354" s="31"/>
      <c r="BS354" s="31"/>
      <c r="BT354" s="31"/>
      <c r="BU354" s="26"/>
      <c r="BV354" s="31"/>
      <c r="BW354" s="31"/>
      <c r="BX354" s="31"/>
      <c r="BY354" s="31"/>
      <c r="BZ354" s="31"/>
      <c r="CA354" s="31"/>
      <c r="CB354" s="31"/>
      <c r="CC354" s="31"/>
      <c r="CD354" s="31"/>
      <c r="CE354" s="31"/>
      <c r="CF354" s="31"/>
      <c r="CG354" s="31"/>
      <c r="CH354" s="31"/>
      <c r="CI354" s="31"/>
      <c r="CJ354" s="31">
        <f>(28.6*4.27+43.5*10.126+0.2*0.2)/(4.27+10.126+0.2)</f>
        <v>38.547752808988761</v>
      </c>
      <c r="CK354" s="31"/>
      <c r="CL354" s="31"/>
      <c r="CM354" s="31"/>
      <c r="CN354" s="31"/>
      <c r="CO354" s="31"/>
      <c r="CP354" s="31"/>
      <c r="CQ354" s="31"/>
      <c r="CR354" s="31"/>
      <c r="CS354" s="31"/>
      <c r="CT354" s="31"/>
      <c r="CU354" s="31"/>
      <c r="CV354" s="31"/>
      <c r="CW354" s="31"/>
      <c r="CX354" s="31"/>
      <c r="CY354" s="31"/>
      <c r="CZ354" s="31"/>
      <c r="DA354" s="31"/>
      <c r="DB354" s="31"/>
      <c r="DC354" s="31"/>
      <c r="DD354" s="31"/>
      <c r="DE354" s="30">
        <v>0.1</v>
      </c>
      <c r="DF354" s="31"/>
      <c r="DG354" s="31"/>
      <c r="DH354" s="31"/>
      <c r="DI354" s="31"/>
      <c r="DJ354" s="31"/>
      <c r="DK354" s="31"/>
      <c r="DL354" s="31"/>
      <c r="DM354" s="31"/>
      <c r="DN354" s="31"/>
      <c r="DO354" s="31"/>
      <c r="DP354" s="31"/>
      <c r="DQ354" s="31"/>
      <c r="DR354" s="31"/>
      <c r="DS354" s="31"/>
      <c r="DT354" s="31"/>
      <c r="DU354" s="31"/>
      <c r="DV354" s="31"/>
      <c r="DW354" s="31"/>
      <c r="DX354" s="31"/>
      <c r="DY354" s="31"/>
      <c r="DZ354" s="31"/>
      <c r="EA354" s="31"/>
      <c r="EB354" s="31"/>
      <c r="EC354" s="31"/>
      <c r="ED354" s="31"/>
      <c r="EE354" s="31"/>
      <c r="EF354" s="31"/>
      <c r="EG354" s="31"/>
      <c r="EH354" s="32"/>
      <c r="EI354" s="32"/>
      <c r="EJ354" s="32"/>
      <c r="EK354" s="32"/>
      <c r="EL354" s="31"/>
      <c r="EM354" s="31"/>
      <c r="EN354" s="31"/>
      <c r="EO354" s="31"/>
      <c r="EP354" s="31"/>
      <c r="EQ354" s="31"/>
      <c r="ER354" s="31"/>
      <c r="ES354" s="31"/>
      <c r="ET354" s="31"/>
      <c r="EU354" s="31"/>
      <c r="EV354" s="31"/>
      <c r="EW354" s="31"/>
      <c r="EX354" s="31"/>
      <c r="EY354" s="31">
        <f>BP354*CJ354/100</f>
        <v>5.6264299999999992</v>
      </c>
      <c r="EZ354" s="31"/>
      <c r="FA354" s="31"/>
      <c r="FB354" s="31"/>
      <c r="FC354" s="31"/>
      <c r="FD354" s="31"/>
      <c r="FE354" s="31"/>
      <c r="FF354" s="31"/>
      <c r="FG354" s="31"/>
      <c r="FH354" s="31"/>
      <c r="FI354" s="31"/>
      <c r="FJ354" s="31"/>
      <c r="FK354" s="31"/>
      <c r="FL354" s="31"/>
      <c r="FM354" s="31"/>
      <c r="FN354" s="31"/>
      <c r="FO354" s="31"/>
      <c r="FP354" s="31"/>
      <c r="FQ354" s="31"/>
      <c r="FR354" s="31"/>
      <c r="FS354" s="31"/>
      <c r="FT354" s="26">
        <f>1000*BP354*DE354/100</f>
        <v>14.595999999999998</v>
      </c>
      <c r="FU354" s="31"/>
      <c r="FV354" s="31"/>
      <c r="FW354" s="31"/>
      <c r="FX354" s="31"/>
      <c r="FY354" s="31"/>
      <c r="FZ354" s="31"/>
      <c r="GA354" s="31"/>
      <c r="GB354" s="31"/>
      <c r="GC354" s="31"/>
      <c r="GD354" s="31"/>
      <c r="GE354" s="31"/>
      <c r="GF354" s="31"/>
      <c r="GG354" s="31"/>
      <c r="GH354" s="31"/>
      <c r="GI354" s="31"/>
      <c r="GJ354" s="31"/>
      <c r="GK354" s="31"/>
      <c r="GL354" s="31"/>
      <c r="GM354" s="31"/>
      <c r="GN354" s="31"/>
      <c r="GO354" s="31"/>
      <c r="GP354" s="32"/>
      <c r="GQ354" s="31"/>
      <c r="GR354" s="31"/>
      <c r="GS354" s="31"/>
      <c r="GT354" s="31"/>
      <c r="GU354" s="31"/>
      <c r="GV354" s="31"/>
      <c r="GW354" s="31"/>
      <c r="GX354" s="31"/>
      <c r="GY354" s="31" t="s">
        <v>309</v>
      </c>
      <c r="GZ354" s="31" t="s">
        <v>386</v>
      </c>
      <c r="HA354" s="31" t="s">
        <v>916</v>
      </c>
      <c r="HB354" s="31"/>
      <c r="HC354" s="31"/>
      <c r="HD354" s="26" t="s">
        <v>3744</v>
      </c>
      <c r="HE354" s="26">
        <v>7586</v>
      </c>
      <c r="HF354" s="26" t="s">
        <v>4522</v>
      </c>
      <c r="HG354" s="27" t="s">
        <v>4523</v>
      </c>
      <c r="HH354" s="27"/>
      <c r="HI354" s="26"/>
      <c r="HJ354" s="27"/>
      <c r="HK354" s="27"/>
      <c r="HL354" s="27"/>
      <c r="HM354" s="26"/>
      <c r="HN354" s="27"/>
      <c r="HO354" s="27"/>
      <c r="HP354" s="27"/>
      <c r="HQ354" s="27"/>
      <c r="HR354" s="27"/>
      <c r="HS354" s="27"/>
      <c r="HT354" s="27"/>
      <c r="HU354" s="27"/>
      <c r="HV354" s="27"/>
      <c r="HW354" s="27"/>
      <c r="HX354" s="27"/>
      <c r="HY354" s="27"/>
      <c r="HZ354" s="27"/>
      <c r="IA354" s="27"/>
      <c r="IB354" s="26" t="s">
        <v>4524</v>
      </c>
      <c r="IC354" s="26">
        <v>8532</v>
      </c>
      <c r="ID354" s="26" t="s">
        <v>4525</v>
      </c>
      <c r="IE354" s="26" t="s">
        <v>318</v>
      </c>
      <c r="IF354" s="26" t="s">
        <v>319</v>
      </c>
      <c r="IG354" s="26"/>
      <c r="IH354" s="26"/>
      <c r="II354" s="26"/>
      <c r="IJ354" s="26"/>
      <c r="IK354" s="26"/>
      <c r="IL354" s="27"/>
      <c r="IM354" s="27"/>
      <c r="IN354" s="27"/>
      <c r="IO354" s="27"/>
      <c r="IP354" s="27"/>
      <c r="IQ354" s="27"/>
      <c r="IR354" s="27"/>
      <c r="IS354" s="27"/>
      <c r="IT354" s="27"/>
      <c r="IU354" s="27"/>
      <c r="IV354" s="27"/>
      <c r="IW354" s="27"/>
      <c r="IX354" s="27"/>
      <c r="IY354" s="27"/>
      <c r="IZ354" s="27"/>
      <c r="JA354" s="27"/>
      <c r="JB354" s="27"/>
      <c r="JC354" s="27"/>
      <c r="JD354" s="27"/>
      <c r="JE354" s="27"/>
      <c r="JF354" s="27"/>
      <c r="JG354" s="27"/>
      <c r="JH354" s="27"/>
      <c r="JI354" s="27"/>
      <c r="JJ354" s="27"/>
      <c r="JK354" s="27"/>
      <c r="JL354" s="27"/>
      <c r="JM354" s="27"/>
      <c r="JN354" s="27"/>
      <c r="JO354" s="27"/>
      <c r="JP354" s="27"/>
      <c r="JQ354" s="27"/>
      <c r="JR354" s="27"/>
      <c r="JS354" s="27"/>
      <c r="JT354" s="27"/>
      <c r="JU354" s="30"/>
      <c r="JV354" s="30" t="s">
        <v>4526</v>
      </c>
      <c r="JW354" s="30" t="s">
        <v>910</v>
      </c>
      <c r="JX354" s="30" t="s">
        <v>353</v>
      </c>
      <c r="JY354" s="30" t="s">
        <v>448</v>
      </c>
      <c r="JZ354" s="30" t="s">
        <v>320</v>
      </c>
      <c r="KA354" s="30" t="s">
        <v>321</v>
      </c>
      <c r="KB354" s="30" t="s">
        <v>355</v>
      </c>
      <c r="KC354" s="30"/>
      <c r="KD354" s="30"/>
      <c r="KE354" s="30"/>
      <c r="KF354" s="30"/>
      <c r="KG354" s="29" t="s">
        <v>323</v>
      </c>
      <c r="KH354" s="29"/>
      <c r="KI354" s="29"/>
      <c r="KJ354" s="29"/>
      <c r="KK354" s="29"/>
      <c r="KL354" s="29"/>
      <c r="KM354" s="29"/>
      <c r="KN354" s="29"/>
      <c r="KO354" s="29"/>
      <c r="KP354" s="14" t="s">
        <v>324</v>
      </c>
      <c r="KQ354" s="14" t="s">
        <v>4527</v>
      </c>
      <c r="KR354" s="14" t="s">
        <v>3271</v>
      </c>
      <c r="KS354" s="14" t="s">
        <v>324</v>
      </c>
      <c r="KT354" s="14" t="s">
        <v>4528</v>
      </c>
    </row>
    <row r="355" spans="1:306" ht="96" x14ac:dyDescent="0.2">
      <c r="A355" s="14" t="s">
        <v>7516</v>
      </c>
      <c r="B355" s="29" t="s">
        <v>293</v>
      </c>
      <c r="C355" s="30" t="s">
        <v>896</v>
      </c>
      <c r="D355" s="26" t="s">
        <v>4520</v>
      </c>
      <c r="E355" s="44">
        <v>809923</v>
      </c>
      <c r="F355" s="29">
        <v>622754</v>
      </c>
      <c r="G355" s="29" t="s">
        <v>296</v>
      </c>
      <c r="H355" s="31">
        <v>145.25356846</v>
      </c>
      <c r="I355" s="31">
        <v>-41.884075660000001</v>
      </c>
      <c r="J355" s="29" t="s">
        <v>966</v>
      </c>
      <c r="K355" s="29" t="s">
        <v>298</v>
      </c>
      <c r="L355" s="29" t="s">
        <v>400</v>
      </c>
      <c r="M355" s="29" t="s">
        <v>401</v>
      </c>
      <c r="N355" s="29"/>
      <c r="O355" s="26"/>
      <c r="P355" s="29"/>
      <c r="Q355" s="30"/>
      <c r="R355" s="30"/>
      <c r="S355" s="27"/>
      <c r="T355" s="27"/>
      <c r="U355" s="27"/>
      <c r="V355" s="27"/>
      <c r="W355" s="27"/>
      <c r="X355" s="27"/>
      <c r="Y355" s="26"/>
      <c r="Z355" s="29" t="s">
        <v>293</v>
      </c>
      <c r="AA355" s="30" t="s">
        <v>896</v>
      </c>
      <c r="AB355" s="26" t="s">
        <v>4520</v>
      </c>
      <c r="AC355" s="29" t="s">
        <v>301</v>
      </c>
      <c r="AD355" s="29" t="s">
        <v>375</v>
      </c>
      <c r="AE355" s="30">
        <v>360.9</v>
      </c>
      <c r="AF355" s="30">
        <v>1.9</v>
      </c>
      <c r="AG355" s="27" t="s">
        <v>379</v>
      </c>
      <c r="AH355" s="27" t="s">
        <v>483</v>
      </c>
      <c r="AI355" s="27" t="s">
        <v>373</v>
      </c>
      <c r="AJ355" s="27" t="s">
        <v>306</v>
      </c>
      <c r="AK355" s="27" t="s">
        <v>307</v>
      </c>
      <c r="AL355" s="27" t="s">
        <v>337</v>
      </c>
      <c r="AM355" s="26">
        <v>4</v>
      </c>
      <c r="AN355" s="29" t="s">
        <v>381</v>
      </c>
      <c r="AO355" s="29" t="s">
        <v>382</v>
      </c>
      <c r="AP355" s="29" t="s">
        <v>383</v>
      </c>
      <c r="AQ355" s="30" t="s">
        <v>384</v>
      </c>
      <c r="AR355" s="26" t="s">
        <v>385</v>
      </c>
      <c r="AS355" s="30">
        <v>0</v>
      </c>
      <c r="AT355" s="30">
        <v>0</v>
      </c>
      <c r="AU355" s="27" t="s">
        <v>303</v>
      </c>
      <c r="AV355" s="27" t="s">
        <v>406</v>
      </c>
      <c r="AW355" s="27"/>
      <c r="AX355" s="27"/>
      <c r="AY355" s="27"/>
      <c r="AZ355" s="27"/>
      <c r="BA355" s="26">
        <v>5</v>
      </c>
      <c r="BB355" s="29"/>
      <c r="BC355" s="29"/>
      <c r="BD355" s="29"/>
      <c r="BE355" s="30"/>
      <c r="BF355" s="26"/>
      <c r="BG355" s="27"/>
      <c r="BH355" s="27"/>
      <c r="BI355" s="27"/>
      <c r="BJ355" s="27"/>
      <c r="BK355" s="27"/>
      <c r="BL355" s="27"/>
      <c r="BM355" s="27"/>
      <c r="BN355" s="27"/>
      <c r="BO355" s="26"/>
      <c r="BP355" s="30">
        <v>7.64</v>
      </c>
      <c r="BQ355" s="31"/>
      <c r="BR355" s="31"/>
      <c r="BS355" s="31"/>
      <c r="BT355" s="31"/>
      <c r="BU355" s="26"/>
      <c r="BV355" s="31"/>
      <c r="BW355" s="31"/>
      <c r="BX355" s="31"/>
      <c r="BY355" s="31"/>
      <c r="BZ355" s="31"/>
      <c r="CA355" s="31"/>
      <c r="CB355" s="31"/>
      <c r="CC355" s="31"/>
      <c r="CD355" s="31"/>
      <c r="CE355" s="31"/>
      <c r="CF355" s="31"/>
      <c r="CG355" s="31"/>
      <c r="CH355" s="31"/>
      <c r="CI355" s="31"/>
      <c r="CJ355" s="31">
        <v>38.979999999999997</v>
      </c>
      <c r="CK355" s="31"/>
      <c r="CL355" s="31"/>
      <c r="CM355" s="31"/>
      <c r="CN355" s="31"/>
      <c r="CO355" s="31"/>
      <c r="CP355" s="31"/>
      <c r="CQ355" s="31"/>
      <c r="CR355" s="31"/>
      <c r="CS355" s="31"/>
      <c r="CT355" s="31"/>
      <c r="CU355" s="31"/>
      <c r="CV355" s="31"/>
      <c r="CW355" s="31"/>
      <c r="CX355" s="31"/>
      <c r="CY355" s="31"/>
      <c r="CZ355" s="31"/>
      <c r="DA355" s="31"/>
      <c r="DB355" s="31"/>
      <c r="DC355" s="31"/>
      <c r="DD355" s="31"/>
      <c r="DE355" s="31"/>
      <c r="DF355" s="31"/>
      <c r="DG355" s="31"/>
      <c r="DH355" s="31"/>
      <c r="DI355" s="31"/>
      <c r="DJ355" s="31"/>
      <c r="DK355" s="31"/>
      <c r="DL355" s="31"/>
      <c r="DM355" s="31"/>
      <c r="DN355" s="31"/>
      <c r="DO355" s="31"/>
      <c r="DP355" s="31"/>
      <c r="DQ355" s="31"/>
      <c r="DR355" s="31"/>
      <c r="DS355" s="31"/>
      <c r="DT355" s="31"/>
      <c r="DU355" s="31"/>
      <c r="DV355" s="31"/>
      <c r="DW355" s="31"/>
      <c r="DX355" s="31"/>
      <c r="DY355" s="31"/>
      <c r="DZ355" s="31"/>
      <c r="EA355" s="31"/>
      <c r="EB355" s="31"/>
      <c r="EC355" s="31"/>
      <c r="ED355" s="31"/>
      <c r="EE355" s="31"/>
      <c r="EF355" s="31"/>
      <c r="EG355" s="31"/>
      <c r="EH355" s="32"/>
      <c r="EI355" s="32"/>
      <c r="EJ355" s="32"/>
      <c r="EK355" s="32"/>
      <c r="EL355" s="31"/>
      <c r="EM355" s="31"/>
      <c r="EN355" s="31"/>
      <c r="EO355" s="31"/>
      <c r="EP355" s="31"/>
      <c r="EQ355" s="31"/>
      <c r="ER355" s="31"/>
      <c r="ES355" s="31"/>
      <c r="ET355" s="31"/>
      <c r="EU355" s="31"/>
      <c r="EV355" s="31"/>
      <c r="EW355" s="31"/>
      <c r="EX355" s="31"/>
      <c r="EY355" s="31">
        <f>BP355*CJ355/100</f>
        <v>2.9780719999999996</v>
      </c>
      <c r="EZ355" s="31"/>
      <c r="FA355" s="31"/>
      <c r="FB355" s="31"/>
      <c r="FC355" s="31"/>
      <c r="FD355" s="31"/>
      <c r="FE355" s="31"/>
      <c r="FF355" s="31"/>
      <c r="FG355" s="31"/>
      <c r="FH355" s="31"/>
      <c r="FI355" s="31"/>
      <c r="FJ355" s="31"/>
      <c r="FK355" s="31"/>
      <c r="FL355" s="31"/>
      <c r="FM355" s="31"/>
      <c r="FN355" s="31"/>
      <c r="FO355" s="31"/>
      <c r="FP355" s="31"/>
      <c r="FQ355" s="31"/>
      <c r="FR355" s="31"/>
      <c r="FS355" s="31"/>
      <c r="FT355" s="31"/>
      <c r="FU355" s="31"/>
      <c r="FV355" s="31"/>
      <c r="FW355" s="31"/>
      <c r="FX355" s="31"/>
      <c r="FY355" s="31"/>
      <c r="FZ355" s="31"/>
      <c r="GA355" s="31"/>
      <c r="GB355" s="31"/>
      <c r="GC355" s="31"/>
      <c r="GD355" s="31"/>
      <c r="GE355" s="31"/>
      <c r="GF355" s="31"/>
      <c r="GG355" s="31"/>
      <c r="GH355" s="31"/>
      <c r="GI355" s="31"/>
      <c r="GJ355" s="31"/>
      <c r="GK355" s="31"/>
      <c r="GL355" s="31"/>
      <c r="GM355" s="31"/>
      <c r="GN355" s="31"/>
      <c r="GO355" s="31"/>
      <c r="GP355" s="32"/>
      <c r="GQ355" s="31"/>
      <c r="GR355" s="31"/>
      <c r="GS355" s="31"/>
      <c r="GT355" s="31"/>
      <c r="GU355" s="31"/>
      <c r="GV355" s="31"/>
      <c r="GW355" s="31"/>
      <c r="GX355" s="31"/>
      <c r="GY355" s="31" t="s">
        <v>407</v>
      </c>
      <c r="GZ355" s="31" t="s">
        <v>386</v>
      </c>
      <c r="HA355" s="31"/>
      <c r="HB355" s="31"/>
      <c r="HC355" s="31"/>
      <c r="HD355" s="26" t="s">
        <v>2865</v>
      </c>
      <c r="HE355" s="26">
        <v>14603</v>
      </c>
      <c r="HF355" s="26" t="s">
        <v>6764</v>
      </c>
      <c r="HG355" s="27" t="s">
        <v>2867</v>
      </c>
      <c r="HH355" s="27"/>
      <c r="HI355" s="26"/>
      <c r="HJ355" s="27"/>
      <c r="HK355" s="27"/>
      <c r="HL355" s="27"/>
      <c r="HM355" s="26"/>
      <c r="HN355" s="27"/>
      <c r="HO355" s="27"/>
      <c r="HP355" s="27"/>
      <c r="HQ355" s="27"/>
      <c r="HR355" s="27"/>
      <c r="HS355" s="27"/>
      <c r="HT355" s="27"/>
      <c r="HU355" s="27"/>
      <c r="HV355" s="27"/>
      <c r="HW355" s="27"/>
      <c r="HX355" s="27"/>
      <c r="HY355" s="27"/>
      <c r="HZ355" s="27"/>
      <c r="IA355" s="27"/>
      <c r="IB355" s="26" t="s">
        <v>971</v>
      </c>
      <c r="IC355" s="26">
        <v>75564</v>
      </c>
      <c r="ID355" s="26" t="s">
        <v>972</v>
      </c>
      <c r="IE355" s="26" t="s">
        <v>318</v>
      </c>
      <c r="IF355" s="26" t="s">
        <v>319</v>
      </c>
      <c r="IG355" s="26"/>
      <c r="IH355" s="26"/>
      <c r="II355" s="26"/>
      <c r="IJ355" s="26"/>
      <c r="IK355" s="26"/>
      <c r="IL355" s="27"/>
      <c r="IM355" s="27"/>
      <c r="IN355" s="27"/>
      <c r="IO355" s="27"/>
      <c r="IP355" s="27"/>
      <c r="IQ355" s="27"/>
      <c r="IR355" s="27"/>
      <c r="IS355" s="27"/>
      <c r="IT355" s="27"/>
      <c r="IU355" s="27"/>
      <c r="IV355" s="27"/>
      <c r="IW355" s="27"/>
      <c r="IX355" s="27"/>
      <c r="IY355" s="27"/>
      <c r="IZ355" s="27"/>
      <c r="JA355" s="27"/>
      <c r="JB355" s="27"/>
      <c r="JC355" s="27"/>
      <c r="JD355" s="27"/>
      <c r="JE355" s="27"/>
      <c r="JF355" s="27"/>
      <c r="JG355" s="27"/>
      <c r="JH355" s="27"/>
      <c r="JI355" s="27"/>
      <c r="JJ355" s="27"/>
      <c r="JK355" s="27"/>
      <c r="JL355" s="27"/>
      <c r="JM355" s="27"/>
      <c r="JN355" s="27"/>
      <c r="JO355" s="27"/>
      <c r="JP355" s="27"/>
      <c r="JQ355" s="27"/>
      <c r="JR355" s="27"/>
      <c r="JS355" s="27"/>
      <c r="JT355" s="27"/>
      <c r="JU355" s="30"/>
      <c r="JV355" s="30"/>
      <c r="JW355" s="30"/>
      <c r="JX355" s="30" t="s">
        <v>353</v>
      </c>
      <c r="JY355" s="30" t="s">
        <v>448</v>
      </c>
      <c r="JZ355" s="30" t="s">
        <v>322</v>
      </c>
      <c r="KA355" s="30"/>
      <c r="KB355" s="30"/>
      <c r="KC355" s="30"/>
      <c r="KD355" s="30"/>
      <c r="KE355" s="30"/>
      <c r="KF355" s="30"/>
      <c r="KG355" s="29" t="s">
        <v>323</v>
      </c>
      <c r="KH355" s="29"/>
      <c r="KI355" s="29"/>
      <c r="KJ355" s="29"/>
      <c r="KK355" s="29"/>
      <c r="KL355" s="29"/>
      <c r="KM355" s="29"/>
      <c r="KN355" s="29"/>
      <c r="KO355" s="29"/>
      <c r="KP355" s="14" t="s">
        <v>324</v>
      </c>
      <c r="KQ355" s="14" t="s">
        <v>7517</v>
      </c>
      <c r="KR355" s="14" t="s">
        <v>3271</v>
      </c>
      <c r="KS355" s="14" t="s">
        <v>7518</v>
      </c>
      <c r="KT355" s="14" t="s">
        <v>7519</v>
      </c>
    </row>
    <row r="356" spans="1:306" ht="108" x14ac:dyDescent="0.25">
      <c r="A356" s="14" t="s">
        <v>5750</v>
      </c>
      <c r="B356" s="29" t="s">
        <v>383</v>
      </c>
      <c r="C356" s="30" t="s">
        <v>384</v>
      </c>
      <c r="D356" s="26" t="s">
        <v>385</v>
      </c>
      <c r="E356" s="29">
        <v>455372</v>
      </c>
      <c r="F356" s="29"/>
      <c r="G356" s="29" t="s">
        <v>296</v>
      </c>
      <c r="H356" s="31">
        <v>145.28284626600001</v>
      </c>
      <c r="I356" s="31">
        <v>-41.689201402999998</v>
      </c>
      <c r="J356" s="29" t="s">
        <v>5738</v>
      </c>
      <c r="K356" s="29" t="s">
        <v>298</v>
      </c>
      <c r="L356" s="29" t="s">
        <v>400</v>
      </c>
      <c r="M356" s="29" t="s">
        <v>401</v>
      </c>
      <c r="N356" s="29"/>
      <c r="O356" s="26"/>
      <c r="P356" s="29"/>
      <c r="Q356" s="26"/>
      <c r="R356" s="26"/>
      <c r="S356" s="27"/>
      <c r="T356" s="27"/>
      <c r="U356" s="27"/>
      <c r="V356" s="27"/>
      <c r="W356" s="27"/>
      <c r="X356" s="27"/>
      <c r="Y356" s="26"/>
      <c r="Z356" s="29" t="s">
        <v>293</v>
      </c>
      <c r="AA356" s="30" t="s">
        <v>896</v>
      </c>
      <c r="AB356" s="26" t="s">
        <v>4520</v>
      </c>
      <c r="AC356" s="29" t="s">
        <v>301</v>
      </c>
      <c r="AD356" s="29" t="s">
        <v>382</v>
      </c>
      <c r="AE356" s="26">
        <v>374</v>
      </c>
      <c r="AF356" s="26">
        <v>4</v>
      </c>
      <c r="AG356" s="27" t="s">
        <v>379</v>
      </c>
      <c r="AH356" s="27" t="s">
        <v>483</v>
      </c>
      <c r="AI356" s="27" t="s">
        <v>373</v>
      </c>
      <c r="AJ356" s="27" t="s">
        <v>306</v>
      </c>
      <c r="AK356" s="27" t="s">
        <v>307</v>
      </c>
      <c r="AL356" s="27" t="s">
        <v>308</v>
      </c>
      <c r="AM356" s="26">
        <v>4</v>
      </c>
      <c r="AN356" s="29" t="s">
        <v>381</v>
      </c>
      <c r="AO356" s="29" t="s">
        <v>375</v>
      </c>
      <c r="AP356" s="29" t="s">
        <v>383</v>
      </c>
      <c r="AQ356" s="30" t="s">
        <v>384</v>
      </c>
      <c r="AR356" s="26" t="s">
        <v>385</v>
      </c>
      <c r="AS356" s="30">
        <v>0</v>
      </c>
      <c r="AT356" s="30">
        <v>0</v>
      </c>
      <c r="AU356" s="27" t="s">
        <v>303</v>
      </c>
      <c r="AV356" s="27" t="s">
        <v>406</v>
      </c>
      <c r="AW356" s="27"/>
      <c r="AX356" s="27"/>
      <c r="AY356" s="27"/>
      <c r="AZ356" s="27"/>
      <c r="BA356" s="26">
        <v>5</v>
      </c>
      <c r="BB356" s="29"/>
      <c r="BC356" s="29"/>
      <c r="BD356" s="29"/>
      <c r="BE356" s="30"/>
      <c r="BF356" s="26"/>
      <c r="BG356" s="27"/>
      <c r="BH356" s="27"/>
      <c r="BI356" s="27"/>
      <c r="BJ356" s="27"/>
      <c r="BK356" s="27"/>
      <c r="BL356" s="27"/>
      <c r="BM356" s="27"/>
      <c r="BN356" s="27"/>
      <c r="BO356" s="26"/>
      <c r="BP356" s="30">
        <v>2.4</v>
      </c>
      <c r="BQ356" s="31"/>
      <c r="BR356" s="30"/>
      <c r="BS356" s="31"/>
      <c r="BT356" s="31"/>
      <c r="BU356" s="26"/>
      <c r="BV356" s="31"/>
      <c r="BW356" s="31"/>
      <c r="BX356" s="31"/>
      <c r="BY356" s="31"/>
      <c r="BZ356" s="31"/>
      <c r="CA356" s="31"/>
      <c r="CB356" s="31"/>
      <c r="CC356" s="31"/>
      <c r="CD356" s="31"/>
      <c r="CE356" s="31"/>
      <c r="CF356" s="31"/>
      <c r="CG356" s="31"/>
      <c r="CH356" s="31"/>
      <c r="CI356" s="31"/>
      <c r="CJ356" s="26">
        <v>57</v>
      </c>
      <c r="CK356" s="31"/>
      <c r="CL356" s="31"/>
      <c r="CM356" s="31"/>
      <c r="CN356" s="31"/>
      <c r="CO356" s="31"/>
      <c r="CP356" s="31"/>
      <c r="CQ356" s="31"/>
      <c r="CR356" s="31"/>
      <c r="CS356" s="31"/>
      <c r="CT356" s="31"/>
      <c r="CU356" s="31"/>
      <c r="CV356" s="31"/>
      <c r="CW356" s="31"/>
      <c r="CX356" s="31"/>
      <c r="CY356" s="30"/>
      <c r="CZ356" s="31"/>
      <c r="DA356" s="31"/>
      <c r="DB356" s="31"/>
      <c r="DC356" s="31"/>
      <c r="DD356" s="31"/>
      <c r="DE356" s="30"/>
      <c r="DF356" s="31"/>
      <c r="DG356" s="31"/>
      <c r="DH356" s="31"/>
      <c r="DI356" s="31"/>
      <c r="DJ356" s="31"/>
      <c r="DK356" s="31"/>
      <c r="DL356" s="31"/>
      <c r="DM356" s="31"/>
      <c r="DN356" s="31"/>
      <c r="DO356" s="31"/>
      <c r="DP356" s="31"/>
      <c r="DQ356" s="31"/>
      <c r="DR356" s="31"/>
      <c r="DS356" s="31"/>
      <c r="DT356" s="31"/>
      <c r="DU356" s="31"/>
      <c r="DV356" s="31"/>
      <c r="DW356" s="31"/>
      <c r="DX356" s="31"/>
      <c r="DY356" s="31"/>
      <c r="DZ356" s="31"/>
      <c r="EA356" s="31"/>
      <c r="EB356" s="31"/>
      <c r="EC356" s="31"/>
      <c r="ED356" s="31"/>
      <c r="EE356" s="31"/>
      <c r="EF356" s="31"/>
      <c r="EG356" s="31"/>
      <c r="EH356" s="32"/>
      <c r="EI356" s="32"/>
      <c r="EJ356" s="32"/>
      <c r="EK356" s="32"/>
      <c r="EL356" s="31"/>
      <c r="EM356" s="31"/>
      <c r="EN356" s="31"/>
      <c r="EO356" s="31"/>
      <c r="EP356" s="31"/>
      <c r="EQ356" s="31"/>
      <c r="ER356" s="31"/>
      <c r="ES356" s="31"/>
      <c r="ET356" s="31"/>
      <c r="EU356" s="31"/>
      <c r="EV356" s="31"/>
      <c r="EW356" s="31"/>
      <c r="EX356" s="31"/>
      <c r="EY356" s="30">
        <f>BP356*CJ356/100</f>
        <v>1.3679999999999999</v>
      </c>
      <c r="EZ356" s="31"/>
      <c r="FA356" s="31"/>
      <c r="FB356" s="31"/>
      <c r="FC356" s="31"/>
      <c r="FD356" s="31"/>
      <c r="FE356" s="31"/>
      <c r="FF356" s="31"/>
      <c r="FG356" s="31"/>
      <c r="FH356" s="31"/>
      <c r="FI356" s="31"/>
      <c r="FJ356" s="31"/>
      <c r="FK356" s="31"/>
      <c r="FL356" s="31"/>
      <c r="FM356" s="31"/>
      <c r="FN356" s="26"/>
      <c r="FO356" s="31"/>
      <c r="FP356" s="31"/>
      <c r="FQ356" s="31"/>
      <c r="FR356" s="31"/>
      <c r="FS356" s="31"/>
      <c r="FT356" s="26"/>
      <c r="FU356" s="31"/>
      <c r="FV356" s="31"/>
      <c r="FW356" s="31"/>
      <c r="FX356" s="31"/>
      <c r="FY356" s="31"/>
      <c r="FZ356" s="31"/>
      <c r="GA356" s="31"/>
      <c r="GB356" s="31"/>
      <c r="GC356" s="31"/>
      <c r="GD356" s="31"/>
      <c r="GE356" s="31"/>
      <c r="GF356" s="31"/>
      <c r="GG356" s="31"/>
      <c r="GH356" s="31"/>
      <c r="GI356" s="31"/>
      <c r="GJ356" s="31"/>
      <c r="GK356" s="31"/>
      <c r="GL356" s="31"/>
      <c r="GM356" s="31"/>
      <c r="GN356" s="31"/>
      <c r="GO356" s="31"/>
      <c r="GP356" s="32"/>
      <c r="GQ356" s="31"/>
      <c r="GR356" s="31"/>
      <c r="GS356" s="31"/>
      <c r="GT356" s="31"/>
      <c r="GU356" s="31"/>
      <c r="GV356" s="31"/>
      <c r="GW356" s="31"/>
      <c r="GX356" s="31"/>
      <c r="GY356" s="31" t="s">
        <v>5751</v>
      </c>
      <c r="GZ356" s="31" t="s">
        <v>386</v>
      </c>
      <c r="HA356" s="31"/>
      <c r="HB356" s="31"/>
      <c r="HC356" s="31"/>
      <c r="HD356" s="27" t="s">
        <v>5743</v>
      </c>
      <c r="HE356" s="26">
        <v>17488</v>
      </c>
      <c r="HF356" s="27" t="s">
        <v>5744</v>
      </c>
      <c r="HG356" s="27" t="s">
        <v>4612</v>
      </c>
      <c r="HH356" s="27"/>
      <c r="HI356" s="26"/>
      <c r="HJ356" s="27"/>
      <c r="HK356" s="27"/>
      <c r="HL356" s="27"/>
      <c r="HM356" s="26"/>
      <c r="HN356" s="27"/>
      <c r="HO356" s="27"/>
      <c r="HP356" s="27"/>
      <c r="HQ356" s="27"/>
      <c r="HR356" s="27"/>
      <c r="HS356" s="27"/>
      <c r="HT356" s="27"/>
      <c r="HU356" s="27"/>
      <c r="HV356" s="27"/>
      <c r="HW356" s="27"/>
      <c r="HX356" s="27"/>
      <c r="HY356" s="27"/>
      <c r="HZ356" s="27"/>
      <c r="IA356" s="27"/>
      <c r="IB356" s="26" t="s">
        <v>2213</v>
      </c>
      <c r="IC356" s="26">
        <v>11660</v>
      </c>
      <c r="ID356" s="26" t="s">
        <v>2214</v>
      </c>
      <c r="IE356" s="26" t="s">
        <v>318</v>
      </c>
      <c r="IF356" s="26" t="s">
        <v>319</v>
      </c>
      <c r="IG356" s="26"/>
      <c r="IH356" s="26"/>
      <c r="II356" s="26"/>
      <c r="IJ356" s="26"/>
      <c r="IK356" s="26"/>
      <c r="IL356" s="27"/>
      <c r="IM356" s="27"/>
      <c r="IN356" s="27"/>
      <c r="IO356" s="27"/>
      <c r="IP356" s="27"/>
      <c r="IQ356" s="27"/>
      <c r="IR356" s="27"/>
      <c r="IS356" s="27"/>
      <c r="IT356" s="27"/>
      <c r="IU356" s="27"/>
      <c r="IV356" s="27"/>
      <c r="IW356" s="27"/>
      <c r="IX356" s="27"/>
      <c r="IY356" s="27"/>
      <c r="IZ356" s="27"/>
      <c r="JA356" s="27"/>
      <c r="JB356" s="27"/>
      <c r="JC356" s="27"/>
      <c r="JD356" s="27"/>
      <c r="JE356" s="27"/>
      <c r="JF356" s="27"/>
      <c r="JG356" s="27"/>
      <c r="JH356" s="27"/>
      <c r="JI356" s="27"/>
      <c r="JJ356" s="27"/>
      <c r="JK356" s="27"/>
      <c r="JL356" s="27"/>
      <c r="JM356" s="27"/>
      <c r="JN356" s="27"/>
      <c r="JO356" s="27"/>
      <c r="JP356" s="27"/>
      <c r="JQ356" s="27"/>
      <c r="JR356" s="27"/>
      <c r="JS356" s="27"/>
      <c r="JT356" s="27"/>
      <c r="JU356" s="30"/>
      <c r="JV356" s="30" t="s">
        <v>5752</v>
      </c>
      <c r="JW356" s="30" t="s">
        <v>910</v>
      </c>
      <c r="JX356" s="30" t="s">
        <v>353</v>
      </c>
      <c r="JY356" s="30" t="s">
        <v>448</v>
      </c>
      <c r="JZ356" s="30" t="s">
        <v>322</v>
      </c>
      <c r="KA356" s="30" t="s">
        <v>354</v>
      </c>
      <c r="KB356" s="30" t="s">
        <v>320</v>
      </c>
      <c r="KC356" s="30"/>
      <c r="KD356" s="30"/>
      <c r="KE356" s="30"/>
      <c r="KF356" s="30"/>
      <c r="KG356" s="29" t="s">
        <v>323</v>
      </c>
      <c r="KH356" s="29"/>
      <c r="KI356" s="29"/>
      <c r="KJ356" s="29"/>
      <c r="KK356" s="29"/>
      <c r="KL356" s="29"/>
      <c r="KM356" s="29"/>
      <c r="KN356" s="29"/>
      <c r="KO356" s="29"/>
      <c r="KP356" s="14" t="s">
        <v>5746</v>
      </c>
      <c r="KQ356" s="14" t="s">
        <v>5753</v>
      </c>
      <c r="KR356" s="14" t="s">
        <v>2875</v>
      </c>
      <c r="KS356" s="14" t="s">
        <v>5746</v>
      </c>
      <c r="KT356" s="14" t="s">
        <v>5754</v>
      </c>
    </row>
    <row r="357" spans="1:306" ht="216" x14ac:dyDescent="0.2">
      <c r="A357" s="5" t="s">
        <v>2964</v>
      </c>
      <c r="B357" s="4" t="s">
        <v>293</v>
      </c>
      <c r="C357" s="7" t="s">
        <v>896</v>
      </c>
      <c r="D357" s="8" t="s">
        <v>5055</v>
      </c>
      <c r="E357" s="44">
        <v>334636</v>
      </c>
      <c r="G357" s="4" t="s">
        <v>479</v>
      </c>
      <c r="H357" s="6">
        <v>140.01</v>
      </c>
      <c r="I357" s="6">
        <v>-20.75</v>
      </c>
      <c r="J357" s="4" t="s">
        <v>2964</v>
      </c>
      <c r="K357" s="4" t="s">
        <v>481</v>
      </c>
      <c r="L357" s="4" t="s">
        <v>651</v>
      </c>
      <c r="M357" s="4" t="s">
        <v>1950</v>
      </c>
      <c r="Q357" s="4"/>
      <c r="R357" s="4"/>
      <c r="S357" s="4"/>
      <c r="T357" s="4"/>
      <c r="U357" s="4"/>
      <c r="V357" s="4"/>
      <c r="W357" s="4"/>
      <c r="X357" s="4"/>
      <c r="Z357" s="4" t="s">
        <v>293</v>
      </c>
      <c r="AA357" s="7" t="s">
        <v>896</v>
      </c>
      <c r="AB357" s="8" t="s">
        <v>5055</v>
      </c>
      <c r="AC357" s="4" t="s">
        <v>301</v>
      </c>
      <c r="AD357" s="4" t="s">
        <v>371</v>
      </c>
      <c r="AE357" s="4">
        <v>1766</v>
      </c>
      <c r="AF357" s="4">
        <v>80</v>
      </c>
      <c r="AG357" s="4" t="s">
        <v>303</v>
      </c>
      <c r="AH357" s="4" t="s">
        <v>304</v>
      </c>
      <c r="AI357" s="4" t="s">
        <v>5056</v>
      </c>
      <c r="AJ357" s="4" t="s">
        <v>5057</v>
      </c>
      <c r="AK357" s="4" t="s">
        <v>1081</v>
      </c>
      <c r="AL357" s="4" t="s">
        <v>1727</v>
      </c>
      <c r="AM357" s="8">
        <v>3</v>
      </c>
      <c r="AN357" s="4" t="s">
        <v>301</v>
      </c>
      <c r="AO357" s="4" t="s">
        <v>302</v>
      </c>
      <c r="AP357" s="4" t="s">
        <v>293</v>
      </c>
      <c r="AQ357" s="7" t="s">
        <v>896</v>
      </c>
      <c r="AR357" s="8" t="s">
        <v>2963</v>
      </c>
      <c r="AS357" s="4">
        <v>1550</v>
      </c>
      <c r="AT357" s="4">
        <v>15</v>
      </c>
      <c r="AU357" s="4" t="s">
        <v>303</v>
      </c>
      <c r="AV357" s="4" t="s">
        <v>304</v>
      </c>
      <c r="AW357" s="4" t="s">
        <v>723</v>
      </c>
      <c r="AX357" s="4" t="s">
        <v>306</v>
      </c>
      <c r="AY357" s="4" t="s">
        <v>5058</v>
      </c>
      <c r="AZ357" s="4" t="s">
        <v>1727</v>
      </c>
      <c r="BA357" s="8">
        <v>4</v>
      </c>
      <c r="BP357" s="7">
        <v>9.4830000000000005</v>
      </c>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v>1.8</v>
      </c>
      <c r="DL357" s="4">
        <v>2.73</v>
      </c>
      <c r="DM357" s="4">
        <v>0.23</v>
      </c>
      <c r="DN357" s="4">
        <v>0.47</v>
      </c>
      <c r="DO357" s="4">
        <v>2.3E-2</v>
      </c>
      <c r="DP357" s="4">
        <v>1.1000000000000001E-3</v>
      </c>
      <c r="DQ357" s="4"/>
      <c r="DR357" s="4"/>
      <c r="DS357" s="4">
        <v>1.1999999999999999E-3</v>
      </c>
      <c r="DT357" s="4"/>
      <c r="DU357" s="4"/>
      <c r="DV357" s="4"/>
      <c r="DW357" s="4">
        <v>3.0000000000000001E-5</v>
      </c>
      <c r="DX357" s="4"/>
      <c r="DY357" s="4">
        <v>5.2469999999999999</v>
      </c>
      <c r="DZ357" s="31">
        <f>GP357/BP357*100</f>
        <v>10.518011177897289</v>
      </c>
      <c r="EA357" s="4"/>
      <c r="EB357" s="4">
        <v>0.13100000000000001</v>
      </c>
      <c r="EC357" s="4"/>
      <c r="ED357" s="4"/>
      <c r="EE357" s="4"/>
      <c r="EF357" s="4"/>
      <c r="EG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v>0.17</v>
      </c>
      <c r="GB357" s="4">
        <v>0.26</v>
      </c>
      <c r="GC357" s="4">
        <v>2.1000000000000001E-2</v>
      </c>
      <c r="GD357" s="4">
        <v>4.3999999999999997E-2</v>
      </c>
      <c r="GE357" s="4">
        <v>2.2000000000000001E-3</v>
      </c>
      <c r="GF357" s="4">
        <v>1.1E-4</v>
      </c>
      <c r="GG357" s="4"/>
      <c r="GH357" s="4"/>
      <c r="GI357" s="4">
        <v>1.1E-4</v>
      </c>
      <c r="GJ357" s="4"/>
      <c r="GK357" s="4"/>
      <c r="GL357" s="4"/>
      <c r="GM357" s="4">
        <v>3.0000000000000001E-6</v>
      </c>
      <c r="GN357" s="4"/>
      <c r="GO357" s="4">
        <v>0.5</v>
      </c>
      <c r="GP357" s="32">
        <f>SUM(GA357:GO357)+FE357</f>
        <v>0.99742299999999995</v>
      </c>
      <c r="GQ357" s="4"/>
      <c r="GR357" s="6">
        <v>12.42</v>
      </c>
      <c r="GS357" s="4"/>
      <c r="GT357" s="4"/>
      <c r="GU357" s="4"/>
      <c r="GV357" s="4"/>
      <c r="GW357" s="4"/>
      <c r="GX357" s="4"/>
      <c r="GY357" s="4" t="s">
        <v>309</v>
      </c>
      <c r="GZ357" s="4" t="s">
        <v>5059</v>
      </c>
      <c r="HA357" s="4"/>
      <c r="HB357" s="4"/>
      <c r="HC357" s="4"/>
      <c r="HD357" s="4" t="s">
        <v>2965</v>
      </c>
      <c r="HE357" s="8">
        <v>4727</v>
      </c>
      <c r="HF357" s="4" t="s">
        <v>5060</v>
      </c>
      <c r="HG357" s="4" t="s">
        <v>490</v>
      </c>
      <c r="HH357" s="4"/>
      <c r="HI357" s="4"/>
      <c r="HJ357" s="4" t="s">
        <v>5061</v>
      </c>
      <c r="HK357" s="4" t="s">
        <v>490</v>
      </c>
      <c r="HL357" s="4"/>
      <c r="HN357" s="4"/>
      <c r="HO357" s="4"/>
      <c r="HP357" s="4"/>
      <c r="HR357" s="4"/>
      <c r="HS357" s="4"/>
      <c r="HT357" s="4"/>
      <c r="HU357" s="4"/>
      <c r="HV357" s="4"/>
      <c r="HW357" s="4"/>
      <c r="HX357" s="4"/>
      <c r="HY357" s="4"/>
      <c r="HZ357" s="4"/>
      <c r="IA357" s="4"/>
      <c r="IB357" s="4"/>
      <c r="ID357" s="4" t="s">
        <v>5061</v>
      </c>
      <c r="IE357" s="4" t="s">
        <v>490</v>
      </c>
      <c r="IF357" s="4" t="s">
        <v>445</v>
      </c>
      <c r="IG357" s="4" t="s">
        <v>2967</v>
      </c>
      <c r="IH357" s="4">
        <v>25823</v>
      </c>
      <c r="II357" s="4" t="s">
        <v>2968</v>
      </c>
      <c r="IJ357" s="4" t="s">
        <v>490</v>
      </c>
      <c r="IK357" s="4" t="s">
        <v>319</v>
      </c>
      <c r="IL357" s="4" t="s">
        <v>2970</v>
      </c>
      <c r="IM357" s="8">
        <v>25185</v>
      </c>
      <c r="IN357" s="4" t="s">
        <v>2971</v>
      </c>
      <c r="IO357" s="4" t="s">
        <v>490</v>
      </c>
      <c r="IP357" s="4" t="s">
        <v>319</v>
      </c>
      <c r="IQ357" s="4" t="s">
        <v>2972</v>
      </c>
      <c r="IR357" s="4">
        <v>25986</v>
      </c>
      <c r="IS357" s="4" t="s">
        <v>2973</v>
      </c>
      <c r="IT357" s="4" t="s">
        <v>2974</v>
      </c>
      <c r="IU357" s="4" t="s">
        <v>350</v>
      </c>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4"/>
      <c r="JU357" s="4"/>
      <c r="JV357" s="4" t="s">
        <v>5062</v>
      </c>
      <c r="JW357" s="4"/>
      <c r="JX357" s="4" t="s">
        <v>322</v>
      </c>
      <c r="JY357" s="4" t="s">
        <v>448</v>
      </c>
      <c r="JZ357" s="4" t="s">
        <v>320</v>
      </c>
      <c r="KA357" s="4"/>
      <c r="KB357" s="4"/>
      <c r="KC357" s="4"/>
      <c r="KD357" s="4"/>
      <c r="KE357" s="4"/>
      <c r="KF357" s="4"/>
      <c r="KG357" s="4" t="s">
        <v>323</v>
      </c>
      <c r="KM357" s="4" t="s">
        <v>1192</v>
      </c>
      <c r="KN357" s="4" t="s">
        <v>1192</v>
      </c>
      <c r="KP357" s="5" t="s">
        <v>5063</v>
      </c>
      <c r="KQ357" s="5" t="s">
        <v>5064</v>
      </c>
      <c r="KR357" s="5" t="s">
        <v>5065</v>
      </c>
      <c r="KS357" s="5" t="s">
        <v>5066</v>
      </c>
      <c r="KT357" s="5" t="s">
        <v>5067</v>
      </c>
    </row>
    <row r="358" spans="1:306" ht="60" x14ac:dyDescent="0.25">
      <c r="A358" s="5" t="s">
        <v>2672</v>
      </c>
      <c r="B358" s="4" t="s">
        <v>293</v>
      </c>
      <c r="C358" s="7" t="s">
        <v>896</v>
      </c>
      <c r="D358" s="8" t="s">
        <v>2673</v>
      </c>
      <c r="E358" s="4">
        <v>467826</v>
      </c>
      <c r="G358" s="4" t="s">
        <v>479</v>
      </c>
      <c r="H358" s="6">
        <v>145.30487500000001</v>
      </c>
      <c r="I358" s="6">
        <v>-17.586331000000001</v>
      </c>
      <c r="J358" s="4" t="s">
        <v>1017</v>
      </c>
      <c r="K358" s="4" t="s">
        <v>298</v>
      </c>
      <c r="L358" s="4" t="s">
        <v>1018</v>
      </c>
      <c r="M358" s="4" t="s">
        <v>1019</v>
      </c>
      <c r="Q358" s="8"/>
      <c r="R358" s="8"/>
      <c r="Z358" s="4" t="s">
        <v>293</v>
      </c>
      <c r="AA358" s="7" t="s">
        <v>896</v>
      </c>
      <c r="AB358" s="8" t="s">
        <v>2673</v>
      </c>
      <c r="AC358" s="4" t="s">
        <v>301</v>
      </c>
      <c r="AE358" s="8">
        <v>325</v>
      </c>
      <c r="AF358" s="8"/>
      <c r="AG358" s="9" t="s">
        <v>379</v>
      </c>
      <c r="AH358" s="9" t="s">
        <v>1156</v>
      </c>
      <c r="AM358" s="8">
        <v>3</v>
      </c>
      <c r="BP358" s="7">
        <v>0.44400000000000001</v>
      </c>
      <c r="CJ358" s="6">
        <v>26.7</v>
      </c>
      <c r="CY358" s="6">
        <v>0.34</v>
      </c>
      <c r="DZ358" s="31"/>
      <c r="EY358" s="6">
        <f>BP358*CJ358/100</f>
        <v>0.11854799999999999</v>
      </c>
      <c r="FA358" s="6"/>
      <c r="FN358" s="6">
        <f>1000*BP358*CY358/100</f>
        <v>1.5096000000000001</v>
      </c>
      <c r="GP358" s="32"/>
      <c r="GY358" s="6" t="s">
        <v>338</v>
      </c>
      <c r="GZ358" s="6" t="s">
        <v>2674</v>
      </c>
      <c r="HC358" s="6" t="s">
        <v>2675</v>
      </c>
      <c r="HD358" s="7" t="s">
        <v>2676</v>
      </c>
      <c r="HE358" s="8">
        <v>3981</v>
      </c>
      <c r="HF358" s="7" t="s">
        <v>2677</v>
      </c>
      <c r="HG358" s="7" t="s">
        <v>2678</v>
      </c>
      <c r="HY358" s="9"/>
      <c r="IB358" s="8" t="s">
        <v>1692</v>
      </c>
      <c r="IC358" s="8">
        <v>28530</v>
      </c>
      <c r="ID358" s="8" t="s">
        <v>2679</v>
      </c>
      <c r="IE358" s="8" t="s">
        <v>1133</v>
      </c>
      <c r="IF358" s="8" t="s">
        <v>319</v>
      </c>
      <c r="IR358" s="9"/>
      <c r="JV358" s="7" t="s">
        <v>2680</v>
      </c>
      <c r="JW358" s="4" t="s">
        <v>910</v>
      </c>
      <c r="JX358" s="7" t="s">
        <v>353</v>
      </c>
      <c r="KG358" s="4" t="s">
        <v>323</v>
      </c>
      <c r="KP358" s="5" t="s">
        <v>358</v>
      </c>
      <c r="KQ358" s="5" t="s">
        <v>2681</v>
      </c>
      <c r="KS358" s="5" t="s">
        <v>2682</v>
      </c>
      <c r="KT358" s="5" t="s">
        <v>2683</v>
      </c>
    </row>
    <row r="359" spans="1:306" ht="204" x14ac:dyDescent="0.25">
      <c r="A359" s="5" t="s">
        <v>2801</v>
      </c>
      <c r="B359" s="4" t="s">
        <v>293</v>
      </c>
      <c r="C359" s="7" t="s">
        <v>896</v>
      </c>
      <c r="D359" s="8" t="s">
        <v>2673</v>
      </c>
      <c r="E359" s="4">
        <v>334246</v>
      </c>
      <c r="G359" s="4" t="s">
        <v>427</v>
      </c>
      <c r="H359" s="6">
        <v>146.36670000000001</v>
      </c>
      <c r="I359" s="6">
        <v>-30.317</v>
      </c>
      <c r="J359" s="4" t="s">
        <v>2802</v>
      </c>
      <c r="K359" s="4" t="s">
        <v>298</v>
      </c>
      <c r="L359" s="4" t="s">
        <v>760</v>
      </c>
      <c r="Q359" s="7"/>
      <c r="R359" s="7"/>
      <c r="Z359" s="4" t="s">
        <v>293</v>
      </c>
      <c r="AA359" s="7" t="s">
        <v>896</v>
      </c>
      <c r="AB359" s="8" t="s">
        <v>2673</v>
      </c>
      <c r="AC359" s="4" t="s">
        <v>301</v>
      </c>
      <c r="AD359" s="4" t="s">
        <v>375</v>
      </c>
      <c r="AE359" s="7">
        <v>235.1</v>
      </c>
      <c r="AF359" s="7">
        <v>1.4</v>
      </c>
      <c r="AG359" s="9" t="s">
        <v>379</v>
      </c>
      <c r="AH359" s="9" t="s">
        <v>483</v>
      </c>
      <c r="AI359" s="9" t="s">
        <v>373</v>
      </c>
      <c r="AJ359" s="9" t="s">
        <v>306</v>
      </c>
      <c r="AK359" s="9" t="s">
        <v>307</v>
      </c>
      <c r="AL359" s="9" t="s">
        <v>337</v>
      </c>
      <c r="AM359" s="8">
        <v>4</v>
      </c>
      <c r="AN359" s="4" t="s">
        <v>381</v>
      </c>
      <c r="AO359" s="4" t="s">
        <v>382</v>
      </c>
      <c r="AP359" s="4" t="s">
        <v>383</v>
      </c>
      <c r="AQ359" s="7" t="s">
        <v>384</v>
      </c>
      <c r="AR359" s="8" t="s">
        <v>801</v>
      </c>
      <c r="AS359" s="7">
        <v>0</v>
      </c>
      <c r="AT359" s="7">
        <v>0</v>
      </c>
      <c r="AU359" s="9" t="s">
        <v>303</v>
      </c>
      <c r="AV359" s="9" t="s">
        <v>406</v>
      </c>
      <c r="BA359" s="8">
        <v>5</v>
      </c>
      <c r="BP359" s="7">
        <f>4.63+3.18</f>
        <v>7.8100000000000005</v>
      </c>
      <c r="CY359" s="6">
        <f>(0.25*4.63+0.34*3.18)/(4.63+3.18)</f>
        <v>0.28664532650448143</v>
      </c>
      <c r="DZ359" s="31"/>
      <c r="EY359" s="6"/>
      <c r="FA359" s="6"/>
      <c r="FN359" s="6">
        <f>1000*BP359*CY359/100</f>
        <v>22.387000000000004</v>
      </c>
      <c r="GP359" s="32"/>
      <c r="GY359" s="6" t="s">
        <v>338</v>
      </c>
      <c r="GZ359" s="6" t="s">
        <v>639</v>
      </c>
      <c r="HC359" s="6" t="s">
        <v>2675</v>
      </c>
      <c r="HD359" s="8" t="s">
        <v>2803</v>
      </c>
      <c r="HE359" s="8">
        <v>27673</v>
      </c>
      <c r="HF359" s="8" t="s">
        <v>2804</v>
      </c>
      <c r="HG359" s="9" t="s">
        <v>444</v>
      </c>
      <c r="HY359" s="9"/>
      <c r="IB359" s="8" t="s">
        <v>2805</v>
      </c>
      <c r="IC359" s="8">
        <v>78457</v>
      </c>
      <c r="ID359" s="8" t="s">
        <v>2806</v>
      </c>
      <c r="IE359" s="8" t="s">
        <v>2807</v>
      </c>
      <c r="IF359" s="8" t="s">
        <v>319</v>
      </c>
      <c r="IW359" s="8"/>
      <c r="JB359" s="8"/>
      <c r="JV359" s="7" t="s">
        <v>2808</v>
      </c>
      <c r="JW359" s="7" t="s">
        <v>910</v>
      </c>
      <c r="JX359" s="7" t="s">
        <v>322</v>
      </c>
      <c r="JY359" s="7" t="s">
        <v>354</v>
      </c>
      <c r="JZ359" s="7" t="s">
        <v>353</v>
      </c>
      <c r="KG359" s="4" t="s">
        <v>323</v>
      </c>
      <c r="KP359" s="5" t="s">
        <v>358</v>
      </c>
      <c r="KQ359" s="5" t="s">
        <v>2809</v>
      </c>
      <c r="KR359" s="5" t="s">
        <v>2810</v>
      </c>
      <c r="KS359" s="5" t="s">
        <v>2811</v>
      </c>
      <c r="KT359" s="5" t="s">
        <v>2812</v>
      </c>
    </row>
    <row r="360" spans="1:306" ht="60" x14ac:dyDescent="0.25">
      <c r="A360" s="5" t="s">
        <v>3475</v>
      </c>
      <c r="B360" s="4" t="s">
        <v>293</v>
      </c>
      <c r="C360" s="7" t="s">
        <v>896</v>
      </c>
      <c r="D360" s="8" t="s">
        <v>2673</v>
      </c>
      <c r="E360" s="4">
        <v>334784</v>
      </c>
      <c r="G360" s="4" t="s">
        <v>479</v>
      </c>
      <c r="H360" s="6">
        <v>145.05470199999999</v>
      </c>
      <c r="I360" s="6">
        <v>-17.708883</v>
      </c>
      <c r="J360" s="4" t="s">
        <v>1017</v>
      </c>
      <c r="K360" s="4" t="s">
        <v>298</v>
      </c>
      <c r="L360" s="4" t="s">
        <v>1018</v>
      </c>
      <c r="M360" s="4" t="s">
        <v>1019</v>
      </c>
      <c r="Q360" s="8"/>
      <c r="R360" s="8"/>
      <c r="Z360" s="4" t="s">
        <v>293</v>
      </c>
      <c r="AA360" s="7" t="s">
        <v>896</v>
      </c>
      <c r="AB360" s="8" t="s">
        <v>2673</v>
      </c>
      <c r="AC360" s="4" t="s">
        <v>301</v>
      </c>
      <c r="AE360" s="8">
        <v>325</v>
      </c>
      <c r="AF360" s="8"/>
      <c r="AG360" s="9" t="s">
        <v>379</v>
      </c>
      <c r="AH360" s="9" t="s">
        <v>1156</v>
      </c>
      <c r="AM360" s="8">
        <v>3</v>
      </c>
      <c r="BP360" s="7">
        <v>2.5299999999999998</v>
      </c>
      <c r="CJ360" s="7">
        <v>32.799999999999997</v>
      </c>
      <c r="CY360" s="6">
        <v>0.78</v>
      </c>
      <c r="DZ360" s="31"/>
      <c r="EY360" s="6">
        <f>BP360*CJ360/100</f>
        <v>0.8298399999999998</v>
      </c>
      <c r="FA360" s="6"/>
      <c r="FN360" s="6">
        <f>1000*BP360*CY360/100</f>
        <v>19.734000000000002</v>
      </c>
      <c r="GP360" s="32"/>
      <c r="GY360" s="6" t="s">
        <v>338</v>
      </c>
      <c r="GZ360" s="6" t="s">
        <v>2674</v>
      </c>
      <c r="HC360" s="6" t="s">
        <v>2675</v>
      </c>
      <c r="HD360" s="7" t="s">
        <v>2676</v>
      </c>
      <c r="HE360" s="8">
        <v>3981</v>
      </c>
      <c r="HF360" s="7" t="s">
        <v>2677</v>
      </c>
      <c r="HG360" s="7" t="s">
        <v>2678</v>
      </c>
      <c r="HY360" s="9"/>
      <c r="IB360" s="8" t="s">
        <v>1692</v>
      </c>
      <c r="IC360" s="8">
        <v>28530</v>
      </c>
      <c r="ID360" s="8" t="s">
        <v>2679</v>
      </c>
      <c r="IE360" s="8" t="s">
        <v>1133</v>
      </c>
      <c r="IF360" s="8" t="s">
        <v>319</v>
      </c>
      <c r="IG360" s="8" t="s">
        <v>1692</v>
      </c>
      <c r="IH360" s="8">
        <v>28530</v>
      </c>
      <c r="II360" s="8" t="s">
        <v>3476</v>
      </c>
      <c r="IK360" s="8" t="s">
        <v>319</v>
      </c>
      <c r="IR360" s="9"/>
      <c r="JV360" s="7" t="s">
        <v>2680</v>
      </c>
      <c r="JW360" s="4" t="s">
        <v>910</v>
      </c>
      <c r="JX360" s="7" t="s">
        <v>353</v>
      </c>
      <c r="KG360" s="4" t="s">
        <v>323</v>
      </c>
      <c r="KP360" s="5" t="s">
        <v>358</v>
      </c>
      <c r="KQ360" s="5" t="s">
        <v>3477</v>
      </c>
      <c r="KS360" s="5" t="s">
        <v>3478</v>
      </c>
      <c r="KT360" s="5" t="s">
        <v>3479</v>
      </c>
    </row>
    <row r="361" spans="1:306" ht="144" x14ac:dyDescent="0.25">
      <c r="A361" s="14" t="s">
        <v>3647</v>
      </c>
      <c r="B361" s="29" t="s">
        <v>293</v>
      </c>
      <c r="C361" s="30" t="s">
        <v>896</v>
      </c>
      <c r="D361" s="26" t="s">
        <v>2673</v>
      </c>
      <c r="E361" s="29">
        <v>687164</v>
      </c>
      <c r="F361" s="29"/>
      <c r="G361" s="29" t="s">
        <v>296</v>
      </c>
      <c r="H361" s="31">
        <v>145.08690000000001</v>
      </c>
      <c r="I361" s="31">
        <v>-41.798900000000003</v>
      </c>
      <c r="J361" s="29"/>
      <c r="K361" s="29" t="s">
        <v>298</v>
      </c>
      <c r="L361" s="29" t="s">
        <v>400</v>
      </c>
      <c r="M361" s="29" t="s">
        <v>401</v>
      </c>
      <c r="N361" s="29"/>
      <c r="O361" s="26"/>
      <c r="P361" s="29"/>
      <c r="Q361" s="26"/>
      <c r="R361" s="26"/>
      <c r="S361" s="27"/>
      <c r="T361" s="27"/>
      <c r="U361" s="27"/>
      <c r="V361" s="27"/>
      <c r="W361" s="27"/>
      <c r="X361" s="27"/>
      <c r="Y361" s="26"/>
      <c r="Z361" s="29" t="s">
        <v>293</v>
      </c>
      <c r="AA361" s="30" t="s">
        <v>896</v>
      </c>
      <c r="AB361" s="26" t="s">
        <v>2673</v>
      </c>
      <c r="AC361" s="29" t="s">
        <v>301</v>
      </c>
      <c r="AD361" s="29" t="s">
        <v>302</v>
      </c>
      <c r="AE361" s="26">
        <v>362</v>
      </c>
      <c r="AF361" s="26">
        <v>8</v>
      </c>
      <c r="AG361" s="27" t="s">
        <v>303</v>
      </c>
      <c r="AH361" s="27" t="s">
        <v>304</v>
      </c>
      <c r="AI361" s="27" t="s">
        <v>305</v>
      </c>
      <c r="AJ361" s="27" t="s">
        <v>306</v>
      </c>
      <c r="AK361" s="27" t="s">
        <v>307</v>
      </c>
      <c r="AL361" s="27" t="s">
        <v>308</v>
      </c>
      <c r="AM361" s="26">
        <v>5</v>
      </c>
      <c r="AN361" s="29"/>
      <c r="AO361" s="29"/>
      <c r="AP361" s="29"/>
      <c r="AQ361" s="30"/>
      <c r="AR361" s="26"/>
      <c r="AS361" s="27"/>
      <c r="AT361" s="27"/>
      <c r="AU361" s="27"/>
      <c r="AV361" s="27"/>
      <c r="AW361" s="27"/>
      <c r="AX361" s="27"/>
      <c r="AY361" s="27"/>
      <c r="AZ361" s="27"/>
      <c r="BA361" s="26"/>
      <c r="BB361" s="29"/>
      <c r="BC361" s="29"/>
      <c r="BD361" s="29"/>
      <c r="BE361" s="30"/>
      <c r="BF361" s="26"/>
      <c r="BG361" s="27"/>
      <c r="BH361" s="27"/>
      <c r="BI361" s="27"/>
      <c r="BJ361" s="27"/>
      <c r="BK361" s="27"/>
      <c r="BL361" s="27"/>
      <c r="BM361" s="27"/>
      <c r="BN361" s="27"/>
      <c r="BO361" s="26"/>
      <c r="BP361" s="30"/>
      <c r="BQ361" s="31"/>
      <c r="BR361" s="31"/>
      <c r="BS361" s="31"/>
      <c r="BT361" s="31"/>
      <c r="BU361" s="26"/>
      <c r="BV361" s="31"/>
      <c r="BW361" s="31"/>
      <c r="BX361" s="31"/>
      <c r="BY361" s="31"/>
      <c r="BZ361" s="31"/>
      <c r="CA361" s="31"/>
      <c r="CB361" s="31"/>
      <c r="CC361" s="31"/>
      <c r="CD361" s="31"/>
      <c r="CE361" s="31"/>
      <c r="CF361" s="31"/>
      <c r="CG361" s="31"/>
      <c r="CH361" s="31"/>
      <c r="CI361" s="31"/>
      <c r="CJ361" s="31"/>
      <c r="CK361" s="31"/>
      <c r="CL361" s="31"/>
      <c r="CM361" s="31"/>
      <c r="CN361" s="31"/>
      <c r="CO361" s="31"/>
      <c r="CP361" s="31"/>
      <c r="CQ361" s="31"/>
      <c r="CR361" s="31"/>
      <c r="CS361" s="31"/>
      <c r="CT361" s="31"/>
      <c r="CU361" s="31"/>
      <c r="CV361" s="31"/>
      <c r="CW361" s="31"/>
      <c r="CX361" s="31"/>
      <c r="CY361" s="31"/>
      <c r="CZ361" s="31"/>
      <c r="DA361" s="31"/>
      <c r="DB361" s="31"/>
      <c r="DC361" s="31"/>
      <c r="DD361" s="31"/>
      <c r="DE361" s="31"/>
      <c r="DF361" s="31"/>
      <c r="DG361" s="31"/>
      <c r="DH361" s="31"/>
      <c r="DI361" s="31"/>
      <c r="DJ361" s="31"/>
      <c r="DK361" s="31"/>
      <c r="DL361" s="31"/>
      <c r="DM361" s="31"/>
      <c r="DN361" s="31"/>
      <c r="DO361" s="31"/>
      <c r="DP361" s="31"/>
      <c r="DQ361" s="31"/>
      <c r="DR361" s="31"/>
      <c r="DS361" s="31"/>
      <c r="DT361" s="31"/>
      <c r="DU361" s="31"/>
      <c r="DV361" s="31"/>
      <c r="DW361" s="31"/>
      <c r="DX361" s="31"/>
      <c r="DY361" s="31"/>
      <c r="DZ361" s="31"/>
      <c r="EA361" s="31"/>
      <c r="EB361" s="31"/>
      <c r="EC361" s="31"/>
      <c r="ED361" s="31"/>
      <c r="EE361" s="31"/>
      <c r="EF361" s="31"/>
      <c r="EG361" s="31"/>
      <c r="EH361" s="32"/>
      <c r="EI361" s="32"/>
      <c r="EJ361" s="32"/>
      <c r="EK361" s="32"/>
      <c r="EL361" s="31"/>
      <c r="EM361" s="31"/>
      <c r="EN361" s="31"/>
      <c r="EO361" s="31"/>
      <c r="EP361" s="31"/>
      <c r="EQ361" s="31"/>
      <c r="ER361" s="31"/>
      <c r="ES361" s="31"/>
      <c r="ET361" s="31"/>
      <c r="EU361" s="31"/>
      <c r="EV361" s="31"/>
      <c r="EW361" s="31"/>
      <c r="EX361" s="31"/>
      <c r="EY361" s="26"/>
      <c r="EZ361" s="31"/>
      <c r="FA361" s="32"/>
      <c r="FB361" s="31"/>
      <c r="FC361" s="31"/>
      <c r="FD361" s="31"/>
      <c r="FE361" s="31"/>
      <c r="FF361" s="31"/>
      <c r="FG361" s="31"/>
      <c r="FH361" s="31"/>
      <c r="FI361" s="31"/>
      <c r="FJ361" s="31"/>
      <c r="FK361" s="31"/>
      <c r="FL361" s="31"/>
      <c r="FM361" s="31"/>
      <c r="FN361" s="31"/>
      <c r="FO361" s="31"/>
      <c r="FP361" s="31"/>
      <c r="FQ361" s="31"/>
      <c r="FR361" s="31"/>
      <c r="FS361" s="31"/>
      <c r="FT361" s="31"/>
      <c r="FU361" s="31"/>
      <c r="FV361" s="31"/>
      <c r="FW361" s="31"/>
      <c r="FX361" s="31"/>
      <c r="FY361" s="31"/>
      <c r="FZ361" s="31"/>
      <c r="GA361" s="31"/>
      <c r="GB361" s="31"/>
      <c r="GC361" s="31"/>
      <c r="GD361" s="31"/>
      <c r="GE361" s="31"/>
      <c r="GF361" s="31"/>
      <c r="GG361" s="31"/>
      <c r="GH361" s="31"/>
      <c r="GI361" s="31"/>
      <c r="GJ361" s="31"/>
      <c r="GK361" s="31"/>
      <c r="GL361" s="31"/>
      <c r="GM361" s="31"/>
      <c r="GN361" s="31"/>
      <c r="GO361" s="31"/>
      <c r="GP361" s="32"/>
      <c r="GQ361" s="31"/>
      <c r="GR361" s="31"/>
      <c r="GS361" s="31"/>
      <c r="GT361" s="31"/>
      <c r="GU361" s="31"/>
      <c r="GV361" s="31"/>
      <c r="GW361" s="31"/>
      <c r="GX361" s="31"/>
      <c r="GY361" s="6" t="s">
        <v>407</v>
      </c>
      <c r="GZ361" s="31"/>
      <c r="HA361" s="31"/>
      <c r="HB361" s="31"/>
      <c r="HC361" s="31"/>
      <c r="HD361" s="26" t="s">
        <v>2865</v>
      </c>
      <c r="HE361" s="26">
        <v>14603</v>
      </c>
      <c r="HF361" s="26" t="s">
        <v>3648</v>
      </c>
      <c r="HG361" s="27" t="s">
        <v>2867</v>
      </c>
      <c r="HH361" s="27"/>
      <c r="HI361" s="26"/>
      <c r="HJ361" s="27"/>
      <c r="HK361" s="27"/>
      <c r="HL361" s="27"/>
      <c r="HM361" s="26"/>
      <c r="HN361" s="27"/>
      <c r="HO361" s="27"/>
      <c r="HP361" s="27"/>
      <c r="HQ361" s="26"/>
      <c r="HR361" s="27"/>
      <c r="HS361" s="27"/>
      <c r="HT361" s="27"/>
      <c r="HU361" s="27"/>
      <c r="HV361" s="27"/>
      <c r="HW361" s="27"/>
      <c r="HX361" s="27"/>
      <c r="HY361" s="26"/>
      <c r="HZ361" s="27"/>
      <c r="IA361" s="27"/>
      <c r="IB361" s="26" t="s">
        <v>971</v>
      </c>
      <c r="IC361" s="26">
        <v>75564</v>
      </c>
      <c r="ID361" s="26" t="s">
        <v>3649</v>
      </c>
      <c r="IE361" s="27" t="s">
        <v>3650</v>
      </c>
      <c r="IF361" s="26" t="s">
        <v>319</v>
      </c>
      <c r="IG361" s="26"/>
      <c r="IH361" s="26"/>
      <c r="II361" s="26"/>
      <c r="IJ361" s="26"/>
      <c r="IK361" s="26"/>
      <c r="IL361" s="27"/>
      <c r="IM361" s="26"/>
      <c r="IN361" s="27"/>
      <c r="IO361" s="27"/>
      <c r="IP361" s="27"/>
      <c r="IQ361" s="27"/>
      <c r="IR361" s="26"/>
      <c r="IS361" s="27"/>
      <c r="IT361" s="27"/>
      <c r="IU361" s="27"/>
      <c r="IV361" s="27"/>
      <c r="IW361" s="27"/>
      <c r="IX361" s="27"/>
      <c r="IY361" s="27"/>
      <c r="IZ361" s="27"/>
      <c r="JA361" s="27"/>
      <c r="JB361" s="27"/>
      <c r="JC361" s="27"/>
      <c r="JD361" s="27"/>
      <c r="JE361" s="27"/>
      <c r="JF361" s="27"/>
      <c r="JG361" s="27"/>
      <c r="JH361" s="27"/>
      <c r="JI361" s="27"/>
      <c r="JJ361" s="27"/>
      <c r="JK361" s="27"/>
      <c r="JL361" s="27"/>
      <c r="JM361" s="27"/>
      <c r="JN361" s="27"/>
      <c r="JO361" s="27"/>
      <c r="JP361" s="27"/>
      <c r="JQ361" s="27"/>
      <c r="JR361" s="27"/>
      <c r="JS361" s="27"/>
      <c r="JT361" s="27"/>
      <c r="JU361" s="30"/>
      <c r="JV361" s="30" t="s">
        <v>3651</v>
      </c>
      <c r="JW361" s="30"/>
      <c r="JX361" s="30" t="s">
        <v>353</v>
      </c>
      <c r="JY361" s="30" t="s">
        <v>321</v>
      </c>
      <c r="JZ361" s="30" t="s">
        <v>320</v>
      </c>
      <c r="KA361" s="30" t="s">
        <v>321</v>
      </c>
      <c r="KB361" s="30" t="s">
        <v>322</v>
      </c>
      <c r="KC361" s="30"/>
      <c r="KD361" s="30"/>
      <c r="KE361" s="30"/>
      <c r="KF361" s="30"/>
      <c r="KG361" s="29" t="s">
        <v>323</v>
      </c>
      <c r="KH361" s="29"/>
      <c r="KI361" s="29"/>
      <c r="KJ361" s="29"/>
      <c r="KK361" s="29"/>
      <c r="KL361" s="29"/>
      <c r="KM361" s="29"/>
      <c r="KN361" s="29"/>
      <c r="KO361" s="29"/>
      <c r="KP361" s="14" t="s">
        <v>645</v>
      </c>
      <c r="KQ361" s="14" t="s">
        <v>645</v>
      </c>
      <c r="KR361" s="14" t="s">
        <v>645</v>
      </c>
      <c r="KS361" s="14"/>
      <c r="KT361" s="14"/>
    </row>
    <row r="362" spans="1:306" ht="156" x14ac:dyDescent="0.25">
      <c r="A362" s="14" t="s">
        <v>5737</v>
      </c>
      <c r="B362" s="29" t="s">
        <v>293</v>
      </c>
      <c r="C362" s="30" t="s">
        <v>896</v>
      </c>
      <c r="D362" s="26" t="s">
        <v>2673</v>
      </c>
      <c r="E362" s="29">
        <v>455353</v>
      </c>
      <c r="F362" s="29"/>
      <c r="G362" s="29" t="s">
        <v>296</v>
      </c>
      <c r="H362" s="31">
        <v>145.321</v>
      </c>
      <c r="I362" s="31">
        <v>-41.701000000000001</v>
      </c>
      <c r="J362" s="29" t="s">
        <v>5738</v>
      </c>
      <c r="K362" s="29" t="s">
        <v>298</v>
      </c>
      <c r="L362" s="29" t="s">
        <v>400</v>
      </c>
      <c r="M362" s="29" t="s">
        <v>401</v>
      </c>
      <c r="N362" s="29"/>
      <c r="O362" s="26"/>
      <c r="P362" s="29"/>
      <c r="Q362" s="26"/>
      <c r="R362" s="26"/>
      <c r="S362" s="27"/>
      <c r="T362" s="27"/>
      <c r="U362" s="27"/>
      <c r="V362" s="27"/>
      <c r="W362" s="27"/>
      <c r="X362" s="27"/>
      <c r="Y362" s="26"/>
      <c r="Z362" s="29" t="s">
        <v>293</v>
      </c>
      <c r="AA362" s="30" t="s">
        <v>896</v>
      </c>
      <c r="AB362" s="26" t="s">
        <v>2673</v>
      </c>
      <c r="AC362" s="29" t="s">
        <v>301</v>
      </c>
      <c r="AD362" s="29" t="s">
        <v>302</v>
      </c>
      <c r="AE362" s="26">
        <v>380</v>
      </c>
      <c r="AF362" s="26">
        <v>8</v>
      </c>
      <c r="AG362" s="27" t="s">
        <v>303</v>
      </c>
      <c r="AH362" s="27" t="s">
        <v>304</v>
      </c>
      <c r="AI362" s="27" t="s">
        <v>305</v>
      </c>
      <c r="AJ362" s="27" t="s">
        <v>306</v>
      </c>
      <c r="AK362" s="27" t="s">
        <v>307</v>
      </c>
      <c r="AL362" s="27" t="s">
        <v>308</v>
      </c>
      <c r="AM362" s="26">
        <v>5</v>
      </c>
      <c r="AN362" s="29"/>
      <c r="AO362" s="29"/>
      <c r="AP362" s="29"/>
      <c r="AQ362" s="30"/>
      <c r="AR362" s="26"/>
      <c r="AS362" s="30"/>
      <c r="AT362" s="30"/>
      <c r="AU362" s="27"/>
      <c r="AV362" s="27"/>
      <c r="AW362" s="27"/>
      <c r="AX362" s="27"/>
      <c r="AY362" s="27"/>
      <c r="AZ362" s="27"/>
      <c r="BA362" s="26"/>
      <c r="BB362" s="29"/>
      <c r="BC362" s="29"/>
      <c r="BD362" s="29"/>
      <c r="BE362" s="30"/>
      <c r="BF362" s="26"/>
      <c r="BG362" s="27"/>
      <c r="BH362" s="27"/>
      <c r="BI362" s="27"/>
      <c r="BJ362" s="27"/>
      <c r="BK362" s="27"/>
      <c r="BL362" s="27"/>
      <c r="BM362" s="27"/>
      <c r="BN362" s="27"/>
      <c r="BO362" s="26"/>
      <c r="BP362" s="30">
        <v>45</v>
      </c>
      <c r="BQ362" s="31"/>
      <c r="BR362" s="30">
        <v>0.1</v>
      </c>
      <c r="BS362" s="31"/>
      <c r="BT362" s="31"/>
      <c r="BU362" s="26"/>
      <c r="BV362" s="31"/>
      <c r="BW362" s="31"/>
      <c r="BX362" s="31"/>
      <c r="BY362" s="31"/>
      <c r="BZ362" s="31"/>
      <c r="CA362" s="31"/>
      <c r="CB362" s="31"/>
      <c r="CC362" s="31"/>
      <c r="CD362" s="31"/>
      <c r="CE362" s="31"/>
      <c r="CF362" s="31"/>
      <c r="CG362" s="31"/>
      <c r="CH362" s="31"/>
      <c r="CI362" s="31"/>
      <c r="CJ362" s="26">
        <f>14*(3*55.845/(3*55.845+4*15.99))</f>
        <v>10.131925095574418</v>
      </c>
      <c r="CK362" s="31"/>
      <c r="CL362" s="31"/>
      <c r="CM362" s="31"/>
      <c r="CN362" s="31"/>
      <c r="CO362" s="31"/>
      <c r="CP362" s="31"/>
      <c r="CQ362" s="31"/>
      <c r="CR362" s="31"/>
      <c r="CS362" s="31"/>
      <c r="CT362" s="31"/>
      <c r="CU362" s="31"/>
      <c r="CV362" s="31"/>
      <c r="CW362" s="31"/>
      <c r="CX362" s="31"/>
      <c r="CY362" s="30">
        <v>0.2</v>
      </c>
      <c r="CZ362" s="31"/>
      <c r="DA362" s="31"/>
      <c r="DB362" s="31"/>
      <c r="DC362" s="31"/>
      <c r="DD362" s="31"/>
      <c r="DE362" s="30">
        <v>0.1</v>
      </c>
      <c r="DF362" s="31"/>
      <c r="DG362" s="31"/>
      <c r="DH362" s="31"/>
      <c r="DI362" s="31"/>
      <c r="DJ362" s="31"/>
      <c r="DK362" s="31"/>
      <c r="DL362" s="31"/>
      <c r="DM362" s="31"/>
      <c r="DN362" s="31"/>
      <c r="DO362" s="31"/>
      <c r="DP362" s="31"/>
      <c r="DQ362" s="31"/>
      <c r="DR362" s="31"/>
      <c r="DS362" s="31"/>
      <c r="DT362" s="31"/>
      <c r="DU362" s="31"/>
      <c r="DV362" s="31"/>
      <c r="DW362" s="31"/>
      <c r="DX362" s="31"/>
      <c r="DY362" s="31"/>
      <c r="DZ362" s="31"/>
      <c r="EA362" s="31"/>
      <c r="EB362" s="31"/>
      <c r="EC362" s="31"/>
      <c r="ED362" s="31"/>
      <c r="EE362" s="31"/>
      <c r="EF362" s="31"/>
      <c r="EG362" s="31"/>
      <c r="EH362" s="32">
        <f>BP362*BR362/100</f>
        <v>4.4999999999999998E-2</v>
      </c>
      <c r="EI362" s="32"/>
      <c r="EJ362" s="32"/>
      <c r="EK362" s="32"/>
      <c r="EL362" s="31"/>
      <c r="EM362" s="31"/>
      <c r="EN362" s="31"/>
      <c r="EO362" s="31"/>
      <c r="EP362" s="31"/>
      <c r="EQ362" s="31"/>
      <c r="ER362" s="31"/>
      <c r="ES362" s="31"/>
      <c r="ET362" s="31"/>
      <c r="EU362" s="31"/>
      <c r="EV362" s="31"/>
      <c r="EW362" s="31"/>
      <c r="EX362" s="31"/>
      <c r="EY362" s="30">
        <f>BP362*CJ362/100</f>
        <v>4.5593662930084884</v>
      </c>
      <c r="EZ362" s="31"/>
      <c r="FA362" s="31"/>
      <c r="FB362" s="31"/>
      <c r="FC362" s="31"/>
      <c r="FD362" s="31"/>
      <c r="FE362" s="31"/>
      <c r="FF362" s="31"/>
      <c r="FG362" s="31"/>
      <c r="FH362" s="31"/>
      <c r="FI362" s="31"/>
      <c r="FJ362" s="31"/>
      <c r="FK362" s="31"/>
      <c r="FL362" s="31"/>
      <c r="FM362" s="31"/>
      <c r="FN362" s="26">
        <v>81</v>
      </c>
      <c r="FO362" s="31"/>
      <c r="FP362" s="31"/>
      <c r="FQ362" s="31"/>
      <c r="FR362" s="31"/>
      <c r="FS362" s="31"/>
      <c r="FT362" s="26">
        <v>32</v>
      </c>
      <c r="FU362" s="31"/>
      <c r="FV362" s="31"/>
      <c r="FW362" s="31"/>
      <c r="FX362" s="31"/>
      <c r="FY362" s="31"/>
      <c r="FZ362" s="31"/>
      <c r="GA362" s="31"/>
      <c r="GB362" s="31"/>
      <c r="GC362" s="31"/>
      <c r="GD362" s="31"/>
      <c r="GE362" s="31"/>
      <c r="GF362" s="31"/>
      <c r="GG362" s="31"/>
      <c r="GH362" s="31"/>
      <c r="GI362" s="31"/>
      <c r="GJ362" s="31"/>
      <c r="GK362" s="31"/>
      <c r="GL362" s="31"/>
      <c r="GM362" s="31"/>
      <c r="GN362" s="31"/>
      <c r="GO362" s="31"/>
      <c r="GP362" s="32"/>
      <c r="GQ362" s="31"/>
      <c r="GR362" s="31"/>
      <c r="GS362" s="31"/>
      <c r="GT362" s="31"/>
      <c r="GU362" s="31"/>
      <c r="GV362" s="31"/>
      <c r="GW362" s="31"/>
      <c r="GX362" s="31"/>
      <c r="GY362" s="31" t="s">
        <v>407</v>
      </c>
      <c r="GZ362" s="31" t="s">
        <v>5739</v>
      </c>
      <c r="HA362" s="31"/>
      <c r="HB362" s="31" t="s">
        <v>994</v>
      </c>
      <c r="HC362" s="31" t="s">
        <v>5740</v>
      </c>
      <c r="HD362" s="26" t="s">
        <v>5741</v>
      </c>
      <c r="HE362" s="26">
        <v>4898</v>
      </c>
      <c r="HF362" s="26" t="s">
        <v>5742</v>
      </c>
      <c r="HG362" s="27" t="s">
        <v>4612</v>
      </c>
      <c r="HH362" s="27" t="s">
        <v>5743</v>
      </c>
      <c r="HI362" s="26">
        <v>17488</v>
      </c>
      <c r="HJ362" s="27" t="s">
        <v>5744</v>
      </c>
      <c r="HK362" s="27" t="s">
        <v>4612</v>
      </c>
      <c r="HL362" s="27"/>
      <c r="HM362" s="26"/>
      <c r="HN362" s="27"/>
      <c r="HO362" s="27"/>
      <c r="HP362" s="27"/>
      <c r="HQ362" s="27"/>
      <c r="HR362" s="27"/>
      <c r="HS362" s="27"/>
      <c r="HT362" s="27"/>
      <c r="HU362" s="27"/>
      <c r="HV362" s="27"/>
      <c r="HW362" s="27"/>
      <c r="HX362" s="27"/>
      <c r="HY362" s="27"/>
      <c r="HZ362" s="27"/>
      <c r="IA362" s="27"/>
      <c r="IB362" s="26" t="s">
        <v>2213</v>
      </c>
      <c r="IC362" s="26">
        <v>11660</v>
      </c>
      <c r="ID362" s="26" t="s">
        <v>2214</v>
      </c>
      <c r="IE362" s="26" t="s">
        <v>318</v>
      </c>
      <c r="IF362" s="26" t="s">
        <v>319</v>
      </c>
      <c r="IG362" s="26"/>
      <c r="IH362" s="26"/>
      <c r="II362" s="26"/>
      <c r="IJ362" s="26"/>
      <c r="IK362" s="26"/>
      <c r="IL362" s="27"/>
      <c r="IM362" s="27"/>
      <c r="IN362" s="27"/>
      <c r="IO362" s="27"/>
      <c r="IP362" s="27"/>
      <c r="IQ362" s="27"/>
      <c r="IR362" s="27"/>
      <c r="IS362" s="27"/>
      <c r="IT362" s="27"/>
      <c r="IU362" s="27"/>
      <c r="IV362" s="27"/>
      <c r="IW362" s="27"/>
      <c r="IX362" s="27"/>
      <c r="IY362" s="27"/>
      <c r="IZ362" s="27"/>
      <c r="JA362" s="27"/>
      <c r="JB362" s="27"/>
      <c r="JC362" s="27"/>
      <c r="JD362" s="27"/>
      <c r="JE362" s="27"/>
      <c r="JF362" s="27"/>
      <c r="JG362" s="27"/>
      <c r="JH362" s="27"/>
      <c r="JI362" s="27"/>
      <c r="JJ362" s="27"/>
      <c r="JK362" s="27"/>
      <c r="JL362" s="27"/>
      <c r="JM362" s="27"/>
      <c r="JN362" s="27"/>
      <c r="JO362" s="27"/>
      <c r="JP362" s="27"/>
      <c r="JQ362" s="27"/>
      <c r="JR362" s="27"/>
      <c r="JS362" s="27"/>
      <c r="JT362" s="27"/>
      <c r="JU362" s="30"/>
      <c r="JV362" s="30" t="s">
        <v>5745</v>
      </c>
      <c r="JW362" s="30" t="s">
        <v>910</v>
      </c>
      <c r="JX362" s="30" t="s">
        <v>353</v>
      </c>
      <c r="JY362" s="30" t="s">
        <v>448</v>
      </c>
      <c r="JZ362" s="30" t="s">
        <v>322</v>
      </c>
      <c r="KA362" s="30" t="s">
        <v>354</v>
      </c>
      <c r="KB362" s="30" t="s">
        <v>320</v>
      </c>
      <c r="KC362" s="30"/>
      <c r="KD362" s="30"/>
      <c r="KE362" s="30"/>
      <c r="KF362" s="30"/>
      <c r="KG362" s="29" t="s">
        <v>323</v>
      </c>
      <c r="KH362" s="29"/>
      <c r="KI362" s="29"/>
      <c r="KJ362" s="29"/>
      <c r="KK362" s="29"/>
      <c r="KL362" s="29"/>
      <c r="KM362" s="29"/>
      <c r="KN362" s="29"/>
      <c r="KO362" s="29"/>
      <c r="KP362" s="14" t="s">
        <v>5746</v>
      </c>
      <c r="KQ362" s="14" t="s">
        <v>5747</v>
      </c>
      <c r="KR362" s="14" t="s">
        <v>2218</v>
      </c>
      <c r="KS362" s="14" t="s">
        <v>5748</v>
      </c>
      <c r="KT362" s="14" t="s">
        <v>5749</v>
      </c>
    </row>
    <row r="363" spans="1:306" ht="60" x14ac:dyDescent="0.25">
      <c r="A363" s="5" t="s">
        <v>6660</v>
      </c>
      <c r="B363" s="4" t="s">
        <v>293</v>
      </c>
      <c r="C363" s="7" t="s">
        <v>896</v>
      </c>
      <c r="D363" s="8" t="s">
        <v>2673</v>
      </c>
      <c r="E363" s="4">
        <v>334429</v>
      </c>
      <c r="G363" s="4" t="s">
        <v>479</v>
      </c>
      <c r="H363" s="6">
        <v>145.17000100000001</v>
      </c>
      <c r="I363" s="6">
        <v>-17.703648999999999</v>
      </c>
      <c r="J363" s="4" t="s">
        <v>1017</v>
      </c>
      <c r="K363" s="4" t="s">
        <v>298</v>
      </c>
      <c r="L363" s="4" t="s">
        <v>1018</v>
      </c>
      <c r="M363" s="4" t="s">
        <v>1019</v>
      </c>
      <c r="Q363" s="8"/>
      <c r="R363" s="8"/>
      <c r="Z363" s="4" t="s">
        <v>293</v>
      </c>
      <c r="AA363" s="7" t="s">
        <v>896</v>
      </c>
      <c r="AB363" s="8" t="s">
        <v>2673</v>
      </c>
      <c r="AC363" s="4" t="s">
        <v>301</v>
      </c>
      <c r="AE363" s="8">
        <v>325</v>
      </c>
      <c r="AF363" s="8"/>
      <c r="AG363" s="9" t="s">
        <v>379</v>
      </c>
      <c r="AH363" s="9" t="s">
        <v>1156</v>
      </c>
      <c r="AM363" s="8">
        <v>3</v>
      </c>
      <c r="BP363" s="7">
        <v>5.39</v>
      </c>
      <c r="BX363" s="6">
        <v>6.57</v>
      </c>
      <c r="CJ363" s="6">
        <v>20.100000000000001</v>
      </c>
      <c r="CY363" s="6">
        <v>0.33</v>
      </c>
      <c r="DZ363" s="31"/>
      <c r="EN363" s="8">
        <f>1000*BP363*BX363/100</f>
        <v>354.12300000000005</v>
      </c>
      <c r="EY363" s="6">
        <f>BP363*CJ363/100</f>
        <v>1.0833900000000001</v>
      </c>
      <c r="FA363" s="6"/>
      <c r="FN363" s="6">
        <f>1000*BP363*CY363/100</f>
        <v>17.786999999999999</v>
      </c>
      <c r="GP363" s="32"/>
      <c r="GY363" s="6" t="s">
        <v>338</v>
      </c>
      <c r="GZ363" s="6" t="s">
        <v>2674</v>
      </c>
      <c r="HC363" s="6" t="s">
        <v>2675</v>
      </c>
      <c r="HD363" s="7" t="s">
        <v>2676</v>
      </c>
      <c r="HE363" s="8">
        <v>3981</v>
      </c>
      <c r="HF363" s="7" t="s">
        <v>2677</v>
      </c>
      <c r="HG363" s="7" t="s">
        <v>2678</v>
      </c>
      <c r="HY363" s="9"/>
      <c r="IB363" s="8" t="s">
        <v>1692</v>
      </c>
      <c r="IC363" s="8">
        <v>28530</v>
      </c>
      <c r="ID363" s="8" t="s">
        <v>2679</v>
      </c>
      <c r="IE363" s="8" t="s">
        <v>1133</v>
      </c>
      <c r="IF363" s="8" t="s">
        <v>319</v>
      </c>
      <c r="IG363" s="8" t="s">
        <v>1692</v>
      </c>
      <c r="IH363" s="8">
        <v>28530</v>
      </c>
      <c r="II363" s="8" t="s">
        <v>3476</v>
      </c>
      <c r="IK363" s="8" t="s">
        <v>319</v>
      </c>
      <c r="IR363" s="9"/>
      <c r="JV363" s="7" t="s">
        <v>2680</v>
      </c>
      <c r="JW363" s="4" t="s">
        <v>910</v>
      </c>
      <c r="JX363" s="7" t="s">
        <v>353</v>
      </c>
      <c r="KG363" s="4" t="s">
        <v>323</v>
      </c>
      <c r="KP363" s="5" t="s">
        <v>358</v>
      </c>
      <c r="KQ363" s="5" t="s">
        <v>6667</v>
      </c>
      <c r="KS363" s="5" t="s">
        <v>3478</v>
      </c>
      <c r="KT363" s="5" t="s">
        <v>3479</v>
      </c>
    </row>
    <row r="364" spans="1:306" ht="72" x14ac:dyDescent="0.25">
      <c r="A364" s="5" t="s">
        <v>3635</v>
      </c>
      <c r="B364" s="4" t="s">
        <v>293</v>
      </c>
      <c r="C364" s="7" t="s">
        <v>896</v>
      </c>
      <c r="D364" s="8" t="s">
        <v>2673</v>
      </c>
      <c r="E364" s="4">
        <v>334647</v>
      </c>
      <c r="G364" s="4" t="s">
        <v>296</v>
      </c>
      <c r="H364" s="6">
        <v>145.423905942</v>
      </c>
      <c r="I364" s="6">
        <v>-41.867806885</v>
      </c>
      <c r="J364" s="4" t="s">
        <v>2864</v>
      </c>
      <c r="K364" s="4" t="s">
        <v>298</v>
      </c>
      <c r="L364" s="4" t="s">
        <v>400</v>
      </c>
      <c r="M364" s="4" t="s">
        <v>401</v>
      </c>
      <c r="Q364" s="8"/>
      <c r="R364" s="8"/>
      <c r="Z364" s="4" t="s">
        <v>293</v>
      </c>
      <c r="AA364" s="7" t="s">
        <v>896</v>
      </c>
      <c r="AB364" s="8" t="s">
        <v>2673</v>
      </c>
      <c r="AC364" s="4" t="s">
        <v>301</v>
      </c>
      <c r="AD364" s="4" t="s">
        <v>302</v>
      </c>
      <c r="AE364" s="8">
        <v>366</v>
      </c>
      <c r="AF364" s="8">
        <v>3</v>
      </c>
      <c r="AG364" s="9" t="s">
        <v>379</v>
      </c>
      <c r="AH364" s="9" t="s">
        <v>483</v>
      </c>
      <c r="AI364" s="9" t="s">
        <v>373</v>
      </c>
      <c r="AJ364" s="9" t="s">
        <v>306</v>
      </c>
      <c r="AK364" s="9" t="s">
        <v>307</v>
      </c>
      <c r="AL364" s="9" t="s">
        <v>308</v>
      </c>
      <c r="AM364" s="8">
        <v>4</v>
      </c>
      <c r="AS364" s="8"/>
      <c r="AT364" s="8"/>
      <c r="BP364" s="7">
        <v>0.59</v>
      </c>
      <c r="CY364" s="6">
        <v>0.85</v>
      </c>
      <c r="DZ364" s="31"/>
      <c r="FN364" s="7">
        <f>1000*BP364*CY364/100</f>
        <v>5.0149999999999997</v>
      </c>
      <c r="GP364" s="32"/>
      <c r="GY364" s="6" t="s">
        <v>309</v>
      </c>
      <c r="GZ364" s="6" t="s">
        <v>639</v>
      </c>
      <c r="HC364" s="6" t="s">
        <v>2675</v>
      </c>
      <c r="HD364" s="8" t="s">
        <v>6825</v>
      </c>
      <c r="HE364" s="8">
        <v>16768</v>
      </c>
      <c r="HF364" s="8" t="s">
        <v>6826</v>
      </c>
      <c r="HG364" s="9" t="s">
        <v>695</v>
      </c>
      <c r="IB364" s="8" t="s">
        <v>6825</v>
      </c>
      <c r="IC364" s="8">
        <v>16768</v>
      </c>
      <c r="ID364" s="8" t="s">
        <v>6826</v>
      </c>
      <c r="IE364" s="9" t="s">
        <v>695</v>
      </c>
      <c r="IF364" s="8" t="s">
        <v>445</v>
      </c>
      <c r="IG364" s="8" t="s">
        <v>2871</v>
      </c>
      <c r="IH364" s="8">
        <v>33459</v>
      </c>
      <c r="II364" s="8" t="s">
        <v>2872</v>
      </c>
      <c r="IJ364" s="8" t="s">
        <v>318</v>
      </c>
      <c r="IK364" s="8" t="s">
        <v>319</v>
      </c>
      <c r="JV364" s="7" t="s">
        <v>6827</v>
      </c>
      <c r="JX364" s="7" t="s">
        <v>322</v>
      </c>
      <c r="JY364" s="7" t="s">
        <v>448</v>
      </c>
      <c r="JZ364" s="7" t="s">
        <v>320</v>
      </c>
      <c r="KA364" s="7" t="s">
        <v>321</v>
      </c>
      <c r="KB364" s="7" t="s">
        <v>738</v>
      </c>
      <c r="KG364" s="4" t="s">
        <v>323</v>
      </c>
      <c r="KP364" s="18" t="s">
        <v>324</v>
      </c>
      <c r="KQ364" s="5" t="s">
        <v>6828</v>
      </c>
      <c r="KR364" s="5" t="s">
        <v>2875</v>
      </c>
      <c r="KS364" s="5" t="s">
        <v>324</v>
      </c>
      <c r="KT364" s="5" t="s">
        <v>6829</v>
      </c>
    </row>
    <row r="365" spans="1:306" ht="24" x14ac:dyDescent="0.2">
      <c r="A365" s="5" t="s">
        <v>7043</v>
      </c>
      <c r="B365" s="4" t="s">
        <v>293</v>
      </c>
      <c r="C365" s="7" t="s">
        <v>896</v>
      </c>
      <c r="D365" s="8" t="s">
        <v>2673</v>
      </c>
      <c r="E365" s="44">
        <v>859627</v>
      </c>
      <c r="F365" s="4">
        <v>1159102</v>
      </c>
      <c r="G365" s="4" t="s">
        <v>479</v>
      </c>
      <c r="H365" s="6">
        <v>145.29292799999999</v>
      </c>
      <c r="I365" s="6">
        <v>-17.554600000000001</v>
      </c>
      <c r="K365" s="4" t="s">
        <v>298</v>
      </c>
      <c r="L365" s="4" t="s">
        <v>1018</v>
      </c>
      <c r="M365" s="4" t="s">
        <v>1019</v>
      </c>
      <c r="Q365" s="8"/>
      <c r="R365" s="8"/>
      <c r="Z365" s="4" t="s">
        <v>293</v>
      </c>
      <c r="AA365" s="7" t="s">
        <v>896</v>
      </c>
      <c r="AB365" s="8" t="s">
        <v>2673</v>
      </c>
      <c r="AC365" s="4" t="s">
        <v>301</v>
      </c>
      <c r="AE365" s="8">
        <v>325</v>
      </c>
      <c r="AF365" s="8"/>
      <c r="AG365" s="9" t="s">
        <v>379</v>
      </c>
      <c r="AH365" s="9" t="s">
        <v>380</v>
      </c>
      <c r="AM365" s="8">
        <v>2</v>
      </c>
      <c r="BP365" s="7">
        <v>10</v>
      </c>
      <c r="CY365" s="6">
        <v>0.08</v>
      </c>
      <c r="DZ365" s="31"/>
      <c r="EY365" s="6"/>
      <c r="FA365" s="6"/>
      <c r="FN365" s="6">
        <v>7874</v>
      </c>
      <c r="GP365" s="32"/>
      <c r="GY365" s="31" t="s">
        <v>407</v>
      </c>
      <c r="GZ365" s="6" t="s">
        <v>639</v>
      </c>
      <c r="HC365" s="6" t="s">
        <v>2675</v>
      </c>
      <c r="HG365" s="8"/>
      <c r="HY365" s="9"/>
      <c r="IR365" s="9"/>
      <c r="KP365" s="5" t="s">
        <v>1039</v>
      </c>
      <c r="KQ365" s="5" t="s">
        <v>1039</v>
      </c>
      <c r="KS365" s="5" t="s">
        <v>1039</v>
      </c>
      <c r="KT365" s="5" t="s">
        <v>7044</v>
      </c>
    </row>
    <row r="366" spans="1:306" ht="60" x14ac:dyDescent="0.25">
      <c r="A366" s="5" t="s">
        <v>8109</v>
      </c>
      <c r="B366" s="4" t="s">
        <v>293</v>
      </c>
      <c r="C366" s="7" t="s">
        <v>896</v>
      </c>
      <c r="D366" s="8" t="s">
        <v>2673</v>
      </c>
      <c r="E366" s="4">
        <v>333942</v>
      </c>
      <c r="G366" s="4" t="s">
        <v>479</v>
      </c>
      <c r="H366" s="6">
        <v>145.31169800000001</v>
      </c>
      <c r="I366" s="6">
        <v>-17.565881999999998</v>
      </c>
      <c r="J366" s="4" t="s">
        <v>1017</v>
      </c>
      <c r="K366" s="4" t="s">
        <v>298</v>
      </c>
      <c r="L366" s="4" t="s">
        <v>1018</v>
      </c>
      <c r="M366" s="4" t="s">
        <v>1019</v>
      </c>
      <c r="Q366" s="8"/>
      <c r="R366" s="8"/>
      <c r="Z366" s="4" t="s">
        <v>293</v>
      </c>
      <c r="AA366" s="7" t="s">
        <v>896</v>
      </c>
      <c r="AB366" s="8" t="s">
        <v>2673</v>
      </c>
      <c r="AC366" s="4" t="s">
        <v>301</v>
      </c>
      <c r="AE366" s="8">
        <v>325</v>
      </c>
      <c r="AF366" s="8"/>
      <c r="AG366" s="9" t="s">
        <v>379</v>
      </c>
      <c r="AH366" s="9" t="s">
        <v>1156</v>
      </c>
      <c r="AM366" s="8">
        <v>3</v>
      </c>
      <c r="BP366" s="7">
        <v>2.04</v>
      </c>
      <c r="CJ366" s="6">
        <v>24.54</v>
      </c>
      <c r="CY366" s="6">
        <v>0.27</v>
      </c>
      <c r="DZ366" s="31"/>
      <c r="EY366" s="6">
        <f>BP366*CJ366/100</f>
        <v>0.50061599999999995</v>
      </c>
      <c r="FA366" s="6"/>
      <c r="FN366" s="6">
        <f>1000*BP366*CY366/100</f>
        <v>5.5080000000000009</v>
      </c>
      <c r="GP366" s="32"/>
      <c r="GY366" s="6" t="s">
        <v>338</v>
      </c>
      <c r="GZ366" s="6" t="s">
        <v>2674</v>
      </c>
      <c r="HC366" s="6" t="s">
        <v>2675</v>
      </c>
      <c r="HD366" s="7" t="s">
        <v>2676</v>
      </c>
      <c r="HE366" s="8">
        <v>3981</v>
      </c>
      <c r="HF366" s="7" t="s">
        <v>2677</v>
      </c>
      <c r="HG366" s="7" t="s">
        <v>2678</v>
      </c>
      <c r="HY366" s="9"/>
      <c r="IB366" s="8" t="s">
        <v>1692</v>
      </c>
      <c r="IC366" s="8">
        <v>28530</v>
      </c>
      <c r="ID366" s="8" t="s">
        <v>2679</v>
      </c>
      <c r="IE366" s="8" t="s">
        <v>1133</v>
      </c>
      <c r="IF366" s="8" t="s">
        <v>319</v>
      </c>
      <c r="IR366" s="9"/>
      <c r="JV366" s="7" t="s">
        <v>2680</v>
      </c>
      <c r="JW366" s="4" t="s">
        <v>910</v>
      </c>
      <c r="JX366" s="7" t="s">
        <v>353</v>
      </c>
      <c r="KG366" s="4" t="s">
        <v>323</v>
      </c>
      <c r="KP366" s="5" t="s">
        <v>358</v>
      </c>
      <c r="KQ366" s="5" t="s">
        <v>6667</v>
      </c>
      <c r="KS366" s="5" t="s">
        <v>3478</v>
      </c>
      <c r="KT366" s="5" t="s">
        <v>3479</v>
      </c>
    </row>
    <row r="367" spans="1:306" ht="96" x14ac:dyDescent="0.25">
      <c r="A367" s="5" t="s">
        <v>914</v>
      </c>
      <c r="B367" s="4" t="s">
        <v>293</v>
      </c>
      <c r="C367" s="7" t="s">
        <v>896</v>
      </c>
      <c r="D367" s="8" t="s">
        <v>915</v>
      </c>
      <c r="E367" s="4">
        <v>339010</v>
      </c>
      <c r="G367" s="4" t="s">
        <v>427</v>
      </c>
      <c r="H367" s="6">
        <v>150.93291600000001</v>
      </c>
      <c r="I367" s="6">
        <v>-30.917126</v>
      </c>
      <c r="J367" s="4" t="s">
        <v>898</v>
      </c>
      <c r="K367" s="4" t="s">
        <v>298</v>
      </c>
      <c r="L367" s="4" t="s">
        <v>552</v>
      </c>
      <c r="M367" s="4" t="s">
        <v>899</v>
      </c>
      <c r="Q367" s="7"/>
      <c r="R367" s="7"/>
      <c r="S367" s="4"/>
      <c r="U367" s="4"/>
      <c r="V367" s="4"/>
      <c r="W367" s="4"/>
      <c r="X367" s="4"/>
      <c r="Z367" s="4" t="s">
        <v>293</v>
      </c>
      <c r="AA367" s="7" t="s">
        <v>896</v>
      </c>
      <c r="AB367" s="8" t="s">
        <v>915</v>
      </c>
      <c r="AC367" s="4" t="s">
        <v>301</v>
      </c>
      <c r="AD367" s="4" t="s">
        <v>302</v>
      </c>
      <c r="AE367" s="7">
        <v>252.6</v>
      </c>
      <c r="AF367" s="7">
        <v>1.9</v>
      </c>
      <c r="AG367" s="4" t="s">
        <v>379</v>
      </c>
      <c r="AH367" s="9" t="s">
        <v>483</v>
      </c>
      <c r="AI367" s="4" t="s">
        <v>373</v>
      </c>
      <c r="AJ367" s="4" t="s">
        <v>306</v>
      </c>
      <c r="AK367" s="4" t="s">
        <v>307</v>
      </c>
      <c r="AL367" s="4" t="s">
        <v>337</v>
      </c>
      <c r="AM367" s="8">
        <v>4</v>
      </c>
      <c r="AS367" s="7"/>
      <c r="AT367" s="7"/>
      <c r="BP367" s="7">
        <v>1.29</v>
      </c>
      <c r="CT367" s="6">
        <v>0.05</v>
      </c>
      <c r="DE367" s="6">
        <v>0.61</v>
      </c>
      <c r="DZ367" s="31"/>
      <c r="EY367" s="6"/>
      <c r="FA367" s="6"/>
      <c r="FI367" s="6">
        <f>1000*BP367*CT367/100</f>
        <v>0.64500000000000002</v>
      </c>
      <c r="FT367" s="6">
        <f>1000*BP367*DE367/100</f>
        <v>7.8689999999999998</v>
      </c>
      <c r="GP367" s="32"/>
      <c r="GY367" s="6" t="s">
        <v>338</v>
      </c>
      <c r="GZ367" s="6" t="s">
        <v>916</v>
      </c>
      <c r="HA367" s="6" t="s">
        <v>763</v>
      </c>
      <c r="HC367" s="6" t="s">
        <v>917</v>
      </c>
      <c r="HD367" s="8" t="s">
        <v>900</v>
      </c>
      <c r="HE367" s="8">
        <v>70280</v>
      </c>
      <c r="HF367" s="8" t="s">
        <v>918</v>
      </c>
      <c r="HG367" s="9" t="s">
        <v>902</v>
      </c>
      <c r="HY367" s="9"/>
      <c r="IB367" s="8" t="s">
        <v>903</v>
      </c>
      <c r="IC367" s="8">
        <v>8716</v>
      </c>
      <c r="ID367" s="8" t="s">
        <v>904</v>
      </c>
      <c r="IE367" s="8" t="s">
        <v>905</v>
      </c>
      <c r="IF367" s="8" t="s">
        <v>319</v>
      </c>
      <c r="IG367" s="8" t="s">
        <v>907</v>
      </c>
      <c r="IH367" s="8">
        <v>41049</v>
      </c>
      <c r="II367" s="8" t="s">
        <v>908</v>
      </c>
      <c r="IJ367" s="8" t="s">
        <v>905</v>
      </c>
      <c r="IK367" s="8" t="s">
        <v>319</v>
      </c>
      <c r="IW367" s="8"/>
      <c r="JB367" s="8"/>
      <c r="JV367" s="7" t="s">
        <v>919</v>
      </c>
      <c r="JW367" s="7" t="s">
        <v>910</v>
      </c>
      <c r="JX367" s="7" t="s">
        <v>353</v>
      </c>
      <c r="KG367" s="4" t="s">
        <v>323</v>
      </c>
      <c r="KM367" s="4" t="s">
        <v>911</v>
      </c>
      <c r="KN367" s="4" t="s">
        <v>911</v>
      </c>
      <c r="KP367" s="5" t="s">
        <v>912</v>
      </c>
      <c r="KQ367" s="5" t="s">
        <v>920</v>
      </c>
      <c r="KR367" s="5" t="s">
        <v>921</v>
      </c>
      <c r="KS367" s="5" t="s">
        <v>912</v>
      </c>
      <c r="KT367" s="5" t="s">
        <v>922</v>
      </c>
    </row>
    <row r="368" spans="1:306" ht="115.5" x14ac:dyDescent="0.25">
      <c r="A368" s="14" t="s">
        <v>4607</v>
      </c>
      <c r="B368" s="29" t="s">
        <v>293</v>
      </c>
      <c r="C368" s="30" t="s">
        <v>896</v>
      </c>
      <c r="D368" s="26" t="s">
        <v>915</v>
      </c>
      <c r="E368" s="29">
        <v>334841</v>
      </c>
      <c r="F368" s="29"/>
      <c r="G368" s="29" t="s">
        <v>296</v>
      </c>
      <c r="H368" s="31">
        <v>144.063223626</v>
      </c>
      <c r="I368" s="31">
        <v>-40.055044840999997</v>
      </c>
      <c r="J368" s="29" t="s">
        <v>4608</v>
      </c>
      <c r="K368" s="29" t="s">
        <v>298</v>
      </c>
      <c r="L368" s="29" t="s">
        <v>400</v>
      </c>
      <c r="M368" s="29" t="s">
        <v>401</v>
      </c>
      <c r="N368" s="29"/>
      <c r="O368" s="26"/>
      <c r="P368" s="29"/>
      <c r="Q368" s="30"/>
      <c r="R368" s="30"/>
      <c r="S368" s="27"/>
      <c r="T368" s="27"/>
      <c r="U368" s="27"/>
      <c r="V368" s="27"/>
      <c r="W368" s="27"/>
      <c r="X368" s="27"/>
      <c r="Y368" s="26"/>
      <c r="Z368" s="29" t="s">
        <v>293</v>
      </c>
      <c r="AA368" s="30" t="s">
        <v>896</v>
      </c>
      <c r="AB368" s="26" t="s">
        <v>915</v>
      </c>
      <c r="AC368" s="29" t="s">
        <v>301</v>
      </c>
      <c r="AD368" s="29" t="s">
        <v>302</v>
      </c>
      <c r="AE368" s="30">
        <v>358.2</v>
      </c>
      <c r="AF368" s="30">
        <v>2.4</v>
      </c>
      <c r="AG368" s="27" t="s">
        <v>303</v>
      </c>
      <c r="AH368" s="27" t="s">
        <v>304</v>
      </c>
      <c r="AI368" s="27" t="s">
        <v>598</v>
      </c>
      <c r="AJ368" s="27" t="s">
        <v>599</v>
      </c>
      <c r="AK368" s="27" t="s">
        <v>600</v>
      </c>
      <c r="AL368" s="27"/>
      <c r="AM368" s="26">
        <v>5</v>
      </c>
      <c r="AN368" s="29"/>
      <c r="AO368" s="29"/>
      <c r="AP368" s="29"/>
      <c r="AQ368" s="30"/>
      <c r="AR368" s="26"/>
      <c r="AS368" s="27"/>
      <c r="AT368" s="27"/>
      <c r="AU368" s="27"/>
      <c r="AV368" s="27"/>
      <c r="AW368" s="27"/>
      <c r="AX368" s="27"/>
      <c r="AY368" s="27"/>
      <c r="AZ368" s="27"/>
      <c r="BA368" s="26"/>
      <c r="BB368" s="29"/>
      <c r="BC368" s="29"/>
      <c r="BD368" s="29"/>
      <c r="BE368" s="30"/>
      <c r="BF368" s="26"/>
      <c r="BG368" s="27"/>
      <c r="BH368" s="27"/>
      <c r="BI368" s="27"/>
      <c r="BJ368" s="27"/>
      <c r="BK368" s="27"/>
      <c r="BL368" s="27"/>
      <c r="BM368" s="27"/>
      <c r="BN368" s="27"/>
      <c r="BO368" s="26"/>
      <c r="BP368" s="30">
        <v>21.4</v>
      </c>
      <c r="BQ368" s="31"/>
      <c r="BR368" s="31"/>
      <c r="BS368" s="31"/>
      <c r="BT368" s="31"/>
      <c r="BU368" s="26"/>
      <c r="BV368" s="31"/>
      <c r="BW368" s="31"/>
      <c r="BX368" s="31"/>
      <c r="BY368" s="31"/>
      <c r="BZ368" s="31"/>
      <c r="CA368" s="31"/>
      <c r="CB368" s="31"/>
      <c r="CC368" s="31"/>
      <c r="CD368" s="31"/>
      <c r="CE368" s="31"/>
      <c r="CF368" s="31"/>
      <c r="CG368" s="31"/>
      <c r="CH368" s="31"/>
      <c r="CI368" s="31"/>
      <c r="CJ368" s="31"/>
      <c r="CK368" s="31"/>
      <c r="CL368" s="31"/>
      <c r="CM368" s="31"/>
      <c r="CN368" s="31"/>
      <c r="CO368" s="31"/>
      <c r="CP368" s="31"/>
      <c r="CQ368" s="31"/>
      <c r="CR368" s="31"/>
      <c r="CS368" s="31"/>
      <c r="CT368" s="32"/>
      <c r="CU368" s="31"/>
      <c r="CV368" s="31"/>
      <c r="CW368" s="31"/>
      <c r="CX368" s="31"/>
      <c r="CY368" s="31"/>
      <c r="CZ368" s="31"/>
      <c r="DA368" s="31"/>
      <c r="DB368" s="31"/>
      <c r="DC368" s="31"/>
      <c r="DD368" s="31"/>
      <c r="DE368" s="31">
        <v>0.8</v>
      </c>
      <c r="DF368" s="31"/>
      <c r="DG368" s="31"/>
      <c r="DH368" s="31"/>
      <c r="DI368" s="31"/>
      <c r="DJ368" s="31"/>
      <c r="DK368" s="31"/>
      <c r="DL368" s="31"/>
      <c r="DM368" s="31"/>
      <c r="DN368" s="31"/>
      <c r="DO368" s="31"/>
      <c r="DP368" s="31"/>
      <c r="DQ368" s="31"/>
      <c r="DR368" s="31"/>
      <c r="DS368" s="31"/>
      <c r="DT368" s="31"/>
      <c r="DU368" s="31"/>
      <c r="DV368" s="31"/>
      <c r="DW368" s="31"/>
      <c r="DX368" s="31"/>
      <c r="DY368" s="31"/>
      <c r="DZ368" s="31"/>
      <c r="EA368" s="31"/>
      <c r="EB368" s="31"/>
      <c r="EC368" s="31"/>
      <c r="ED368" s="31"/>
      <c r="EE368" s="31"/>
      <c r="EF368" s="31"/>
      <c r="EG368" s="31"/>
      <c r="EH368" s="32"/>
      <c r="EI368" s="32"/>
      <c r="EJ368" s="32"/>
      <c r="EK368" s="32"/>
      <c r="EL368" s="31"/>
      <c r="EM368" s="31"/>
      <c r="EN368" s="31"/>
      <c r="EO368" s="31"/>
      <c r="EP368" s="31"/>
      <c r="EQ368" s="31"/>
      <c r="ER368" s="31"/>
      <c r="ES368" s="31"/>
      <c r="ET368" s="31"/>
      <c r="EU368" s="31"/>
      <c r="EV368" s="31"/>
      <c r="EW368" s="31"/>
      <c r="EX368" s="31"/>
      <c r="EY368" s="31"/>
      <c r="EZ368" s="31"/>
      <c r="FA368" s="31"/>
      <c r="FB368" s="31"/>
      <c r="FC368" s="31"/>
      <c r="FD368" s="31"/>
      <c r="FE368" s="31"/>
      <c r="FF368" s="31"/>
      <c r="FG368" s="31"/>
      <c r="FH368" s="31"/>
      <c r="FI368" s="31"/>
      <c r="FJ368" s="31"/>
      <c r="FK368" s="31"/>
      <c r="FL368" s="31"/>
      <c r="FM368" s="31"/>
      <c r="FN368" s="31"/>
      <c r="FO368" s="31"/>
      <c r="FP368" s="31"/>
      <c r="FQ368" s="31"/>
      <c r="FR368" s="31"/>
      <c r="FS368" s="31"/>
      <c r="FT368" s="26">
        <f>1000*BP368*DE368/100</f>
        <v>171.2</v>
      </c>
      <c r="FU368" s="31"/>
      <c r="FV368" s="31"/>
      <c r="FW368" s="31"/>
      <c r="FX368" s="31"/>
      <c r="FY368" s="31"/>
      <c r="FZ368" s="31"/>
      <c r="GA368" s="31"/>
      <c r="GB368" s="31"/>
      <c r="GC368" s="31"/>
      <c r="GD368" s="31"/>
      <c r="GE368" s="31"/>
      <c r="GF368" s="31"/>
      <c r="GG368" s="31"/>
      <c r="GH368" s="31"/>
      <c r="GI368" s="31"/>
      <c r="GJ368" s="31"/>
      <c r="GK368" s="31"/>
      <c r="GL368" s="31"/>
      <c r="GM368" s="31"/>
      <c r="GN368" s="31"/>
      <c r="GO368" s="31"/>
      <c r="GP368" s="32"/>
      <c r="GQ368" s="31"/>
      <c r="GR368" s="31"/>
      <c r="GS368" s="31"/>
      <c r="GT368" s="31"/>
      <c r="GU368" s="31"/>
      <c r="GV368" s="31"/>
      <c r="GW368" s="31"/>
      <c r="GX368" s="31"/>
      <c r="GY368" s="31" t="s">
        <v>435</v>
      </c>
      <c r="GZ368" s="31" t="s">
        <v>916</v>
      </c>
      <c r="HA368" s="31"/>
      <c r="HB368" s="31"/>
      <c r="HC368" s="31" t="s">
        <v>4609</v>
      </c>
      <c r="HD368" s="31" t="s">
        <v>4610</v>
      </c>
      <c r="HE368" s="26">
        <v>7717</v>
      </c>
      <c r="HF368" s="26" t="s">
        <v>4611</v>
      </c>
      <c r="HG368" s="27" t="s">
        <v>4612</v>
      </c>
      <c r="HH368" s="27"/>
      <c r="HI368" s="26"/>
      <c r="HJ368" s="27"/>
      <c r="HK368" s="27"/>
      <c r="HL368" s="27"/>
      <c r="HM368" s="26"/>
      <c r="HN368" s="27"/>
      <c r="HO368" s="27"/>
      <c r="HP368" s="27"/>
      <c r="HQ368" s="27"/>
      <c r="HR368" s="27"/>
      <c r="HS368" s="27"/>
      <c r="HT368" s="27"/>
      <c r="HU368" s="27"/>
      <c r="HV368" s="27"/>
      <c r="HW368" s="27"/>
      <c r="HX368" s="27"/>
      <c r="HY368" s="27"/>
      <c r="HZ368" s="27"/>
      <c r="IA368" s="27"/>
      <c r="IB368" s="26" t="s">
        <v>4613</v>
      </c>
      <c r="IC368" s="26">
        <v>74935</v>
      </c>
      <c r="ID368" s="26" t="s">
        <v>4614</v>
      </c>
      <c r="IE368" s="26" t="s">
        <v>1265</v>
      </c>
      <c r="IF368" s="26" t="s">
        <v>319</v>
      </c>
      <c r="IG368" s="26"/>
      <c r="IH368" s="26"/>
      <c r="II368" s="26"/>
      <c r="IJ368" s="26"/>
      <c r="IK368" s="26"/>
      <c r="IL368" s="27"/>
      <c r="IM368" s="27"/>
      <c r="IN368" s="27"/>
      <c r="IO368" s="27"/>
      <c r="IP368" s="27"/>
      <c r="IQ368" s="27"/>
      <c r="IR368" s="27"/>
      <c r="IS368" s="27"/>
      <c r="IT368" s="27"/>
      <c r="IU368" s="27"/>
      <c r="IV368" s="27"/>
      <c r="IW368" s="27"/>
      <c r="IX368" s="27"/>
      <c r="IY368" s="27"/>
      <c r="IZ368" s="27"/>
      <c r="JA368" s="27"/>
      <c r="JB368" s="27"/>
      <c r="JC368" s="27"/>
      <c r="JD368" s="27"/>
      <c r="JE368" s="27"/>
      <c r="JF368" s="27"/>
      <c r="JG368" s="27"/>
      <c r="JH368" s="27"/>
      <c r="JI368" s="27"/>
      <c r="JJ368" s="27"/>
      <c r="JK368" s="27"/>
      <c r="JL368" s="27"/>
      <c r="JM368" s="27"/>
      <c r="JN368" s="27"/>
      <c r="JO368" s="27"/>
      <c r="JP368" s="27"/>
      <c r="JQ368" s="27"/>
      <c r="JR368" s="27"/>
      <c r="JS368" s="27"/>
      <c r="JT368" s="27"/>
      <c r="JU368" s="30"/>
      <c r="JV368" s="30" t="s">
        <v>4615</v>
      </c>
      <c r="JW368" s="30" t="s">
        <v>910</v>
      </c>
      <c r="JX368" s="30" t="s">
        <v>320</v>
      </c>
      <c r="JY368" s="30" t="s">
        <v>321</v>
      </c>
      <c r="JZ368" s="30" t="s">
        <v>322</v>
      </c>
      <c r="KA368" s="30" t="s">
        <v>321</v>
      </c>
      <c r="KB368" s="30" t="s">
        <v>353</v>
      </c>
      <c r="KC368" s="30"/>
      <c r="KD368" s="30"/>
      <c r="KE368" s="30"/>
      <c r="KF368" s="30"/>
      <c r="KG368" s="29" t="s">
        <v>323</v>
      </c>
      <c r="KH368" s="29"/>
      <c r="KI368" s="29"/>
      <c r="KJ368" s="29"/>
      <c r="KK368" s="29"/>
      <c r="KL368" s="29"/>
      <c r="KM368" s="29"/>
      <c r="KN368" s="29"/>
      <c r="KO368" s="29"/>
      <c r="KP368" s="14" t="s">
        <v>324</v>
      </c>
      <c r="KQ368" s="14" t="s">
        <v>4616</v>
      </c>
      <c r="KR368" s="14" t="s">
        <v>4617</v>
      </c>
      <c r="KS368" s="14" t="s">
        <v>4618</v>
      </c>
      <c r="KT368" s="14" t="s">
        <v>4619</v>
      </c>
    </row>
    <row r="369" spans="1:306" ht="132" x14ac:dyDescent="0.25">
      <c r="A369" s="14" t="s">
        <v>2780</v>
      </c>
      <c r="B369" s="29" t="s">
        <v>293</v>
      </c>
      <c r="C369" s="30" t="s">
        <v>896</v>
      </c>
      <c r="D369" s="26" t="s">
        <v>915</v>
      </c>
      <c r="E369" s="29">
        <v>335752</v>
      </c>
      <c r="F369" s="29"/>
      <c r="G369" s="29" t="s">
        <v>296</v>
      </c>
      <c r="H369" s="31">
        <v>146.07877948000001</v>
      </c>
      <c r="I369" s="31">
        <v>-41.489877425000003</v>
      </c>
      <c r="J369" s="29" t="s">
        <v>2780</v>
      </c>
      <c r="K369" s="29" t="s">
        <v>298</v>
      </c>
      <c r="L369" s="29" t="s">
        <v>400</v>
      </c>
      <c r="M369" s="29" t="s">
        <v>401</v>
      </c>
      <c r="N369" s="29"/>
      <c r="O369" s="26"/>
      <c r="P369" s="29"/>
      <c r="Q369" s="26"/>
      <c r="R369" s="30"/>
      <c r="S369" s="27"/>
      <c r="T369" s="27"/>
      <c r="U369" s="27"/>
      <c r="V369" s="27"/>
      <c r="W369" s="27"/>
      <c r="X369" s="27"/>
      <c r="Y369" s="26"/>
      <c r="Z369" s="29" t="s">
        <v>293</v>
      </c>
      <c r="AA369" s="30" t="s">
        <v>896</v>
      </c>
      <c r="AB369" s="26" t="s">
        <v>915</v>
      </c>
      <c r="AC369" s="29" t="s">
        <v>301</v>
      </c>
      <c r="AD369" s="29" t="s">
        <v>302</v>
      </c>
      <c r="AE369" s="26">
        <v>383</v>
      </c>
      <c r="AF369" s="30"/>
      <c r="AG369" s="27" t="s">
        <v>379</v>
      </c>
      <c r="AH369" s="27" t="s">
        <v>1156</v>
      </c>
      <c r="AI369" s="27"/>
      <c r="AJ369" s="27"/>
      <c r="AK369" s="27"/>
      <c r="AL369" s="27"/>
      <c r="AM369" s="26">
        <v>3</v>
      </c>
      <c r="AN369" s="29"/>
      <c r="AO369" s="29"/>
      <c r="AP369" s="29"/>
      <c r="AQ369" s="30"/>
      <c r="AR369" s="26"/>
      <c r="AS369" s="27"/>
      <c r="AT369" s="27"/>
      <c r="AU369" s="27"/>
      <c r="AV369" s="27"/>
      <c r="AW369" s="27"/>
      <c r="AX369" s="27"/>
      <c r="AY369" s="27"/>
      <c r="AZ369" s="27"/>
      <c r="BA369" s="26"/>
      <c r="BB369" s="29"/>
      <c r="BC369" s="29"/>
      <c r="BD369" s="29"/>
      <c r="BE369" s="30"/>
      <c r="BF369" s="26"/>
      <c r="BG369" s="27"/>
      <c r="BH369" s="27"/>
      <c r="BI369" s="27"/>
      <c r="BJ369" s="27"/>
      <c r="BK369" s="27"/>
      <c r="BL369" s="27"/>
      <c r="BM369" s="27"/>
      <c r="BN369" s="27"/>
      <c r="BO369" s="26"/>
      <c r="BP369" s="30">
        <v>26.1</v>
      </c>
      <c r="BQ369" s="31"/>
      <c r="BR369" s="31"/>
      <c r="BS369" s="31"/>
      <c r="BT369" s="31"/>
      <c r="BU369" s="26"/>
      <c r="BV369" s="31"/>
      <c r="BW369" s="31"/>
      <c r="BX369" s="31"/>
      <c r="BY369" s="26">
        <v>18</v>
      </c>
      <c r="BZ369" s="31"/>
      <c r="CA369" s="31"/>
      <c r="CB369" s="31"/>
      <c r="CC369" s="31"/>
      <c r="CD369" s="31"/>
      <c r="CE369" s="31"/>
      <c r="CF369" s="31"/>
      <c r="CG369" s="31"/>
      <c r="CH369" s="31"/>
      <c r="CI369" s="31"/>
      <c r="CJ369" s="31"/>
      <c r="CK369" s="31"/>
      <c r="CL369" s="31"/>
      <c r="CM369" s="31"/>
      <c r="CN369" s="31"/>
      <c r="CO369" s="31"/>
      <c r="CP369" s="31"/>
      <c r="CQ369" s="31"/>
      <c r="CR369" s="31"/>
      <c r="CS369" s="31"/>
      <c r="CT369" s="31"/>
      <c r="CU369" s="31"/>
      <c r="CV369" s="31"/>
      <c r="CW369" s="31"/>
      <c r="CX369" s="31"/>
      <c r="CY369" s="30">
        <v>0.1</v>
      </c>
      <c r="CZ369" s="31"/>
      <c r="DA369" s="31"/>
      <c r="DB369" s="31"/>
      <c r="DC369" s="31"/>
      <c r="DD369" s="31"/>
      <c r="DE369" s="30">
        <v>0.1</v>
      </c>
      <c r="DF369" s="31"/>
      <c r="DG369" s="31"/>
      <c r="DH369" s="31"/>
      <c r="DI369" s="31"/>
      <c r="DJ369" s="31"/>
      <c r="DK369" s="31"/>
      <c r="DL369" s="31"/>
      <c r="DM369" s="31"/>
      <c r="DN369" s="31"/>
      <c r="DO369" s="31"/>
      <c r="DP369" s="31"/>
      <c r="DQ369" s="31"/>
      <c r="DR369" s="31"/>
      <c r="DS369" s="31"/>
      <c r="DT369" s="31"/>
      <c r="DU369" s="31"/>
      <c r="DV369" s="31"/>
      <c r="DW369" s="31"/>
      <c r="DX369" s="31"/>
      <c r="DY369" s="31"/>
      <c r="DZ369" s="31"/>
      <c r="EA369" s="31"/>
      <c r="EB369" s="31"/>
      <c r="EC369" s="31"/>
      <c r="ED369" s="31"/>
      <c r="EE369" s="31"/>
      <c r="EF369" s="31"/>
      <c r="EG369" s="31"/>
      <c r="EH369" s="32"/>
      <c r="EI369" s="32"/>
      <c r="EJ369" s="32"/>
      <c r="EK369" s="32"/>
      <c r="EL369" s="31"/>
      <c r="EM369" s="31"/>
      <c r="EN369" s="31"/>
      <c r="EO369" s="26">
        <f>1000*BP369*BY369/100</f>
        <v>4698</v>
      </c>
      <c r="EP369" s="31"/>
      <c r="EQ369" s="31"/>
      <c r="ER369" s="31"/>
      <c r="ES369" s="31"/>
      <c r="ET369" s="31"/>
      <c r="EU369" s="31"/>
      <c r="EV369" s="31"/>
      <c r="EW369" s="31"/>
      <c r="EX369" s="31"/>
      <c r="EY369" s="31"/>
      <c r="EZ369" s="31"/>
      <c r="FA369" s="31"/>
      <c r="FB369" s="31"/>
      <c r="FC369" s="31"/>
      <c r="FD369" s="31"/>
      <c r="FE369" s="31"/>
      <c r="FF369" s="31"/>
      <c r="FG369" s="31"/>
      <c r="FH369" s="31"/>
      <c r="FI369" s="31"/>
      <c r="FJ369" s="31"/>
      <c r="FK369" s="31"/>
      <c r="FL369" s="31"/>
      <c r="FM369" s="31"/>
      <c r="FN369" s="26">
        <f>1000*BP369*CY369/100</f>
        <v>26.1</v>
      </c>
      <c r="FO369" s="31"/>
      <c r="FP369" s="31"/>
      <c r="FQ369" s="31"/>
      <c r="FR369" s="31"/>
      <c r="FS369" s="31"/>
      <c r="FT369" s="26">
        <f>1000*BP369*DE369/100</f>
        <v>26.1</v>
      </c>
      <c r="FU369" s="31"/>
      <c r="FV369" s="31"/>
      <c r="FW369" s="31"/>
      <c r="FX369" s="31"/>
      <c r="FY369" s="31"/>
      <c r="FZ369" s="31"/>
      <c r="GA369" s="31"/>
      <c r="GB369" s="31"/>
      <c r="GC369" s="31"/>
      <c r="GD369" s="31"/>
      <c r="GE369" s="31"/>
      <c r="GF369" s="31"/>
      <c r="GG369" s="31"/>
      <c r="GH369" s="31"/>
      <c r="GI369" s="31"/>
      <c r="GJ369" s="31"/>
      <c r="GK369" s="31"/>
      <c r="GL369" s="31"/>
      <c r="GM369" s="31"/>
      <c r="GN369" s="31"/>
      <c r="GO369" s="31"/>
      <c r="GP369" s="32"/>
      <c r="GQ369" s="31"/>
      <c r="GR369" s="31"/>
      <c r="GS369" s="31"/>
      <c r="GT369" s="31"/>
      <c r="GU369" s="31"/>
      <c r="GV369" s="31"/>
      <c r="GW369" s="31"/>
      <c r="GX369" s="31"/>
      <c r="GY369" s="26" t="s">
        <v>309</v>
      </c>
      <c r="GZ369" s="26" t="s">
        <v>5274</v>
      </c>
      <c r="HA369" s="26"/>
      <c r="HB369" s="26"/>
      <c r="HC369" s="26" t="s">
        <v>4609</v>
      </c>
      <c r="HD369" s="26" t="s">
        <v>3744</v>
      </c>
      <c r="HE369" s="26">
        <v>7586</v>
      </c>
      <c r="HF369" s="26" t="s">
        <v>5275</v>
      </c>
      <c r="HG369" s="27" t="s">
        <v>4523</v>
      </c>
      <c r="HH369" s="27"/>
      <c r="HI369" s="26"/>
      <c r="HJ369" s="27"/>
      <c r="HK369" s="27"/>
      <c r="HL369" s="27"/>
      <c r="HM369" s="26"/>
      <c r="HN369" s="27"/>
      <c r="HO369" s="27"/>
      <c r="HP369" s="27"/>
      <c r="HQ369" s="27"/>
      <c r="HR369" s="27"/>
      <c r="HS369" s="27"/>
      <c r="HT369" s="27"/>
      <c r="HU369" s="27"/>
      <c r="HV369" s="27"/>
      <c r="HW369" s="27"/>
      <c r="HX369" s="27"/>
      <c r="HY369" s="27"/>
      <c r="HZ369" s="27"/>
      <c r="IA369" s="27"/>
      <c r="IB369" s="26" t="s">
        <v>2784</v>
      </c>
      <c r="IC369" s="26">
        <v>5570</v>
      </c>
      <c r="ID369" s="26" t="s">
        <v>2785</v>
      </c>
      <c r="IE369" s="26" t="s">
        <v>2787</v>
      </c>
      <c r="IF369" s="26" t="s">
        <v>319</v>
      </c>
      <c r="IG369" s="26"/>
      <c r="IH369" s="26"/>
      <c r="II369" s="26"/>
      <c r="IJ369" s="26"/>
      <c r="IK369" s="26"/>
      <c r="IL369" s="27"/>
      <c r="IM369" s="27"/>
      <c r="IN369" s="27"/>
      <c r="IO369" s="27"/>
      <c r="IP369" s="27"/>
      <c r="IQ369" s="27"/>
      <c r="IR369" s="27"/>
      <c r="IS369" s="27"/>
      <c r="IT369" s="27"/>
      <c r="IU369" s="27"/>
      <c r="IV369" s="27"/>
      <c r="IW369" s="27"/>
      <c r="IX369" s="27"/>
      <c r="IY369" s="27"/>
      <c r="IZ369" s="27"/>
      <c r="JA369" s="27"/>
      <c r="JB369" s="27"/>
      <c r="JC369" s="27"/>
      <c r="JD369" s="27"/>
      <c r="JE369" s="27"/>
      <c r="JF369" s="27"/>
      <c r="JG369" s="27"/>
      <c r="JH369" s="27"/>
      <c r="JI369" s="27"/>
      <c r="JJ369" s="27"/>
      <c r="JK369" s="27"/>
      <c r="JL369" s="27"/>
      <c r="JM369" s="27"/>
      <c r="JN369" s="27"/>
      <c r="JO369" s="27"/>
      <c r="JP369" s="27"/>
      <c r="JQ369" s="27"/>
      <c r="JR369" s="27"/>
      <c r="JS369" s="27"/>
      <c r="JT369" s="27"/>
      <c r="JU369" s="30"/>
      <c r="JV369" s="30" t="s">
        <v>5276</v>
      </c>
      <c r="JW369" s="30" t="s">
        <v>910</v>
      </c>
      <c r="JX369" s="30" t="s">
        <v>353</v>
      </c>
      <c r="JY369" s="30" t="s">
        <v>354</v>
      </c>
      <c r="JZ369" s="30" t="s">
        <v>320</v>
      </c>
      <c r="KA369" s="30" t="s">
        <v>321</v>
      </c>
      <c r="KB369" s="30" t="s">
        <v>322</v>
      </c>
      <c r="KC369" s="30"/>
      <c r="KD369" s="30"/>
      <c r="KE369" s="30"/>
      <c r="KF369" s="30"/>
      <c r="KG369" s="29" t="s">
        <v>323</v>
      </c>
      <c r="KH369" s="29"/>
      <c r="KI369" s="29"/>
      <c r="KJ369" s="29"/>
      <c r="KK369" s="29"/>
      <c r="KL369" s="29"/>
      <c r="KM369" s="29"/>
      <c r="KN369" s="29"/>
      <c r="KO369" s="29"/>
      <c r="KP369" s="14" t="s">
        <v>324</v>
      </c>
      <c r="KQ369" s="14" t="s">
        <v>5277</v>
      </c>
      <c r="KR369" s="14" t="s">
        <v>768</v>
      </c>
      <c r="KS369" s="14" t="s">
        <v>324</v>
      </c>
      <c r="KT369" s="14" t="s">
        <v>5278</v>
      </c>
    </row>
    <row r="370" spans="1:306" ht="108" x14ac:dyDescent="0.25">
      <c r="A370" s="5" t="s">
        <v>5284</v>
      </c>
      <c r="B370" s="4" t="s">
        <v>293</v>
      </c>
      <c r="C370" s="7" t="s">
        <v>896</v>
      </c>
      <c r="D370" s="8" t="s">
        <v>915</v>
      </c>
      <c r="E370" s="4">
        <v>334372</v>
      </c>
      <c r="G370" s="4" t="s">
        <v>530</v>
      </c>
      <c r="H370" s="6">
        <v>135.75149999999999</v>
      </c>
      <c r="I370" s="6">
        <v>-22.7576</v>
      </c>
      <c r="J370" s="4" t="s">
        <v>5284</v>
      </c>
      <c r="K370" s="4" t="s">
        <v>481</v>
      </c>
      <c r="L370" s="4" t="s">
        <v>1498</v>
      </c>
      <c r="Q370" s="8"/>
      <c r="R370" s="8"/>
      <c r="S370" s="4"/>
      <c r="Z370" s="4" t="s">
        <v>293</v>
      </c>
      <c r="AA370" s="7" t="s">
        <v>896</v>
      </c>
      <c r="AB370" s="8" t="s">
        <v>915</v>
      </c>
      <c r="AC370" s="4" t="s">
        <v>301</v>
      </c>
      <c r="AD370" s="4" t="s">
        <v>302</v>
      </c>
      <c r="AE370" s="8">
        <v>1720.6999999999998</v>
      </c>
      <c r="AF370" s="8">
        <v>5.8999999999999995</v>
      </c>
      <c r="AG370" s="4" t="s">
        <v>303</v>
      </c>
      <c r="AH370" s="9" t="s">
        <v>304</v>
      </c>
      <c r="AI370" s="9" t="s">
        <v>598</v>
      </c>
      <c r="AJ370" s="9" t="s">
        <v>599</v>
      </c>
      <c r="AK370" s="9" t="s">
        <v>600</v>
      </c>
      <c r="AM370" s="8">
        <v>5</v>
      </c>
      <c r="BP370" s="7">
        <v>4.3860000000000001</v>
      </c>
      <c r="BR370" s="6">
        <v>0.05</v>
      </c>
      <c r="CJ370" s="6">
        <v>17.75</v>
      </c>
      <c r="CT370" s="6">
        <v>0.1</v>
      </c>
      <c r="DE370" s="6">
        <v>0.27</v>
      </c>
      <c r="DZ370" s="31"/>
      <c r="EH370" s="10">
        <f>BP370*BR370/100</f>
        <v>2.1930000000000001E-3</v>
      </c>
      <c r="EY370" s="6">
        <f>BP370*CJ370/100</f>
        <v>0.77851500000000007</v>
      </c>
      <c r="FA370" s="6"/>
      <c r="FI370" s="6">
        <v>4.2707250000000005</v>
      </c>
      <c r="FT370" s="6">
        <v>12.069999999999999</v>
      </c>
      <c r="GP370" s="32"/>
      <c r="GY370" s="6" t="s">
        <v>338</v>
      </c>
      <c r="GZ370" s="6" t="s">
        <v>5285</v>
      </c>
      <c r="HB370" s="6" t="s">
        <v>994</v>
      </c>
      <c r="HC370" s="6" t="s">
        <v>917</v>
      </c>
      <c r="HD370" s="8" t="s">
        <v>4275</v>
      </c>
      <c r="HE370" s="8">
        <v>28387</v>
      </c>
      <c r="HF370" s="8" t="s">
        <v>5286</v>
      </c>
      <c r="HG370" s="9" t="s">
        <v>538</v>
      </c>
      <c r="HY370" s="9"/>
      <c r="IB370" s="8" t="s">
        <v>5287</v>
      </c>
      <c r="IC370" s="8">
        <v>11378</v>
      </c>
      <c r="ID370" s="8" t="s">
        <v>5288</v>
      </c>
      <c r="IE370" s="8" t="s">
        <v>538</v>
      </c>
      <c r="IF370" s="8" t="s">
        <v>319</v>
      </c>
      <c r="IW370" s="8"/>
      <c r="JB370" s="8"/>
      <c r="JV370" s="7" t="s">
        <v>5289</v>
      </c>
      <c r="JW370" s="7" t="s">
        <v>910</v>
      </c>
      <c r="JX370" s="7" t="s">
        <v>353</v>
      </c>
      <c r="JY370" s="7" t="s">
        <v>448</v>
      </c>
      <c r="JZ370" s="7" t="s">
        <v>320</v>
      </c>
      <c r="KG370" s="4" t="s">
        <v>323</v>
      </c>
      <c r="KM370" s="4" t="s">
        <v>521</v>
      </c>
      <c r="KN370" s="4" t="s">
        <v>522</v>
      </c>
      <c r="KP370" s="5" t="s">
        <v>358</v>
      </c>
      <c r="KQ370" s="5" t="s">
        <v>5290</v>
      </c>
      <c r="KR370" s="5" t="s">
        <v>5291</v>
      </c>
      <c r="KS370" s="5" t="s">
        <v>5292</v>
      </c>
      <c r="KT370" s="5" t="s">
        <v>5293</v>
      </c>
    </row>
    <row r="371" spans="1:306" ht="48" x14ac:dyDescent="0.25">
      <c r="A371" s="5" t="s">
        <v>6372</v>
      </c>
      <c r="B371" s="4" t="s">
        <v>293</v>
      </c>
      <c r="C371" s="7" t="s">
        <v>896</v>
      </c>
      <c r="D371" s="6" t="s">
        <v>915</v>
      </c>
      <c r="E371" s="4">
        <v>518926</v>
      </c>
      <c r="G371" s="4" t="s">
        <v>330</v>
      </c>
      <c r="H371" s="6">
        <v>122.2585</v>
      </c>
      <c r="I371" s="6">
        <v>-21.792100000000001</v>
      </c>
      <c r="J371" s="4" t="s">
        <v>5259</v>
      </c>
      <c r="K371" s="4" t="s">
        <v>1918</v>
      </c>
      <c r="L371" s="4" t="s">
        <v>580</v>
      </c>
      <c r="M371" s="4" t="s">
        <v>1919</v>
      </c>
      <c r="O371" s="6"/>
      <c r="Q371" s="7"/>
      <c r="R371" s="7"/>
      <c r="S371" s="4"/>
      <c r="V371" s="4"/>
      <c r="W371" s="4"/>
      <c r="Z371" s="4" t="s">
        <v>293</v>
      </c>
      <c r="AA371" s="7" t="s">
        <v>896</v>
      </c>
      <c r="AB371" s="6" t="s">
        <v>915</v>
      </c>
      <c r="AC371" s="4" t="s">
        <v>301</v>
      </c>
      <c r="AD371" s="4" t="s">
        <v>302</v>
      </c>
      <c r="AE371" s="7">
        <v>607</v>
      </c>
      <c r="AF371" s="7">
        <v>1</v>
      </c>
      <c r="AG371" s="4" t="s">
        <v>379</v>
      </c>
      <c r="AH371" s="9" t="s">
        <v>483</v>
      </c>
      <c r="AI371" s="9" t="s">
        <v>503</v>
      </c>
      <c r="AJ371" s="4" t="s">
        <v>306</v>
      </c>
      <c r="AK371" s="4" t="s">
        <v>307</v>
      </c>
      <c r="AL371" s="9" t="s">
        <v>337</v>
      </c>
      <c r="AM371" s="8">
        <v>4</v>
      </c>
      <c r="AR371" s="6"/>
      <c r="AS371" s="7"/>
      <c r="AT371" s="7"/>
      <c r="AU371" s="4"/>
      <c r="AX371" s="4"/>
      <c r="AY371" s="4"/>
      <c r="BF371" s="6"/>
      <c r="BG371" s="7"/>
      <c r="BH371" s="7"/>
      <c r="BI371" s="4"/>
      <c r="BL371" s="4"/>
      <c r="BM371" s="4"/>
      <c r="BP371" s="7">
        <v>63</v>
      </c>
      <c r="BQ371" s="8"/>
      <c r="BR371" s="6">
        <v>0.3</v>
      </c>
      <c r="BS371" s="6">
        <v>0.56000000000000005</v>
      </c>
      <c r="BT371" s="6">
        <v>0.28000000000000003</v>
      </c>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v>0.36</v>
      </c>
      <c r="DF371" s="7"/>
      <c r="DG371" s="7"/>
      <c r="DH371" s="7"/>
      <c r="DI371" s="7"/>
      <c r="DJ371" s="7"/>
      <c r="DK371" s="7"/>
      <c r="DL371" s="7"/>
      <c r="DM371" s="7"/>
      <c r="DN371" s="7"/>
      <c r="DO371" s="7"/>
      <c r="DP371" s="7"/>
      <c r="DQ371" s="7"/>
      <c r="DR371" s="7"/>
      <c r="DS371" s="7"/>
      <c r="DT371" s="7"/>
      <c r="DU371" s="7"/>
      <c r="DV371" s="7"/>
      <c r="DW371" s="7"/>
      <c r="DX371" s="7"/>
      <c r="DY371" s="7"/>
      <c r="DZ371" s="31"/>
      <c r="EA371" s="7"/>
      <c r="EB371" s="7"/>
      <c r="EC371" s="7"/>
      <c r="ED371" s="7"/>
      <c r="EE371" s="7"/>
      <c r="EF371" s="7"/>
      <c r="EG371" s="7"/>
      <c r="EH371" s="10">
        <f>BP371*BR371/100</f>
        <v>0.18899999999999997</v>
      </c>
      <c r="EI371" s="10">
        <f>BP371*BS371/100</f>
        <v>0.3528</v>
      </c>
      <c r="EJ371" s="10">
        <f>BP371*BT371/100</f>
        <v>0.1764</v>
      </c>
      <c r="EK371" s="6"/>
      <c r="FA371" s="6"/>
      <c r="FT371" s="7">
        <f>1000*BP371*DE371/100</f>
        <v>226.8</v>
      </c>
      <c r="GP371" s="32"/>
      <c r="GY371" s="6" t="s">
        <v>338</v>
      </c>
      <c r="GZ371" s="6" t="s">
        <v>916</v>
      </c>
      <c r="HA371" s="6" t="s">
        <v>626</v>
      </c>
      <c r="HB371" s="6" t="s">
        <v>339</v>
      </c>
      <c r="HC371" s="6" t="s">
        <v>4609</v>
      </c>
      <c r="HD371" s="7" t="s">
        <v>6373</v>
      </c>
      <c r="HE371" s="8">
        <v>15671</v>
      </c>
      <c r="HF371" s="7" t="s">
        <v>6374</v>
      </c>
      <c r="HG371" s="7" t="s">
        <v>876</v>
      </c>
      <c r="HH371" s="7"/>
      <c r="HJ371" s="7"/>
      <c r="HK371" s="7"/>
      <c r="HL371" s="7"/>
      <c r="HN371" s="7"/>
      <c r="HO371" s="7"/>
      <c r="HP371" s="7"/>
      <c r="HR371" s="7"/>
      <c r="HS371" s="7"/>
      <c r="HT371" s="7"/>
      <c r="HU371" s="7"/>
      <c r="HV371" s="7"/>
      <c r="HW371" s="7"/>
      <c r="HX371" s="7"/>
      <c r="HZ371" s="7"/>
      <c r="IA371" s="7"/>
      <c r="IB371" s="7" t="s">
        <v>6375</v>
      </c>
      <c r="IC371" s="8">
        <v>31860</v>
      </c>
      <c r="ID371" s="7" t="s">
        <v>6376</v>
      </c>
      <c r="IE371" s="7" t="s">
        <v>876</v>
      </c>
      <c r="IF371" s="7" t="s">
        <v>319</v>
      </c>
      <c r="IG371" s="7"/>
      <c r="IH371" s="7"/>
      <c r="II371" s="7"/>
      <c r="IJ371" s="7"/>
      <c r="IK371" s="7"/>
      <c r="IL371" s="7"/>
      <c r="IM371" s="7"/>
      <c r="IN371" s="7"/>
      <c r="IO371" s="7"/>
      <c r="IP371" s="7"/>
      <c r="IQ371" s="7"/>
      <c r="IR371" s="7"/>
      <c r="IS371" s="7"/>
      <c r="IT371" s="7"/>
      <c r="IU371" s="7"/>
      <c r="IV371" s="7"/>
      <c r="IW371" s="7"/>
      <c r="IX371" s="7"/>
      <c r="IY371" s="7"/>
      <c r="IZ371" s="7"/>
      <c r="JA371" s="7"/>
      <c r="JB371" s="7"/>
      <c r="JC371" s="7"/>
      <c r="JD371" s="7"/>
      <c r="JE371" s="7"/>
      <c r="JF371" s="7"/>
      <c r="JG371" s="7"/>
      <c r="JH371" s="7"/>
      <c r="JI371" s="7"/>
      <c r="JJ371" s="7"/>
      <c r="JK371" s="7"/>
      <c r="JL371" s="7"/>
      <c r="JM371" s="7"/>
      <c r="JN371" s="7"/>
      <c r="JO371" s="7"/>
      <c r="JP371" s="7"/>
      <c r="JQ371" s="7"/>
      <c r="JR371" s="7"/>
      <c r="JS371" s="7"/>
      <c r="JT371" s="7"/>
      <c r="JV371" s="4" t="s">
        <v>6377</v>
      </c>
      <c r="JW371" s="4" t="s">
        <v>910</v>
      </c>
      <c r="JX371" s="4" t="s">
        <v>320</v>
      </c>
      <c r="JY371" s="4" t="s">
        <v>321</v>
      </c>
      <c r="JZ371" s="4" t="s">
        <v>322</v>
      </c>
      <c r="KA371" s="4" t="s">
        <v>321</v>
      </c>
      <c r="KB371" s="4" t="s">
        <v>353</v>
      </c>
      <c r="KC371" s="4"/>
      <c r="KD371" s="4"/>
      <c r="KE371" s="4"/>
      <c r="KF371" s="4"/>
      <c r="KG371" s="4" t="s">
        <v>323</v>
      </c>
      <c r="KH371" s="7"/>
      <c r="KI371" s="7"/>
      <c r="KJ371" s="7"/>
      <c r="KK371" s="7"/>
      <c r="KL371" s="7"/>
      <c r="KM371" s="9" t="s">
        <v>391</v>
      </c>
      <c r="KN371" s="9" t="s">
        <v>391</v>
      </c>
      <c r="KO371" s="9"/>
      <c r="KP371" s="5" t="s">
        <v>358</v>
      </c>
      <c r="KQ371" s="15" t="s">
        <v>6378</v>
      </c>
      <c r="KR371" s="15"/>
      <c r="KS371" s="15" t="s">
        <v>6379</v>
      </c>
      <c r="KT371" s="15"/>
    </row>
    <row r="372" spans="1:306" ht="108" x14ac:dyDescent="0.2">
      <c r="A372" s="5" t="s">
        <v>7065</v>
      </c>
      <c r="B372" s="4" t="s">
        <v>293</v>
      </c>
      <c r="C372" s="7" t="s">
        <v>896</v>
      </c>
      <c r="D372" s="8" t="s">
        <v>915</v>
      </c>
      <c r="E372" s="44">
        <v>644650</v>
      </c>
      <c r="G372" s="4" t="s">
        <v>530</v>
      </c>
      <c r="H372" s="6">
        <v>136.09168968115</v>
      </c>
      <c r="I372" s="6">
        <v>-22.7350217260425</v>
      </c>
      <c r="K372" s="4" t="s">
        <v>481</v>
      </c>
      <c r="L372" s="4" t="s">
        <v>1498</v>
      </c>
      <c r="Q372" s="8"/>
      <c r="Z372" s="4" t="s">
        <v>293</v>
      </c>
      <c r="AA372" s="7" t="s">
        <v>896</v>
      </c>
      <c r="AB372" s="8" t="s">
        <v>915</v>
      </c>
      <c r="AC372" s="4" t="s">
        <v>301</v>
      </c>
      <c r="AD372" s="4" t="s">
        <v>375</v>
      </c>
      <c r="AE372" s="8"/>
      <c r="AM372" s="8">
        <v>2</v>
      </c>
      <c r="AN372" s="4" t="s">
        <v>381</v>
      </c>
      <c r="AO372" s="4" t="s">
        <v>382</v>
      </c>
      <c r="AP372" s="4" t="s">
        <v>383</v>
      </c>
      <c r="AQ372" s="7" t="s">
        <v>384</v>
      </c>
      <c r="AR372" s="8" t="s">
        <v>5544</v>
      </c>
      <c r="AS372" s="7">
        <v>0</v>
      </c>
      <c r="AT372" s="7">
        <v>0</v>
      </c>
      <c r="AU372" s="9" t="s">
        <v>303</v>
      </c>
      <c r="AV372" s="9" t="s">
        <v>406</v>
      </c>
      <c r="BA372" s="8">
        <v>5</v>
      </c>
      <c r="BP372" s="7">
        <v>0.245</v>
      </c>
      <c r="BR372" s="6">
        <v>0.13</v>
      </c>
      <c r="DE372" s="6">
        <v>0.19</v>
      </c>
      <c r="DZ372" s="31"/>
      <c r="EH372" s="16">
        <f>BP372*BR372/100</f>
        <v>3.1850000000000004E-4</v>
      </c>
      <c r="FT372" s="6">
        <f>1000*BP372*DE372/100</f>
        <v>0.46549999999999997</v>
      </c>
      <c r="GP372" s="32"/>
      <c r="GY372" s="6" t="s">
        <v>338</v>
      </c>
      <c r="GZ372" s="6" t="s">
        <v>916</v>
      </c>
      <c r="HA372" s="6" t="s">
        <v>994</v>
      </c>
      <c r="HC372" s="6" t="s">
        <v>4609</v>
      </c>
      <c r="HD372" s="8" t="s">
        <v>1585</v>
      </c>
      <c r="HE372" s="8">
        <v>28387</v>
      </c>
      <c r="HF372" s="8" t="s">
        <v>7066</v>
      </c>
      <c r="HG372" s="9" t="s">
        <v>538</v>
      </c>
      <c r="JV372" s="7" t="s">
        <v>7067</v>
      </c>
      <c r="KP372" s="5" t="s">
        <v>7068</v>
      </c>
      <c r="KQ372" s="5" t="s">
        <v>7069</v>
      </c>
      <c r="KS372" s="5" t="s">
        <v>7068</v>
      </c>
    </row>
    <row r="373" spans="1:306" ht="156" x14ac:dyDescent="0.25">
      <c r="A373" s="5" t="s">
        <v>8026</v>
      </c>
      <c r="B373" s="4" t="s">
        <v>293</v>
      </c>
      <c r="C373" s="4" t="s">
        <v>896</v>
      </c>
      <c r="D373" s="7" t="s">
        <v>915</v>
      </c>
      <c r="E373" s="4">
        <v>466189</v>
      </c>
      <c r="G373" s="4" t="s">
        <v>427</v>
      </c>
      <c r="H373" s="6">
        <v>148.905</v>
      </c>
      <c r="I373" s="6">
        <v>-34.499099999999999</v>
      </c>
      <c r="J373" s="4" t="s">
        <v>7849</v>
      </c>
      <c r="K373" s="4" t="s">
        <v>298</v>
      </c>
      <c r="L373" s="4" t="s">
        <v>299</v>
      </c>
      <c r="M373" s="4" t="s">
        <v>1359</v>
      </c>
      <c r="O373" s="7"/>
      <c r="Q373" s="8"/>
      <c r="R373" s="8"/>
      <c r="Z373" s="4" t="s">
        <v>293</v>
      </c>
      <c r="AA373" s="4" t="s">
        <v>896</v>
      </c>
      <c r="AB373" s="7" t="s">
        <v>915</v>
      </c>
      <c r="AC373" s="4" t="s">
        <v>301</v>
      </c>
      <c r="AD373" s="4" t="s">
        <v>302</v>
      </c>
      <c r="AE373" s="8">
        <v>431</v>
      </c>
      <c r="AF373" s="8">
        <v>5</v>
      </c>
      <c r="AG373" s="9" t="s">
        <v>379</v>
      </c>
      <c r="AH373" s="9" t="s">
        <v>483</v>
      </c>
      <c r="AI373" s="9" t="s">
        <v>373</v>
      </c>
      <c r="AJ373" s="9" t="s">
        <v>306</v>
      </c>
      <c r="AK373" s="9" t="s">
        <v>307</v>
      </c>
      <c r="AL373" s="9" t="s">
        <v>337</v>
      </c>
      <c r="AM373" s="8">
        <v>3</v>
      </c>
      <c r="AS373" s="7"/>
      <c r="AT373" s="7"/>
      <c r="BP373" s="7">
        <v>0.26100000000000001</v>
      </c>
      <c r="CY373" s="6">
        <f>0.15*(118.71/(118.71+2*15.999))</f>
        <v>0.11815232104466915</v>
      </c>
      <c r="DE373" s="6">
        <v>0.7</v>
      </c>
      <c r="DZ373" s="31"/>
      <c r="EY373" s="6"/>
      <c r="FA373" s="6"/>
      <c r="FN373" s="6">
        <f>1000*BP373*CY373/100</f>
        <v>0.3083775579265865</v>
      </c>
      <c r="FT373" s="6">
        <f>1000*BP373*DE373/100</f>
        <v>1.827</v>
      </c>
      <c r="GP373" s="32"/>
      <c r="GY373" s="6" t="s">
        <v>338</v>
      </c>
      <c r="GZ373" s="6" t="s">
        <v>916</v>
      </c>
      <c r="HA373" s="6" t="s">
        <v>639</v>
      </c>
      <c r="HC373" s="6" t="s">
        <v>4609</v>
      </c>
      <c r="HD373" s="8" t="s">
        <v>3384</v>
      </c>
      <c r="HE373" s="8">
        <v>8184</v>
      </c>
      <c r="HF373" s="8" t="s">
        <v>3385</v>
      </c>
      <c r="HG373" s="9" t="s">
        <v>444</v>
      </c>
      <c r="HH373" s="8" t="s">
        <v>7850</v>
      </c>
      <c r="HI373" s="8">
        <v>16485</v>
      </c>
      <c r="HJ373" s="8" t="s">
        <v>7851</v>
      </c>
      <c r="HK373" s="8" t="s">
        <v>444</v>
      </c>
      <c r="IB373" s="8" t="s">
        <v>3384</v>
      </c>
      <c r="IC373" s="8">
        <v>8184</v>
      </c>
      <c r="ID373" s="8" t="s">
        <v>3385</v>
      </c>
      <c r="IE373" s="9" t="s">
        <v>444</v>
      </c>
      <c r="IF373" s="8" t="s">
        <v>445</v>
      </c>
      <c r="IG373" s="8" t="s">
        <v>7850</v>
      </c>
      <c r="IH373" s="8">
        <v>16485</v>
      </c>
      <c r="II373" s="8" t="s">
        <v>7851</v>
      </c>
      <c r="IJ373" s="8" t="s">
        <v>444</v>
      </c>
      <c r="IK373" s="8" t="s">
        <v>319</v>
      </c>
      <c r="IW373" s="8"/>
      <c r="JB373" s="8"/>
      <c r="JV373" s="7" t="s">
        <v>8027</v>
      </c>
      <c r="JX373" s="7" t="s">
        <v>353</v>
      </c>
      <c r="JY373" s="7" t="s">
        <v>448</v>
      </c>
      <c r="JZ373" s="7" t="s">
        <v>320</v>
      </c>
      <c r="KA373" s="7" t="s">
        <v>470</v>
      </c>
      <c r="KB373" s="7" t="s">
        <v>322</v>
      </c>
      <c r="KG373" s="4" t="s">
        <v>323</v>
      </c>
      <c r="KP373" s="5" t="s">
        <v>358</v>
      </c>
      <c r="KQ373" s="5" t="s">
        <v>8028</v>
      </c>
      <c r="KR373" s="5" t="s">
        <v>5147</v>
      </c>
      <c r="KS373" s="5" t="s">
        <v>2553</v>
      </c>
      <c r="KT373" s="5" t="s">
        <v>8029</v>
      </c>
    </row>
    <row r="374" spans="1:306" ht="108" x14ac:dyDescent="0.2">
      <c r="A374" s="5" t="s">
        <v>8030</v>
      </c>
      <c r="B374" s="4" t="s">
        <v>293</v>
      </c>
      <c r="C374" s="7" t="s">
        <v>896</v>
      </c>
      <c r="D374" s="8" t="s">
        <v>915</v>
      </c>
      <c r="E374" s="44">
        <v>644648</v>
      </c>
      <c r="G374" s="4" t="s">
        <v>530</v>
      </c>
      <c r="H374" s="6">
        <v>136.07248000000001</v>
      </c>
      <c r="I374" s="6">
        <v>-22.731629999999999</v>
      </c>
      <c r="K374" s="4" t="s">
        <v>481</v>
      </c>
      <c r="L374" s="4" t="s">
        <v>1498</v>
      </c>
      <c r="Q374" s="8"/>
      <c r="Z374" s="4" t="s">
        <v>293</v>
      </c>
      <c r="AA374" s="7" t="s">
        <v>896</v>
      </c>
      <c r="AB374" s="8" t="s">
        <v>915</v>
      </c>
      <c r="AC374" s="4" t="s">
        <v>301</v>
      </c>
      <c r="AD374" s="4" t="s">
        <v>375</v>
      </c>
      <c r="AE374" s="8"/>
      <c r="AM374" s="8">
        <v>2</v>
      </c>
      <c r="AN374" s="4" t="s">
        <v>381</v>
      </c>
      <c r="AO374" s="4" t="s">
        <v>382</v>
      </c>
      <c r="AP374" s="4" t="s">
        <v>383</v>
      </c>
      <c r="AQ374" s="7" t="s">
        <v>384</v>
      </c>
      <c r="AR374" s="8" t="s">
        <v>5544</v>
      </c>
      <c r="AS374" s="7">
        <v>0</v>
      </c>
      <c r="AT374" s="7">
        <v>0</v>
      </c>
      <c r="AU374" s="9" t="s">
        <v>303</v>
      </c>
      <c r="AV374" s="9" t="s">
        <v>406</v>
      </c>
      <c r="BA374" s="8">
        <v>5</v>
      </c>
      <c r="BP374" s="7">
        <v>0.495</v>
      </c>
      <c r="BR374" s="6">
        <v>0.06</v>
      </c>
      <c r="DE374" s="6">
        <v>0.22</v>
      </c>
      <c r="DZ374" s="31"/>
      <c r="EH374" s="16">
        <f t="shared" ref="EH374:EH381" si="21">BP374*BR374/100</f>
        <v>2.9699999999999996E-4</v>
      </c>
      <c r="FT374" s="6">
        <f>1000*BP374*DE374/100</f>
        <v>1.089</v>
      </c>
      <c r="GP374" s="32"/>
      <c r="GY374" s="6" t="s">
        <v>338</v>
      </c>
      <c r="GZ374" s="6" t="s">
        <v>916</v>
      </c>
      <c r="HB374" s="6" t="s">
        <v>994</v>
      </c>
      <c r="HC374" s="6" t="s">
        <v>4609</v>
      </c>
      <c r="HD374" s="8" t="s">
        <v>1585</v>
      </c>
      <c r="HE374" s="8">
        <v>28387</v>
      </c>
      <c r="HF374" s="8" t="s">
        <v>7066</v>
      </c>
      <c r="HG374" s="9" t="s">
        <v>538</v>
      </c>
      <c r="JV374" s="7" t="s">
        <v>7067</v>
      </c>
      <c r="KP374" s="18" t="s">
        <v>8031</v>
      </c>
      <c r="KQ374" s="5" t="s">
        <v>8032</v>
      </c>
      <c r="KS374" s="5" t="s">
        <v>7068</v>
      </c>
      <c r="KT374" s="5" t="s">
        <v>8033</v>
      </c>
    </row>
    <row r="375" spans="1:306" ht="120" x14ac:dyDescent="0.25">
      <c r="A375" s="5" t="s">
        <v>2962</v>
      </c>
      <c r="B375" s="4" t="s">
        <v>293</v>
      </c>
      <c r="C375" s="7" t="s">
        <v>896</v>
      </c>
      <c r="D375" s="8" t="s">
        <v>2963</v>
      </c>
      <c r="E375" s="4">
        <v>527757</v>
      </c>
      <c r="G375" s="4" t="s">
        <v>479</v>
      </c>
      <c r="H375" s="6">
        <v>140.02000000000001</v>
      </c>
      <c r="I375" s="6">
        <v>-20.8</v>
      </c>
      <c r="J375" s="4" t="s">
        <v>2964</v>
      </c>
      <c r="K375" s="4" t="s">
        <v>481</v>
      </c>
      <c r="L375" s="4" t="s">
        <v>651</v>
      </c>
      <c r="M375" s="4" t="s">
        <v>1950</v>
      </c>
      <c r="Q375" s="4"/>
      <c r="R375" s="4"/>
      <c r="S375" s="4"/>
      <c r="T375" s="4"/>
      <c r="U375" s="4"/>
      <c r="V375" s="4"/>
      <c r="W375" s="4"/>
      <c r="X375" s="4"/>
      <c r="Z375" s="4" t="s">
        <v>293</v>
      </c>
      <c r="AA375" s="7" t="s">
        <v>896</v>
      </c>
      <c r="AB375" s="8" t="s">
        <v>2963</v>
      </c>
      <c r="AC375" s="4" t="s">
        <v>301</v>
      </c>
      <c r="AD375" s="4" t="s">
        <v>302</v>
      </c>
      <c r="AE375" s="4">
        <v>1521.02</v>
      </c>
      <c r="AF375" s="4">
        <v>0.55000000000000004</v>
      </c>
      <c r="AG375" s="4" t="s">
        <v>379</v>
      </c>
      <c r="AH375" s="4" t="s">
        <v>335</v>
      </c>
      <c r="AI375" s="4" t="s">
        <v>503</v>
      </c>
      <c r="AJ375" s="4" t="s">
        <v>1080</v>
      </c>
      <c r="AK375" s="4" t="s">
        <v>307</v>
      </c>
      <c r="AL375" s="4" t="s">
        <v>1727</v>
      </c>
      <c r="AM375" s="8">
        <v>3</v>
      </c>
      <c r="BP375" s="7">
        <v>26.1</v>
      </c>
      <c r="BQ375" s="4"/>
      <c r="BR375" s="4">
        <v>0.56000000000000005</v>
      </c>
      <c r="BS375" s="4"/>
      <c r="BT375" s="4"/>
      <c r="BU375" s="4"/>
      <c r="BV375" s="4">
        <v>0.09</v>
      </c>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31"/>
      <c r="EA375" s="4"/>
      <c r="EB375" s="4"/>
      <c r="EC375" s="4"/>
      <c r="ED375" s="4"/>
      <c r="EE375" s="4"/>
      <c r="EF375" s="4"/>
      <c r="EG375" s="4"/>
      <c r="EH375" s="10">
        <f t="shared" si="21"/>
        <v>0.14616000000000001</v>
      </c>
      <c r="EL375" s="6">
        <f>BP375*BV375</f>
        <v>2.3490000000000002</v>
      </c>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v>2.7E-4</v>
      </c>
      <c r="GP375" s="32">
        <f>SUM(GA375:GO375)+FE375</f>
        <v>2.7E-4</v>
      </c>
      <c r="GQ375" s="4"/>
      <c r="GR375" s="4">
        <v>2.3400000000000001E-2</v>
      </c>
      <c r="GS375" s="4"/>
      <c r="GT375" s="4"/>
      <c r="GU375" s="4"/>
      <c r="GV375" s="4"/>
      <c r="GW375" s="4"/>
      <c r="GX375" s="4"/>
      <c r="GY375" s="4" t="s">
        <v>338</v>
      </c>
      <c r="GZ375" s="4" t="s">
        <v>994</v>
      </c>
      <c r="HA375" s="4"/>
      <c r="HB375" s="4" t="s">
        <v>654</v>
      </c>
      <c r="HC375" s="4" t="s">
        <v>583</v>
      </c>
      <c r="HD375" s="4" t="s">
        <v>2965</v>
      </c>
      <c r="HE375" s="8">
        <v>4727</v>
      </c>
      <c r="HF375" s="4" t="s">
        <v>2966</v>
      </c>
      <c r="HG375" s="4" t="s">
        <v>490</v>
      </c>
      <c r="HH375" s="4"/>
      <c r="HI375" s="4"/>
      <c r="HJ375" s="4"/>
      <c r="HK375" s="4"/>
      <c r="HL375" s="4"/>
      <c r="HN375" s="4"/>
      <c r="HO375" s="4"/>
      <c r="HP375" s="4"/>
      <c r="HR375" s="4"/>
      <c r="HS375" s="4"/>
      <c r="HT375" s="4"/>
      <c r="HU375" s="4"/>
      <c r="HV375" s="4"/>
      <c r="HW375" s="4"/>
      <c r="HX375" s="4"/>
      <c r="HY375" s="4"/>
      <c r="HZ375" s="4"/>
      <c r="IA375" s="4"/>
      <c r="IB375" s="4" t="s">
        <v>2967</v>
      </c>
      <c r="IC375" s="8">
        <v>25823</v>
      </c>
      <c r="ID375" s="4" t="s">
        <v>2968</v>
      </c>
      <c r="IE375" s="4" t="s">
        <v>490</v>
      </c>
      <c r="IF375" s="4" t="s">
        <v>445</v>
      </c>
      <c r="IG375" s="4"/>
      <c r="IH375" s="4"/>
      <c r="II375" s="4" t="s">
        <v>2969</v>
      </c>
      <c r="IJ375" s="4" t="s">
        <v>490</v>
      </c>
      <c r="IK375" s="4" t="s">
        <v>445</v>
      </c>
      <c r="IL375" s="4" t="s">
        <v>2970</v>
      </c>
      <c r="IM375" s="8">
        <v>25185</v>
      </c>
      <c r="IN375" s="4" t="s">
        <v>2971</v>
      </c>
      <c r="IO375" s="4" t="s">
        <v>490</v>
      </c>
      <c r="IP375" s="4" t="s">
        <v>445</v>
      </c>
      <c r="IQ375" s="4" t="s">
        <v>2972</v>
      </c>
      <c r="IR375" s="4">
        <v>25986</v>
      </c>
      <c r="IS375" s="4" t="s">
        <v>2973</v>
      </c>
      <c r="IT375" s="4" t="s">
        <v>2974</v>
      </c>
      <c r="IU375" s="4" t="s">
        <v>350</v>
      </c>
      <c r="IV375" s="4"/>
      <c r="IW375" s="4"/>
      <c r="IX375" s="4"/>
      <c r="IY375" s="4"/>
      <c r="IZ375" s="4"/>
      <c r="JA375" s="4"/>
      <c r="JB375" s="4"/>
      <c r="JC375" s="4"/>
      <c r="JD375" s="4"/>
      <c r="JE375" s="4"/>
      <c r="JF375" s="4"/>
      <c r="JG375" s="4"/>
      <c r="JH375" s="4"/>
      <c r="JI375" s="4"/>
      <c r="JJ375" s="4"/>
      <c r="JK375" s="4"/>
      <c r="JL375" s="4"/>
      <c r="JM375" s="4"/>
      <c r="JN375" s="4"/>
      <c r="JO375" s="4"/>
      <c r="JP375" s="4"/>
      <c r="JQ375" s="4"/>
      <c r="JR375" s="4"/>
      <c r="JS375" s="4"/>
      <c r="JT375" s="4"/>
      <c r="JU375" s="4"/>
      <c r="JV375" s="4" t="s">
        <v>2975</v>
      </c>
      <c r="JW375" s="4"/>
      <c r="JX375" s="4" t="s">
        <v>320</v>
      </c>
      <c r="JY375" s="4" t="s">
        <v>470</v>
      </c>
      <c r="JZ375" s="4" t="s">
        <v>322</v>
      </c>
      <c r="KA375" s="4"/>
      <c r="KB375" s="4"/>
      <c r="KC375" s="4"/>
      <c r="KD375" s="4"/>
      <c r="KE375" s="4"/>
      <c r="KF375" s="4"/>
      <c r="KG375" s="4" t="s">
        <v>323</v>
      </c>
      <c r="KP375" s="5" t="s">
        <v>2976</v>
      </c>
      <c r="KQ375" s="5" t="s">
        <v>2977</v>
      </c>
      <c r="KR375" s="5" t="s">
        <v>2978</v>
      </c>
      <c r="KS375" s="5" t="s">
        <v>2976</v>
      </c>
      <c r="KT375" s="5" t="s">
        <v>2979</v>
      </c>
    </row>
    <row r="376" spans="1:306" ht="72" customHeight="1" x14ac:dyDescent="0.25">
      <c r="A376" s="5" t="s">
        <v>6862</v>
      </c>
      <c r="B376" s="4" t="s">
        <v>293</v>
      </c>
      <c r="C376" s="7" t="s">
        <v>896</v>
      </c>
      <c r="D376" s="8" t="s">
        <v>1139</v>
      </c>
      <c r="E376" s="4">
        <v>558228</v>
      </c>
      <c r="G376" s="4" t="s">
        <v>479</v>
      </c>
      <c r="H376" s="6">
        <v>144.42383100000001</v>
      </c>
      <c r="I376" s="6">
        <v>-17.07375</v>
      </c>
      <c r="J376" s="4" t="s">
        <v>4639</v>
      </c>
      <c r="K376" s="4" t="s">
        <v>298</v>
      </c>
      <c r="L376" s="4" t="s">
        <v>1018</v>
      </c>
      <c r="M376" s="4" t="s">
        <v>1019</v>
      </c>
      <c r="Q376" s="8"/>
      <c r="R376" s="8"/>
      <c r="S376" s="4"/>
      <c r="U376" s="8"/>
      <c r="V376" s="8"/>
      <c r="W376" s="8"/>
      <c r="X376" s="8"/>
      <c r="Z376" s="4" t="s">
        <v>293</v>
      </c>
      <c r="AA376" s="7" t="s">
        <v>896</v>
      </c>
      <c r="AB376" s="8" t="s">
        <v>1139</v>
      </c>
      <c r="AC376" s="4" t="s">
        <v>301</v>
      </c>
      <c r="AD376" s="4" t="s">
        <v>375</v>
      </c>
      <c r="AE376" s="8">
        <v>298</v>
      </c>
      <c r="AF376" s="8">
        <v>2</v>
      </c>
      <c r="AG376" s="4" t="s">
        <v>303</v>
      </c>
      <c r="AH376" s="9" t="s">
        <v>304</v>
      </c>
      <c r="AI376" s="8" t="s">
        <v>598</v>
      </c>
      <c r="AJ376" s="8" t="s">
        <v>599</v>
      </c>
      <c r="AK376" s="8" t="s">
        <v>600</v>
      </c>
      <c r="AL376" s="8"/>
      <c r="AM376" s="8">
        <v>4</v>
      </c>
      <c r="AN376" s="4" t="s">
        <v>381</v>
      </c>
      <c r="AO376" s="4" t="s">
        <v>382</v>
      </c>
      <c r="AP376" s="4" t="s">
        <v>383</v>
      </c>
      <c r="AQ376" s="7" t="s">
        <v>384</v>
      </c>
      <c r="AR376" s="8" t="s">
        <v>5224</v>
      </c>
      <c r="AS376" s="7">
        <v>0</v>
      </c>
      <c r="AT376" s="7">
        <v>0</v>
      </c>
      <c r="AU376" s="9" t="s">
        <v>303</v>
      </c>
      <c r="AV376" s="9" t="s">
        <v>406</v>
      </c>
      <c r="BA376" s="8">
        <v>5</v>
      </c>
      <c r="BP376" s="7">
        <f>0.72+1.57+1.93+3.44+0.085+0.228</f>
        <v>7.9729999999999999</v>
      </c>
      <c r="BR376" s="7">
        <f>(0*0.72+0.5*1.57+0.6*1.93+1*3.44+0.7*0.085+3.2*0.228)/(0.72+1.57+1.93+3.44+0.085+0.228)</f>
        <v>0.7741251724570426</v>
      </c>
      <c r="BS376" s="7">
        <f>(7.7*0.72+4.4*1.57+5.4*1.93+5.1*3.44+6.2*0.085+1.3*0.228)/(0.72+1.57+1.93+3.44+0.085+0.228)</f>
        <v>5.1726326351436098</v>
      </c>
      <c r="BT376" s="7">
        <f>(0.2*0.72+0.2*1.57+0.3*1.93+0*3.44+0.2*0.085+0*0.228)/(0.72+1.57+1.93+3.44+0.085+0.228)</f>
        <v>0.13219616204690829</v>
      </c>
      <c r="BU376" s="8">
        <f>(7*0.72+12*1.57+21*1.93+22*3.44+19*0.085+58*0.228)/(0.72+1.57+1.93+3.44+0.085+0.228)</f>
        <v>19.431707011162672</v>
      </c>
      <c r="BV376" s="7">
        <f>(0*0.72+0*1.57+0.1*1.93+0.1*3.44+0.1*0.085+0.2*0.228)/(0.72+1.57+1.93+3.44+0.085+0.228)</f>
        <v>7.4137714787407494E-2</v>
      </c>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31"/>
      <c r="EA376" s="7"/>
      <c r="EB376" s="7"/>
      <c r="EC376" s="7"/>
      <c r="ED376" s="7"/>
      <c r="EE376" s="7"/>
      <c r="EF376" s="7"/>
      <c r="EG376" s="7"/>
      <c r="EH376" s="10">
        <f t="shared" si="21"/>
        <v>6.1721000000000005E-2</v>
      </c>
      <c r="EI376" s="10">
        <f t="shared" ref="EI376:EI385" si="22">BP376*BS376/100</f>
        <v>0.412414</v>
      </c>
      <c r="EJ376" s="10">
        <f t="shared" ref="EJ376:EJ384" si="23">BP376*BT376/100</f>
        <v>1.0539999999999999E-2</v>
      </c>
      <c r="EK376" s="10">
        <f t="shared" ref="EK376:EK384" si="24">BP376*BU376/1000</f>
        <v>0.15492899999999998</v>
      </c>
      <c r="EL376" s="6">
        <f>BP376*BV376</f>
        <v>0.59109999999999996</v>
      </c>
      <c r="EY376" s="6"/>
      <c r="FA376" s="6"/>
      <c r="GP376" s="32"/>
      <c r="GY376" s="6" t="s">
        <v>338</v>
      </c>
      <c r="GZ376" s="6" t="s">
        <v>734</v>
      </c>
      <c r="HB376" s="6" t="s">
        <v>6863</v>
      </c>
      <c r="HC376" s="6" t="s">
        <v>311</v>
      </c>
      <c r="HD376" s="7" t="s">
        <v>2676</v>
      </c>
      <c r="HE376" s="8">
        <v>3981</v>
      </c>
      <c r="HF376" s="7" t="s">
        <v>2677</v>
      </c>
      <c r="HG376" s="7" t="s">
        <v>2678</v>
      </c>
      <c r="HH376" s="7"/>
      <c r="HJ376" s="7"/>
      <c r="HK376" s="7"/>
      <c r="HL376" s="7"/>
      <c r="HN376" s="7"/>
      <c r="HO376" s="7"/>
      <c r="HP376" s="7"/>
      <c r="HR376" s="7"/>
      <c r="HS376" s="7"/>
      <c r="HT376" s="7"/>
      <c r="HU376" s="7"/>
      <c r="HV376" s="7"/>
      <c r="HW376" s="7"/>
      <c r="HX376" s="7"/>
      <c r="HY376" s="7"/>
      <c r="HZ376" s="7"/>
      <c r="IA376" s="7"/>
      <c r="IB376" s="7" t="s">
        <v>4640</v>
      </c>
      <c r="IC376" s="8">
        <v>325</v>
      </c>
      <c r="ID376" s="7" t="s">
        <v>4641</v>
      </c>
      <c r="IE376" s="7" t="s">
        <v>2475</v>
      </c>
      <c r="IF376" s="7" t="s">
        <v>319</v>
      </c>
      <c r="IG376" s="7"/>
      <c r="IH376" s="7"/>
      <c r="II376" s="7"/>
      <c r="IJ376" s="7"/>
      <c r="IK376" s="7"/>
      <c r="IL376" s="7"/>
      <c r="IN376" s="7"/>
      <c r="IO376" s="7"/>
      <c r="IP376" s="7"/>
      <c r="IQ376" s="7"/>
      <c r="IR376" s="7"/>
      <c r="IS376" s="7"/>
      <c r="IT376" s="7"/>
      <c r="IU376" s="7"/>
      <c r="IV376" s="7"/>
      <c r="IW376" s="7"/>
      <c r="IX376" s="7"/>
      <c r="IY376" s="7"/>
      <c r="IZ376" s="7"/>
      <c r="JA376" s="7"/>
      <c r="JB376" s="7"/>
      <c r="JC376" s="7"/>
      <c r="JD376" s="7"/>
      <c r="JE376" s="7"/>
      <c r="JF376" s="7"/>
      <c r="JG376" s="7"/>
      <c r="JH376" s="7"/>
      <c r="JI376" s="7"/>
      <c r="JJ376" s="7"/>
      <c r="JK376" s="7"/>
      <c r="JL376" s="7"/>
      <c r="JM376" s="7"/>
      <c r="JN376" s="7"/>
      <c r="JO376" s="7"/>
      <c r="JP376" s="7"/>
      <c r="JQ376" s="7"/>
      <c r="JR376" s="7"/>
      <c r="JS376" s="7"/>
      <c r="JT376" s="7"/>
      <c r="JV376" s="4" t="s">
        <v>6864</v>
      </c>
      <c r="JW376" s="4" t="s">
        <v>910</v>
      </c>
      <c r="JX376" s="4" t="s">
        <v>353</v>
      </c>
      <c r="JY376" s="4" t="s">
        <v>470</v>
      </c>
      <c r="JZ376" s="4" t="s">
        <v>322</v>
      </c>
      <c r="KA376" s="4" t="s">
        <v>354</v>
      </c>
      <c r="KB376" s="4" t="s">
        <v>320</v>
      </c>
      <c r="KC376" s="4" t="s">
        <v>470</v>
      </c>
      <c r="KD376" s="4" t="s">
        <v>738</v>
      </c>
      <c r="KE376" s="4"/>
      <c r="KF376" s="4"/>
      <c r="KG376" s="4" t="s">
        <v>323</v>
      </c>
      <c r="KH376" s="7"/>
      <c r="KI376" s="7"/>
      <c r="KJ376" s="7"/>
      <c r="KK376" s="7"/>
      <c r="KL376" s="7"/>
      <c r="KM376" s="9"/>
      <c r="KN376" s="9"/>
      <c r="KO376" s="9"/>
      <c r="KP376" s="5" t="s">
        <v>358</v>
      </c>
      <c r="KQ376" s="15" t="s">
        <v>4643</v>
      </c>
      <c r="KR376" s="15" t="s">
        <v>6841</v>
      </c>
      <c r="KS376" s="15" t="s">
        <v>5589</v>
      </c>
      <c r="KT376" s="15" t="s">
        <v>6865</v>
      </c>
    </row>
    <row r="377" spans="1:306" ht="36" x14ac:dyDescent="0.25">
      <c r="A377" s="5" t="s">
        <v>5138</v>
      </c>
      <c r="B377" s="4" t="s">
        <v>293</v>
      </c>
      <c r="C377" s="7" t="s">
        <v>896</v>
      </c>
      <c r="D377" s="8" t="s">
        <v>1139</v>
      </c>
      <c r="E377" s="4">
        <v>333626</v>
      </c>
      <c r="G377" s="4" t="s">
        <v>427</v>
      </c>
      <c r="H377" s="6">
        <v>149.75980000000001</v>
      </c>
      <c r="I377" s="6">
        <v>-35.253100000000003</v>
      </c>
      <c r="K377" s="4" t="s">
        <v>298</v>
      </c>
      <c r="L377" s="4" t="s">
        <v>299</v>
      </c>
      <c r="M377" s="4" t="s">
        <v>1359</v>
      </c>
      <c r="Q377" s="7"/>
      <c r="R377" s="7"/>
      <c r="S377" s="4"/>
      <c r="U377" s="4"/>
      <c r="V377" s="4"/>
      <c r="W377" s="4"/>
      <c r="X377" s="4"/>
      <c r="Z377" s="4" t="s">
        <v>293</v>
      </c>
      <c r="AA377" s="7" t="s">
        <v>896</v>
      </c>
      <c r="AB377" s="8" t="s">
        <v>1139</v>
      </c>
      <c r="AC377" s="4" t="s">
        <v>301</v>
      </c>
      <c r="AD377" s="4" t="s">
        <v>302</v>
      </c>
      <c r="AE377" s="7">
        <v>411.3</v>
      </c>
      <c r="AF377" s="7">
        <v>2.6</v>
      </c>
      <c r="AG377" s="4" t="s">
        <v>379</v>
      </c>
      <c r="AH377" s="9" t="s">
        <v>483</v>
      </c>
      <c r="AI377" s="4" t="s">
        <v>373</v>
      </c>
      <c r="AJ377" s="4" t="s">
        <v>306</v>
      </c>
      <c r="AK377" s="4" t="s">
        <v>307</v>
      </c>
      <c r="AL377" s="4" t="s">
        <v>337</v>
      </c>
      <c r="AM377" s="8">
        <v>4</v>
      </c>
      <c r="AS377" s="7"/>
      <c r="AT377" s="7"/>
      <c r="BP377" s="7">
        <v>5.8</v>
      </c>
      <c r="BQ377" s="7"/>
      <c r="BR377" s="6">
        <v>0.35</v>
      </c>
      <c r="BS377" s="6">
        <v>0.66</v>
      </c>
      <c r="BT377" s="6">
        <v>0.13</v>
      </c>
      <c r="BU377" s="8">
        <v>9</v>
      </c>
      <c r="BV377" s="6">
        <v>0.35</v>
      </c>
      <c r="DZ377" s="31"/>
      <c r="EH377" s="10">
        <f t="shared" si="21"/>
        <v>2.0299999999999999E-2</v>
      </c>
      <c r="EI377" s="10">
        <f t="shared" si="22"/>
        <v>3.8280000000000002E-2</v>
      </c>
      <c r="EJ377" s="10">
        <f t="shared" si="23"/>
        <v>7.5399999999999998E-3</v>
      </c>
      <c r="EK377" s="6">
        <f t="shared" si="24"/>
        <v>5.2199999999999996E-2</v>
      </c>
      <c r="EL377" s="6">
        <f>BP377*BV377</f>
        <v>2.0299999999999998</v>
      </c>
      <c r="EY377" s="6"/>
      <c r="FA377" s="6"/>
      <c r="GP377" s="32"/>
      <c r="GY377" s="6" t="s">
        <v>309</v>
      </c>
      <c r="GZ377" s="6" t="s">
        <v>5139</v>
      </c>
      <c r="HB377" s="6" t="s">
        <v>3051</v>
      </c>
      <c r="HC377" s="6" t="s">
        <v>311</v>
      </c>
      <c r="HD377" s="7" t="s">
        <v>5140</v>
      </c>
      <c r="HE377" s="8">
        <v>5292</v>
      </c>
      <c r="HF377" s="7" t="s">
        <v>5141</v>
      </c>
      <c r="HG377" s="7" t="s">
        <v>5142</v>
      </c>
      <c r="HH377" s="7"/>
      <c r="HJ377" s="7"/>
      <c r="HK377" s="7"/>
      <c r="HL377" s="7"/>
      <c r="HN377" s="7"/>
      <c r="HO377" s="7"/>
      <c r="HP377" s="7"/>
      <c r="HR377" s="7"/>
      <c r="HS377" s="7"/>
      <c r="HT377" s="7"/>
      <c r="HU377" s="7"/>
      <c r="HV377" s="7"/>
      <c r="HW377" s="7"/>
      <c r="HX377" s="7"/>
      <c r="HY377" s="7"/>
      <c r="HZ377" s="7"/>
      <c r="IA377" s="7"/>
      <c r="IB377" s="7" t="s">
        <v>5143</v>
      </c>
      <c r="IC377" s="8">
        <v>26583</v>
      </c>
      <c r="ID377" s="7" t="s">
        <v>5144</v>
      </c>
      <c r="IE377" s="7" t="s">
        <v>782</v>
      </c>
      <c r="IF377" s="7" t="s">
        <v>319</v>
      </c>
      <c r="IG377" s="7"/>
      <c r="IH377" s="7"/>
      <c r="II377" s="7"/>
      <c r="IJ377" s="7"/>
      <c r="IK377" s="7"/>
      <c r="IL377" s="7"/>
      <c r="IN377" s="7"/>
      <c r="IO377" s="7"/>
      <c r="IP377" s="7"/>
      <c r="IQ377" s="7"/>
      <c r="IS377" s="7"/>
      <c r="IT377" s="7"/>
      <c r="IU377" s="7"/>
      <c r="IV377" s="7"/>
      <c r="IW377" s="8"/>
      <c r="IX377" s="7"/>
      <c r="IY377" s="7"/>
      <c r="IZ377" s="7"/>
      <c r="JA377" s="7"/>
      <c r="JB377" s="8"/>
      <c r="JC377" s="7"/>
      <c r="JD377" s="7"/>
      <c r="JE377" s="7"/>
      <c r="JF377" s="7"/>
      <c r="JG377" s="7"/>
      <c r="JH377" s="7"/>
      <c r="JI377" s="7"/>
      <c r="JJ377" s="7"/>
      <c r="JK377" s="7"/>
      <c r="JL377" s="7"/>
      <c r="JM377" s="7"/>
      <c r="JN377" s="7"/>
      <c r="JO377" s="7"/>
      <c r="JP377" s="7"/>
      <c r="JQ377" s="7"/>
      <c r="JR377" s="7"/>
      <c r="JS377" s="7"/>
      <c r="JT377" s="7"/>
      <c r="JV377" s="4" t="s">
        <v>5145</v>
      </c>
      <c r="JW377" s="4" t="s">
        <v>910</v>
      </c>
      <c r="JX377" s="4" t="s">
        <v>353</v>
      </c>
      <c r="JY377" s="4" t="s">
        <v>321</v>
      </c>
      <c r="JZ377" s="4" t="s">
        <v>320</v>
      </c>
      <c r="KA377" s="4" t="s">
        <v>354</v>
      </c>
      <c r="KB377" s="4" t="s">
        <v>322</v>
      </c>
      <c r="KC377" s="4"/>
      <c r="KD377" s="4"/>
      <c r="KE377" s="4"/>
      <c r="KF377" s="4"/>
      <c r="KG377" s="4" t="s">
        <v>323</v>
      </c>
      <c r="KH377" s="7"/>
      <c r="KI377" s="7"/>
      <c r="KJ377" s="7"/>
      <c r="KK377" s="7"/>
      <c r="KL377" s="7"/>
      <c r="KM377" s="9"/>
      <c r="KN377" s="9"/>
      <c r="KO377" s="9"/>
      <c r="KP377" s="5" t="s">
        <v>358</v>
      </c>
      <c r="KQ377" s="15" t="s">
        <v>5146</v>
      </c>
      <c r="KR377" s="15" t="s">
        <v>5147</v>
      </c>
      <c r="KS377" s="15" t="s">
        <v>5148</v>
      </c>
      <c r="KT377" s="15" t="s">
        <v>5149</v>
      </c>
    </row>
    <row r="378" spans="1:306" ht="84" x14ac:dyDescent="0.2">
      <c r="A378" s="5" t="s">
        <v>3273</v>
      </c>
      <c r="B378" s="4" t="s">
        <v>293</v>
      </c>
      <c r="C378" s="7" t="s">
        <v>896</v>
      </c>
      <c r="D378" s="8" t="s">
        <v>1139</v>
      </c>
      <c r="E378" s="44">
        <v>807137</v>
      </c>
      <c r="G378" s="4" t="s">
        <v>427</v>
      </c>
      <c r="H378" s="6">
        <v>146.30000000000001</v>
      </c>
      <c r="I378" s="6">
        <v>-32.201999999999998</v>
      </c>
      <c r="J378" s="4" t="s">
        <v>1504</v>
      </c>
      <c r="K378" s="4" t="s">
        <v>298</v>
      </c>
      <c r="L378" s="4" t="s">
        <v>299</v>
      </c>
      <c r="M378" s="4" t="s">
        <v>428</v>
      </c>
      <c r="N378" s="4" t="s">
        <v>1757</v>
      </c>
      <c r="Q378" s="7"/>
      <c r="R378" s="7"/>
      <c r="Z378" s="4" t="s">
        <v>293</v>
      </c>
      <c r="AA378" s="7" t="s">
        <v>896</v>
      </c>
      <c r="AB378" s="8" t="s">
        <v>1139</v>
      </c>
      <c r="AC378" s="4" t="s">
        <v>301</v>
      </c>
      <c r="AD378" s="4" t="s">
        <v>375</v>
      </c>
      <c r="AE378" s="7">
        <v>408.6</v>
      </c>
      <c r="AF378" s="7">
        <v>3.8</v>
      </c>
      <c r="AG378" s="9" t="s">
        <v>379</v>
      </c>
      <c r="AH378" s="9" t="s">
        <v>335</v>
      </c>
      <c r="AI378" s="9" t="s">
        <v>503</v>
      </c>
      <c r="AJ378" s="9" t="s">
        <v>306</v>
      </c>
      <c r="AK378" s="9" t="s">
        <v>1903</v>
      </c>
      <c r="AL378" s="9" t="s">
        <v>308</v>
      </c>
      <c r="AM378" s="8">
        <v>4</v>
      </c>
      <c r="AN378" s="4" t="s">
        <v>381</v>
      </c>
      <c r="AO378" s="4" t="s">
        <v>402</v>
      </c>
      <c r="AP378" s="4" t="s">
        <v>383</v>
      </c>
      <c r="AQ378" s="7" t="s">
        <v>384</v>
      </c>
      <c r="AR378" s="8" t="s">
        <v>433</v>
      </c>
      <c r="AS378" s="7">
        <v>0</v>
      </c>
      <c r="AT378" s="7">
        <v>0</v>
      </c>
      <c r="AU378" s="9" t="s">
        <v>303</v>
      </c>
      <c r="AV378" s="9" t="s">
        <v>406</v>
      </c>
      <c r="BA378" s="8">
        <v>5</v>
      </c>
      <c r="BP378" s="7">
        <v>5</v>
      </c>
      <c r="BR378" s="7">
        <v>0.3</v>
      </c>
      <c r="BS378" s="7">
        <v>9.1999999999999993</v>
      </c>
      <c r="BT378" s="7">
        <v>5.4</v>
      </c>
      <c r="BU378" s="8">
        <v>6</v>
      </c>
      <c r="BV378" s="7">
        <v>0.9</v>
      </c>
      <c r="DZ378" s="31"/>
      <c r="EH378" s="10">
        <f t="shared" si="21"/>
        <v>1.4999999999999999E-2</v>
      </c>
      <c r="EI378" s="10">
        <f t="shared" si="22"/>
        <v>0.46</v>
      </c>
      <c r="EJ378" s="10">
        <f t="shared" si="23"/>
        <v>0.27</v>
      </c>
      <c r="EK378" s="10">
        <f t="shared" si="24"/>
        <v>0.03</v>
      </c>
      <c r="EL378" s="6">
        <f>BP378*BV378</f>
        <v>4.5</v>
      </c>
      <c r="GP378" s="32"/>
      <c r="GY378" s="6" t="s">
        <v>338</v>
      </c>
      <c r="GZ378" s="6" t="s">
        <v>461</v>
      </c>
      <c r="HA378" s="6" t="s">
        <v>436</v>
      </c>
      <c r="HB378" s="6" t="s">
        <v>1988</v>
      </c>
      <c r="HC378" s="6" t="s">
        <v>311</v>
      </c>
      <c r="HD378" s="8" t="s">
        <v>3274</v>
      </c>
      <c r="HE378" s="8">
        <v>378</v>
      </c>
      <c r="HF378" s="8" t="s">
        <v>3275</v>
      </c>
      <c r="HG378" s="9" t="s">
        <v>3276</v>
      </c>
      <c r="IB378" s="8" t="s">
        <v>3277</v>
      </c>
      <c r="IC378" s="8">
        <v>25898</v>
      </c>
      <c r="ID378" s="8" t="s">
        <v>3278</v>
      </c>
      <c r="IE378" s="8" t="s">
        <v>1025</v>
      </c>
      <c r="IF378" s="8" t="s">
        <v>445</v>
      </c>
      <c r="IW378" s="8"/>
      <c r="JB378" s="8"/>
      <c r="JV378" s="7" t="s">
        <v>3279</v>
      </c>
      <c r="JX378" s="7" t="s">
        <v>322</v>
      </c>
      <c r="JY378" s="7" t="s">
        <v>321</v>
      </c>
      <c r="JZ378" s="7" t="s">
        <v>320</v>
      </c>
      <c r="KG378" s="4" t="s">
        <v>323</v>
      </c>
      <c r="KM378" s="4" t="s">
        <v>836</v>
      </c>
      <c r="KN378" s="4" t="s">
        <v>836</v>
      </c>
      <c r="KP378" s="5" t="s">
        <v>358</v>
      </c>
      <c r="KQ378" s="5" t="s">
        <v>3280</v>
      </c>
      <c r="KR378" s="5" t="s">
        <v>3281</v>
      </c>
      <c r="KS378" s="5" t="s">
        <v>3282</v>
      </c>
      <c r="KT378" s="5" t="s">
        <v>3283</v>
      </c>
    </row>
    <row r="379" spans="1:306" ht="216" x14ac:dyDescent="0.25">
      <c r="A379" s="5" t="s">
        <v>5223</v>
      </c>
      <c r="B379" s="4" t="s">
        <v>293</v>
      </c>
      <c r="C379" s="7" t="s">
        <v>896</v>
      </c>
      <c r="D379" s="8" t="s">
        <v>1139</v>
      </c>
      <c r="E379" s="4">
        <v>333982</v>
      </c>
      <c r="G379" s="4" t="s">
        <v>479</v>
      </c>
      <c r="H379" s="6">
        <v>144.38249999999999</v>
      </c>
      <c r="I379" s="6">
        <v>-17.0991</v>
      </c>
      <c r="J379" s="4" t="s">
        <v>4639</v>
      </c>
      <c r="K379" s="4" t="s">
        <v>298</v>
      </c>
      <c r="L379" s="4" t="s">
        <v>1018</v>
      </c>
      <c r="M379" s="4" t="s">
        <v>1019</v>
      </c>
      <c r="Q379" s="7"/>
      <c r="R379" s="7"/>
      <c r="S379" s="4"/>
      <c r="Z379" s="4" t="s">
        <v>293</v>
      </c>
      <c r="AA379" s="7" t="s">
        <v>896</v>
      </c>
      <c r="AB379" s="8" t="s">
        <v>1139</v>
      </c>
      <c r="AC379" s="4" t="s">
        <v>301</v>
      </c>
      <c r="AD379" s="4" t="s">
        <v>375</v>
      </c>
      <c r="AE379" s="7">
        <v>307.09999999999997</v>
      </c>
      <c r="AF379" s="7">
        <v>2.6</v>
      </c>
      <c r="AG379" s="4" t="s">
        <v>303</v>
      </c>
      <c r="AH379" s="9" t="s">
        <v>304</v>
      </c>
      <c r="AI379" s="9" t="s">
        <v>598</v>
      </c>
      <c r="AJ379" s="9" t="s">
        <v>599</v>
      </c>
      <c r="AK379" s="9" t="s">
        <v>600</v>
      </c>
      <c r="AM379" s="8">
        <v>5</v>
      </c>
      <c r="AN379" s="4" t="s">
        <v>381</v>
      </c>
      <c r="AO379" s="4" t="s">
        <v>382</v>
      </c>
      <c r="AP379" s="4" t="s">
        <v>383</v>
      </c>
      <c r="AQ379" s="7" t="s">
        <v>384</v>
      </c>
      <c r="AR379" s="8" t="s">
        <v>5224</v>
      </c>
      <c r="AS379" s="7">
        <v>0</v>
      </c>
      <c r="AT379" s="7">
        <v>0</v>
      </c>
      <c r="AU379" s="9" t="s">
        <v>303</v>
      </c>
      <c r="AV379" s="9" t="s">
        <v>406</v>
      </c>
      <c r="BA379" s="8">
        <v>5</v>
      </c>
      <c r="BP379" s="7">
        <f>1.54+0.058+1.011+1.005</f>
        <v>3.6139999999999999</v>
      </c>
      <c r="BQ379" s="9"/>
      <c r="BR379" s="7">
        <f>(1.85*1.54+0.3*0.058+3.1*1.011+0.4*1.005)/(1.54+0.058+1.011+1.005)</f>
        <v>1.7715827338129497</v>
      </c>
      <c r="BS379" s="7">
        <f>(11.84*1.54+6.9*0.058+0.4*1.011+9.6*1.005)/(1.54+0.058+1.011+1.005)</f>
        <v>7.9375207526286662</v>
      </c>
      <c r="BT379" s="7">
        <f>(1.37*1.54+0.3*0.058+0*1.011+5.9*1.005)/(1.54+0.058+1.011+1.005)</f>
        <v>2.2293027116768123</v>
      </c>
      <c r="BU379" s="8">
        <f>(127*1.54+12*0.058+61*1.011+131*1.005)/(1.54+0.058+1.011+1.005)</f>
        <v>107.80354178195904</v>
      </c>
      <c r="BV379" s="7">
        <f>(1.03*1.54+0*0.058+0.6*1.011+0.4*1.005)/(1.54+0.058+1.011+1.005)</f>
        <v>0.71798561151079143</v>
      </c>
      <c r="DZ379" s="31"/>
      <c r="EH379" s="10">
        <f t="shared" si="21"/>
        <v>6.4024999999999999E-2</v>
      </c>
      <c r="EI379" s="10">
        <f t="shared" si="22"/>
        <v>0.28686200000000001</v>
      </c>
      <c r="EJ379" s="10">
        <f t="shared" si="23"/>
        <v>8.0567E-2</v>
      </c>
      <c r="EK379" s="10">
        <f t="shared" si="24"/>
        <v>0.38960199999999995</v>
      </c>
      <c r="EL379" s="6">
        <f>BP379*BV379</f>
        <v>2.5948000000000002</v>
      </c>
      <c r="EY379" s="6"/>
      <c r="FA379" s="6"/>
      <c r="GP379" s="32"/>
      <c r="GY379" s="31" t="s">
        <v>407</v>
      </c>
      <c r="GZ379" s="6" t="s">
        <v>734</v>
      </c>
      <c r="HA379" s="6" t="s">
        <v>3051</v>
      </c>
      <c r="HB379" s="6" t="s">
        <v>436</v>
      </c>
      <c r="HC379" s="6" t="s">
        <v>311</v>
      </c>
      <c r="HD379" s="7" t="s">
        <v>2676</v>
      </c>
      <c r="HE379" s="8">
        <v>3981</v>
      </c>
      <c r="HF379" s="7" t="s">
        <v>2677</v>
      </c>
      <c r="HG379" s="7" t="s">
        <v>2678</v>
      </c>
      <c r="HH379" s="7"/>
      <c r="HJ379" s="7"/>
      <c r="HK379" s="7"/>
      <c r="HL379" s="7"/>
      <c r="HN379" s="7"/>
      <c r="HO379" s="7"/>
      <c r="HP379" s="7"/>
      <c r="HR379" s="7"/>
      <c r="HS379" s="7"/>
      <c r="HT379" s="7"/>
      <c r="HU379" s="7"/>
      <c r="HV379" s="7"/>
      <c r="HW379" s="7"/>
      <c r="HX379" s="7"/>
      <c r="HY379" s="7"/>
      <c r="HZ379" s="7"/>
      <c r="IA379" s="7"/>
      <c r="IB379" s="7" t="s">
        <v>4640</v>
      </c>
      <c r="IC379" s="8">
        <v>325</v>
      </c>
      <c r="ID379" s="7" t="s">
        <v>5225</v>
      </c>
      <c r="IE379" s="7" t="s">
        <v>2475</v>
      </c>
      <c r="IF379" s="7" t="s">
        <v>319</v>
      </c>
      <c r="IG379" s="4"/>
      <c r="IH379" s="4"/>
      <c r="II379" s="4"/>
      <c r="IJ379" s="7"/>
      <c r="IK379" s="7"/>
      <c r="IL379" s="7"/>
      <c r="IN379" s="7"/>
      <c r="IO379" s="7"/>
      <c r="IP379" s="7"/>
      <c r="IQ379" s="7"/>
      <c r="IR379" s="7"/>
      <c r="IS379" s="7"/>
      <c r="IT379" s="7"/>
      <c r="IU379" s="7"/>
      <c r="IV379" s="7"/>
      <c r="IW379" s="7"/>
      <c r="IX379" s="7"/>
      <c r="IY379" s="7"/>
      <c r="IZ379" s="7"/>
      <c r="JA379" s="7"/>
      <c r="JB379" s="7"/>
      <c r="JC379" s="7"/>
      <c r="JD379" s="7"/>
      <c r="JE379" s="7"/>
      <c r="JF379" s="7"/>
      <c r="JG379" s="7"/>
      <c r="JH379" s="7"/>
      <c r="JI379" s="7"/>
      <c r="JJ379" s="7"/>
      <c r="JK379" s="7"/>
      <c r="JL379" s="7"/>
      <c r="JM379" s="7"/>
      <c r="JN379" s="7"/>
      <c r="JO379" s="7"/>
      <c r="JP379" s="7"/>
      <c r="JQ379" s="7"/>
      <c r="JR379" s="7"/>
      <c r="JS379" s="7"/>
      <c r="JT379" s="7"/>
      <c r="JV379" s="4" t="s">
        <v>5226</v>
      </c>
      <c r="JW379" s="4" t="s">
        <v>910</v>
      </c>
      <c r="JX379" s="4" t="s">
        <v>353</v>
      </c>
      <c r="JY379" s="4" t="s">
        <v>354</v>
      </c>
      <c r="JZ379" s="4" t="s">
        <v>738</v>
      </c>
      <c r="KA379" s="4" t="s">
        <v>470</v>
      </c>
      <c r="KB379" s="4" t="s">
        <v>320</v>
      </c>
      <c r="KC379" s="4" t="s">
        <v>354</v>
      </c>
      <c r="KD379" s="4" t="s">
        <v>322</v>
      </c>
      <c r="KE379" s="4"/>
      <c r="KF379" s="4"/>
      <c r="KG379" s="4" t="s">
        <v>323</v>
      </c>
      <c r="KH379" s="7"/>
      <c r="KI379" s="7"/>
      <c r="KJ379" s="7"/>
      <c r="KK379" s="7"/>
      <c r="KL379" s="7"/>
      <c r="KM379" s="9"/>
      <c r="KN379" s="9"/>
      <c r="KO379" s="9"/>
      <c r="KP379" s="5" t="s">
        <v>358</v>
      </c>
      <c r="KQ379" s="15" t="s">
        <v>5227</v>
      </c>
      <c r="KR379" s="15" t="s">
        <v>5228</v>
      </c>
      <c r="KS379" s="15" t="s">
        <v>5229</v>
      </c>
      <c r="KT379" s="15" t="s">
        <v>5230</v>
      </c>
    </row>
    <row r="380" spans="1:306" ht="60" x14ac:dyDescent="0.25">
      <c r="A380" s="5" t="s">
        <v>4638</v>
      </c>
      <c r="B380" s="4" t="s">
        <v>293</v>
      </c>
      <c r="C380" s="7" t="s">
        <v>896</v>
      </c>
      <c r="D380" s="8" t="s">
        <v>1139</v>
      </c>
      <c r="E380" s="4">
        <v>334002</v>
      </c>
      <c r="G380" s="4" t="s">
        <v>479</v>
      </c>
      <c r="H380" s="6">
        <v>144.24959999999999</v>
      </c>
      <c r="I380" s="6">
        <v>-16.936299999999999</v>
      </c>
      <c r="J380" s="4" t="s">
        <v>4639</v>
      </c>
      <c r="K380" s="4" t="s">
        <v>298</v>
      </c>
      <c r="L380" s="4" t="s">
        <v>1018</v>
      </c>
      <c r="M380" s="4" t="s">
        <v>1019</v>
      </c>
      <c r="Q380" s="8"/>
      <c r="Z380" s="4" t="s">
        <v>293</v>
      </c>
      <c r="AA380" s="7" t="s">
        <v>896</v>
      </c>
      <c r="AB380" s="8" t="s">
        <v>1139</v>
      </c>
      <c r="AC380" s="4" t="s">
        <v>301</v>
      </c>
      <c r="AD380" s="4" t="s">
        <v>375</v>
      </c>
      <c r="AE380" s="8">
        <v>307</v>
      </c>
      <c r="AG380" s="9" t="s">
        <v>379</v>
      </c>
      <c r="AH380" s="9" t="s">
        <v>1156</v>
      </c>
      <c r="AM380" s="8">
        <v>3</v>
      </c>
      <c r="BP380" s="7">
        <v>2.67</v>
      </c>
      <c r="BQ380" s="9"/>
      <c r="BR380" s="7">
        <v>0.47</v>
      </c>
      <c r="BS380" s="7">
        <v>9.1999999999999993</v>
      </c>
      <c r="BT380" s="7">
        <v>0.66</v>
      </c>
      <c r="BU380" s="8">
        <v>25.3</v>
      </c>
      <c r="BV380" s="7"/>
      <c r="BW380" s="7"/>
      <c r="BX380" s="7"/>
      <c r="BY380" s="7"/>
      <c r="BZ380" s="7"/>
      <c r="CA380" s="7"/>
      <c r="CB380" s="7"/>
      <c r="CC380" s="7"/>
      <c r="CD380" s="7"/>
      <c r="CE380" s="7"/>
      <c r="CF380" s="7"/>
      <c r="CG380" s="7"/>
      <c r="CH380" s="7"/>
      <c r="CI380" s="7"/>
      <c r="CJ380" s="7">
        <v>10.4</v>
      </c>
      <c r="CK380" s="7"/>
      <c r="CL380" s="7"/>
      <c r="CM380" s="7"/>
      <c r="CN380" s="7">
        <v>0.15859999999999999</v>
      </c>
      <c r="CO380" s="7"/>
      <c r="CP380" s="7"/>
      <c r="CQ380" s="7"/>
      <c r="CR380" s="7"/>
      <c r="CS380" s="7"/>
      <c r="CT380" s="7"/>
      <c r="CU380" s="7"/>
      <c r="CV380" s="7"/>
      <c r="CW380" s="7">
        <v>381</v>
      </c>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31"/>
      <c r="EA380" s="7"/>
      <c r="EB380" s="7"/>
      <c r="EC380" s="7"/>
      <c r="ED380" s="7"/>
      <c r="EE380" s="7"/>
      <c r="EF380" s="7"/>
      <c r="EG380" s="7"/>
      <c r="EH380" s="10">
        <f t="shared" si="21"/>
        <v>1.2548999999999999E-2</v>
      </c>
      <c r="EI380" s="10">
        <f t="shared" si="22"/>
        <v>0.24563999999999997</v>
      </c>
      <c r="EJ380" s="10">
        <f t="shared" si="23"/>
        <v>1.7621999999999999E-2</v>
      </c>
      <c r="EK380" s="10">
        <f t="shared" si="24"/>
        <v>6.7551E-2</v>
      </c>
      <c r="EY380" s="10">
        <f>BP380*CJ380/100</f>
        <v>0.27767999999999998</v>
      </c>
      <c r="FA380" s="6"/>
      <c r="FC380" s="10">
        <f>BP380*CN380/1000</f>
        <v>4.2346199999999994E-4</v>
      </c>
      <c r="FL380" s="6">
        <f>BP380*CW380</f>
        <v>1017.27</v>
      </c>
      <c r="GP380" s="32"/>
      <c r="GY380" s="6" t="s">
        <v>338</v>
      </c>
      <c r="GZ380" s="6" t="s">
        <v>1049</v>
      </c>
      <c r="HA380" s="6" t="s">
        <v>994</v>
      </c>
      <c r="HB380" s="6" t="s">
        <v>3051</v>
      </c>
      <c r="HC380" s="6" t="s">
        <v>311</v>
      </c>
      <c r="HD380" s="7" t="s">
        <v>2676</v>
      </c>
      <c r="HE380" s="8">
        <v>3981</v>
      </c>
      <c r="HF380" s="7" t="s">
        <v>2677</v>
      </c>
      <c r="HG380" s="7" t="s">
        <v>2678</v>
      </c>
      <c r="HH380" s="7"/>
      <c r="HJ380" s="7"/>
      <c r="HK380" s="7"/>
      <c r="HL380" s="7"/>
      <c r="HN380" s="7"/>
      <c r="HO380" s="7"/>
      <c r="HP380" s="7"/>
      <c r="HR380" s="7"/>
      <c r="HS380" s="7"/>
      <c r="HT380" s="7"/>
      <c r="HU380" s="7"/>
      <c r="HV380" s="7"/>
      <c r="HW380" s="7"/>
      <c r="HX380" s="7"/>
      <c r="HY380" s="7"/>
      <c r="HZ380" s="7"/>
      <c r="IA380" s="7"/>
      <c r="IB380" s="7" t="s">
        <v>4640</v>
      </c>
      <c r="IC380" s="8">
        <v>325</v>
      </c>
      <c r="ID380" s="7" t="s">
        <v>4641</v>
      </c>
      <c r="IE380" s="7" t="s">
        <v>2475</v>
      </c>
      <c r="IF380" s="7" t="s">
        <v>319</v>
      </c>
      <c r="IG380" s="7"/>
      <c r="IH380" s="7"/>
      <c r="II380" s="7"/>
      <c r="IJ380" s="7"/>
      <c r="IK380" s="7"/>
      <c r="IL380" s="7"/>
      <c r="IN380" s="7"/>
      <c r="IO380" s="7"/>
      <c r="IP380" s="7"/>
      <c r="IQ380" s="7"/>
      <c r="IR380" s="7"/>
      <c r="IS380" s="7"/>
      <c r="IT380" s="7"/>
      <c r="IU380" s="7"/>
      <c r="IV380" s="7"/>
      <c r="IW380" s="7"/>
      <c r="IX380" s="7"/>
      <c r="IY380" s="7"/>
      <c r="IZ380" s="7"/>
      <c r="JA380" s="7"/>
      <c r="JB380" s="7"/>
      <c r="JC380" s="7"/>
      <c r="JD380" s="7"/>
      <c r="JE380" s="7"/>
      <c r="JF380" s="7"/>
      <c r="JG380" s="7"/>
      <c r="JH380" s="7"/>
      <c r="JI380" s="7"/>
      <c r="JJ380" s="7"/>
      <c r="JK380" s="7"/>
      <c r="JL380" s="7"/>
      <c r="JM380" s="7"/>
      <c r="JN380" s="7"/>
      <c r="JO380" s="7"/>
      <c r="JP380" s="7"/>
      <c r="JQ380" s="7"/>
      <c r="JR380" s="7"/>
      <c r="JS380" s="7"/>
      <c r="JT380" s="7"/>
      <c r="JV380" s="4" t="s">
        <v>4642</v>
      </c>
      <c r="JW380" s="4" t="s">
        <v>910</v>
      </c>
      <c r="JX380" s="4" t="s">
        <v>320</v>
      </c>
      <c r="JY380" s="4" t="s">
        <v>321</v>
      </c>
      <c r="JZ380" s="4" t="s">
        <v>738</v>
      </c>
      <c r="KA380" s="4"/>
      <c r="KB380" s="4"/>
      <c r="KC380" s="4"/>
      <c r="KD380" s="4"/>
      <c r="KE380" s="4"/>
      <c r="KF380" s="4"/>
      <c r="KG380" s="4" t="s">
        <v>323</v>
      </c>
      <c r="KH380" s="7"/>
      <c r="KI380" s="7"/>
      <c r="KJ380" s="7"/>
      <c r="KK380" s="7"/>
      <c r="KL380" s="7"/>
      <c r="KM380" s="9"/>
      <c r="KN380" s="9"/>
      <c r="KO380" s="9"/>
      <c r="KP380" s="5" t="s">
        <v>358</v>
      </c>
      <c r="KQ380" s="15" t="s">
        <v>4643</v>
      </c>
      <c r="KR380" s="15"/>
      <c r="KS380" s="15" t="s">
        <v>4644</v>
      </c>
      <c r="KT380" s="15" t="s">
        <v>4645</v>
      </c>
    </row>
    <row r="381" spans="1:306" ht="132" x14ac:dyDescent="0.25">
      <c r="A381" s="5" t="s">
        <v>4825</v>
      </c>
      <c r="B381" s="4" t="s">
        <v>293</v>
      </c>
      <c r="C381" s="7" t="s">
        <v>896</v>
      </c>
      <c r="D381" s="8" t="s">
        <v>1139</v>
      </c>
      <c r="E381" s="4">
        <v>334927</v>
      </c>
      <c r="G381" s="4" t="s">
        <v>427</v>
      </c>
      <c r="H381" s="6">
        <v>149.53710000000001</v>
      </c>
      <c r="I381" s="6">
        <v>-32.0169</v>
      </c>
      <c r="J381" s="4" t="s">
        <v>4826</v>
      </c>
      <c r="K381" s="4" t="s">
        <v>298</v>
      </c>
      <c r="L381" s="4" t="s">
        <v>299</v>
      </c>
      <c r="N381" s="4" t="s">
        <v>1545</v>
      </c>
      <c r="Q381" s="7"/>
      <c r="R381" s="7"/>
      <c r="S381" s="4"/>
      <c r="U381" s="4"/>
      <c r="V381" s="4"/>
      <c r="W381" s="4"/>
      <c r="X381" s="4"/>
      <c r="Z381" s="4" t="s">
        <v>293</v>
      </c>
      <c r="AA381" s="7" t="s">
        <v>896</v>
      </c>
      <c r="AB381" s="8" t="s">
        <v>1139</v>
      </c>
      <c r="AC381" s="4" t="s">
        <v>301</v>
      </c>
      <c r="AE381" s="7">
        <v>357.59999999999997</v>
      </c>
      <c r="AF381" s="7">
        <v>4.8</v>
      </c>
      <c r="AG381" s="4" t="s">
        <v>379</v>
      </c>
      <c r="AH381" s="9" t="s">
        <v>483</v>
      </c>
      <c r="AI381" s="4" t="s">
        <v>373</v>
      </c>
      <c r="AJ381" s="4" t="s">
        <v>306</v>
      </c>
      <c r="AK381" s="4" t="s">
        <v>307</v>
      </c>
      <c r="AL381" s="4" t="s">
        <v>337</v>
      </c>
      <c r="AM381" s="8">
        <v>3</v>
      </c>
      <c r="AS381" s="7"/>
      <c r="AT381" s="7"/>
      <c r="BP381" s="7">
        <f>0.0503+0.376+1.78</f>
        <v>2.2063000000000001</v>
      </c>
      <c r="BR381" s="6">
        <f>(0*0.0503+0*0.376+0.08*1.78)/(0.0503+0.376+1.78)</f>
        <v>6.4542446630104694E-2</v>
      </c>
      <c r="BS381" s="7">
        <f>(0*0.0503+0*0.376+6.7*1.78)/(0.0503+0.376+1.78)</f>
        <v>5.4054299052712684</v>
      </c>
      <c r="BT381" s="6">
        <f>(3.11*0.0503+2.2*0.376+0.25*1.78)/(0.0503+0.376+1.78)</f>
        <v>0.64752436205411767</v>
      </c>
      <c r="BU381" s="8">
        <f>(185*0.0503+31*0.376+41*1.78)/(0.0503+0.376+1.78)</f>
        <v>42.578751756334135</v>
      </c>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c r="DU381" s="7"/>
      <c r="DV381" s="7"/>
      <c r="DW381" s="7"/>
      <c r="DX381" s="7"/>
      <c r="DY381" s="7"/>
      <c r="DZ381" s="31"/>
      <c r="EA381" s="7"/>
      <c r="EB381" s="7"/>
      <c r="EC381" s="7"/>
      <c r="ED381" s="7"/>
      <c r="EE381" s="7"/>
      <c r="EF381" s="7"/>
      <c r="EG381" s="7"/>
      <c r="EH381" s="10">
        <f t="shared" si="21"/>
        <v>1.4239999999999999E-3</v>
      </c>
      <c r="EI381" s="10">
        <f t="shared" si="22"/>
        <v>0.11926</v>
      </c>
      <c r="EJ381" s="10">
        <f t="shared" si="23"/>
        <v>1.4286329999999998E-2</v>
      </c>
      <c r="EK381" s="6">
        <f t="shared" si="24"/>
        <v>9.3941500000000011E-2</v>
      </c>
      <c r="EY381" s="6"/>
      <c r="FA381" s="6"/>
      <c r="GP381" s="32"/>
      <c r="GY381" s="31" t="s">
        <v>407</v>
      </c>
      <c r="GZ381" s="6" t="s">
        <v>1049</v>
      </c>
      <c r="HA381" s="6" t="s">
        <v>462</v>
      </c>
      <c r="HB381" s="6" t="s">
        <v>1728</v>
      </c>
      <c r="HC381" s="6" t="s">
        <v>311</v>
      </c>
      <c r="HD381" s="4" t="s">
        <v>3781</v>
      </c>
      <c r="HE381" s="8">
        <v>5845</v>
      </c>
      <c r="HF381" s="7" t="s">
        <v>3782</v>
      </c>
      <c r="HG381" s="7" t="s">
        <v>444</v>
      </c>
      <c r="HH381" s="7"/>
      <c r="HJ381" s="7"/>
      <c r="HK381" s="7"/>
      <c r="HL381" s="7"/>
      <c r="HN381" s="7"/>
      <c r="HO381" s="7"/>
      <c r="HP381" s="7"/>
      <c r="HR381" s="7"/>
      <c r="HS381" s="7"/>
      <c r="HT381" s="7"/>
      <c r="HU381" s="7"/>
      <c r="HV381" s="7"/>
      <c r="IA381" s="7"/>
      <c r="IB381" s="4" t="s">
        <v>3781</v>
      </c>
      <c r="IC381" s="8">
        <v>5845</v>
      </c>
      <c r="ID381" s="7" t="s">
        <v>3782</v>
      </c>
      <c r="IE381" s="7" t="s">
        <v>444</v>
      </c>
      <c r="IF381" s="7" t="s">
        <v>445</v>
      </c>
      <c r="IG381" s="8" t="s">
        <v>4827</v>
      </c>
      <c r="IH381" s="8">
        <v>35067</v>
      </c>
      <c r="II381" s="8" t="s">
        <v>4828</v>
      </c>
      <c r="IJ381" s="7" t="s">
        <v>3650</v>
      </c>
      <c r="IK381" s="7" t="s">
        <v>319</v>
      </c>
      <c r="IL381" s="7" t="s">
        <v>4829</v>
      </c>
      <c r="IM381" s="7">
        <v>7860</v>
      </c>
      <c r="IN381" s="7" t="s">
        <v>4830</v>
      </c>
      <c r="IO381" s="7" t="s">
        <v>1265</v>
      </c>
      <c r="IP381" s="7" t="s">
        <v>350</v>
      </c>
      <c r="IQ381" s="7"/>
      <c r="IS381" s="7"/>
      <c r="IT381" s="7"/>
      <c r="IU381" s="7"/>
      <c r="IV381" s="7"/>
      <c r="IW381" s="8"/>
      <c r="IX381" s="7"/>
      <c r="IY381" s="7"/>
      <c r="IZ381" s="7"/>
      <c r="JA381" s="7"/>
      <c r="JB381" s="8"/>
      <c r="JC381" s="7"/>
      <c r="JD381" s="7"/>
      <c r="JE381" s="7"/>
      <c r="JF381" s="7"/>
      <c r="JG381" s="7"/>
      <c r="JH381" s="7"/>
      <c r="JI381" s="7"/>
      <c r="JJ381" s="7"/>
      <c r="JK381" s="7"/>
      <c r="JL381" s="7"/>
      <c r="JM381" s="7"/>
      <c r="JN381" s="7"/>
      <c r="JO381" s="7"/>
      <c r="JP381" s="7"/>
      <c r="JQ381" s="7"/>
      <c r="JR381" s="7"/>
      <c r="JS381" s="7"/>
      <c r="JT381" s="7"/>
      <c r="JU381" s="7" t="s">
        <v>4831</v>
      </c>
      <c r="JV381" s="4" t="s">
        <v>4832</v>
      </c>
      <c r="JW381" s="4" t="s">
        <v>910</v>
      </c>
      <c r="JX381" s="4" t="s">
        <v>353</v>
      </c>
      <c r="JY381" s="4" t="s">
        <v>354</v>
      </c>
      <c r="JZ381" s="4" t="s">
        <v>320</v>
      </c>
      <c r="KA381" s="4" t="s">
        <v>354</v>
      </c>
      <c r="KB381" s="4" t="s">
        <v>322</v>
      </c>
      <c r="KC381" s="4" t="s">
        <v>354</v>
      </c>
      <c r="KD381" s="4" t="s">
        <v>738</v>
      </c>
      <c r="KE381" s="4"/>
      <c r="KF381" s="4"/>
      <c r="KG381" s="4" t="s">
        <v>323</v>
      </c>
      <c r="KH381" s="7"/>
      <c r="KI381" s="7"/>
      <c r="KJ381" s="7"/>
      <c r="KK381" s="7"/>
      <c r="KL381" s="7"/>
      <c r="KM381" s="9" t="s">
        <v>836</v>
      </c>
      <c r="KN381" s="9" t="s">
        <v>836</v>
      </c>
      <c r="KO381" s="9"/>
      <c r="KP381" s="5" t="s">
        <v>358</v>
      </c>
      <c r="KQ381" s="15" t="s">
        <v>4833</v>
      </c>
      <c r="KR381" s="15" t="s">
        <v>4834</v>
      </c>
      <c r="KS381" s="15" t="s">
        <v>4835</v>
      </c>
      <c r="KT381" s="22" t="s">
        <v>4836</v>
      </c>
    </row>
    <row r="382" spans="1:306" ht="192" x14ac:dyDescent="0.25">
      <c r="A382" s="5" t="s">
        <v>3965</v>
      </c>
      <c r="B382" s="4" t="s">
        <v>293</v>
      </c>
      <c r="C382" s="7" t="s">
        <v>896</v>
      </c>
      <c r="D382" s="8" t="s">
        <v>1139</v>
      </c>
      <c r="E382" s="4">
        <v>333573</v>
      </c>
      <c r="G382" s="4" t="s">
        <v>427</v>
      </c>
      <c r="H382" s="6">
        <v>146.32481524299999</v>
      </c>
      <c r="I382" s="6">
        <v>-32.108845481000003</v>
      </c>
      <c r="J382" s="4" t="s">
        <v>3966</v>
      </c>
      <c r="K382" s="4" t="s">
        <v>298</v>
      </c>
      <c r="L382" s="4" t="s">
        <v>299</v>
      </c>
      <c r="M382" s="4" t="s">
        <v>428</v>
      </c>
      <c r="N382" s="4" t="s">
        <v>1757</v>
      </c>
      <c r="Q382" s="7"/>
      <c r="R382" s="7"/>
      <c r="S382" s="4"/>
      <c r="T382" s="4"/>
      <c r="U382" s="4"/>
      <c r="V382" s="4"/>
      <c r="W382" s="4"/>
      <c r="X382" s="4"/>
      <c r="Z382" s="4" t="s">
        <v>293</v>
      </c>
      <c r="AA382" s="7" t="s">
        <v>896</v>
      </c>
      <c r="AB382" s="8" t="s">
        <v>1139</v>
      </c>
      <c r="AC382" s="4" t="s">
        <v>301</v>
      </c>
      <c r="AD382" s="4" t="s">
        <v>375</v>
      </c>
      <c r="AE382" s="7">
        <v>403.4</v>
      </c>
      <c r="AF382" s="7">
        <v>1.1000000000000001</v>
      </c>
      <c r="AG382" s="4" t="s">
        <v>334</v>
      </c>
      <c r="AH382" s="4" t="s">
        <v>429</v>
      </c>
      <c r="AI382" s="4" t="s">
        <v>503</v>
      </c>
      <c r="AJ382" s="4" t="s">
        <v>306</v>
      </c>
      <c r="AK382" s="4" t="s">
        <v>307</v>
      </c>
      <c r="AL382" s="4" t="s">
        <v>1295</v>
      </c>
      <c r="AM382" s="8">
        <v>4</v>
      </c>
      <c r="AN382" s="4" t="s">
        <v>301</v>
      </c>
      <c r="AO382" s="4" t="s">
        <v>382</v>
      </c>
      <c r="AP382" s="4" t="s">
        <v>424</v>
      </c>
      <c r="AQ382" s="7" t="s">
        <v>425</v>
      </c>
      <c r="AR382" s="8" t="s">
        <v>1756</v>
      </c>
      <c r="AS382" s="7">
        <v>381.9</v>
      </c>
      <c r="AT382" s="7">
        <v>2.2000000000000002</v>
      </c>
      <c r="AU382" s="9" t="s">
        <v>334</v>
      </c>
      <c r="AV382" s="9" t="s">
        <v>429</v>
      </c>
      <c r="AW382" s="9" t="s">
        <v>845</v>
      </c>
      <c r="AX382" s="9" t="s">
        <v>431</v>
      </c>
      <c r="AY382" s="9" t="s">
        <v>432</v>
      </c>
      <c r="BA382" s="8">
        <v>4</v>
      </c>
      <c r="BP382" s="7">
        <v>2.0609999999999999</v>
      </c>
      <c r="BQ382" s="7"/>
      <c r="BR382" s="7"/>
      <c r="BS382" s="7">
        <v>4.2</v>
      </c>
      <c r="BT382" s="7">
        <v>2.8</v>
      </c>
      <c r="BU382" s="8">
        <v>34</v>
      </c>
      <c r="BV382" s="4">
        <v>1.8</v>
      </c>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31"/>
      <c r="EA382" s="4"/>
      <c r="EB382" s="4"/>
      <c r="EC382" s="4"/>
      <c r="ED382" s="4"/>
      <c r="EE382" s="4"/>
      <c r="EF382" s="4"/>
      <c r="EG382" s="4"/>
      <c r="EI382" s="10">
        <f t="shared" si="22"/>
        <v>8.6562E-2</v>
      </c>
      <c r="EJ382" s="10">
        <f t="shared" si="23"/>
        <v>5.7707999999999995E-2</v>
      </c>
      <c r="EK382" s="6">
        <f t="shared" si="24"/>
        <v>7.0073999999999997E-2</v>
      </c>
      <c r="EL382" s="6">
        <f>BP382*BV382</f>
        <v>3.7098</v>
      </c>
      <c r="EY382" s="6"/>
      <c r="FA382" s="6"/>
      <c r="GP382" s="32"/>
      <c r="GY382" s="6" t="s">
        <v>338</v>
      </c>
      <c r="GZ382" s="6" t="s">
        <v>3967</v>
      </c>
      <c r="HB382" s="6" t="s">
        <v>462</v>
      </c>
      <c r="HC382" s="6" t="s">
        <v>311</v>
      </c>
      <c r="HD382" s="4" t="s">
        <v>3968</v>
      </c>
      <c r="HE382" s="8">
        <v>25736</v>
      </c>
      <c r="HF382" s="4" t="s">
        <v>3969</v>
      </c>
      <c r="HG382" s="4" t="s">
        <v>782</v>
      </c>
      <c r="HH382" s="4" t="s">
        <v>3970</v>
      </c>
      <c r="HI382" s="8">
        <v>3248</v>
      </c>
      <c r="HJ382" s="4" t="s">
        <v>3971</v>
      </c>
      <c r="HK382" s="4" t="s">
        <v>782</v>
      </c>
      <c r="HL382" s="4"/>
      <c r="HN382" s="4"/>
      <c r="HO382" s="4"/>
      <c r="HP382" s="4"/>
      <c r="HR382" s="4"/>
      <c r="HS382" s="4"/>
      <c r="HT382" s="4"/>
      <c r="HU382" s="4"/>
      <c r="HV382" s="4"/>
      <c r="HW382" s="4"/>
      <c r="HX382" s="4"/>
      <c r="HY382" s="4"/>
      <c r="HZ382" s="4"/>
      <c r="IA382" s="4"/>
      <c r="IB382" s="4" t="s">
        <v>1625</v>
      </c>
      <c r="ID382" s="4" t="s">
        <v>3972</v>
      </c>
      <c r="IE382" s="4"/>
      <c r="IF382" s="4"/>
      <c r="IG382" s="4"/>
      <c r="IH382" s="4"/>
      <c r="II382" s="4"/>
      <c r="IJ382" s="4"/>
      <c r="IK382" s="4"/>
      <c r="IL382" s="4"/>
      <c r="IN382" s="4"/>
      <c r="IO382" s="4"/>
      <c r="IP382" s="4"/>
      <c r="IQ382" s="4"/>
      <c r="IS382" s="4"/>
      <c r="IT382" s="4"/>
      <c r="IU382" s="4"/>
      <c r="IV382" s="4"/>
      <c r="IW382" s="8"/>
      <c r="IX382" s="4"/>
      <c r="IY382" s="4"/>
      <c r="IZ382" s="4"/>
      <c r="JA382" s="4"/>
      <c r="JB382" s="8"/>
      <c r="JC382" s="4"/>
      <c r="JD382" s="4"/>
      <c r="JE382" s="4"/>
      <c r="JF382" s="4"/>
      <c r="JG382" s="4"/>
      <c r="JH382" s="4"/>
      <c r="JI382" s="4"/>
      <c r="JJ382" s="4"/>
      <c r="JK382" s="4"/>
      <c r="JL382" s="4"/>
      <c r="JM382" s="4"/>
      <c r="JN382" s="4"/>
      <c r="JO382" s="4"/>
      <c r="JP382" s="4"/>
      <c r="JQ382" s="4"/>
      <c r="JR382" s="4"/>
      <c r="JS382" s="4"/>
      <c r="JT382" s="4"/>
      <c r="JU382" s="4"/>
      <c r="JV382" s="4" t="s">
        <v>3973</v>
      </c>
      <c r="JW382" s="4" t="s">
        <v>910</v>
      </c>
      <c r="JX382" s="4" t="s">
        <v>322</v>
      </c>
      <c r="JY382" s="4" t="s">
        <v>354</v>
      </c>
      <c r="JZ382" s="4" t="s">
        <v>320</v>
      </c>
      <c r="KA382" s="4"/>
      <c r="KB382" s="4"/>
      <c r="KC382" s="4"/>
      <c r="KD382" s="4"/>
      <c r="KE382" s="4"/>
      <c r="KF382" s="4"/>
      <c r="KG382" s="4" t="s">
        <v>323</v>
      </c>
      <c r="KM382" s="4" t="s">
        <v>521</v>
      </c>
      <c r="KN382" s="4" t="s">
        <v>522</v>
      </c>
      <c r="KP382" s="5" t="s">
        <v>3974</v>
      </c>
      <c r="KQ382" s="5" t="s">
        <v>3975</v>
      </c>
      <c r="KR382" s="5" t="s">
        <v>3976</v>
      </c>
      <c r="KS382" s="5" t="s">
        <v>3974</v>
      </c>
      <c r="KT382" s="5" t="s">
        <v>3977</v>
      </c>
    </row>
    <row r="383" spans="1:306" ht="60" x14ac:dyDescent="0.25">
      <c r="A383" s="5" t="s">
        <v>1138</v>
      </c>
      <c r="B383" s="4" t="s">
        <v>293</v>
      </c>
      <c r="C383" s="7" t="s">
        <v>896</v>
      </c>
      <c r="D383" s="8" t="s">
        <v>1139</v>
      </c>
      <c r="E383" s="4">
        <v>335927</v>
      </c>
      <c r="G383" s="4" t="s">
        <v>479</v>
      </c>
      <c r="H383" s="6">
        <v>151.97110000000001</v>
      </c>
      <c r="I383" s="6">
        <v>-25.778400000000001</v>
      </c>
      <c r="K383" s="4" t="s">
        <v>298</v>
      </c>
      <c r="L383" s="4" t="s">
        <v>552</v>
      </c>
      <c r="M383" s="4" t="s">
        <v>1140</v>
      </c>
      <c r="Q383" s="7"/>
      <c r="R383" s="7"/>
      <c r="S383" s="4"/>
      <c r="Z383" s="4" t="s">
        <v>293</v>
      </c>
      <c r="AA383" s="7" t="s">
        <v>896</v>
      </c>
      <c r="AB383" s="8" t="s">
        <v>1139</v>
      </c>
      <c r="AC383" s="4" t="s">
        <v>301</v>
      </c>
      <c r="AE383" s="7">
        <v>226.5</v>
      </c>
      <c r="AF383" s="7">
        <v>1.6</v>
      </c>
      <c r="AG383" s="4" t="s">
        <v>379</v>
      </c>
      <c r="AH383" s="9" t="s">
        <v>483</v>
      </c>
      <c r="AI383" s="9" t="s">
        <v>373</v>
      </c>
      <c r="AJ383" s="9" t="s">
        <v>306</v>
      </c>
      <c r="AK383" s="9" t="s">
        <v>307</v>
      </c>
      <c r="AL383" s="9" t="s">
        <v>337</v>
      </c>
      <c r="AM383" s="8">
        <v>3</v>
      </c>
      <c r="BP383" s="7">
        <v>1.5</v>
      </c>
      <c r="BR383" s="7">
        <v>7.0000000000000007E-2</v>
      </c>
      <c r="BS383" s="7">
        <v>7.4</v>
      </c>
      <c r="BT383" s="6">
        <v>0.08</v>
      </c>
      <c r="BU383" s="8">
        <v>9</v>
      </c>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31"/>
      <c r="EA383" s="7"/>
      <c r="EB383" s="7"/>
      <c r="EC383" s="7"/>
      <c r="ED383" s="7"/>
      <c r="EE383" s="7"/>
      <c r="EF383" s="7"/>
      <c r="EG383" s="7"/>
      <c r="EH383" s="10">
        <f>BP383*BR383/100</f>
        <v>1.0500000000000002E-3</v>
      </c>
      <c r="EI383" s="10">
        <f t="shared" si="22"/>
        <v>0.11100000000000002</v>
      </c>
      <c r="EJ383" s="10">
        <f t="shared" si="23"/>
        <v>1.1999999999999999E-3</v>
      </c>
      <c r="EK383" s="10">
        <f t="shared" si="24"/>
        <v>1.35E-2</v>
      </c>
      <c r="EL383" s="6">
        <f>BP383*BV383</f>
        <v>0</v>
      </c>
      <c r="EY383" s="6"/>
      <c r="FA383" s="6"/>
      <c r="GP383" s="32"/>
      <c r="GY383" s="6" t="s">
        <v>309</v>
      </c>
      <c r="GZ383" s="6" t="s">
        <v>1049</v>
      </c>
      <c r="HB383" s="6" t="s">
        <v>1141</v>
      </c>
      <c r="HC383" s="6" t="s">
        <v>311</v>
      </c>
      <c r="HD383" s="7" t="s">
        <v>1142</v>
      </c>
      <c r="HE383" s="8">
        <v>29342</v>
      </c>
      <c r="HF383" s="7" t="s">
        <v>1143</v>
      </c>
      <c r="HG383" s="7" t="s">
        <v>1144</v>
      </c>
      <c r="HH383" s="7"/>
      <c r="HJ383" s="7"/>
      <c r="HK383" s="7"/>
      <c r="HL383" s="7"/>
      <c r="HN383" s="7"/>
      <c r="HO383" s="7"/>
      <c r="HP383" s="7"/>
      <c r="HR383" s="7"/>
      <c r="HS383" s="7"/>
      <c r="HT383" s="7"/>
      <c r="HU383" s="7"/>
      <c r="HV383" s="7"/>
      <c r="HW383" s="7"/>
      <c r="HX383" s="7"/>
      <c r="HY383" s="7"/>
      <c r="HZ383" s="7"/>
      <c r="IA383" s="7"/>
      <c r="IB383" s="7" t="s">
        <v>1142</v>
      </c>
      <c r="IC383" s="8">
        <v>29342</v>
      </c>
      <c r="ID383" s="7" t="s">
        <v>1143</v>
      </c>
      <c r="IE383" s="7" t="s">
        <v>1144</v>
      </c>
      <c r="IF383" s="8" t="s">
        <v>445</v>
      </c>
      <c r="IG383" s="7" t="s">
        <v>1145</v>
      </c>
      <c r="IH383" s="8">
        <v>13473</v>
      </c>
      <c r="II383" s="7" t="s">
        <v>1146</v>
      </c>
      <c r="IJ383" s="7" t="s">
        <v>1147</v>
      </c>
      <c r="IK383" s="7" t="s">
        <v>319</v>
      </c>
      <c r="IL383" s="7"/>
      <c r="IR383" s="7"/>
      <c r="IS383" s="7"/>
      <c r="IT383" s="7"/>
      <c r="IU383" s="7"/>
      <c r="IV383" s="7"/>
      <c r="IW383" s="7"/>
      <c r="IX383" s="7"/>
      <c r="IY383" s="7"/>
      <c r="IZ383" s="7"/>
      <c r="JA383" s="7"/>
      <c r="JB383" s="7"/>
      <c r="JC383" s="7"/>
      <c r="JD383" s="7"/>
      <c r="JE383" s="7"/>
      <c r="JF383" s="7"/>
      <c r="JG383" s="7"/>
      <c r="JH383" s="7"/>
      <c r="JI383" s="7"/>
      <c r="JJ383" s="7"/>
      <c r="JK383" s="7"/>
      <c r="JL383" s="7"/>
      <c r="JM383" s="7"/>
      <c r="JN383" s="7"/>
      <c r="JO383" s="7"/>
      <c r="JP383" s="7"/>
      <c r="JQ383" s="7"/>
      <c r="JR383" s="7"/>
      <c r="JS383" s="7"/>
      <c r="JT383" s="7"/>
      <c r="JV383" s="4" t="s">
        <v>1148</v>
      </c>
      <c r="JW383" s="4" t="s">
        <v>910</v>
      </c>
      <c r="JX383" s="4" t="s">
        <v>320</v>
      </c>
      <c r="JY383" s="4" t="s">
        <v>354</v>
      </c>
      <c r="JZ383" s="4" t="s">
        <v>322</v>
      </c>
      <c r="KA383" s="4" t="s">
        <v>354</v>
      </c>
      <c r="KB383" s="4" t="s">
        <v>353</v>
      </c>
      <c r="KC383" s="4"/>
      <c r="KD383" s="4"/>
      <c r="KE383" s="4"/>
      <c r="KF383" s="4"/>
      <c r="KG383" s="4" t="s">
        <v>323</v>
      </c>
      <c r="KH383" s="7"/>
      <c r="KI383" s="7"/>
      <c r="KJ383" s="7"/>
      <c r="KK383" s="7"/>
      <c r="KL383" s="7"/>
      <c r="KM383" s="9"/>
      <c r="KN383" s="9"/>
      <c r="KO383" s="9"/>
      <c r="KP383" s="5" t="s">
        <v>358</v>
      </c>
      <c r="KQ383" s="15" t="s">
        <v>1149</v>
      </c>
      <c r="KR383" s="15" t="s">
        <v>1150</v>
      </c>
      <c r="KS383" s="15" t="s">
        <v>1151</v>
      </c>
      <c r="KT383" s="15" t="s">
        <v>1152</v>
      </c>
    </row>
    <row r="384" spans="1:306" ht="60" x14ac:dyDescent="0.25">
      <c r="A384" s="5" t="s">
        <v>5586</v>
      </c>
      <c r="B384" s="4" t="s">
        <v>293</v>
      </c>
      <c r="C384" s="7" t="s">
        <v>896</v>
      </c>
      <c r="D384" s="8" t="s">
        <v>1139</v>
      </c>
      <c r="E384" s="4">
        <v>336117</v>
      </c>
      <c r="G384" s="4" t="s">
        <v>479</v>
      </c>
      <c r="H384" s="6">
        <v>145.11259999999999</v>
      </c>
      <c r="I384" s="6">
        <v>-17.684899999999999</v>
      </c>
      <c r="J384" s="4" t="s">
        <v>1017</v>
      </c>
      <c r="K384" s="4" t="s">
        <v>298</v>
      </c>
      <c r="L384" s="4" t="s">
        <v>1018</v>
      </c>
      <c r="M384" s="4" t="s">
        <v>1019</v>
      </c>
      <c r="Q384" s="8"/>
      <c r="Z384" s="4" t="s">
        <v>293</v>
      </c>
      <c r="AA384" s="7" t="s">
        <v>896</v>
      </c>
      <c r="AB384" s="8" t="s">
        <v>1139</v>
      </c>
      <c r="AC384" s="4" t="s">
        <v>301</v>
      </c>
      <c r="AD384" s="4" t="s">
        <v>375</v>
      </c>
      <c r="AE384" s="8">
        <v>325</v>
      </c>
      <c r="AG384" s="9" t="s">
        <v>379</v>
      </c>
      <c r="AH384" s="9" t="s">
        <v>1156</v>
      </c>
      <c r="AM384" s="8">
        <v>3</v>
      </c>
      <c r="AN384" s="4" t="s">
        <v>381</v>
      </c>
      <c r="AO384" s="4" t="s">
        <v>402</v>
      </c>
      <c r="AP384" s="4" t="s">
        <v>383</v>
      </c>
      <c r="AQ384" s="7" t="s">
        <v>384</v>
      </c>
      <c r="AR384" s="8" t="s">
        <v>1048</v>
      </c>
      <c r="AS384" s="7">
        <v>0</v>
      </c>
      <c r="AT384" s="7">
        <v>0</v>
      </c>
      <c r="AU384" s="9" t="s">
        <v>303</v>
      </c>
      <c r="AV384" s="9" t="s">
        <v>406</v>
      </c>
      <c r="BA384" s="8">
        <v>5</v>
      </c>
      <c r="BP384" s="7">
        <v>1.264</v>
      </c>
      <c r="BQ384" s="9"/>
      <c r="BR384" s="6">
        <v>0.45</v>
      </c>
      <c r="BS384" s="6">
        <v>8.35</v>
      </c>
      <c r="BU384" s="8">
        <v>19</v>
      </c>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c r="CX384" s="7"/>
      <c r="CY384" s="7"/>
      <c r="CZ384" s="7"/>
      <c r="DA384" s="7"/>
      <c r="DB384" s="7"/>
      <c r="DC384" s="7"/>
      <c r="DD384" s="7"/>
      <c r="DE384" s="7"/>
      <c r="DF384" s="7"/>
      <c r="DG384" s="7"/>
      <c r="DH384" s="7"/>
      <c r="DI384" s="7"/>
      <c r="DJ384" s="7"/>
      <c r="DK384" s="7"/>
      <c r="DL384" s="7"/>
      <c r="DM384" s="7"/>
      <c r="DN384" s="7"/>
      <c r="DO384" s="7"/>
      <c r="DP384" s="7"/>
      <c r="DQ384" s="7"/>
      <c r="DR384" s="7"/>
      <c r="DS384" s="7"/>
      <c r="DT384" s="7"/>
      <c r="DU384" s="7"/>
      <c r="DV384" s="7"/>
      <c r="DW384" s="7"/>
      <c r="DX384" s="7"/>
      <c r="DY384" s="7"/>
      <c r="DZ384" s="31"/>
      <c r="EA384" s="7"/>
      <c r="EB384" s="7"/>
      <c r="EC384" s="7"/>
      <c r="ED384" s="7"/>
      <c r="EE384" s="7"/>
      <c r="EF384" s="7"/>
      <c r="EG384" s="7"/>
      <c r="EH384" s="10">
        <f>BP384*BR384/100</f>
        <v>5.6879999999999995E-3</v>
      </c>
      <c r="EI384" s="10">
        <f t="shared" si="22"/>
        <v>0.105544</v>
      </c>
      <c r="EJ384" s="10">
        <f t="shared" si="23"/>
        <v>0</v>
      </c>
      <c r="EK384" s="10">
        <f t="shared" si="24"/>
        <v>2.4016000000000003E-2</v>
      </c>
      <c r="EY384" s="6"/>
      <c r="FA384" s="6"/>
      <c r="GP384" s="32"/>
      <c r="GY384" s="6" t="s">
        <v>338</v>
      </c>
      <c r="GZ384" s="6" t="s">
        <v>1049</v>
      </c>
      <c r="HA384" s="6" t="s">
        <v>994</v>
      </c>
      <c r="HB384" s="6" t="s">
        <v>462</v>
      </c>
      <c r="HC384" s="6" t="s">
        <v>311</v>
      </c>
      <c r="HD384" s="7" t="s">
        <v>2676</v>
      </c>
      <c r="HE384" s="8">
        <v>3981</v>
      </c>
      <c r="HF384" s="7" t="s">
        <v>2677</v>
      </c>
      <c r="HG384" s="7" t="s">
        <v>2678</v>
      </c>
      <c r="HH384" s="7"/>
      <c r="HJ384" s="7"/>
      <c r="HK384" s="7"/>
      <c r="HL384" s="7"/>
      <c r="HN384" s="7"/>
      <c r="HO384" s="7"/>
      <c r="HP384" s="7"/>
      <c r="HR384" s="7"/>
      <c r="HS384" s="7"/>
      <c r="HT384" s="7"/>
      <c r="HU384" s="7"/>
      <c r="HV384" s="7"/>
      <c r="HW384" s="7"/>
      <c r="HX384" s="7"/>
      <c r="HY384" s="7"/>
      <c r="HZ384" s="7"/>
      <c r="IA384" s="7"/>
      <c r="IB384" s="8" t="s">
        <v>1692</v>
      </c>
      <c r="IC384" s="8">
        <v>28530</v>
      </c>
      <c r="ID384" s="8" t="s">
        <v>2679</v>
      </c>
      <c r="IE384" s="8" t="s">
        <v>1133</v>
      </c>
      <c r="IF384" s="8" t="s">
        <v>319</v>
      </c>
      <c r="IG384" s="7"/>
      <c r="IH384" s="7"/>
      <c r="II384" s="7"/>
      <c r="IJ384" s="7"/>
      <c r="IK384" s="7"/>
      <c r="IL384" s="7"/>
      <c r="IN384" s="7"/>
      <c r="IO384" s="7"/>
      <c r="IP384" s="7"/>
      <c r="IQ384" s="7"/>
      <c r="IR384" s="7"/>
      <c r="IS384" s="7"/>
      <c r="IT384" s="7"/>
      <c r="IU384" s="7"/>
      <c r="IV384" s="7"/>
      <c r="IW384" s="7"/>
      <c r="IX384" s="7"/>
      <c r="IY384" s="7"/>
      <c r="IZ384" s="7"/>
      <c r="JA384" s="7"/>
      <c r="JB384" s="7"/>
      <c r="JC384" s="7"/>
      <c r="JD384" s="7"/>
      <c r="JE384" s="7"/>
      <c r="JF384" s="7"/>
      <c r="JG384" s="7"/>
      <c r="JH384" s="7"/>
      <c r="JI384" s="7"/>
      <c r="JJ384" s="7"/>
      <c r="JK384" s="7"/>
      <c r="JL384" s="7"/>
      <c r="JM384" s="7"/>
      <c r="JN384" s="7"/>
      <c r="JO384" s="7"/>
      <c r="JP384" s="7"/>
      <c r="JQ384" s="7"/>
      <c r="JR384" s="7"/>
      <c r="JS384" s="7"/>
      <c r="JT384" s="7"/>
      <c r="JV384" s="4" t="s">
        <v>5587</v>
      </c>
      <c r="JW384" s="4" t="s">
        <v>910</v>
      </c>
      <c r="JX384" s="4" t="s">
        <v>353</v>
      </c>
      <c r="JY384" s="4" t="s">
        <v>470</v>
      </c>
      <c r="JZ384" s="4" t="s">
        <v>322</v>
      </c>
      <c r="KA384" s="4" t="s">
        <v>354</v>
      </c>
      <c r="KB384" s="4" t="s">
        <v>320</v>
      </c>
      <c r="KC384" s="4"/>
      <c r="KD384" s="4"/>
      <c r="KE384" s="4"/>
      <c r="KF384" s="4"/>
      <c r="KG384" s="4" t="s">
        <v>323</v>
      </c>
      <c r="KH384" s="7"/>
      <c r="KI384" s="7"/>
      <c r="KJ384" s="7"/>
      <c r="KK384" s="7"/>
      <c r="KL384" s="7"/>
      <c r="KM384" s="9"/>
      <c r="KN384" s="9"/>
      <c r="KO384" s="9"/>
      <c r="KP384" s="5" t="s">
        <v>358</v>
      </c>
      <c r="KQ384" s="15" t="s">
        <v>5588</v>
      </c>
      <c r="KR384" s="15"/>
      <c r="KS384" s="15" t="s">
        <v>5589</v>
      </c>
      <c r="KT384" s="15" t="s">
        <v>5590</v>
      </c>
    </row>
    <row r="385" spans="1:306" ht="96" x14ac:dyDescent="0.25">
      <c r="A385" s="5" t="s">
        <v>3219</v>
      </c>
      <c r="B385" s="4" t="s">
        <v>293</v>
      </c>
      <c r="C385" s="7" t="s">
        <v>896</v>
      </c>
      <c r="D385" s="8" t="s">
        <v>1139</v>
      </c>
      <c r="E385" s="4">
        <v>335682</v>
      </c>
      <c r="G385" s="4" t="s">
        <v>530</v>
      </c>
      <c r="H385" s="6">
        <v>132.119</v>
      </c>
      <c r="I385" s="6">
        <v>-13.6455</v>
      </c>
      <c r="J385" s="4" t="s">
        <v>3220</v>
      </c>
      <c r="K385" s="4" t="s">
        <v>481</v>
      </c>
      <c r="L385" s="4" t="s">
        <v>532</v>
      </c>
      <c r="Q385" s="8"/>
      <c r="R385" s="8"/>
      <c r="S385" s="4"/>
      <c r="U385" s="4"/>
      <c r="V385" s="4"/>
      <c r="W385" s="4"/>
      <c r="X385" s="4"/>
      <c r="Z385" s="4" t="s">
        <v>293</v>
      </c>
      <c r="AA385" s="7" t="s">
        <v>896</v>
      </c>
      <c r="AB385" s="8" t="s">
        <v>1139</v>
      </c>
      <c r="AC385" s="4" t="s">
        <v>301</v>
      </c>
      <c r="AD385" s="4" t="s">
        <v>302</v>
      </c>
      <c r="AE385" s="8">
        <v>1818</v>
      </c>
      <c r="AF385" s="8">
        <v>5</v>
      </c>
      <c r="AG385" s="4" t="s">
        <v>379</v>
      </c>
      <c r="AH385" s="9" t="s">
        <v>483</v>
      </c>
      <c r="AI385" s="4" t="s">
        <v>373</v>
      </c>
      <c r="AJ385" s="4" t="s">
        <v>306</v>
      </c>
      <c r="AK385" s="4" t="s">
        <v>307</v>
      </c>
      <c r="AL385" s="4" t="s">
        <v>337</v>
      </c>
      <c r="AM385" s="8">
        <v>4</v>
      </c>
      <c r="BP385" s="7">
        <f>0.081554+0.00742</f>
        <v>8.8973999999999998E-2</v>
      </c>
      <c r="BQ385" s="9"/>
      <c r="BR385" s="7"/>
      <c r="BS385" s="7">
        <f>(0.081554*7.5+0.00742*3.7)/(0.081554+0.00742)</f>
        <v>7.1830984332501639</v>
      </c>
      <c r="BT385" s="7">
        <f>(0.081554*5.5+0.00742*6.7)/(0.081554+0.00742)</f>
        <v>5.6000741789736326</v>
      </c>
      <c r="BU385" s="8">
        <f>(0.081554*276+0.00742*343)/(0.081554+0.00742)</f>
        <v>281.58747499269452</v>
      </c>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c r="DU385" s="7"/>
      <c r="DV385" s="7"/>
      <c r="DW385" s="7"/>
      <c r="DX385" s="7"/>
      <c r="DY385" s="7"/>
      <c r="DZ385" s="31"/>
      <c r="EA385" s="7"/>
      <c r="EB385" s="7"/>
      <c r="EC385" s="7"/>
      <c r="ED385" s="7"/>
      <c r="EE385" s="7"/>
      <c r="EF385" s="7"/>
      <c r="EG385" s="7"/>
      <c r="EI385" s="10">
        <f t="shared" si="22"/>
        <v>6.3910900000000003E-3</v>
      </c>
      <c r="EJ385" s="10">
        <f>610/1000000+BP385*BT385/100</f>
        <v>5.5926099999999996E-3</v>
      </c>
      <c r="EK385" s="10">
        <f>BP385*BU385/1000+2.8/1000</f>
        <v>2.7853964000000002E-2</v>
      </c>
      <c r="EL385" s="10">
        <v>5.6599999999999998E-2</v>
      </c>
      <c r="EY385" s="6"/>
      <c r="FA385" s="6"/>
      <c r="FL385" s="8">
        <v>54</v>
      </c>
      <c r="GP385" s="32"/>
      <c r="GY385" s="6" t="s">
        <v>309</v>
      </c>
      <c r="GZ385" s="6" t="s">
        <v>1951</v>
      </c>
      <c r="HB385" s="6" t="s">
        <v>3221</v>
      </c>
      <c r="HC385" s="6" t="s">
        <v>311</v>
      </c>
      <c r="HD385" s="7" t="s">
        <v>1640</v>
      </c>
      <c r="HE385" s="8">
        <v>25130</v>
      </c>
      <c r="HF385" s="7" t="s">
        <v>3222</v>
      </c>
      <c r="HG385" s="4" t="s">
        <v>538</v>
      </c>
      <c r="HH385" s="7"/>
      <c r="HJ385" s="7"/>
      <c r="HK385" s="7"/>
      <c r="HL385" s="7"/>
      <c r="HN385" s="7"/>
      <c r="HO385" s="7"/>
      <c r="HP385" s="7"/>
      <c r="HR385" s="7"/>
      <c r="HS385" s="7"/>
      <c r="HT385" s="7"/>
      <c r="HU385" s="7"/>
      <c r="HV385" s="7"/>
      <c r="HW385" s="7"/>
      <c r="HX385" s="7"/>
      <c r="HY385" s="7"/>
      <c r="HZ385" s="7"/>
      <c r="IA385" s="7"/>
      <c r="IB385" s="7" t="s">
        <v>3223</v>
      </c>
      <c r="IC385" s="8">
        <v>27035</v>
      </c>
      <c r="ID385" s="7" t="s">
        <v>3224</v>
      </c>
      <c r="IE385" s="7" t="s">
        <v>538</v>
      </c>
      <c r="IF385" s="7" t="s">
        <v>319</v>
      </c>
      <c r="IG385" s="7"/>
      <c r="IH385" s="7"/>
      <c r="II385" s="7"/>
      <c r="IJ385" s="7"/>
      <c r="IK385" s="7"/>
      <c r="IL385" s="7"/>
      <c r="IN385" s="7"/>
      <c r="IO385" s="7"/>
      <c r="IP385" s="7"/>
      <c r="IQ385" s="7"/>
      <c r="IS385" s="7"/>
      <c r="IT385" s="7"/>
      <c r="IU385" s="7"/>
      <c r="IV385" s="7"/>
      <c r="IW385" s="8"/>
      <c r="IX385" s="7"/>
      <c r="IY385" s="7"/>
      <c r="IZ385" s="7"/>
      <c r="JA385" s="7"/>
      <c r="JB385" s="8"/>
      <c r="JC385" s="7"/>
      <c r="JD385" s="7"/>
      <c r="JE385" s="7"/>
      <c r="JF385" s="7"/>
      <c r="JG385" s="7"/>
      <c r="JH385" s="7"/>
      <c r="JI385" s="7"/>
      <c r="JJ385" s="7"/>
      <c r="JK385" s="7"/>
      <c r="JL385" s="7"/>
      <c r="JM385" s="7"/>
      <c r="JN385" s="7"/>
      <c r="JO385" s="7"/>
      <c r="JP385" s="7"/>
      <c r="JQ385" s="7"/>
      <c r="JR385" s="7"/>
      <c r="JS385" s="7"/>
      <c r="JT385" s="7"/>
      <c r="JV385" s="4" t="s">
        <v>3225</v>
      </c>
      <c r="JW385" s="4" t="s">
        <v>910</v>
      </c>
      <c r="JX385" s="4" t="s">
        <v>322</v>
      </c>
      <c r="JY385" s="4" t="s">
        <v>321</v>
      </c>
      <c r="JZ385" s="4" t="s">
        <v>320</v>
      </c>
      <c r="KA385" s="4"/>
      <c r="KB385" s="4"/>
      <c r="KC385" s="4"/>
      <c r="KD385" s="4"/>
      <c r="KE385" s="4"/>
      <c r="KF385" s="4"/>
      <c r="KG385" s="4" t="s">
        <v>323</v>
      </c>
      <c r="KH385" s="7"/>
      <c r="KI385" s="7"/>
      <c r="KJ385" s="7"/>
      <c r="KK385" s="7"/>
      <c r="KL385" s="7"/>
      <c r="KM385" s="9"/>
      <c r="KN385" s="9"/>
      <c r="KO385" s="9"/>
      <c r="KP385" s="5" t="s">
        <v>358</v>
      </c>
      <c r="KQ385" s="15" t="s">
        <v>3226</v>
      </c>
      <c r="KR385" s="15" t="s">
        <v>3227</v>
      </c>
      <c r="KS385" s="15" t="s">
        <v>3228</v>
      </c>
      <c r="KT385" s="15" t="s">
        <v>3229</v>
      </c>
    </row>
    <row r="386" spans="1:306" ht="111" x14ac:dyDescent="0.25">
      <c r="A386" s="14" t="s">
        <v>292</v>
      </c>
      <c r="B386" s="29" t="s">
        <v>293</v>
      </c>
      <c r="C386" s="30" t="s">
        <v>294</v>
      </c>
      <c r="D386" s="26" t="s">
        <v>295</v>
      </c>
      <c r="E386" s="29">
        <v>336009</v>
      </c>
      <c r="F386" s="29"/>
      <c r="G386" s="29" t="s">
        <v>296</v>
      </c>
      <c r="H386" s="31">
        <v>147.75190000000001</v>
      </c>
      <c r="I386" s="31">
        <v>-41.6526</v>
      </c>
      <c r="J386" s="29" t="s">
        <v>297</v>
      </c>
      <c r="K386" s="29" t="s">
        <v>298</v>
      </c>
      <c r="L386" s="29" t="s">
        <v>299</v>
      </c>
      <c r="M386" s="29" t="s">
        <v>300</v>
      </c>
      <c r="N386" s="29"/>
      <c r="O386" s="26"/>
      <c r="P386" s="29"/>
      <c r="Q386" s="26"/>
      <c r="R386" s="26"/>
      <c r="S386" s="27"/>
      <c r="T386" s="27"/>
      <c r="U386" s="27"/>
      <c r="V386" s="27"/>
      <c r="W386" s="27"/>
      <c r="X386" s="27"/>
      <c r="Y386" s="26"/>
      <c r="Z386" s="29" t="s">
        <v>293</v>
      </c>
      <c r="AA386" s="30" t="s">
        <v>294</v>
      </c>
      <c r="AB386" s="26" t="s">
        <v>295</v>
      </c>
      <c r="AC386" s="29" t="s">
        <v>301</v>
      </c>
      <c r="AD386" s="29" t="s">
        <v>302</v>
      </c>
      <c r="AE386" s="26">
        <v>381</v>
      </c>
      <c r="AF386" s="26">
        <v>10</v>
      </c>
      <c r="AG386" s="27" t="s">
        <v>303</v>
      </c>
      <c r="AH386" s="27" t="s">
        <v>304</v>
      </c>
      <c r="AI386" s="27" t="s">
        <v>305</v>
      </c>
      <c r="AJ386" s="27" t="s">
        <v>306</v>
      </c>
      <c r="AK386" s="27" t="s">
        <v>307</v>
      </c>
      <c r="AL386" s="27" t="s">
        <v>308</v>
      </c>
      <c r="AM386" s="26">
        <v>5</v>
      </c>
      <c r="AN386" s="29"/>
      <c r="AO386" s="29"/>
      <c r="AP386" s="30"/>
      <c r="AR386" s="26"/>
      <c r="AS386" s="27"/>
      <c r="AT386" s="27"/>
      <c r="AU386" s="27"/>
      <c r="AV386" s="27"/>
      <c r="AW386" s="27"/>
      <c r="AX386" s="27"/>
      <c r="AY386" s="27"/>
      <c r="AZ386" s="27"/>
      <c r="BA386" s="26"/>
      <c r="BB386" s="29"/>
      <c r="BC386" s="29"/>
      <c r="BD386" s="29"/>
      <c r="BE386" s="30"/>
      <c r="BF386" s="26"/>
      <c r="BG386" s="27"/>
      <c r="BH386" s="27"/>
      <c r="BI386" s="27"/>
      <c r="BJ386" s="27"/>
      <c r="BK386" s="27"/>
      <c r="BL386" s="27"/>
      <c r="BM386" s="27"/>
      <c r="BN386" s="27"/>
      <c r="BO386" s="26"/>
      <c r="BP386" s="30">
        <f>2.1+1.1+1.1</f>
        <v>4.3000000000000007</v>
      </c>
      <c r="BQ386" s="31"/>
      <c r="BR386" s="31"/>
      <c r="BS386" s="31"/>
      <c r="BT386" s="31"/>
      <c r="BU386" s="26"/>
      <c r="BV386" s="31"/>
      <c r="BW386" s="31"/>
      <c r="BX386" s="31"/>
      <c r="BY386" s="31"/>
      <c r="BZ386" s="31"/>
      <c r="CA386" s="31"/>
      <c r="CB386" s="31"/>
      <c r="CC386" s="31"/>
      <c r="CD386" s="31"/>
      <c r="CE386" s="31"/>
      <c r="CF386" s="31"/>
      <c r="CG386" s="31"/>
      <c r="CH386" s="31"/>
      <c r="CI386" s="31"/>
      <c r="CJ386" s="31"/>
      <c r="CK386" s="31"/>
      <c r="CL386" s="31"/>
      <c r="CM386" s="31"/>
      <c r="CN386" s="31"/>
      <c r="CO386" s="31"/>
      <c r="CP386" s="31"/>
      <c r="CQ386" s="31"/>
      <c r="CR386" s="31"/>
      <c r="CS386" s="31"/>
      <c r="CT386" s="31"/>
      <c r="CU386" s="31"/>
      <c r="CV386" s="31"/>
      <c r="CW386" s="31"/>
      <c r="CX386" s="31"/>
      <c r="CY386" s="31">
        <f>(0.91*2.1+0.91*1.1+0.45*1.1)/(2.1+1.1+1.1)</f>
        <v>0.79232558139534881</v>
      </c>
      <c r="CZ386" s="31"/>
      <c r="DA386" s="31"/>
      <c r="DB386" s="31"/>
      <c r="DC386" s="31"/>
      <c r="DD386" s="31"/>
      <c r="DE386" s="31">
        <f>(2.1*0.28+1.1*1.09+1.1*0.45)/(2.1+1.1+1.1)</f>
        <v>0.53069767441860471</v>
      </c>
      <c r="DF386" s="31"/>
      <c r="DG386" s="31"/>
      <c r="DH386" s="31"/>
      <c r="DI386" s="31"/>
      <c r="DJ386" s="31"/>
      <c r="DK386" s="31"/>
      <c r="DL386" s="31"/>
      <c r="DM386" s="31"/>
      <c r="DN386" s="31"/>
      <c r="DO386" s="31"/>
      <c r="DP386" s="31"/>
      <c r="DQ386" s="31"/>
      <c r="DR386" s="31"/>
      <c r="DS386" s="31"/>
      <c r="DT386" s="31"/>
      <c r="DU386" s="31"/>
      <c r="DV386" s="31"/>
      <c r="DW386" s="31"/>
      <c r="DX386" s="31"/>
      <c r="DY386" s="31"/>
      <c r="DZ386" s="31"/>
      <c r="EA386" s="31"/>
      <c r="EB386" s="31"/>
      <c r="EC386" s="31"/>
      <c r="ED386" s="31"/>
      <c r="EE386" s="31"/>
      <c r="EF386" s="31"/>
      <c r="EG386" s="31"/>
      <c r="EH386" s="32"/>
      <c r="EI386" s="32"/>
      <c r="EJ386" s="32"/>
      <c r="EK386" s="32"/>
      <c r="EL386" s="31"/>
      <c r="EM386" s="31"/>
      <c r="EN386" s="31"/>
      <c r="EO386" s="31"/>
      <c r="EP386" s="31"/>
      <c r="EQ386" s="31"/>
      <c r="ER386" s="31"/>
      <c r="ES386" s="31"/>
      <c r="ET386" s="31"/>
      <c r="EU386" s="31"/>
      <c r="EV386" s="31"/>
      <c r="EW386" s="31"/>
      <c r="EX386" s="31"/>
      <c r="EY386" s="31"/>
      <c r="EZ386" s="31"/>
      <c r="FA386" s="31"/>
      <c r="FB386" s="31"/>
      <c r="FC386" s="31"/>
      <c r="FD386" s="31"/>
      <c r="FE386" s="31"/>
      <c r="FF386" s="31"/>
      <c r="FG386" s="31"/>
      <c r="FH386" s="31"/>
      <c r="FI386" s="31"/>
      <c r="FJ386" s="31"/>
      <c r="FK386" s="31"/>
      <c r="FL386" s="31"/>
      <c r="FM386" s="31"/>
      <c r="FN386" s="26">
        <f>1000*BP386*CY386/100</f>
        <v>34.070000000000007</v>
      </c>
      <c r="FO386" s="31"/>
      <c r="FP386" s="31"/>
      <c r="FQ386" s="31"/>
      <c r="FR386" s="31"/>
      <c r="FS386" s="31"/>
      <c r="FT386" s="26">
        <f>1000*BP386*DE386/100</f>
        <v>22.820000000000007</v>
      </c>
      <c r="FU386" s="31"/>
      <c r="FV386" s="31"/>
      <c r="FW386" s="31"/>
      <c r="FX386" s="31"/>
      <c r="FY386" s="31"/>
      <c r="FZ386" s="31"/>
      <c r="GA386" s="31"/>
      <c r="GB386" s="31"/>
      <c r="GC386" s="31"/>
      <c r="GD386" s="31"/>
      <c r="GE386" s="31"/>
      <c r="GF386" s="31"/>
      <c r="GG386" s="31"/>
      <c r="GH386" s="31"/>
      <c r="GI386" s="31"/>
      <c r="GJ386" s="31"/>
      <c r="GK386" s="31"/>
      <c r="GL386" s="31"/>
      <c r="GM386" s="31"/>
      <c r="GN386" s="31"/>
      <c r="GO386" s="31"/>
      <c r="GP386" s="32"/>
      <c r="GQ386" s="31"/>
      <c r="GR386" s="31"/>
      <c r="GS386" s="31"/>
      <c r="GT386" s="31"/>
      <c r="GU386" s="31"/>
      <c r="GV386" s="31"/>
      <c r="GW386" s="31"/>
      <c r="GX386" s="31"/>
      <c r="GY386" s="31" t="s">
        <v>309</v>
      </c>
      <c r="GZ386" s="31" t="s">
        <v>310</v>
      </c>
      <c r="HA386" s="31"/>
      <c r="HB386" s="31"/>
      <c r="HC386" s="31" t="s">
        <v>311</v>
      </c>
      <c r="HD386" s="26" t="s">
        <v>312</v>
      </c>
      <c r="HE386" s="26">
        <v>36812</v>
      </c>
      <c r="HF386" s="26" t="s">
        <v>313</v>
      </c>
      <c r="HG386" s="27" t="s">
        <v>314</v>
      </c>
      <c r="HH386" s="27"/>
      <c r="HI386" s="26"/>
      <c r="HJ386" s="27"/>
      <c r="HK386" s="27"/>
      <c r="HL386" s="27"/>
      <c r="HM386" s="26"/>
      <c r="HN386" s="27"/>
      <c r="HO386" s="27"/>
      <c r="HP386" s="27"/>
      <c r="HQ386" s="27"/>
      <c r="HR386" s="27"/>
      <c r="HS386" s="27"/>
      <c r="HT386" s="27"/>
      <c r="HU386" s="27"/>
      <c r="HV386" s="27"/>
      <c r="HW386" s="27"/>
      <c r="HX386" s="27"/>
      <c r="HY386" s="27"/>
      <c r="HZ386" s="27"/>
      <c r="IA386" s="27"/>
      <c r="IB386" s="26" t="s">
        <v>315</v>
      </c>
      <c r="IC386" s="26" t="s">
        <v>316</v>
      </c>
      <c r="ID386" s="26" t="s">
        <v>317</v>
      </c>
      <c r="IE386" s="26" t="s">
        <v>318</v>
      </c>
      <c r="IF386" s="26" t="s">
        <v>319</v>
      </c>
      <c r="IG386" s="26"/>
      <c r="IH386" s="26"/>
      <c r="II386" s="26"/>
      <c r="IJ386" s="26"/>
      <c r="IK386" s="26"/>
      <c r="IL386" s="27"/>
      <c r="IM386" s="27"/>
      <c r="IN386" s="27"/>
      <c r="IO386" s="27"/>
      <c r="IP386" s="27"/>
      <c r="IQ386" s="27"/>
      <c r="IR386" s="27"/>
      <c r="IS386" s="27"/>
      <c r="IT386" s="27"/>
      <c r="IU386" s="27"/>
      <c r="IV386" s="27"/>
      <c r="IW386" s="27"/>
      <c r="IX386" s="27"/>
      <c r="IY386" s="27"/>
      <c r="IZ386" s="27"/>
      <c r="JA386" s="27"/>
      <c r="JB386" s="27"/>
      <c r="JC386" s="27"/>
      <c r="JD386" s="27"/>
      <c r="JE386" s="27"/>
      <c r="JF386" s="27"/>
      <c r="JG386" s="27"/>
      <c r="JH386" s="27"/>
      <c r="JI386" s="27"/>
      <c r="JJ386" s="27"/>
      <c r="JK386" s="27"/>
      <c r="JL386" s="27"/>
      <c r="JM386" s="27"/>
      <c r="JN386" s="27"/>
      <c r="JO386" s="27"/>
      <c r="JP386" s="27"/>
      <c r="JQ386" s="27"/>
      <c r="JR386" s="27"/>
      <c r="JS386" s="27"/>
      <c r="JT386" s="27"/>
      <c r="JU386" s="30"/>
      <c r="JV386" s="30"/>
      <c r="JW386" s="30"/>
      <c r="JX386" s="30" t="s">
        <v>320</v>
      </c>
      <c r="JY386" s="30" t="s">
        <v>321</v>
      </c>
      <c r="JZ386" s="30" t="s">
        <v>322</v>
      </c>
      <c r="KA386" s="30"/>
      <c r="KB386" s="30"/>
      <c r="KC386" s="30"/>
      <c r="KD386" s="30"/>
      <c r="KE386" s="30"/>
      <c r="KF386" s="30"/>
      <c r="KG386" s="29" t="s">
        <v>323</v>
      </c>
      <c r="KH386" s="29"/>
      <c r="KI386" s="29"/>
      <c r="KJ386" s="29"/>
      <c r="KK386" s="29"/>
      <c r="KL386" s="29"/>
      <c r="KM386" s="29"/>
      <c r="KN386" s="29"/>
      <c r="KO386" s="29"/>
      <c r="KP386" s="14" t="s">
        <v>324</v>
      </c>
      <c r="KQ386" s="14" t="s">
        <v>325</v>
      </c>
      <c r="KR386" s="14" t="s">
        <v>326</v>
      </c>
      <c r="KS386" s="14" t="s">
        <v>324</v>
      </c>
      <c r="KT386" s="14" t="s">
        <v>327</v>
      </c>
    </row>
    <row r="387" spans="1:306" ht="168" x14ac:dyDescent="0.25">
      <c r="A387" s="5" t="s">
        <v>799</v>
      </c>
      <c r="B387" s="4" t="s">
        <v>293</v>
      </c>
      <c r="C387" s="7" t="s">
        <v>294</v>
      </c>
      <c r="D387" s="8" t="s">
        <v>295</v>
      </c>
      <c r="E387" s="4">
        <v>334169</v>
      </c>
      <c r="G387" s="4" t="s">
        <v>427</v>
      </c>
      <c r="H387" s="6">
        <v>146.85</v>
      </c>
      <c r="I387" s="6">
        <v>-34.316899999999997</v>
      </c>
      <c r="J387" s="4" t="s">
        <v>799</v>
      </c>
      <c r="K387" s="4" t="s">
        <v>298</v>
      </c>
      <c r="L387" s="4" t="s">
        <v>299</v>
      </c>
      <c r="M387" s="4" t="s">
        <v>428</v>
      </c>
      <c r="N387" s="4" t="s">
        <v>800</v>
      </c>
      <c r="Q387" s="7"/>
      <c r="R387" s="7"/>
      <c r="Z387" s="4" t="s">
        <v>293</v>
      </c>
      <c r="AA387" s="7" t="s">
        <v>294</v>
      </c>
      <c r="AB387" s="8" t="s">
        <v>295</v>
      </c>
      <c r="AC387" s="4" t="s">
        <v>301</v>
      </c>
      <c r="AD387" s="4" t="s">
        <v>375</v>
      </c>
      <c r="AE387" s="7">
        <v>412</v>
      </c>
      <c r="AF387" s="7">
        <v>1.9</v>
      </c>
      <c r="AG387" s="9" t="s">
        <v>379</v>
      </c>
      <c r="AH387" s="9" t="s">
        <v>483</v>
      </c>
      <c r="AI387" s="9" t="s">
        <v>373</v>
      </c>
      <c r="AJ387" s="9" t="s">
        <v>306</v>
      </c>
      <c r="AK387" s="9" t="s">
        <v>307</v>
      </c>
      <c r="AL387" s="9" t="s">
        <v>337</v>
      </c>
      <c r="AM387" s="8">
        <v>4</v>
      </c>
      <c r="AN387" s="4" t="s">
        <v>381</v>
      </c>
      <c r="AO387" s="4" t="s">
        <v>402</v>
      </c>
      <c r="AP387" s="4" t="s">
        <v>383</v>
      </c>
      <c r="AQ387" s="7" t="s">
        <v>384</v>
      </c>
      <c r="AR387" s="8" t="s">
        <v>801</v>
      </c>
      <c r="AS387" s="7">
        <v>0</v>
      </c>
      <c r="AT387" s="7">
        <v>0</v>
      </c>
      <c r="AU387" s="9" t="s">
        <v>379</v>
      </c>
      <c r="AV387" s="9" t="s">
        <v>406</v>
      </c>
      <c r="BA387" s="8">
        <v>5</v>
      </c>
      <c r="BB387" s="4" t="s">
        <v>381</v>
      </c>
      <c r="BC387" s="4" t="s">
        <v>382</v>
      </c>
      <c r="BD387" s="4" t="s">
        <v>383</v>
      </c>
      <c r="BE387" s="7" t="s">
        <v>403</v>
      </c>
      <c r="BF387" s="8" t="s">
        <v>802</v>
      </c>
      <c r="BG387" s="7">
        <v>0</v>
      </c>
      <c r="BH387" s="7">
        <v>0</v>
      </c>
      <c r="BI387" s="9" t="s">
        <v>303</v>
      </c>
      <c r="BJ387" s="9" t="s">
        <v>406</v>
      </c>
      <c r="BO387" s="8">
        <v>5</v>
      </c>
      <c r="DZ387" s="31"/>
      <c r="EY387" s="6"/>
      <c r="FA387" s="6"/>
      <c r="FN387" s="6">
        <f>6.12+25.448+1000*(10.7*0.2+21.3*0.09+5.5*0.45)/100</f>
        <v>96.887999999999991</v>
      </c>
      <c r="GP387" s="32"/>
      <c r="GY387" s="6" t="s">
        <v>407</v>
      </c>
      <c r="GZ387" s="6" t="s">
        <v>639</v>
      </c>
      <c r="HC387" s="6" t="s">
        <v>311</v>
      </c>
      <c r="HD387" s="8" t="s">
        <v>803</v>
      </c>
      <c r="HE387" s="8">
        <v>79857</v>
      </c>
      <c r="HF387" s="8" t="s">
        <v>804</v>
      </c>
      <c r="HG387" s="8" t="s">
        <v>805</v>
      </c>
      <c r="HY387" s="9"/>
      <c r="IB387" s="8" t="s">
        <v>803</v>
      </c>
      <c r="IC387" s="8">
        <v>79857</v>
      </c>
      <c r="ID387" s="8" t="s">
        <v>804</v>
      </c>
      <c r="IE387" s="8" t="s">
        <v>805</v>
      </c>
      <c r="IF387" s="8" t="s">
        <v>445</v>
      </c>
      <c r="IG387" s="8" t="s">
        <v>806</v>
      </c>
      <c r="II387" s="8" t="s">
        <v>807</v>
      </c>
      <c r="IJ387" s="8" t="s">
        <v>782</v>
      </c>
      <c r="IK387" s="8" t="s">
        <v>445</v>
      </c>
      <c r="IL387" s="9" t="s">
        <v>808</v>
      </c>
      <c r="IM387" s="8">
        <v>554</v>
      </c>
      <c r="IN387" s="9" t="s">
        <v>809</v>
      </c>
      <c r="IO387" s="9" t="s">
        <v>782</v>
      </c>
      <c r="IP387" s="9" t="s">
        <v>810</v>
      </c>
      <c r="IQ387" s="9" t="s">
        <v>811</v>
      </c>
      <c r="IS387" s="9" t="s">
        <v>812</v>
      </c>
      <c r="IT387" s="9" t="s">
        <v>782</v>
      </c>
      <c r="IU387" s="9" t="s">
        <v>319</v>
      </c>
      <c r="IW387" s="8"/>
      <c r="JB387" s="8"/>
      <c r="JV387" s="7" t="s">
        <v>813</v>
      </c>
      <c r="JX387" s="7" t="s">
        <v>320</v>
      </c>
      <c r="KG387" s="4" t="s">
        <v>323</v>
      </c>
      <c r="KP387" s="5" t="s">
        <v>358</v>
      </c>
      <c r="KQ387" s="5" t="s">
        <v>814</v>
      </c>
      <c r="KR387" s="5" t="s">
        <v>815</v>
      </c>
      <c r="KS387" s="5" t="s">
        <v>816</v>
      </c>
      <c r="KT387" s="5" t="s">
        <v>817</v>
      </c>
    </row>
    <row r="388" spans="1:306" ht="132" x14ac:dyDescent="0.25">
      <c r="A388" s="5" t="s">
        <v>1016</v>
      </c>
      <c r="B388" s="4" t="s">
        <v>293</v>
      </c>
      <c r="C388" s="7" t="s">
        <v>294</v>
      </c>
      <c r="D388" s="8" t="s">
        <v>295</v>
      </c>
      <c r="E388" s="4">
        <v>335383</v>
      </c>
      <c r="G388" s="4" t="s">
        <v>479</v>
      </c>
      <c r="H388" s="6">
        <v>145.32689999999999</v>
      </c>
      <c r="I388" s="6">
        <v>-17.377500000000001</v>
      </c>
      <c r="J388" s="4" t="s">
        <v>1017</v>
      </c>
      <c r="K388" s="4" t="s">
        <v>298</v>
      </c>
      <c r="L388" s="4" t="s">
        <v>1018</v>
      </c>
      <c r="M388" s="4" t="s">
        <v>1019</v>
      </c>
      <c r="Q388" s="8"/>
      <c r="R388" s="8"/>
      <c r="Z388" s="4" t="s">
        <v>293</v>
      </c>
      <c r="AA388" s="7" t="s">
        <v>294</v>
      </c>
      <c r="AB388" s="8" t="s">
        <v>295</v>
      </c>
      <c r="AC388" s="4" t="s">
        <v>301</v>
      </c>
      <c r="AE388" s="8">
        <v>318</v>
      </c>
      <c r="AF388" s="8">
        <v>2</v>
      </c>
      <c r="AG388" s="9" t="s">
        <v>303</v>
      </c>
      <c r="AH388" s="9" t="s">
        <v>483</v>
      </c>
      <c r="AI388" s="9" t="s">
        <v>305</v>
      </c>
      <c r="AJ388" s="9" t="s">
        <v>306</v>
      </c>
      <c r="AK388" s="9" t="s">
        <v>307</v>
      </c>
      <c r="AL388" s="9" t="s">
        <v>308</v>
      </c>
      <c r="AM388" s="8">
        <v>5</v>
      </c>
      <c r="AS388" s="8">
        <v>289</v>
      </c>
      <c r="AT388" s="8">
        <v>1</v>
      </c>
      <c r="AU388" s="9" t="s">
        <v>303</v>
      </c>
      <c r="AV388" s="9" t="s">
        <v>483</v>
      </c>
      <c r="AW388" s="9" t="s">
        <v>373</v>
      </c>
      <c r="AX388" s="9" t="s">
        <v>306</v>
      </c>
      <c r="AY388" s="9" t="s">
        <v>307</v>
      </c>
      <c r="AZ388" s="9" t="s">
        <v>308</v>
      </c>
      <c r="BA388" s="8">
        <v>4</v>
      </c>
      <c r="BP388" s="7">
        <v>2.8</v>
      </c>
      <c r="BR388" s="7">
        <v>1</v>
      </c>
      <c r="BU388" s="8">
        <v>40</v>
      </c>
      <c r="BX388" s="8"/>
      <c r="CX388" s="8">
        <v>39</v>
      </c>
      <c r="CY388" s="6">
        <v>0.2</v>
      </c>
      <c r="DZ388" s="31"/>
      <c r="EH388" s="9">
        <f>BP388*BR388/100</f>
        <v>2.7999999999999997E-2</v>
      </c>
      <c r="EI388" s="6"/>
      <c r="EJ388" s="9"/>
      <c r="EK388" s="9">
        <f>BU388*BP388/1000</f>
        <v>0.112</v>
      </c>
      <c r="EY388" s="6"/>
      <c r="FA388" s="6"/>
      <c r="FM388" s="6">
        <f>BP388*CX388/1000</f>
        <v>0.10919999999999999</v>
      </c>
      <c r="FN388" s="6">
        <f>1000*BP388*CY388/100</f>
        <v>5.6</v>
      </c>
      <c r="GP388" s="32"/>
      <c r="GY388" s="6" t="s">
        <v>338</v>
      </c>
      <c r="GZ388" s="6" t="s">
        <v>1020</v>
      </c>
      <c r="HA388" s="6" t="s">
        <v>462</v>
      </c>
      <c r="HB388" s="6" t="s">
        <v>1021</v>
      </c>
      <c r="HC388" s="6" t="s">
        <v>1022</v>
      </c>
      <c r="HD388" s="8" t="s">
        <v>1023</v>
      </c>
      <c r="HE388" s="8">
        <v>8404</v>
      </c>
      <c r="HF388" s="8" t="s">
        <v>1024</v>
      </c>
      <c r="HG388" s="8" t="s">
        <v>1025</v>
      </c>
      <c r="HH388" s="9" t="s">
        <v>1026</v>
      </c>
      <c r="HJ388" s="9" t="s">
        <v>1027</v>
      </c>
      <c r="HK388" s="8">
        <v>333</v>
      </c>
      <c r="HL388" s="9" t="s">
        <v>1028</v>
      </c>
      <c r="HM388" s="8">
        <v>16991</v>
      </c>
      <c r="HN388" s="9" t="s">
        <v>1029</v>
      </c>
      <c r="HO388" s="8">
        <v>275</v>
      </c>
      <c r="HY388" s="9"/>
      <c r="ID388" s="8" t="s">
        <v>1030</v>
      </c>
      <c r="IF388" s="8" t="s">
        <v>445</v>
      </c>
      <c r="IG388" s="8" t="s">
        <v>1031</v>
      </c>
      <c r="IH388" s="8">
        <v>28530</v>
      </c>
      <c r="II388" s="8" t="s">
        <v>1032</v>
      </c>
      <c r="IJ388" s="8" t="s">
        <v>766</v>
      </c>
      <c r="IK388" s="8" t="s">
        <v>329</v>
      </c>
      <c r="IR388" s="9"/>
      <c r="JV388" s="7" t="s">
        <v>1033</v>
      </c>
      <c r="JX388" s="7" t="s">
        <v>322</v>
      </c>
      <c r="JY388" s="7" t="s">
        <v>470</v>
      </c>
      <c r="JZ388" s="7" t="s">
        <v>1034</v>
      </c>
      <c r="KA388" s="7" t="s">
        <v>470</v>
      </c>
      <c r="KB388" s="7" t="s">
        <v>1035</v>
      </c>
      <c r="KC388" s="7" t="s">
        <v>354</v>
      </c>
      <c r="KD388" s="7" t="s">
        <v>1036</v>
      </c>
      <c r="KG388" s="4" t="s">
        <v>323</v>
      </c>
      <c r="KP388" s="5" t="s">
        <v>358</v>
      </c>
      <c r="KQ388" s="5" t="s">
        <v>1037</v>
      </c>
      <c r="KR388" s="5" t="s">
        <v>1038</v>
      </c>
      <c r="KS388" s="5" t="s">
        <v>1039</v>
      </c>
      <c r="KT388" s="5" t="s">
        <v>1040</v>
      </c>
    </row>
    <row r="389" spans="1:306" ht="96" x14ac:dyDescent="0.25">
      <c r="A389" s="5" t="s">
        <v>2482</v>
      </c>
      <c r="B389" s="4" t="s">
        <v>383</v>
      </c>
      <c r="C389" s="7" t="s">
        <v>384</v>
      </c>
      <c r="D389" s="8" t="s">
        <v>801</v>
      </c>
      <c r="E389" s="4">
        <v>805953</v>
      </c>
      <c r="G389" s="4" t="s">
        <v>530</v>
      </c>
      <c r="H389" s="6">
        <v>132.22</v>
      </c>
      <c r="I389" s="6">
        <v>-13.89</v>
      </c>
      <c r="J389" s="4" t="s">
        <v>2482</v>
      </c>
      <c r="K389" s="4" t="s">
        <v>481</v>
      </c>
      <c r="L389" s="4" t="s">
        <v>532</v>
      </c>
      <c r="M389" s="4" t="s">
        <v>2483</v>
      </c>
      <c r="Q389" s="8"/>
      <c r="R389" s="8"/>
      <c r="Z389" s="4" t="s">
        <v>293</v>
      </c>
      <c r="AA389" s="7" t="s">
        <v>294</v>
      </c>
      <c r="AB389" s="8" t="s">
        <v>295</v>
      </c>
      <c r="AC389" s="4" t="s">
        <v>301</v>
      </c>
      <c r="AD389" s="4" t="s">
        <v>402</v>
      </c>
      <c r="AE389" s="8"/>
      <c r="AF389" s="8"/>
      <c r="AN389" s="4" t="s">
        <v>381</v>
      </c>
      <c r="AO389" s="4" t="s">
        <v>375</v>
      </c>
      <c r="AP389" s="4" t="s">
        <v>383</v>
      </c>
      <c r="AQ389" s="7" t="s">
        <v>384</v>
      </c>
      <c r="AR389" s="8" t="s">
        <v>801</v>
      </c>
      <c r="AS389" s="7">
        <v>0</v>
      </c>
      <c r="AT389" s="7">
        <v>0</v>
      </c>
      <c r="AU389" s="9" t="s">
        <v>303</v>
      </c>
      <c r="AV389" s="9" t="s">
        <v>406</v>
      </c>
      <c r="BA389" s="8">
        <v>5</v>
      </c>
      <c r="DZ389" s="31"/>
      <c r="FN389" s="9">
        <v>0.12209349999999999</v>
      </c>
      <c r="GP389" s="32"/>
      <c r="GY389" s="31" t="s">
        <v>407</v>
      </c>
      <c r="GZ389" s="6" t="s">
        <v>639</v>
      </c>
      <c r="HC389" s="6" t="s">
        <v>311</v>
      </c>
      <c r="HD389" s="8" t="s">
        <v>536</v>
      </c>
      <c r="HE389" s="8">
        <v>3134</v>
      </c>
      <c r="HF389" s="8" t="s">
        <v>537</v>
      </c>
      <c r="HG389" s="9" t="s">
        <v>538</v>
      </c>
      <c r="IW389" s="8"/>
      <c r="JB389" s="8"/>
      <c r="JV389" s="7" t="s">
        <v>2484</v>
      </c>
      <c r="JX389" s="7" t="s">
        <v>320</v>
      </c>
      <c r="KG389" s="4" t="s">
        <v>323</v>
      </c>
      <c r="KP389" s="5" t="s">
        <v>739</v>
      </c>
      <c r="KQ389" s="5" t="s">
        <v>2485</v>
      </c>
      <c r="KS389" s="5" t="s">
        <v>739</v>
      </c>
      <c r="KT389" s="5" t="s">
        <v>1517</v>
      </c>
    </row>
    <row r="390" spans="1:306" ht="72" x14ac:dyDescent="0.25">
      <c r="A390" s="14" t="s">
        <v>2911</v>
      </c>
      <c r="B390" s="29" t="s">
        <v>293</v>
      </c>
      <c r="C390" s="30" t="s">
        <v>294</v>
      </c>
      <c r="D390" s="26" t="s">
        <v>295</v>
      </c>
      <c r="E390" s="29">
        <v>629525</v>
      </c>
      <c r="F390" s="29"/>
      <c r="G390" s="29" t="s">
        <v>296</v>
      </c>
      <c r="H390" s="31">
        <v>145.46867721000001</v>
      </c>
      <c r="I390" s="31">
        <v>-41.784111121000002</v>
      </c>
      <c r="J390" s="29" t="s">
        <v>2912</v>
      </c>
      <c r="K390" s="29" t="s">
        <v>298</v>
      </c>
      <c r="L390" s="29" t="s">
        <v>400</v>
      </c>
      <c r="M390" s="29" t="s">
        <v>401</v>
      </c>
      <c r="N390" s="29"/>
      <c r="O390" s="26"/>
      <c r="P390" s="29"/>
      <c r="Q390" s="30"/>
      <c r="R390" s="30"/>
      <c r="S390" s="29"/>
      <c r="T390" s="27"/>
      <c r="U390" s="29"/>
      <c r="V390" s="29"/>
      <c r="W390" s="29"/>
      <c r="X390" s="29"/>
      <c r="Y390" s="26"/>
      <c r="Z390" s="29" t="s">
        <v>293</v>
      </c>
      <c r="AA390" s="30" t="s">
        <v>294</v>
      </c>
      <c r="AB390" s="26" t="s">
        <v>295</v>
      </c>
      <c r="AC390" s="29" t="s">
        <v>301</v>
      </c>
      <c r="AD390" s="29" t="s">
        <v>302</v>
      </c>
      <c r="AE390" s="30">
        <v>366</v>
      </c>
      <c r="AF390" s="30">
        <v>3</v>
      </c>
      <c r="AG390" s="29" t="s">
        <v>379</v>
      </c>
      <c r="AH390" s="27" t="s">
        <v>483</v>
      </c>
      <c r="AI390" s="29" t="s">
        <v>373</v>
      </c>
      <c r="AJ390" s="29" t="s">
        <v>306</v>
      </c>
      <c r="AK390" s="29" t="s">
        <v>307</v>
      </c>
      <c r="AL390" s="29" t="s">
        <v>308</v>
      </c>
      <c r="AM390" s="26">
        <v>4</v>
      </c>
      <c r="AN390" s="29"/>
      <c r="AO390" s="29"/>
      <c r="AP390" s="29"/>
      <c r="AQ390" s="30"/>
      <c r="AR390" s="26"/>
      <c r="AS390" s="27"/>
      <c r="AT390" s="27"/>
      <c r="AU390" s="27"/>
      <c r="AV390" s="27"/>
      <c r="AW390" s="27"/>
      <c r="AX390" s="27"/>
      <c r="AY390" s="27"/>
      <c r="AZ390" s="27"/>
      <c r="BA390" s="26"/>
      <c r="BB390" s="29"/>
      <c r="BC390" s="29"/>
      <c r="BD390" s="29"/>
      <c r="BE390" s="30"/>
      <c r="BF390" s="26"/>
      <c r="BG390" s="27"/>
      <c r="BH390" s="27"/>
      <c r="BI390" s="27"/>
      <c r="BJ390" s="27"/>
      <c r="BK390" s="27"/>
      <c r="BL390" s="27"/>
      <c r="BM390" s="27"/>
      <c r="BN390" s="27"/>
      <c r="BO390" s="26"/>
      <c r="BP390" s="30">
        <v>0.43</v>
      </c>
      <c r="BQ390" s="31"/>
      <c r="BR390" s="31">
        <v>0.18</v>
      </c>
      <c r="BS390" s="31"/>
      <c r="BT390" s="31"/>
      <c r="BU390" s="26"/>
      <c r="BV390" s="31"/>
      <c r="BW390" s="31"/>
      <c r="BX390" s="31"/>
      <c r="BY390" s="31"/>
      <c r="BZ390" s="31"/>
      <c r="CA390" s="31"/>
      <c r="CB390" s="31"/>
      <c r="CC390" s="31"/>
      <c r="CD390" s="31"/>
      <c r="CE390" s="31"/>
      <c r="CF390" s="31"/>
      <c r="CG390" s="31"/>
      <c r="CH390" s="31"/>
      <c r="CI390" s="31"/>
      <c r="CJ390" s="31"/>
      <c r="CK390" s="31"/>
      <c r="CL390" s="31"/>
      <c r="CM390" s="31"/>
      <c r="CN390" s="31"/>
      <c r="CO390" s="31"/>
      <c r="CP390" s="31"/>
      <c r="CQ390" s="31"/>
      <c r="CR390" s="31"/>
      <c r="CS390" s="31"/>
      <c r="CT390" s="31"/>
      <c r="CU390" s="31"/>
      <c r="CV390" s="31"/>
      <c r="CW390" s="31"/>
      <c r="CX390" s="31"/>
      <c r="CY390" s="31">
        <v>1</v>
      </c>
      <c r="CZ390" s="31"/>
      <c r="DA390" s="31"/>
      <c r="DB390" s="31"/>
      <c r="DC390" s="31"/>
      <c r="DD390" s="31"/>
      <c r="DE390" s="31"/>
      <c r="DF390" s="31"/>
      <c r="DG390" s="31"/>
      <c r="DH390" s="31"/>
      <c r="DI390" s="31"/>
      <c r="DJ390" s="31"/>
      <c r="DK390" s="31"/>
      <c r="DL390" s="31"/>
      <c r="DM390" s="31"/>
      <c r="DN390" s="31"/>
      <c r="DO390" s="31"/>
      <c r="DP390" s="31"/>
      <c r="DQ390" s="31"/>
      <c r="DR390" s="31"/>
      <c r="DS390" s="31"/>
      <c r="DT390" s="31"/>
      <c r="DU390" s="31"/>
      <c r="DV390" s="31"/>
      <c r="DW390" s="31"/>
      <c r="DX390" s="31"/>
      <c r="DY390" s="31"/>
      <c r="DZ390" s="31"/>
      <c r="EA390" s="31"/>
      <c r="EB390" s="31"/>
      <c r="EC390" s="31"/>
      <c r="ED390" s="31"/>
      <c r="EE390" s="31"/>
      <c r="EF390" s="31"/>
      <c r="EG390" s="31"/>
      <c r="EH390" s="32">
        <f>BP390*BR390/100</f>
        <v>7.7399999999999995E-4</v>
      </c>
      <c r="EI390" s="32"/>
      <c r="EJ390" s="32"/>
      <c r="EK390" s="32"/>
      <c r="EL390" s="31"/>
      <c r="EM390" s="31"/>
      <c r="EN390" s="31"/>
      <c r="EO390" s="31"/>
      <c r="EP390" s="31"/>
      <c r="EQ390" s="31"/>
      <c r="ER390" s="31"/>
      <c r="ES390" s="31"/>
      <c r="ET390" s="31"/>
      <c r="EU390" s="31"/>
      <c r="EV390" s="31"/>
      <c r="EW390" s="31"/>
      <c r="EX390" s="31"/>
      <c r="EY390" s="31"/>
      <c r="EZ390" s="31"/>
      <c r="FA390" s="31"/>
      <c r="FB390" s="31"/>
      <c r="FC390" s="31"/>
      <c r="FD390" s="31"/>
      <c r="FE390" s="31"/>
      <c r="FF390" s="31"/>
      <c r="FG390" s="31"/>
      <c r="FH390" s="31"/>
      <c r="FI390" s="31"/>
      <c r="FJ390" s="31"/>
      <c r="FK390" s="31"/>
      <c r="FL390" s="31"/>
      <c r="FM390" s="31"/>
      <c r="FN390" s="31">
        <f>1000*BP390*CY390/100</f>
        <v>4.3</v>
      </c>
      <c r="FO390" s="31"/>
      <c r="FP390" s="31"/>
      <c r="FQ390" s="31"/>
      <c r="FR390" s="31"/>
      <c r="FS390" s="31"/>
      <c r="FT390" s="31"/>
      <c r="FU390" s="31"/>
      <c r="FV390" s="31"/>
      <c r="FW390" s="31"/>
      <c r="FX390" s="31"/>
      <c r="FY390" s="31"/>
      <c r="FZ390" s="31"/>
      <c r="GA390" s="31"/>
      <c r="GB390" s="31"/>
      <c r="GC390" s="31"/>
      <c r="GD390" s="31"/>
      <c r="GE390" s="31"/>
      <c r="GF390" s="31"/>
      <c r="GG390" s="31"/>
      <c r="GH390" s="31"/>
      <c r="GI390" s="31"/>
      <c r="GJ390" s="31"/>
      <c r="GK390" s="31"/>
      <c r="GL390" s="31"/>
      <c r="GM390" s="31"/>
      <c r="GN390" s="31"/>
      <c r="GO390" s="31"/>
      <c r="GP390" s="32"/>
      <c r="GQ390" s="31"/>
      <c r="GR390" s="31"/>
      <c r="GS390" s="31"/>
      <c r="GT390" s="31"/>
      <c r="GU390" s="31"/>
      <c r="GV390" s="31"/>
      <c r="GW390" s="31"/>
      <c r="GX390" s="31"/>
      <c r="GY390" s="31" t="s">
        <v>309</v>
      </c>
      <c r="GZ390" s="31" t="s">
        <v>639</v>
      </c>
      <c r="HA390" s="31"/>
      <c r="HB390" s="31" t="s">
        <v>994</v>
      </c>
      <c r="HC390" s="31" t="s">
        <v>311</v>
      </c>
      <c r="HD390" s="26"/>
      <c r="HE390" s="26"/>
      <c r="HF390" s="26" t="s">
        <v>2913</v>
      </c>
      <c r="HG390" s="27" t="s">
        <v>876</v>
      </c>
      <c r="HH390" s="27"/>
      <c r="HI390" s="26"/>
      <c r="HJ390" s="27"/>
      <c r="HK390" s="27"/>
      <c r="HL390" s="27"/>
      <c r="HM390" s="26"/>
      <c r="HN390" s="27"/>
      <c r="HO390" s="27"/>
      <c r="HP390" s="27"/>
      <c r="HQ390" s="27"/>
      <c r="HR390" s="27"/>
      <c r="HS390" s="27"/>
      <c r="HT390" s="27"/>
      <c r="HU390" s="27"/>
      <c r="HV390" s="27"/>
      <c r="HW390" s="27"/>
      <c r="HX390" s="27"/>
      <c r="HY390" s="27"/>
      <c r="HZ390" s="27"/>
      <c r="IA390" s="27"/>
      <c r="IB390" s="26" t="s">
        <v>2871</v>
      </c>
      <c r="IC390" s="26">
        <v>33459</v>
      </c>
      <c r="ID390" s="26" t="s">
        <v>2914</v>
      </c>
      <c r="IE390" s="26" t="s">
        <v>318</v>
      </c>
      <c r="IF390" s="26" t="s">
        <v>319</v>
      </c>
      <c r="IG390" s="26"/>
      <c r="IH390" s="26"/>
      <c r="II390" s="26"/>
      <c r="IJ390" s="26"/>
      <c r="IK390" s="26"/>
      <c r="IL390" s="27"/>
      <c r="IM390" s="27"/>
      <c r="IN390" s="27"/>
      <c r="IO390" s="27"/>
      <c r="IP390" s="27"/>
      <c r="IQ390" s="27"/>
      <c r="IR390" s="27"/>
      <c r="IS390" s="27"/>
      <c r="IT390" s="27"/>
      <c r="IU390" s="27"/>
      <c r="IV390" s="27"/>
      <c r="IW390" s="27"/>
      <c r="IX390" s="27"/>
      <c r="IY390" s="27"/>
      <c r="IZ390" s="27"/>
      <c r="JA390" s="27"/>
      <c r="JB390" s="27"/>
      <c r="JC390" s="27"/>
      <c r="JD390" s="27"/>
      <c r="JE390" s="27"/>
      <c r="JF390" s="27"/>
      <c r="JG390" s="27"/>
      <c r="JH390" s="27"/>
      <c r="JI390" s="27"/>
      <c r="JJ390" s="27"/>
      <c r="JK390" s="27"/>
      <c r="JL390" s="27"/>
      <c r="JM390" s="27"/>
      <c r="JN390" s="27"/>
      <c r="JO390" s="27"/>
      <c r="JP390" s="27"/>
      <c r="JQ390" s="27"/>
      <c r="JR390" s="27"/>
      <c r="JS390" s="27"/>
      <c r="JT390" s="27"/>
      <c r="JU390" s="30"/>
      <c r="JV390" s="30"/>
      <c r="JW390" s="30"/>
      <c r="JX390" s="30" t="s">
        <v>320</v>
      </c>
      <c r="JY390" s="30" t="s">
        <v>321</v>
      </c>
      <c r="JZ390" s="30" t="s">
        <v>322</v>
      </c>
      <c r="KA390" s="30"/>
      <c r="KB390" s="30"/>
      <c r="KC390" s="30"/>
      <c r="KD390" s="30"/>
      <c r="KE390" s="30"/>
      <c r="KF390" s="30"/>
      <c r="KG390" s="29" t="s">
        <v>323</v>
      </c>
      <c r="KH390" s="29"/>
      <c r="KI390" s="29"/>
      <c r="KJ390" s="29"/>
      <c r="KK390" s="29"/>
      <c r="KL390" s="29"/>
      <c r="KM390" s="29"/>
      <c r="KN390" s="29"/>
      <c r="KO390" s="29"/>
      <c r="KP390" s="14" t="s">
        <v>358</v>
      </c>
      <c r="KQ390" s="28" t="s">
        <v>2915</v>
      </c>
      <c r="KR390" s="28" t="s">
        <v>2875</v>
      </c>
      <c r="KS390" s="14" t="s">
        <v>324</v>
      </c>
      <c r="KT390" s="14" t="s">
        <v>2916</v>
      </c>
    </row>
    <row r="391" spans="1:306" ht="72" x14ac:dyDescent="0.2">
      <c r="A391" s="14" t="s">
        <v>3674</v>
      </c>
      <c r="B391" s="29" t="s">
        <v>293</v>
      </c>
      <c r="C391" s="30" t="s">
        <v>294</v>
      </c>
      <c r="D391" s="26" t="s">
        <v>295</v>
      </c>
      <c r="E391" s="29">
        <v>334471</v>
      </c>
      <c r="F391" s="29"/>
      <c r="G391" s="29" t="s">
        <v>296</v>
      </c>
      <c r="H391" s="31">
        <v>148.19197398700001</v>
      </c>
      <c r="I391" s="31">
        <v>-41.425690144000001</v>
      </c>
      <c r="J391" s="29"/>
      <c r="K391" s="29" t="s">
        <v>298</v>
      </c>
      <c r="L391" s="29" t="s">
        <v>299</v>
      </c>
      <c r="M391" s="29" t="s">
        <v>300</v>
      </c>
      <c r="N391" s="29"/>
      <c r="O391" s="26"/>
      <c r="P391" s="29"/>
      <c r="Q391" s="26"/>
      <c r="R391" s="26"/>
      <c r="S391" s="27"/>
      <c r="T391" s="27"/>
      <c r="U391" s="27"/>
      <c r="V391" s="27"/>
      <c r="W391" s="27"/>
      <c r="X391" s="27"/>
      <c r="Y391" s="26"/>
      <c r="Z391" s="29" t="s">
        <v>293</v>
      </c>
      <c r="AA391" s="30" t="s">
        <v>294</v>
      </c>
      <c r="AB391" s="26" t="s">
        <v>295</v>
      </c>
      <c r="AC391" s="29" t="s">
        <v>301</v>
      </c>
      <c r="AD391" s="29" t="s">
        <v>302</v>
      </c>
      <c r="AE391" s="26">
        <v>391</v>
      </c>
      <c r="AF391" s="26">
        <v>9</v>
      </c>
      <c r="AG391" s="27" t="s">
        <v>303</v>
      </c>
      <c r="AH391" s="27" t="s">
        <v>304</v>
      </c>
      <c r="AI391" s="27" t="s">
        <v>305</v>
      </c>
      <c r="AJ391" s="27" t="s">
        <v>306</v>
      </c>
      <c r="AK391" s="27" t="s">
        <v>307</v>
      </c>
      <c r="AL391" s="27" t="s">
        <v>308</v>
      </c>
      <c r="AM391" s="26">
        <v>5</v>
      </c>
      <c r="AN391" s="29"/>
      <c r="AO391" s="29"/>
      <c r="AP391" s="29"/>
      <c r="AQ391" s="30"/>
      <c r="AR391" s="26"/>
      <c r="AS391" s="27"/>
      <c r="AT391" s="27"/>
      <c r="AU391" s="27"/>
      <c r="AV391" s="27"/>
      <c r="AW391" s="27"/>
      <c r="AX391" s="27"/>
      <c r="AY391" s="27"/>
      <c r="AZ391" s="27"/>
      <c r="BA391" s="26"/>
      <c r="BB391" s="29"/>
      <c r="BC391" s="29"/>
      <c r="BD391" s="29"/>
      <c r="BE391" s="30"/>
      <c r="BF391" s="26"/>
      <c r="BG391" s="27"/>
      <c r="BH391" s="27"/>
      <c r="BI391" s="27"/>
      <c r="BJ391" s="27"/>
      <c r="BK391" s="27"/>
      <c r="BL391" s="27"/>
      <c r="BM391" s="27"/>
      <c r="BN391" s="27"/>
      <c r="BO391" s="26"/>
      <c r="BP391" s="30">
        <v>8.39</v>
      </c>
      <c r="BQ391" s="31"/>
      <c r="BR391" s="31"/>
      <c r="BS391" s="31"/>
      <c r="BT391" s="31"/>
      <c r="BU391" s="26"/>
      <c r="BV391" s="31"/>
      <c r="BW391" s="31"/>
      <c r="BX391" s="31"/>
      <c r="BY391" s="31"/>
      <c r="BZ391" s="31"/>
      <c r="CA391" s="31"/>
      <c r="CB391" s="31"/>
      <c r="CC391" s="31"/>
      <c r="CD391" s="31"/>
      <c r="CE391" s="31"/>
      <c r="CF391" s="31"/>
      <c r="CG391" s="31"/>
      <c r="CH391" s="31"/>
      <c r="CI391" s="31"/>
      <c r="CJ391" s="31"/>
      <c r="CK391" s="31"/>
      <c r="CL391" s="31"/>
      <c r="CM391" s="31"/>
      <c r="CN391" s="31">
        <v>7.9699999999999993E-2</v>
      </c>
      <c r="CO391" s="31"/>
      <c r="CP391" s="31"/>
      <c r="CQ391" s="31"/>
      <c r="CR391" s="31"/>
      <c r="CS391" s="31"/>
      <c r="CT391" s="31"/>
      <c r="CU391" s="31"/>
      <c r="CV391" s="31"/>
      <c r="CW391" s="31"/>
      <c r="CX391" s="31"/>
      <c r="CY391" s="31">
        <v>0.17</v>
      </c>
      <c r="CZ391" s="31"/>
      <c r="DA391" s="31"/>
      <c r="DB391" s="31"/>
      <c r="DC391" s="31"/>
      <c r="DD391" s="31"/>
      <c r="DE391" s="31"/>
      <c r="DF391" s="31"/>
      <c r="DG391" s="31"/>
      <c r="DH391" s="31"/>
      <c r="DI391" s="31"/>
      <c r="DJ391" s="31"/>
      <c r="DK391" s="31"/>
      <c r="DL391" s="31"/>
      <c r="DM391" s="31"/>
      <c r="DN391" s="31"/>
      <c r="DO391" s="31"/>
      <c r="DP391" s="31"/>
      <c r="DQ391" s="31"/>
      <c r="DR391" s="31"/>
      <c r="DS391" s="31"/>
      <c r="DT391" s="31"/>
      <c r="DU391" s="31"/>
      <c r="DV391" s="31"/>
      <c r="DW391" s="31"/>
      <c r="DX391" s="31"/>
      <c r="DY391" s="31"/>
      <c r="DZ391" s="31"/>
      <c r="EA391" s="31"/>
      <c r="EB391" s="31"/>
      <c r="EC391" s="31"/>
      <c r="ED391" s="31"/>
      <c r="EE391" s="31"/>
      <c r="EF391" s="31"/>
      <c r="EG391" s="31"/>
      <c r="EH391" s="32"/>
      <c r="EI391" s="32"/>
      <c r="EJ391" s="32"/>
      <c r="EK391" s="32"/>
      <c r="EL391" s="31"/>
      <c r="EM391" s="31"/>
      <c r="EN391" s="31"/>
      <c r="EO391" s="31"/>
      <c r="EP391" s="31"/>
      <c r="EQ391" s="31"/>
      <c r="ER391" s="31"/>
      <c r="ES391" s="31"/>
      <c r="ET391" s="31"/>
      <c r="EU391" s="31"/>
      <c r="EV391" s="31"/>
      <c r="EW391" s="31"/>
      <c r="EX391" s="31"/>
      <c r="EY391" s="31"/>
      <c r="EZ391" s="31"/>
      <c r="FA391" s="31"/>
      <c r="FB391" s="31"/>
      <c r="FC391" s="30">
        <f>1000*BP391*CN391/100</f>
        <v>6.6868299999999996</v>
      </c>
      <c r="FD391" s="31"/>
      <c r="FE391" s="31"/>
      <c r="FF391" s="31"/>
      <c r="FG391" s="31"/>
      <c r="FH391" s="31"/>
      <c r="FI391" s="31"/>
      <c r="FJ391" s="31"/>
      <c r="FK391" s="31"/>
      <c r="FL391" s="31"/>
      <c r="FM391" s="31"/>
      <c r="FN391" s="30">
        <f>1000*BP391*CY391/100</f>
        <v>14.263000000000002</v>
      </c>
      <c r="FO391" s="31"/>
      <c r="FP391" s="31"/>
      <c r="FQ391" s="31"/>
      <c r="FR391" s="31"/>
      <c r="FS391" s="31"/>
      <c r="FT391" s="31"/>
      <c r="FU391" s="31"/>
      <c r="FV391" s="31"/>
      <c r="FW391" s="31"/>
      <c r="FX391" s="31"/>
      <c r="FY391" s="31"/>
      <c r="FZ391" s="31"/>
      <c r="GA391" s="31"/>
      <c r="GB391" s="31"/>
      <c r="GC391" s="31"/>
      <c r="GD391" s="31"/>
      <c r="GE391" s="31"/>
      <c r="GF391" s="31"/>
      <c r="GG391" s="31"/>
      <c r="GH391" s="31"/>
      <c r="GI391" s="31"/>
      <c r="GJ391" s="31"/>
      <c r="GK391" s="31"/>
      <c r="GL391" s="31"/>
      <c r="GM391" s="31"/>
      <c r="GN391" s="31"/>
      <c r="GO391" s="31"/>
      <c r="GP391" s="32"/>
      <c r="GQ391" s="31"/>
      <c r="GR391" s="31"/>
      <c r="GS391" s="31"/>
      <c r="GT391" s="31"/>
      <c r="GU391" s="31"/>
      <c r="GV391" s="31"/>
      <c r="GW391" s="31"/>
      <c r="GX391" s="31"/>
      <c r="GY391" s="31" t="s">
        <v>435</v>
      </c>
      <c r="GZ391" s="31" t="s">
        <v>639</v>
      </c>
      <c r="HA391" s="31"/>
      <c r="HB391" s="31" t="s">
        <v>3675</v>
      </c>
      <c r="HC391" s="31" t="s">
        <v>311</v>
      </c>
      <c r="HD391" s="26" t="s">
        <v>312</v>
      </c>
      <c r="HE391" s="26">
        <v>36812</v>
      </c>
      <c r="HF391" s="26" t="s">
        <v>313</v>
      </c>
      <c r="HG391" s="27" t="s">
        <v>314</v>
      </c>
      <c r="HH391" s="27"/>
      <c r="HI391" s="26"/>
      <c r="HJ391" s="27"/>
      <c r="HK391" s="27"/>
      <c r="HL391" s="27"/>
      <c r="HM391" s="26"/>
      <c r="HN391" s="27"/>
      <c r="HO391" s="27"/>
      <c r="HP391" s="27"/>
      <c r="HQ391" s="27"/>
      <c r="HR391" s="27"/>
      <c r="HS391" s="27"/>
      <c r="HT391" s="27"/>
      <c r="HU391" s="27"/>
      <c r="HV391" s="27"/>
      <c r="HW391" s="27"/>
      <c r="HX391" s="27"/>
      <c r="HY391" s="27"/>
      <c r="HZ391" s="27"/>
      <c r="IA391" s="27"/>
      <c r="IB391" s="19" t="s">
        <v>3676</v>
      </c>
      <c r="IC391" s="19">
        <v>26768</v>
      </c>
      <c r="ID391" s="19" t="s">
        <v>3677</v>
      </c>
      <c r="IE391" s="19" t="s">
        <v>782</v>
      </c>
      <c r="IF391" s="19" t="s">
        <v>319</v>
      </c>
      <c r="IG391" s="26"/>
      <c r="IH391" s="26"/>
      <c r="II391" s="26"/>
      <c r="IJ391" s="26"/>
      <c r="IK391" s="26"/>
      <c r="IL391" s="27"/>
      <c r="IM391" s="27"/>
      <c r="IN391" s="27"/>
      <c r="IO391" s="27"/>
      <c r="IP391" s="27"/>
      <c r="IQ391" s="27"/>
      <c r="IR391" s="27"/>
      <c r="IS391" s="27"/>
      <c r="IT391" s="27"/>
      <c r="IU391" s="27"/>
      <c r="IV391" s="27"/>
      <c r="IW391" s="27"/>
      <c r="IX391" s="27"/>
      <c r="IY391" s="27"/>
      <c r="IZ391" s="27"/>
      <c r="JA391" s="27"/>
      <c r="JB391" s="27"/>
      <c r="JC391" s="27"/>
      <c r="JD391" s="27"/>
      <c r="JE391" s="27"/>
      <c r="JF391" s="27"/>
      <c r="JG391" s="27"/>
      <c r="JH391" s="27"/>
      <c r="JI391" s="27"/>
      <c r="JJ391" s="27"/>
      <c r="JK391" s="27"/>
      <c r="JL391" s="27"/>
      <c r="JM391" s="27"/>
      <c r="JN391" s="27"/>
      <c r="JO391" s="27"/>
      <c r="JP391" s="27"/>
      <c r="JQ391" s="27"/>
      <c r="JR391" s="27"/>
      <c r="JS391" s="27"/>
      <c r="JT391" s="27"/>
      <c r="JU391" s="30"/>
      <c r="JV391" s="30"/>
      <c r="JW391" s="30"/>
      <c r="JX391" s="30" t="s">
        <v>320</v>
      </c>
      <c r="JY391" s="30"/>
      <c r="JZ391" s="30"/>
      <c r="KA391" s="30"/>
      <c r="KB391" s="30"/>
      <c r="KC391" s="30"/>
      <c r="KD391" s="30"/>
      <c r="KE391" s="30"/>
      <c r="KF391" s="30"/>
      <c r="KG391" s="29" t="s">
        <v>323</v>
      </c>
      <c r="KH391" s="29"/>
      <c r="KI391" s="29"/>
      <c r="KJ391" s="29"/>
      <c r="KK391" s="29"/>
      <c r="KL391" s="29"/>
      <c r="KM391" s="29"/>
      <c r="KN391" s="29"/>
      <c r="KO391" s="29"/>
      <c r="KP391" s="14" t="s">
        <v>324</v>
      </c>
      <c r="KQ391" s="14" t="s">
        <v>3678</v>
      </c>
      <c r="KR391" s="14" t="s">
        <v>645</v>
      </c>
      <c r="KS391" s="14" t="s">
        <v>3679</v>
      </c>
      <c r="KT391" s="14" t="s">
        <v>3680</v>
      </c>
    </row>
    <row r="392" spans="1:306" ht="96" x14ac:dyDescent="0.25">
      <c r="A392" s="5" t="s">
        <v>3887</v>
      </c>
      <c r="B392" s="4" t="s">
        <v>293</v>
      </c>
      <c r="C392" s="7" t="s">
        <v>294</v>
      </c>
      <c r="D392" s="8" t="s">
        <v>295</v>
      </c>
      <c r="E392" s="4">
        <v>335674</v>
      </c>
      <c r="G392" s="4" t="s">
        <v>530</v>
      </c>
      <c r="H392" s="6">
        <v>135.18799999999999</v>
      </c>
      <c r="I392" s="6">
        <v>-20.886099999999999</v>
      </c>
      <c r="J392" s="4" t="s">
        <v>3888</v>
      </c>
      <c r="K392" s="4" t="s">
        <v>481</v>
      </c>
      <c r="L392" s="4" t="s">
        <v>843</v>
      </c>
      <c r="M392" s="4" t="s">
        <v>3889</v>
      </c>
      <c r="Q392" s="8"/>
      <c r="R392" s="8"/>
      <c r="Z392" s="4" t="s">
        <v>293</v>
      </c>
      <c r="AA392" s="7" t="s">
        <v>294</v>
      </c>
      <c r="AB392" s="8" t="s">
        <v>295</v>
      </c>
      <c r="AC392" s="4" t="s">
        <v>301</v>
      </c>
      <c r="AD392" s="4" t="s">
        <v>302</v>
      </c>
      <c r="AE392" s="8">
        <v>1714</v>
      </c>
      <c r="AF392" s="8">
        <v>4</v>
      </c>
      <c r="AG392" s="9" t="s">
        <v>379</v>
      </c>
      <c r="AH392" s="9" t="s">
        <v>429</v>
      </c>
      <c r="AI392" s="9" t="s">
        <v>845</v>
      </c>
      <c r="AJ392" s="9" t="s">
        <v>431</v>
      </c>
      <c r="AK392" s="9" t="s">
        <v>3890</v>
      </c>
      <c r="AM392" s="8">
        <v>3</v>
      </c>
      <c r="DZ392" s="31"/>
      <c r="EH392" s="16">
        <f>0.3*70/1000000</f>
        <v>2.0999999999999999E-5</v>
      </c>
      <c r="FT392" s="9">
        <f>3.065*0.65+1000*0.225*0.58/100</f>
        <v>3.29725</v>
      </c>
      <c r="FZ392" s="10">
        <v>3.5334300000000002E-3</v>
      </c>
      <c r="GP392" s="32"/>
      <c r="GY392" s="6" t="s">
        <v>435</v>
      </c>
      <c r="GZ392" s="6" t="s">
        <v>916</v>
      </c>
      <c r="HB392" s="6" t="s">
        <v>3891</v>
      </c>
      <c r="HC392" s="6" t="s">
        <v>1021</v>
      </c>
      <c r="HD392" s="8" t="s">
        <v>3892</v>
      </c>
      <c r="HE392" s="8">
        <v>24535</v>
      </c>
      <c r="HF392" s="8" t="s">
        <v>3893</v>
      </c>
      <c r="HG392" s="9" t="s">
        <v>538</v>
      </c>
      <c r="HH392" s="8" t="s">
        <v>3894</v>
      </c>
      <c r="HI392" s="8">
        <v>24347</v>
      </c>
      <c r="HJ392" s="8" t="s">
        <v>3895</v>
      </c>
      <c r="HK392" s="9" t="s">
        <v>538</v>
      </c>
      <c r="HL392" s="8" t="s">
        <v>3896</v>
      </c>
      <c r="HM392" s="8">
        <v>24513</v>
      </c>
      <c r="HN392" s="8" t="s">
        <v>3897</v>
      </c>
      <c r="HO392" s="9" t="s">
        <v>538</v>
      </c>
      <c r="HP392" s="9" t="s">
        <v>3898</v>
      </c>
      <c r="HQ392" s="8">
        <v>15005</v>
      </c>
      <c r="HR392" s="9" t="s">
        <v>3899</v>
      </c>
      <c r="HS392" s="9" t="s">
        <v>538</v>
      </c>
      <c r="ID392" s="8" t="s">
        <v>3900</v>
      </c>
      <c r="IE392" s="8" t="s">
        <v>538</v>
      </c>
      <c r="IF392" s="8" t="s">
        <v>329</v>
      </c>
      <c r="IW392" s="8"/>
      <c r="JB392" s="8"/>
      <c r="JV392" s="7" t="s">
        <v>2573</v>
      </c>
      <c r="JX392" s="7" t="s">
        <v>320</v>
      </c>
      <c r="KG392" s="4" t="s">
        <v>323</v>
      </c>
      <c r="KM392" s="4" t="s">
        <v>391</v>
      </c>
      <c r="KN392" s="4" t="s">
        <v>391</v>
      </c>
      <c r="KP392" s="5" t="s">
        <v>358</v>
      </c>
      <c r="KQ392" s="5" t="s">
        <v>3901</v>
      </c>
      <c r="KR392" s="5" t="s">
        <v>3902</v>
      </c>
      <c r="KS392" s="5" t="s">
        <v>3903</v>
      </c>
      <c r="KT392" s="14" t="s">
        <v>3904</v>
      </c>
    </row>
    <row r="393" spans="1:306" ht="132" x14ac:dyDescent="0.25">
      <c r="A393" s="5" t="s">
        <v>3926</v>
      </c>
      <c r="B393" s="4" t="s">
        <v>383</v>
      </c>
      <c r="C393" s="7" t="s">
        <v>384</v>
      </c>
      <c r="D393" s="8" t="s">
        <v>801</v>
      </c>
      <c r="E393" s="4">
        <v>804237</v>
      </c>
      <c r="G393" s="4" t="s">
        <v>530</v>
      </c>
      <c r="H393" s="6">
        <v>131.46</v>
      </c>
      <c r="I393" s="6">
        <v>-13.58</v>
      </c>
      <c r="J393" s="4" t="s">
        <v>3926</v>
      </c>
      <c r="K393" s="4" t="s">
        <v>481</v>
      </c>
      <c r="L393" s="4" t="s">
        <v>532</v>
      </c>
      <c r="M393" s="4" t="s">
        <v>2483</v>
      </c>
      <c r="Q393" s="8"/>
      <c r="R393" s="8"/>
      <c r="Z393" s="4" t="s">
        <v>293</v>
      </c>
      <c r="AA393" s="7" t="s">
        <v>294</v>
      </c>
      <c r="AB393" s="8" t="s">
        <v>295</v>
      </c>
      <c r="AC393" s="4" t="s">
        <v>301</v>
      </c>
      <c r="AD393" s="4" t="s">
        <v>402</v>
      </c>
      <c r="AE393" s="8"/>
      <c r="AF393" s="8"/>
      <c r="AN393" s="4" t="s">
        <v>381</v>
      </c>
      <c r="AO393" s="4" t="s">
        <v>375</v>
      </c>
      <c r="AP393" s="4" t="s">
        <v>383</v>
      </c>
      <c r="AQ393" s="7" t="s">
        <v>384</v>
      </c>
      <c r="AR393" s="8" t="s">
        <v>801</v>
      </c>
      <c r="AS393" s="7">
        <v>0</v>
      </c>
      <c r="AT393" s="7">
        <v>0</v>
      </c>
      <c r="AU393" s="9" t="s">
        <v>303</v>
      </c>
      <c r="AV393" s="9" t="s">
        <v>406</v>
      </c>
      <c r="BA393" s="8">
        <v>5</v>
      </c>
      <c r="DZ393" s="31"/>
      <c r="FN393" s="9">
        <v>0.1228812</v>
      </c>
      <c r="GP393" s="32"/>
      <c r="GY393" s="6" t="s">
        <v>309</v>
      </c>
      <c r="GZ393" s="6" t="s">
        <v>639</v>
      </c>
      <c r="HC393" s="6" t="s">
        <v>311</v>
      </c>
      <c r="HD393" s="8" t="s">
        <v>3183</v>
      </c>
      <c r="HE393" s="8">
        <v>27066</v>
      </c>
      <c r="HF393" s="8" t="s">
        <v>3184</v>
      </c>
      <c r="HG393" s="9" t="s">
        <v>538</v>
      </c>
      <c r="IW393" s="8"/>
      <c r="JB393" s="8"/>
      <c r="KP393" s="5" t="s">
        <v>739</v>
      </c>
      <c r="KQ393" s="5" t="s">
        <v>2485</v>
      </c>
      <c r="KS393" s="5" t="s">
        <v>739</v>
      </c>
      <c r="KT393" s="5" t="s">
        <v>1517</v>
      </c>
    </row>
    <row r="394" spans="1:306" ht="36" x14ac:dyDescent="0.25">
      <c r="A394" s="5" t="s">
        <v>4147</v>
      </c>
      <c r="B394" s="4" t="s">
        <v>383</v>
      </c>
      <c r="C394" s="7" t="s">
        <v>384</v>
      </c>
      <c r="D394" s="8" t="s">
        <v>801</v>
      </c>
      <c r="E394" s="4">
        <v>804625</v>
      </c>
      <c r="G394" s="4" t="s">
        <v>530</v>
      </c>
      <c r="H394" s="6">
        <v>132.13</v>
      </c>
      <c r="I394" s="6">
        <v>-14.1</v>
      </c>
      <c r="J394" s="4" t="s">
        <v>4148</v>
      </c>
      <c r="K394" s="4" t="s">
        <v>481</v>
      </c>
      <c r="L394" s="4" t="s">
        <v>532</v>
      </c>
      <c r="M394" s="4" t="s">
        <v>2483</v>
      </c>
      <c r="Q394" s="7"/>
      <c r="R394" s="7"/>
      <c r="Z394" s="4" t="s">
        <v>293</v>
      </c>
      <c r="AA394" s="7" t="s">
        <v>294</v>
      </c>
      <c r="AB394" s="8" t="s">
        <v>295</v>
      </c>
      <c r="AC394" s="4" t="s">
        <v>301</v>
      </c>
      <c r="AD394" s="4" t="s">
        <v>402</v>
      </c>
      <c r="AE394" s="7"/>
      <c r="AF394" s="7"/>
      <c r="AM394" s="8">
        <v>5</v>
      </c>
      <c r="AN394" s="4" t="s">
        <v>381</v>
      </c>
      <c r="AO394" s="4" t="s">
        <v>375</v>
      </c>
      <c r="AP394" s="4" t="s">
        <v>383</v>
      </c>
      <c r="AQ394" s="7" t="s">
        <v>384</v>
      </c>
      <c r="AR394" s="8" t="s">
        <v>801</v>
      </c>
      <c r="AS394" s="7">
        <v>0</v>
      </c>
      <c r="AT394" s="7">
        <v>0</v>
      </c>
      <c r="AU394" s="9" t="s">
        <v>303</v>
      </c>
      <c r="AV394" s="9" t="s">
        <v>406</v>
      </c>
      <c r="BA394" s="8">
        <v>5</v>
      </c>
      <c r="BB394" s="4" t="s">
        <v>381</v>
      </c>
      <c r="BC394" s="4" t="s">
        <v>402</v>
      </c>
      <c r="BD394" s="4" t="s">
        <v>383</v>
      </c>
      <c r="BE394" s="7" t="s">
        <v>403</v>
      </c>
      <c r="BF394" s="8" t="s">
        <v>3846</v>
      </c>
      <c r="BG394" s="7">
        <v>0</v>
      </c>
      <c r="BH394" s="7">
        <v>0</v>
      </c>
      <c r="BI394" s="9" t="s">
        <v>303</v>
      </c>
      <c r="BJ394" s="9" t="s">
        <v>406</v>
      </c>
      <c r="BO394" s="8">
        <v>5</v>
      </c>
      <c r="DZ394" s="31"/>
      <c r="FN394" s="9">
        <v>0.51988199999999996</v>
      </c>
      <c r="GP394" s="32"/>
      <c r="GY394" s="6" t="s">
        <v>309</v>
      </c>
      <c r="GZ394" s="6" t="s">
        <v>639</v>
      </c>
      <c r="HC394" s="6" t="s">
        <v>311</v>
      </c>
      <c r="HD394" s="8" t="s">
        <v>4149</v>
      </c>
      <c r="HE394" s="8">
        <v>13012</v>
      </c>
      <c r="HF394" s="8" t="s">
        <v>4150</v>
      </c>
      <c r="HG394" s="9" t="s">
        <v>538</v>
      </c>
      <c r="IW394" s="8"/>
      <c r="JB394" s="8"/>
      <c r="JV394" s="7" t="s">
        <v>4151</v>
      </c>
      <c r="KP394" s="5" t="s">
        <v>358</v>
      </c>
      <c r="KQ394" s="5" t="s">
        <v>4152</v>
      </c>
      <c r="KS394" s="5" t="s">
        <v>739</v>
      </c>
      <c r="KT394" s="5" t="s">
        <v>4153</v>
      </c>
    </row>
    <row r="395" spans="1:306" ht="132" x14ac:dyDescent="0.2">
      <c r="A395" s="5" t="s">
        <v>4216</v>
      </c>
      <c r="B395" s="4" t="s">
        <v>293</v>
      </c>
      <c r="C395" s="7" t="s">
        <v>294</v>
      </c>
      <c r="D395" s="8" t="s">
        <v>295</v>
      </c>
      <c r="E395" s="44">
        <v>336247</v>
      </c>
      <c r="G395" s="4" t="s">
        <v>479</v>
      </c>
      <c r="H395" s="6">
        <v>145.36429999999999</v>
      </c>
      <c r="I395" s="6">
        <v>-17.3841</v>
      </c>
      <c r="J395" s="4" t="s">
        <v>1017</v>
      </c>
      <c r="K395" s="4" t="s">
        <v>298</v>
      </c>
      <c r="L395" s="4" t="s">
        <v>1018</v>
      </c>
      <c r="M395" s="4" t="s">
        <v>1019</v>
      </c>
      <c r="Q395" s="8"/>
      <c r="R395" s="8"/>
      <c r="Z395" s="4" t="s">
        <v>293</v>
      </c>
      <c r="AA395" s="7" t="s">
        <v>294</v>
      </c>
      <c r="AB395" s="8" t="s">
        <v>295</v>
      </c>
      <c r="AC395" s="4" t="s">
        <v>301</v>
      </c>
      <c r="AE395" s="8">
        <v>318</v>
      </c>
      <c r="AF395" s="8">
        <v>2</v>
      </c>
      <c r="AG395" s="9" t="s">
        <v>379</v>
      </c>
      <c r="AH395" s="9" t="s">
        <v>4217</v>
      </c>
      <c r="AI395" s="9" t="s">
        <v>305</v>
      </c>
      <c r="AJ395" s="9" t="s">
        <v>306</v>
      </c>
      <c r="AK395" s="9" t="s">
        <v>307</v>
      </c>
      <c r="AL395" s="9" t="s">
        <v>308</v>
      </c>
      <c r="AM395" s="8">
        <v>3</v>
      </c>
      <c r="AS395" s="8">
        <v>292</v>
      </c>
      <c r="AT395" s="8">
        <v>1</v>
      </c>
      <c r="AU395" s="9" t="s">
        <v>303</v>
      </c>
      <c r="AV395" s="9" t="s">
        <v>483</v>
      </c>
      <c r="AW395" s="9" t="s">
        <v>373</v>
      </c>
      <c r="AX395" s="9" t="s">
        <v>306</v>
      </c>
      <c r="AY395" s="9" t="s">
        <v>307</v>
      </c>
      <c r="AZ395" s="9" t="s">
        <v>308</v>
      </c>
      <c r="BP395" s="7">
        <v>0.09</v>
      </c>
      <c r="BR395" s="7">
        <v>0.7</v>
      </c>
      <c r="BS395" s="7">
        <v>15.3</v>
      </c>
      <c r="BT395" s="7">
        <v>0.7</v>
      </c>
      <c r="BU395" s="8">
        <v>113</v>
      </c>
      <c r="CX395" s="8">
        <v>370</v>
      </c>
      <c r="DZ395" s="31"/>
      <c r="EH395" s="9">
        <f>BP395*BR395/100</f>
        <v>6.3000000000000003E-4</v>
      </c>
      <c r="EI395" s="6">
        <f>BP395*BS395/100</f>
        <v>1.3769999999999999E-2</v>
      </c>
      <c r="EJ395" s="9">
        <f>BP395*BT395/100</f>
        <v>6.3000000000000003E-4</v>
      </c>
      <c r="EK395" s="9">
        <f>BU395*BP395/1000</f>
        <v>1.017E-2</v>
      </c>
      <c r="FM395" s="9">
        <f>CX395*BP395/1000</f>
        <v>3.3299999999999996E-2</v>
      </c>
      <c r="GP395" s="32"/>
      <c r="GY395" s="6" t="s">
        <v>309</v>
      </c>
      <c r="GZ395" s="6" t="s">
        <v>1049</v>
      </c>
      <c r="HA395" s="6" t="s">
        <v>4218</v>
      </c>
      <c r="HB395" s="6" t="s">
        <v>4198</v>
      </c>
      <c r="HC395" s="6" t="s">
        <v>1022</v>
      </c>
      <c r="HD395" s="8" t="s">
        <v>1023</v>
      </c>
      <c r="HE395" s="8">
        <v>8404</v>
      </c>
      <c r="HF395" s="8" t="s">
        <v>1024</v>
      </c>
      <c r="HG395" s="8" t="s">
        <v>1025</v>
      </c>
      <c r="HH395" s="9" t="s">
        <v>4219</v>
      </c>
      <c r="HI395" s="8">
        <v>36177</v>
      </c>
      <c r="HJ395" s="9" t="s">
        <v>4220</v>
      </c>
      <c r="HK395" s="9" t="s">
        <v>4221</v>
      </c>
      <c r="HL395" s="9" t="s">
        <v>1028</v>
      </c>
      <c r="HM395" s="8">
        <v>16991</v>
      </c>
      <c r="HN395" s="9" t="s">
        <v>1029</v>
      </c>
      <c r="HO395" s="8">
        <v>275</v>
      </c>
      <c r="IB395" s="8" t="s">
        <v>4222</v>
      </c>
      <c r="ID395" s="8" t="s">
        <v>4223</v>
      </c>
      <c r="IE395" s="8">
        <v>292</v>
      </c>
      <c r="IF395" s="8" t="s">
        <v>4224</v>
      </c>
      <c r="JV395" s="7" t="s">
        <v>4225</v>
      </c>
      <c r="JX395" s="7" t="s">
        <v>4226</v>
      </c>
      <c r="JY395" s="7" t="s">
        <v>470</v>
      </c>
      <c r="JZ395" s="7" t="s">
        <v>1035</v>
      </c>
      <c r="KA395" s="7" t="s">
        <v>354</v>
      </c>
      <c r="KB395" s="7" t="s">
        <v>4227</v>
      </c>
      <c r="KC395" s="7" t="s">
        <v>470</v>
      </c>
      <c r="KD395" s="7" t="s">
        <v>1034</v>
      </c>
      <c r="KE395" s="4" t="s">
        <v>470</v>
      </c>
      <c r="KF395" s="4" t="s">
        <v>322</v>
      </c>
      <c r="KP395" s="5" t="s">
        <v>358</v>
      </c>
      <c r="KQ395" s="5" t="s">
        <v>1038</v>
      </c>
      <c r="KR395" s="5" t="s">
        <v>1038</v>
      </c>
      <c r="KS395" s="5" t="s">
        <v>4228</v>
      </c>
      <c r="KT395" s="5" t="s">
        <v>4229</v>
      </c>
    </row>
    <row r="396" spans="1:306" ht="84" x14ac:dyDescent="0.25">
      <c r="A396" s="5" t="s">
        <v>4262</v>
      </c>
      <c r="B396" s="4" t="s">
        <v>293</v>
      </c>
      <c r="C396" s="7" t="s">
        <v>294</v>
      </c>
      <c r="D396" s="8" t="s">
        <v>295</v>
      </c>
      <c r="E396" s="4">
        <v>334723</v>
      </c>
      <c r="G396" s="4" t="s">
        <v>479</v>
      </c>
      <c r="H396" s="6">
        <v>144.73310000000001</v>
      </c>
      <c r="I396" s="6">
        <v>-14.785812</v>
      </c>
      <c r="J396" s="4" t="s">
        <v>4262</v>
      </c>
      <c r="K396" s="4" t="s">
        <v>298</v>
      </c>
      <c r="L396" s="4" t="s">
        <v>1018</v>
      </c>
      <c r="Q396" s="4"/>
      <c r="R396" s="8"/>
      <c r="S396" s="4"/>
      <c r="Z396" s="4" t="s">
        <v>293</v>
      </c>
      <c r="AA396" s="7" t="s">
        <v>294</v>
      </c>
      <c r="AB396" s="8" t="s">
        <v>295</v>
      </c>
      <c r="AC396" s="4" t="s">
        <v>301</v>
      </c>
      <c r="AD396" s="4" t="s">
        <v>375</v>
      </c>
      <c r="AE396" s="4">
        <v>281</v>
      </c>
      <c r="AF396" s="8">
        <v>3</v>
      </c>
      <c r="AG396" s="4" t="s">
        <v>379</v>
      </c>
      <c r="AH396" s="9" t="s">
        <v>483</v>
      </c>
      <c r="AI396" s="9" t="s">
        <v>4263</v>
      </c>
      <c r="AJ396" s="9" t="s">
        <v>4264</v>
      </c>
      <c r="AK396" s="9" t="s">
        <v>1081</v>
      </c>
      <c r="AM396" s="8">
        <v>2</v>
      </c>
      <c r="BP396" s="7">
        <v>2.2400000000000002</v>
      </c>
      <c r="CY396" s="6">
        <v>0.47</v>
      </c>
      <c r="DZ396" s="31"/>
      <c r="EY396" s="6"/>
      <c r="FA396" s="6"/>
      <c r="FN396" s="6">
        <f>1000*BP396*CY396/100</f>
        <v>10.527999999999999</v>
      </c>
      <c r="GP396" s="32"/>
      <c r="GY396" s="6" t="s">
        <v>338</v>
      </c>
      <c r="GZ396" s="6" t="s">
        <v>639</v>
      </c>
      <c r="HC396" s="6" t="s">
        <v>311</v>
      </c>
      <c r="HD396" s="8" t="s">
        <v>1023</v>
      </c>
      <c r="HE396" s="8">
        <v>8404</v>
      </c>
      <c r="HF396" s="8" t="s">
        <v>4265</v>
      </c>
      <c r="HG396" s="8" t="s">
        <v>1025</v>
      </c>
      <c r="HY396" s="9"/>
      <c r="IB396" s="8" t="s">
        <v>4266</v>
      </c>
      <c r="IC396" s="8">
        <v>15641</v>
      </c>
      <c r="ID396" s="8" t="s">
        <v>4267</v>
      </c>
      <c r="IE396" s="8" t="s">
        <v>493</v>
      </c>
      <c r="IF396" s="8" t="s">
        <v>329</v>
      </c>
      <c r="II396" s="8" t="s">
        <v>4268</v>
      </c>
      <c r="IJ396" s="8" t="s">
        <v>493</v>
      </c>
      <c r="IK396" s="8" t="s">
        <v>319</v>
      </c>
      <c r="IR396" s="9"/>
      <c r="JV396" s="7" t="s">
        <v>4269</v>
      </c>
      <c r="JX396" s="7" t="s">
        <v>320</v>
      </c>
      <c r="JY396" s="7" t="s">
        <v>321</v>
      </c>
      <c r="JZ396" s="7" t="s">
        <v>322</v>
      </c>
      <c r="KG396" s="4" t="s">
        <v>323</v>
      </c>
      <c r="KP396" s="5" t="s">
        <v>358</v>
      </c>
      <c r="KQ396" s="5" t="s">
        <v>4270</v>
      </c>
      <c r="KR396" s="5" t="s">
        <v>4271</v>
      </c>
      <c r="KS396" s="5" t="s">
        <v>1039</v>
      </c>
      <c r="KT396" s="5" t="s">
        <v>4272</v>
      </c>
    </row>
    <row r="397" spans="1:306" ht="144" x14ac:dyDescent="0.25">
      <c r="A397" s="5" t="s">
        <v>4297</v>
      </c>
      <c r="B397" s="4" t="s">
        <v>383</v>
      </c>
      <c r="C397" s="7" t="s">
        <v>384</v>
      </c>
      <c r="D397" s="8" t="s">
        <v>801</v>
      </c>
      <c r="E397" s="4">
        <v>803948</v>
      </c>
      <c r="G397" s="4" t="s">
        <v>530</v>
      </c>
      <c r="H397" s="6">
        <v>131.82</v>
      </c>
      <c r="I397" s="6">
        <v>-13.32</v>
      </c>
      <c r="J397" s="4" t="s">
        <v>4298</v>
      </c>
      <c r="K397" s="4" t="s">
        <v>481</v>
      </c>
      <c r="L397" s="4" t="s">
        <v>532</v>
      </c>
      <c r="M397" s="4" t="s">
        <v>2483</v>
      </c>
      <c r="Q397" s="8"/>
      <c r="R397" s="8"/>
      <c r="Z397" s="4" t="s">
        <v>293</v>
      </c>
      <c r="AA397" s="7" t="s">
        <v>294</v>
      </c>
      <c r="AB397" s="8" t="s">
        <v>295</v>
      </c>
      <c r="AC397" s="4" t="s">
        <v>301</v>
      </c>
      <c r="AD397" s="4" t="s">
        <v>402</v>
      </c>
      <c r="AE397" s="8"/>
      <c r="AF397" s="8"/>
      <c r="AN397" s="4" t="s">
        <v>381</v>
      </c>
      <c r="AO397" s="4" t="s">
        <v>375</v>
      </c>
      <c r="AP397" s="4" t="s">
        <v>383</v>
      </c>
      <c r="AQ397" s="7" t="s">
        <v>384</v>
      </c>
      <c r="AR397" s="8" t="s">
        <v>801</v>
      </c>
      <c r="AS397" s="7">
        <v>0</v>
      </c>
      <c r="AT397" s="7">
        <v>0</v>
      </c>
      <c r="AU397" s="9" t="s">
        <v>303</v>
      </c>
      <c r="AV397" s="9" t="s">
        <v>406</v>
      </c>
      <c r="BA397" s="8">
        <v>5</v>
      </c>
      <c r="DZ397" s="31"/>
      <c r="FN397" s="9">
        <v>0.1236689</v>
      </c>
      <c r="GP397" s="32"/>
      <c r="GY397" s="6" t="s">
        <v>309</v>
      </c>
      <c r="GZ397" s="6" t="s">
        <v>639</v>
      </c>
      <c r="HC397" s="6" t="s">
        <v>311</v>
      </c>
      <c r="HD397" s="8" t="s">
        <v>3379</v>
      </c>
      <c r="HE397" s="8">
        <v>24105</v>
      </c>
      <c r="HF397" s="8" t="s">
        <v>4299</v>
      </c>
      <c r="HG397" s="9" t="s">
        <v>538</v>
      </c>
      <c r="IW397" s="8"/>
      <c r="JB397" s="8"/>
      <c r="JX397" s="7" t="s">
        <v>320</v>
      </c>
      <c r="KP397" s="5" t="s">
        <v>739</v>
      </c>
      <c r="KQ397" s="5" t="s">
        <v>2485</v>
      </c>
      <c r="KS397" s="5" t="s">
        <v>739</v>
      </c>
      <c r="KT397" s="5" t="s">
        <v>4300</v>
      </c>
    </row>
    <row r="398" spans="1:306" ht="84" x14ac:dyDescent="0.25">
      <c r="A398" s="5" t="s">
        <v>4477</v>
      </c>
      <c r="B398" s="4" t="s">
        <v>293</v>
      </c>
      <c r="C398" s="7" t="s">
        <v>294</v>
      </c>
      <c r="D398" s="8" t="s">
        <v>295</v>
      </c>
      <c r="E398" s="4">
        <v>334082</v>
      </c>
      <c r="G398" s="4" t="s">
        <v>479</v>
      </c>
      <c r="H398" s="6">
        <v>145.79529099999999</v>
      </c>
      <c r="I398" s="6">
        <v>-19.083863000000001</v>
      </c>
      <c r="J398" s="4" t="s">
        <v>4478</v>
      </c>
      <c r="K398" s="4" t="s">
        <v>298</v>
      </c>
      <c r="L398" s="4" t="s">
        <v>1018</v>
      </c>
      <c r="Q398" s="8"/>
      <c r="R398" s="8"/>
      <c r="Z398" s="4" t="s">
        <v>293</v>
      </c>
      <c r="AA398" s="7" t="s">
        <v>294</v>
      </c>
      <c r="AB398" s="8" t="s">
        <v>295</v>
      </c>
      <c r="AC398" s="4" t="s">
        <v>301</v>
      </c>
      <c r="AE398" s="8">
        <v>345</v>
      </c>
      <c r="AF398" s="8">
        <v>2</v>
      </c>
      <c r="AG398" s="9" t="s">
        <v>303</v>
      </c>
      <c r="AH398" s="9" t="s">
        <v>304</v>
      </c>
      <c r="AI398" s="9" t="s">
        <v>598</v>
      </c>
      <c r="AJ398" s="9" t="s">
        <v>599</v>
      </c>
      <c r="AK398" s="9" t="s">
        <v>600</v>
      </c>
      <c r="AM398" s="8">
        <v>5</v>
      </c>
      <c r="AN398" s="4" t="s">
        <v>381</v>
      </c>
      <c r="AO398" s="4" t="s">
        <v>402</v>
      </c>
      <c r="AP398" s="4" t="s">
        <v>383</v>
      </c>
      <c r="AQ398" s="7" t="s">
        <v>384</v>
      </c>
      <c r="AR398" s="8" t="s">
        <v>801</v>
      </c>
      <c r="AS398" s="7">
        <v>0</v>
      </c>
      <c r="AT398" s="7">
        <v>0</v>
      </c>
      <c r="AU398" s="9" t="s">
        <v>303</v>
      </c>
      <c r="AV398" s="9" t="s">
        <v>406</v>
      </c>
      <c r="BA398" s="8">
        <v>5</v>
      </c>
      <c r="DZ398" s="31"/>
      <c r="EY398" s="6"/>
      <c r="FA398" s="6"/>
      <c r="FN398" s="8">
        <v>5</v>
      </c>
      <c r="GP398" s="32"/>
      <c r="GY398" s="31" t="s">
        <v>407</v>
      </c>
      <c r="GZ398" s="6" t="s">
        <v>639</v>
      </c>
      <c r="HC398" s="6" t="s">
        <v>311</v>
      </c>
      <c r="HD398" s="8" t="s">
        <v>4479</v>
      </c>
      <c r="HE398" s="8">
        <v>15073</v>
      </c>
      <c r="HF398" s="8" t="s">
        <v>4480</v>
      </c>
      <c r="HG398" s="8" t="s">
        <v>4481</v>
      </c>
      <c r="HY398" s="9"/>
      <c r="IB398" s="8" t="s">
        <v>4482</v>
      </c>
      <c r="IC398" s="8">
        <v>23679</v>
      </c>
      <c r="ID398" s="8" t="s">
        <v>1608</v>
      </c>
      <c r="IE398" s="8" t="s">
        <v>1265</v>
      </c>
      <c r="IF398" s="8" t="s">
        <v>329</v>
      </c>
      <c r="IR398" s="9"/>
      <c r="JX398" s="7" t="s">
        <v>320</v>
      </c>
      <c r="JY398" s="7" t="s">
        <v>321</v>
      </c>
      <c r="JZ398" s="7" t="s">
        <v>738</v>
      </c>
      <c r="KG398" s="4" t="s">
        <v>323</v>
      </c>
      <c r="KP398" s="5" t="s">
        <v>358</v>
      </c>
      <c r="KQ398" s="5" t="s">
        <v>4483</v>
      </c>
      <c r="KR398" s="5" t="s">
        <v>1039</v>
      </c>
      <c r="KS398" s="5" t="s">
        <v>1136</v>
      </c>
      <c r="KT398" s="5" t="s">
        <v>4484</v>
      </c>
    </row>
    <row r="399" spans="1:306" ht="132" x14ac:dyDescent="0.25">
      <c r="A399" s="5" t="s">
        <v>5013</v>
      </c>
      <c r="B399" s="4" t="s">
        <v>293</v>
      </c>
      <c r="C399" s="7" t="s">
        <v>294</v>
      </c>
      <c r="D399" s="8" t="s">
        <v>295</v>
      </c>
      <c r="E399" s="4">
        <v>804640</v>
      </c>
      <c r="G399" s="4" t="s">
        <v>530</v>
      </c>
      <c r="H399" s="6">
        <v>132.79</v>
      </c>
      <c r="I399" s="6">
        <v>-14.48</v>
      </c>
      <c r="J399" s="4" t="s">
        <v>5014</v>
      </c>
      <c r="K399" s="4" t="s">
        <v>481</v>
      </c>
      <c r="L399" s="4" t="s">
        <v>532</v>
      </c>
      <c r="M399" s="4" t="s">
        <v>2483</v>
      </c>
      <c r="Q399" s="8"/>
      <c r="R399" s="8"/>
      <c r="Z399" s="4" t="s">
        <v>293</v>
      </c>
      <c r="AA399" s="7" t="s">
        <v>294</v>
      </c>
      <c r="AB399" s="8" t="s">
        <v>295</v>
      </c>
      <c r="AC399" s="4" t="s">
        <v>301</v>
      </c>
      <c r="AD399" s="4" t="s">
        <v>302</v>
      </c>
      <c r="AE399" s="8"/>
      <c r="AF399" s="8"/>
      <c r="DZ399" s="31"/>
      <c r="FN399" s="9">
        <v>1.0106209019999999</v>
      </c>
      <c r="GP399" s="32"/>
      <c r="GY399" s="6" t="s">
        <v>309</v>
      </c>
      <c r="GZ399" s="6" t="s">
        <v>639</v>
      </c>
      <c r="HC399" s="6" t="s">
        <v>311</v>
      </c>
      <c r="HD399" s="8" t="s">
        <v>5015</v>
      </c>
      <c r="HE399" s="8">
        <v>27070</v>
      </c>
      <c r="HF399" s="8" t="s">
        <v>5016</v>
      </c>
      <c r="HG399" s="9" t="s">
        <v>538</v>
      </c>
      <c r="IB399" s="8" t="s">
        <v>5017</v>
      </c>
      <c r="IC399" s="8">
        <v>26721</v>
      </c>
      <c r="ID399" s="8" t="s">
        <v>5018</v>
      </c>
      <c r="IE399" s="8" t="s">
        <v>538</v>
      </c>
      <c r="IF399" s="8" t="s">
        <v>329</v>
      </c>
      <c r="IG399" s="8" t="s">
        <v>5019</v>
      </c>
      <c r="IH399" s="8">
        <v>20978</v>
      </c>
      <c r="II399" s="8" t="s">
        <v>5020</v>
      </c>
      <c r="IJ399" s="8" t="s">
        <v>538</v>
      </c>
      <c r="IK399" s="8" t="s">
        <v>329</v>
      </c>
      <c r="IW399" s="8"/>
      <c r="JB399" s="8"/>
      <c r="JV399" s="7" t="s">
        <v>4151</v>
      </c>
      <c r="KG399" s="4" t="s">
        <v>323</v>
      </c>
      <c r="KP399" s="5" t="s">
        <v>739</v>
      </c>
      <c r="KQ399" s="5" t="s">
        <v>2485</v>
      </c>
      <c r="KS399" s="5" t="s">
        <v>739</v>
      </c>
      <c r="KT399" s="14" t="s">
        <v>5021</v>
      </c>
    </row>
    <row r="400" spans="1:306" ht="132" x14ac:dyDescent="0.2">
      <c r="A400" s="5" t="s">
        <v>5936</v>
      </c>
      <c r="B400" s="4" t="s">
        <v>383</v>
      </c>
      <c r="C400" s="7" t="s">
        <v>384</v>
      </c>
      <c r="D400" s="8" t="s">
        <v>801</v>
      </c>
      <c r="E400" s="44">
        <v>861549</v>
      </c>
      <c r="G400" s="4" t="s">
        <v>530</v>
      </c>
      <c r="H400" s="6">
        <v>132.13999999999999</v>
      </c>
      <c r="I400" s="6">
        <v>-14.13</v>
      </c>
      <c r="J400" s="4" t="s">
        <v>5931</v>
      </c>
      <c r="K400" s="4" t="s">
        <v>481</v>
      </c>
      <c r="L400" s="4" t="s">
        <v>532</v>
      </c>
      <c r="M400" s="4" t="s">
        <v>2483</v>
      </c>
      <c r="Q400" s="8"/>
      <c r="R400" s="8"/>
      <c r="Z400" s="4" t="s">
        <v>293</v>
      </c>
      <c r="AA400" s="7" t="s">
        <v>294</v>
      </c>
      <c r="AB400" s="8" t="s">
        <v>295</v>
      </c>
      <c r="AC400" s="4" t="s">
        <v>301</v>
      </c>
      <c r="AD400" s="4" t="s">
        <v>402</v>
      </c>
      <c r="AE400" s="8"/>
      <c r="AF400" s="8"/>
      <c r="AM400" s="8">
        <v>5</v>
      </c>
      <c r="AN400" s="4" t="s">
        <v>381</v>
      </c>
      <c r="AO400" s="4" t="s">
        <v>375</v>
      </c>
      <c r="AP400" s="4" t="s">
        <v>383</v>
      </c>
      <c r="AQ400" s="7" t="s">
        <v>384</v>
      </c>
      <c r="AR400" s="8" t="s">
        <v>801</v>
      </c>
      <c r="AS400" s="8">
        <v>0</v>
      </c>
      <c r="AT400" s="8">
        <v>0</v>
      </c>
      <c r="AU400" s="9" t="s">
        <v>303</v>
      </c>
      <c r="AV400" s="9" t="s">
        <v>406</v>
      </c>
      <c r="BA400" s="8">
        <v>5</v>
      </c>
      <c r="DZ400" s="31"/>
      <c r="FN400" s="9">
        <v>0.141786</v>
      </c>
      <c r="GP400" s="32"/>
      <c r="GY400" s="31" t="s">
        <v>407</v>
      </c>
      <c r="GZ400" s="6" t="s">
        <v>639</v>
      </c>
      <c r="HC400" s="6" t="s">
        <v>311</v>
      </c>
      <c r="HD400" s="8" t="s">
        <v>5015</v>
      </c>
      <c r="HE400" s="8">
        <v>27070</v>
      </c>
      <c r="HF400" s="8" t="s">
        <v>5016</v>
      </c>
      <c r="HG400" s="9" t="s">
        <v>538</v>
      </c>
      <c r="IW400" s="8"/>
      <c r="JB400" s="8"/>
      <c r="KP400" s="5" t="s">
        <v>586</v>
      </c>
      <c r="KQ400" s="5" t="s">
        <v>5937</v>
      </c>
      <c r="KS400" s="5" t="s">
        <v>586</v>
      </c>
      <c r="KT400" s="5" t="s">
        <v>5938</v>
      </c>
    </row>
    <row r="401" spans="1:306" ht="96" x14ac:dyDescent="0.25">
      <c r="A401" s="5" t="s">
        <v>5983</v>
      </c>
      <c r="B401" s="4" t="s">
        <v>293</v>
      </c>
      <c r="C401" s="7" t="s">
        <v>294</v>
      </c>
      <c r="D401" s="8" t="s">
        <v>295</v>
      </c>
      <c r="E401" s="4">
        <v>334824</v>
      </c>
      <c r="G401" s="4" t="s">
        <v>530</v>
      </c>
      <c r="H401" s="6">
        <v>131.71299999999999</v>
      </c>
      <c r="I401" s="6">
        <v>-13.499599999999999</v>
      </c>
      <c r="K401" s="4" t="s">
        <v>481</v>
      </c>
      <c r="L401" s="4" t="s">
        <v>532</v>
      </c>
      <c r="M401" s="4" t="s">
        <v>2483</v>
      </c>
      <c r="Q401" s="8"/>
      <c r="R401" s="8"/>
      <c r="Z401" s="4" t="s">
        <v>293</v>
      </c>
      <c r="AA401" s="7" t="s">
        <v>294</v>
      </c>
      <c r="AB401" s="8" t="s">
        <v>295</v>
      </c>
      <c r="AC401" s="4" t="s">
        <v>301</v>
      </c>
      <c r="AD401" s="4" t="s">
        <v>375</v>
      </c>
      <c r="AE401" s="8"/>
      <c r="AF401" s="8"/>
      <c r="AN401" s="4" t="s">
        <v>381</v>
      </c>
      <c r="AO401" s="4" t="s">
        <v>382</v>
      </c>
      <c r="AP401" s="4" t="s">
        <v>383</v>
      </c>
      <c r="AQ401" s="7" t="s">
        <v>384</v>
      </c>
      <c r="AR401" s="8" t="s">
        <v>801</v>
      </c>
      <c r="AS401" s="7">
        <v>0</v>
      </c>
      <c r="AT401" s="7">
        <v>0</v>
      </c>
      <c r="AU401" s="9" t="s">
        <v>303</v>
      </c>
      <c r="AV401" s="9" t="s">
        <v>406</v>
      </c>
      <c r="BA401" s="8">
        <v>5</v>
      </c>
      <c r="DZ401" s="31"/>
      <c r="EH401" s="16">
        <f>0.41*0.21/100</f>
        <v>8.61E-4</v>
      </c>
      <c r="FN401" s="6">
        <f>1690/1.2696/1000+1000*0.41*0.74/100</f>
        <v>4.3651279143037174</v>
      </c>
      <c r="GP401" s="32"/>
      <c r="GY401" s="6" t="s">
        <v>435</v>
      </c>
      <c r="GZ401" s="6" t="s">
        <v>639</v>
      </c>
      <c r="HB401" s="6" t="s">
        <v>994</v>
      </c>
      <c r="HC401" s="6" t="s">
        <v>311</v>
      </c>
      <c r="HD401" s="8" t="s">
        <v>536</v>
      </c>
      <c r="HE401" s="8">
        <v>3134</v>
      </c>
      <c r="HF401" s="8" t="s">
        <v>537</v>
      </c>
      <c r="HG401" s="9" t="s">
        <v>538</v>
      </c>
      <c r="ID401" s="8" t="s">
        <v>5984</v>
      </c>
      <c r="IE401" s="8" t="s">
        <v>538</v>
      </c>
      <c r="IF401" s="8" t="s">
        <v>445</v>
      </c>
      <c r="IW401" s="8"/>
      <c r="JB401" s="8"/>
      <c r="JV401" s="7" t="s">
        <v>5985</v>
      </c>
      <c r="JX401" s="7" t="s">
        <v>320</v>
      </c>
      <c r="JY401" s="7" t="s">
        <v>470</v>
      </c>
      <c r="JZ401" s="7" t="s">
        <v>322</v>
      </c>
      <c r="KG401" s="4" t="s">
        <v>323</v>
      </c>
      <c r="KP401" s="5" t="s">
        <v>358</v>
      </c>
      <c r="KQ401" s="5" t="s">
        <v>2485</v>
      </c>
      <c r="KS401" s="5" t="s">
        <v>5986</v>
      </c>
      <c r="KT401" s="14" t="s">
        <v>5987</v>
      </c>
    </row>
    <row r="402" spans="1:306" ht="96" x14ac:dyDescent="0.25">
      <c r="A402" s="14" t="s">
        <v>6759</v>
      </c>
      <c r="B402" s="29" t="s">
        <v>293</v>
      </c>
      <c r="C402" s="30" t="s">
        <v>294</v>
      </c>
      <c r="D402" s="26" t="s">
        <v>295</v>
      </c>
      <c r="E402" s="29">
        <v>334980</v>
      </c>
      <c r="F402" s="29"/>
      <c r="G402" s="29" t="s">
        <v>296</v>
      </c>
      <c r="H402" s="31">
        <v>145.321077304</v>
      </c>
      <c r="I402" s="31">
        <v>-41.883461574999998</v>
      </c>
      <c r="J402" s="29" t="s">
        <v>966</v>
      </c>
      <c r="K402" s="29" t="s">
        <v>298</v>
      </c>
      <c r="L402" s="29" t="s">
        <v>400</v>
      </c>
      <c r="M402" s="29" t="s">
        <v>401</v>
      </c>
      <c r="N402" s="29"/>
      <c r="O402" s="26"/>
      <c r="P402" s="29"/>
      <c r="Q402" s="30"/>
      <c r="R402" s="30"/>
      <c r="S402" s="27"/>
      <c r="T402" s="27"/>
      <c r="U402" s="27"/>
      <c r="V402" s="27"/>
      <c r="W402" s="27"/>
      <c r="X402" s="27"/>
      <c r="Y402" s="26"/>
      <c r="Z402" s="29" t="s">
        <v>293</v>
      </c>
      <c r="AA402" s="30" t="s">
        <v>294</v>
      </c>
      <c r="AB402" s="26" t="s">
        <v>295</v>
      </c>
      <c r="AC402" s="29" t="s">
        <v>301</v>
      </c>
      <c r="AD402" s="29" t="s">
        <v>375</v>
      </c>
      <c r="AE402" s="30">
        <v>360.9</v>
      </c>
      <c r="AF402" s="30">
        <v>1.9</v>
      </c>
      <c r="AG402" s="27" t="s">
        <v>379</v>
      </c>
      <c r="AH402" s="27" t="s">
        <v>483</v>
      </c>
      <c r="AI402" s="27" t="s">
        <v>373</v>
      </c>
      <c r="AJ402" s="27" t="s">
        <v>306</v>
      </c>
      <c r="AK402" s="27" t="s">
        <v>307</v>
      </c>
      <c r="AL402" s="27" t="s">
        <v>337</v>
      </c>
      <c r="AM402" s="26">
        <v>4</v>
      </c>
      <c r="AN402" s="29" t="s">
        <v>301</v>
      </c>
      <c r="AO402" s="29" t="s">
        <v>382</v>
      </c>
      <c r="AP402" s="29" t="s">
        <v>293</v>
      </c>
      <c r="AQ402" s="30" t="s">
        <v>896</v>
      </c>
      <c r="AR402" s="26" t="s">
        <v>2673</v>
      </c>
      <c r="AS402" s="30">
        <v>360.9</v>
      </c>
      <c r="AT402" s="30">
        <v>1.9</v>
      </c>
      <c r="AU402" s="27" t="s">
        <v>379</v>
      </c>
      <c r="AV402" s="27" t="s">
        <v>483</v>
      </c>
      <c r="AW402" s="27" t="s">
        <v>373</v>
      </c>
      <c r="AX402" s="27" t="s">
        <v>306</v>
      </c>
      <c r="AY402" s="27" t="s">
        <v>307</v>
      </c>
      <c r="AZ402" s="27" t="s">
        <v>337</v>
      </c>
      <c r="BA402" s="26">
        <v>3</v>
      </c>
      <c r="BB402" s="29"/>
      <c r="BC402" s="29"/>
      <c r="BD402" s="29"/>
      <c r="BE402" s="30"/>
      <c r="BF402" s="26"/>
      <c r="BG402" s="27"/>
      <c r="BH402" s="27"/>
      <c r="BI402" s="27"/>
      <c r="BJ402" s="27"/>
      <c r="BK402" s="27"/>
      <c r="BL402" s="27"/>
      <c r="BM402" s="27"/>
      <c r="BN402" s="27"/>
      <c r="BO402" s="26"/>
      <c r="BP402" s="30">
        <v>7.48</v>
      </c>
      <c r="BQ402" s="31"/>
      <c r="BR402" s="31">
        <v>0.06</v>
      </c>
      <c r="BS402" s="31">
        <v>0.25</v>
      </c>
      <c r="BT402" s="31">
        <v>0.25</v>
      </c>
      <c r="BU402" s="26"/>
      <c r="BV402" s="31"/>
      <c r="BW402" s="31"/>
      <c r="BX402" s="31"/>
      <c r="BY402" s="31"/>
      <c r="BZ402" s="31"/>
      <c r="CA402" s="31"/>
      <c r="CB402" s="31"/>
      <c r="CC402" s="31"/>
      <c r="CD402" s="31"/>
      <c r="CE402" s="31"/>
      <c r="CF402" s="31"/>
      <c r="CG402" s="31"/>
      <c r="CH402" s="31"/>
      <c r="CI402" s="31"/>
      <c r="CJ402" s="31"/>
      <c r="CK402" s="31"/>
      <c r="CL402" s="31"/>
      <c r="CM402" s="31"/>
      <c r="CN402" s="31"/>
      <c r="CO402" s="31"/>
      <c r="CP402" s="31"/>
      <c r="CQ402" s="31"/>
      <c r="CR402" s="31"/>
      <c r="CS402" s="31"/>
      <c r="CT402" s="31"/>
      <c r="CU402" s="31"/>
      <c r="CV402" s="31"/>
      <c r="CW402" s="31"/>
      <c r="CX402" s="31"/>
      <c r="CY402" s="31">
        <v>1.04</v>
      </c>
      <c r="CZ402" s="31"/>
      <c r="DA402" s="31"/>
      <c r="DB402" s="31"/>
      <c r="DC402" s="31"/>
      <c r="DD402" s="31"/>
      <c r="DE402" s="31"/>
      <c r="DF402" s="31"/>
      <c r="DG402" s="31"/>
      <c r="DH402" s="31"/>
      <c r="DI402" s="31"/>
      <c r="DJ402" s="31"/>
      <c r="DK402" s="31"/>
      <c r="DL402" s="31"/>
      <c r="DM402" s="31"/>
      <c r="DN402" s="31"/>
      <c r="DO402" s="31"/>
      <c r="DP402" s="31"/>
      <c r="DQ402" s="31"/>
      <c r="DR402" s="31"/>
      <c r="DS402" s="31"/>
      <c r="DT402" s="31"/>
      <c r="DU402" s="31"/>
      <c r="DV402" s="31"/>
      <c r="DW402" s="31"/>
      <c r="DX402" s="31"/>
      <c r="DY402" s="31"/>
      <c r="DZ402" s="31"/>
      <c r="EA402" s="31"/>
      <c r="EB402" s="31"/>
      <c r="EC402" s="31"/>
      <c r="ED402" s="31"/>
      <c r="EE402" s="31"/>
      <c r="EF402" s="31"/>
      <c r="EG402" s="31"/>
      <c r="EH402" s="32">
        <f>BP402*BR402/100</f>
        <v>4.4880000000000007E-3</v>
      </c>
      <c r="EI402" s="32">
        <f>BP402*BS402/100</f>
        <v>1.8700000000000001E-2</v>
      </c>
      <c r="EJ402" s="32">
        <f>BP402*BT402/100</f>
        <v>1.8700000000000001E-2</v>
      </c>
      <c r="EK402" s="32"/>
      <c r="EL402" s="31"/>
      <c r="EM402" s="31"/>
      <c r="EN402" s="31"/>
      <c r="EO402" s="31"/>
      <c r="EP402" s="31"/>
      <c r="EQ402" s="31"/>
      <c r="ER402" s="31"/>
      <c r="ES402" s="31"/>
      <c r="ET402" s="31"/>
      <c r="EU402" s="31"/>
      <c r="EV402" s="31"/>
      <c r="EW402" s="31"/>
      <c r="EX402" s="31"/>
      <c r="EY402" s="31"/>
      <c r="EZ402" s="31"/>
      <c r="FA402" s="31"/>
      <c r="FB402" s="31"/>
      <c r="FC402" s="31"/>
      <c r="FD402" s="31"/>
      <c r="FE402" s="31"/>
      <c r="FF402" s="31"/>
      <c r="FG402" s="31"/>
      <c r="FH402" s="31"/>
      <c r="FI402" s="31"/>
      <c r="FJ402" s="31"/>
      <c r="FK402" s="31"/>
      <c r="FL402" s="31"/>
      <c r="FM402" s="31"/>
      <c r="FN402" s="26">
        <f>1000*BP402*CY402/100</f>
        <v>77.792000000000002</v>
      </c>
      <c r="FO402" s="31"/>
      <c r="FP402" s="31"/>
      <c r="FQ402" s="31"/>
      <c r="FR402" s="31"/>
      <c r="FS402" s="31"/>
      <c r="FT402" s="31"/>
      <c r="FU402" s="31"/>
      <c r="FV402" s="31"/>
      <c r="FW402" s="31"/>
      <c r="FX402" s="31"/>
      <c r="FY402" s="31"/>
      <c r="FZ402" s="31"/>
      <c r="GA402" s="31"/>
      <c r="GB402" s="31"/>
      <c r="GC402" s="31"/>
      <c r="GD402" s="31"/>
      <c r="GE402" s="31"/>
      <c r="GF402" s="31"/>
      <c r="GG402" s="31"/>
      <c r="GH402" s="31"/>
      <c r="GI402" s="31"/>
      <c r="GJ402" s="31"/>
      <c r="GK402" s="31"/>
      <c r="GL402" s="31"/>
      <c r="GM402" s="31"/>
      <c r="GN402" s="31"/>
      <c r="GO402" s="31"/>
      <c r="GP402" s="32"/>
      <c r="GQ402" s="31"/>
      <c r="GR402" s="31"/>
      <c r="GS402" s="31"/>
      <c r="GT402" s="31"/>
      <c r="GU402" s="31"/>
      <c r="GV402" s="31"/>
      <c r="GW402" s="31"/>
      <c r="GX402" s="31"/>
      <c r="GY402" s="31" t="s">
        <v>338</v>
      </c>
      <c r="GZ402" s="31" t="s">
        <v>639</v>
      </c>
      <c r="HA402" s="31"/>
      <c r="HB402" s="31" t="s">
        <v>6760</v>
      </c>
      <c r="HC402" s="31" t="s">
        <v>311</v>
      </c>
      <c r="HD402" s="26" t="s">
        <v>6761</v>
      </c>
      <c r="HE402" s="26"/>
      <c r="HF402" s="26" t="s">
        <v>6762</v>
      </c>
      <c r="HG402" s="27" t="s">
        <v>4612</v>
      </c>
      <c r="HH402" s="27" t="s">
        <v>5741</v>
      </c>
      <c r="HI402" s="26">
        <v>4898</v>
      </c>
      <c r="HJ402" s="27" t="s">
        <v>6763</v>
      </c>
      <c r="HK402" s="27" t="s">
        <v>4612</v>
      </c>
      <c r="HL402" s="27" t="s">
        <v>2865</v>
      </c>
      <c r="HM402" s="26">
        <v>14603</v>
      </c>
      <c r="HN402" s="26" t="s">
        <v>6764</v>
      </c>
      <c r="HO402" s="27" t="s">
        <v>2867</v>
      </c>
      <c r="HP402" s="27"/>
      <c r="HQ402" s="27"/>
      <c r="HR402" s="27"/>
      <c r="HS402" s="27"/>
      <c r="HT402" s="27"/>
      <c r="HU402" s="27"/>
      <c r="HV402" s="27"/>
      <c r="HW402" s="27"/>
      <c r="HX402" s="27"/>
      <c r="HY402" s="27"/>
      <c r="HZ402" s="27"/>
      <c r="IA402" s="27"/>
      <c r="IB402" s="26" t="s">
        <v>971</v>
      </c>
      <c r="IC402" s="26">
        <v>75564</v>
      </c>
      <c r="ID402" s="26" t="s">
        <v>972</v>
      </c>
      <c r="IE402" s="26" t="s">
        <v>318</v>
      </c>
      <c r="IF402" s="26" t="s">
        <v>319</v>
      </c>
      <c r="IG402" s="26"/>
      <c r="IH402" s="26"/>
      <c r="II402" s="26"/>
      <c r="IJ402" s="26"/>
      <c r="IK402" s="26"/>
      <c r="IL402" s="27"/>
      <c r="IM402" s="27"/>
      <c r="IN402" s="27"/>
      <c r="IO402" s="27"/>
      <c r="IP402" s="27"/>
      <c r="IQ402" s="27"/>
      <c r="IR402" s="27"/>
      <c r="IS402" s="27"/>
      <c r="IT402" s="27"/>
      <c r="IU402" s="27"/>
      <c r="IV402" s="27"/>
      <c r="IW402" s="27"/>
      <c r="IX402" s="27"/>
      <c r="IY402" s="27"/>
      <c r="IZ402" s="27"/>
      <c r="JA402" s="27"/>
      <c r="JB402" s="27"/>
      <c r="JC402" s="27"/>
      <c r="JD402" s="27"/>
      <c r="JE402" s="27"/>
      <c r="JF402" s="27"/>
      <c r="JG402" s="27"/>
      <c r="JH402" s="27"/>
      <c r="JI402" s="27"/>
      <c r="JJ402" s="27"/>
      <c r="JK402" s="27"/>
      <c r="JL402" s="27"/>
      <c r="JM402" s="27"/>
      <c r="JN402" s="27"/>
      <c r="JO402" s="27"/>
      <c r="JP402" s="27"/>
      <c r="JQ402" s="27"/>
      <c r="JR402" s="27"/>
      <c r="JS402" s="27"/>
      <c r="JT402" s="27"/>
      <c r="JU402" s="30"/>
      <c r="JV402" s="30"/>
      <c r="JW402" s="30"/>
      <c r="JX402" s="30" t="s">
        <v>320</v>
      </c>
      <c r="JY402" s="30" t="s">
        <v>354</v>
      </c>
      <c r="JZ402" s="30" t="s">
        <v>322</v>
      </c>
      <c r="KA402" s="30"/>
      <c r="KB402" s="30"/>
      <c r="KC402" s="30"/>
      <c r="KD402" s="30"/>
      <c r="KE402" s="30"/>
      <c r="KF402" s="30"/>
      <c r="KG402" s="29" t="s">
        <v>323</v>
      </c>
      <c r="KH402" s="29"/>
      <c r="KI402" s="29"/>
      <c r="KJ402" s="29"/>
      <c r="KK402" s="29"/>
      <c r="KL402" s="29"/>
      <c r="KM402" s="29"/>
      <c r="KN402" s="29"/>
      <c r="KO402" s="29"/>
      <c r="KP402" s="14" t="s">
        <v>324</v>
      </c>
      <c r="KQ402" s="14" t="s">
        <v>6765</v>
      </c>
      <c r="KR402" s="14" t="s">
        <v>3271</v>
      </c>
      <c r="KS402" s="14" t="s">
        <v>6766</v>
      </c>
      <c r="KT402" s="14" t="s">
        <v>6767</v>
      </c>
    </row>
    <row r="403" spans="1:306" ht="132" x14ac:dyDescent="0.25">
      <c r="A403" s="18" t="s">
        <v>7124</v>
      </c>
      <c r="B403" s="29" t="s">
        <v>293</v>
      </c>
      <c r="C403" s="30" t="s">
        <v>294</v>
      </c>
      <c r="D403" s="26" t="s">
        <v>295</v>
      </c>
      <c r="E403" s="29">
        <v>335565</v>
      </c>
      <c r="F403" s="29"/>
      <c r="G403" s="29" t="s">
        <v>296</v>
      </c>
      <c r="H403" s="31">
        <v>146.08088939699999</v>
      </c>
      <c r="I403" s="31">
        <v>-41.490614891</v>
      </c>
      <c r="J403" s="29" t="s">
        <v>2780</v>
      </c>
      <c r="K403" s="29" t="s">
        <v>298</v>
      </c>
      <c r="L403" s="29" t="s">
        <v>400</v>
      </c>
      <c r="M403" s="29" t="s">
        <v>401</v>
      </c>
      <c r="N403" s="29"/>
      <c r="O403" s="26"/>
      <c r="P403" s="29"/>
      <c r="Q403" s="26"/>
      <c r="R403" s="30"/>
      <c r="S403" s="27"/>
      <c r="T403" s="27"/>
      <c r="U403" s="27"/>
      <c r="V403" s="27"/>
      <c r="W403" s="27"/>
      <c r="X403" s="27"/>
      <c r="Y403" s="26"/>
      <c r="Z403" s="29" t="s">
        <v>293</v>
      </c>
      <c r="AA403" s="30" t="s">
        <v>294</v>
      </c>
      <c r="AB403" s="26" t="s">
        <v>295</v>
      </c>
      <c r="AC403" s="29" t="s">
        <v>301</v>
      </c>
      <c r="AD403" s="29" t="s">
        <v>302</v>
      </c>
      <c r="AE403" s="26">
        <v>383</v>
      </c>
      <c r="AF403" s="30"/>
      <c r="AG403" s="27" t="s">
        <v>379</v>
      </c>
      <c r="AH403" s="27" t="s">
        <v>1156</v>
      </c>
      <c r="AI403" s="27"/>
      <c r="AJ403" s="27"/>
      <c r="AK403" s="27"/>
      <c r="AL403" s="27"/>
      <c r="AM403" s="26">
        <v>3</v>
      </c>
      <c r="AN403" s="29"/>
      <c r="AO403" s="29"/>
      <c r="AP403" s="29"/>
      <c r="AQ403" s="30"/>
      <c r="AR403" s="26"/>
      <c r="AS403" s="27"/>
      <c r="AT403" s="27"/>
      <c r="AU403" s="27"/>
      <c r="AV403" s="27"/>
      <c r="AW403" s="27"/>
      <c r="AX403" s="27"/>
      <c r="AY403" s="27"/>
      <c r="AZ403" s="27"/>
      <c r="BA403" s="26"/>
      <c r="BB403" s="29"/>
      <c r="BC403" s="29"/>
      <c r="BD403" s="29"/>
      <c r="BE403" s="30"/>
      <c r="BF403" s="26"/>
      <c r="BG403" s="27"/>
      <c r="BH403" s="27"/>
      <c r="BI403" s="27"/>
      <c r="BJ403" s="27"/>
      <c r="BK403" s="27"/>
      <c r="BL403" s="27"/>
      <c r="BM403" s="27"/>
      <c r="BN403" s="27"/>
      <c r="BO403" s="26"/>
      <c r="BP403" s="30">
        <v>0.28000000000000003</v>
      </c>
      <c r="BQ403" s="31"/>
      <c r="BR403" s="31"/>
      <c r="BS403" s="31"/>
      <c r="BT403" s="31"/>
      <c r="BU403" s="26"/>
      <c r="BV403" s="31"/>
      <c r="BW403" s="31"/>
      <c r="BX403" s="31"/>
      <c r="BY403" s="31"/>
      <c r="BZ403" s="31"/>
      <c r="CA403" s="31"/>
      <c r="CB403" s="31"/>
      <c r="CC403" s="31"/>
      <c r="CD403" s="31"/>
      <c r="CE403" s="31"/>
      <c r="CF403" s="31"/>
      <c r="CG403" s="31"/>
      <c r="CH403" s="31"/>
      <c r="CI403" s="31"/>
      <c r="CJ403" s="31"/>
      <c r="CK403" s="31"/>
      <c r="CL403" s="31"/>
      <c r="CM403" s="31"/>
      <c r="CN403" s="31"/>
      <c r="CO403" s="31"/>
      <c r="CP403" s="31"/>
      <c r="CQ403" s="31"/>
      <c r="CR403" s="31"/>
      <c r="CS403" s="31"/>
      <c r="CT403" s="31"/>
      <c r="CU403" s="31"/>
      <c r="CV403" s="31"/>
      <c r="CW403" s="31"/>
      <c r="CX403" s="31"/>
      <c r="CY403" s="30">
        <v>0.2</v>
      </c>
      <c r="CZ403" s="31"/>
      <c r="DA403" s="31"/>
      <c r="DB403" s="31"/>
      <c r="DC403" s="31"/>
      <c r="DD403" s="31"/>
      <c r="DE403" s="31">
        <v>0.18</v>
      </c>
      <c r="DF403" s="31"/>
      <c r="DG403" s="31"/>
      <c r="DH403" s="31"/>
      <c r="DI403" s="31"/>
      <c r="DJ403" s="31"/>
      <c r="DK403" s="31"/>
      <c r="DL403" s="31"/>
      <c r="DM403" s="31"/>
      <c r="DN403" s="31"/>
      <c r="DO403" s="31"/>
      <c r="DP403" s="31"/>
      <c r="DQ403" s="31"/>
      <c r="DR403" s="31"/>
      <c r="DS403" s="31"/>
      <c r="DT403" s="31"/>
      <c r="DU403" s="31"/>
      <c r="DV403" s="31"/>
      <c r="DW403" s="31"/>
      <c r="DX403" s="31"/>
      <c r="DY403" s="31"/>
      <c r="DZ403" s="31"/>
      <c r="EA403" s="31"/>
      <c r="EB403" s="31"/>
      <c r="EC403" s="31"/>
      <c r="ED403" s="31"/>
      <c r="EE403" s="31"/>
      <c r="EF403" s="31"/>
      <c r="EG403" s="31"/>
      <c r="EH403" s="32"/>
      <c r="EI403" s="32"/>
      <c r="EJ403" s="32"/>
      <c r="EK403" s="32"/>
      <c r="EL403" s="31"/>
      <c r="EM403" s="31"/>
      <c r="EN403" s="31"/>
      <c r="EO403" s="31"/>
      <c r="EP403" s="31"/>
      <c r="EQ403" s="31"/>
      <c r="ER403" s="31"/>
      <c r="ES403" s="31"/>
      <c r="ET403" s="31"/>
      <c r="EU403" s="31"/>
      <c r="EV403" s="31"/>
      <c r="EW403" s="31"/>
      <c r="EX403" s="31"/>
      <c r="EY403" s="31"/>
      <c r="EZ403" s="31"/>
      <c r="FA403" s="31"/>
      <c r="FB403" s="31"/>
      <c r="FC403" s="31"/>
      <c r="FD403" s="31"/>
      <c r="FE403" s="31"/>
      <c r="FF403" s="31"/>
      <c r="FG403" s="31"/>
      <c r="FH403" s="31"/>
      <c r="FI403" s="31"/>
      <c r="FJ403" s="31"/>
      <c r="FK403" s="31"/>
      <c r="FL403" s="31"/>
      <c r="FM403" s="31"/>
      <c r="FN403" s="30">
        <f>1000*BP403*CY403/100</f>
        <v>0.56000000000000005</v>
      </c>
      <c r="FO403" s="31"/>
      <c r="FP403" s="31"/>
      <c r="FQ403" s="31"/>
      <c r="FR403" s="31"/>
      <c r="FS403" s="31"/>
      <c r="FT403" s="31">
        <f>1000*BP403*DE403/100</f>
        <v>0.504</v>
      </c>
      <c r="FU403" s="31"/>
      <c r="FV403" s="31"/>
      <c r="FW403" s="31"/>
      <c r="FX403" s="31"/>
      <c r="FY403" s="31"/>
      <c r="FZ403" s="27">
        <v>6.8596000000000004E-2</v>
      </c>
      <c r="GA403" s="31"/>
      <c r="GB403" s="31"/>
      <c r="GC403" s="31"/>
      <c r="GD403" s="31"/>
      <c r="GE403" s="31"/>
      <c r="GF403" s="31"/>
      <c r="GG403" s="31"/>
      <c r="GH403" s="31"/>
      <c r="GI403" s="31"/>
      <c r="GJ403" s="31"/>
      <c r="GK403" s="31"/>
      <c r="GL403" s="31"/>
      <c r="GM403" s="31"/>
      <c r="GN403" s="31"/>
      <c r="GO403" s="31"/>
      <c r="GP403" s="32"/>
      <c r="GQ403" s="31"/>
      <c r="GR403" s="31"/>
      <c r="GS403" s="31"/>
      <c r="GT403" s="31"/>
      <c r="GU403" s="31"/>
      <c r="GV403" s="31"/>
      <c r="GW403" s="31"/>
      <c r="GX403" s="31"/>
      <c r="GY403" s="31" t="s">
        <v>309</v>
      </c>
      <c r="GZ403" s="31" t="s">
        <v>310</v>
      </c>
      <c r="HA403" s="31"/>
      <c r="HB403" s="31" t="s">
        <v>1022</v>
      </c>
      <c r="HC403" s="31" t="s">
        <v>311</v>
      </c>
      <c r="HD403" s="26" t="s">
        <v>2781</v>
      </c>
      <c r="HE403" s="26">
        <v>27837</v>
      </c>
      <c r="HF403" s="26" t="s">
        <v>2782</v>
      </c>
      <c r="HG403" s="27" t="s">
        <v>2783</v>
      </c>
      <c r="HH403" s="27" t="s">
        <v>3744</v>
      </c>
      <c r="HI403" s="26">
        <v>7586</v>
      </c>
      <c r="HJ403" s="27" t="s">
        <v>4522</v>
      </c>
      <c r="HK403" s="27" t="s">
        <v>4523</v>
      </c>
      <c r="HL403" s="27"/>
      <c r="HM403" s="26"/>
      <c r="HN403" s="27"/>
      <c r="HO403" s="27"/>
      <c r="HP403" s="27"/>
      <c r="HQ403" s="27"/>
      <c r="HR403" s="27"/>
      <c r="HS403" s="27"/>
      <c r="HT403" s="27"/>
      <c r="HU403" s="27"/>
      <c r="HV403" s="27"/>
      <c r="HW403" s="27"/>
      <c r="HX403" s="27"/>
      <c r="HY403" s="27"/>
      <c r="HZ403" s="27"/>
      <c r="IA403" s="27"/>
      <c r="IB403" s="26" t="s">
        <v>2784</v>
      </c>
      <c r="IC403" s="26">
        <v>5570</v>
      </c>
      <c r="ID403" s="26" t="s">
        <v>2785</v>
      </c>
      <c r="IE403" s="26" t="s">
        <v>2787</v>
      </c>
      <c r="IF403" s="26" t="s">
        <v>319</v>
      </c>
      <c r="IG403" s="26"/>
      <c r="IH403" s="26"/>
      <c r="II403" s="26"/>
      <c r="IJ403" s="26"/>
      <c r="IK403" s="26"/>
      <c r="IL403" s="27"/>
      <c r="IM403" s="27"/>
      <c r="IN403" s="27"/>
      <c r="IO403" s="27"/>
      <c r="IP403" s="27"/>
      <c r="IQ403" s="27"/>
      <c r="IR403" s="27"/>
      <c r="IS403" s="27"/>
      <c r="IT403" s="27"/>
      <c r="IU403" s="27"/>
      <c r="IV403" s="27"/>
      <c r="IW403" s="27"/>
      <c r="IX403" s="27"/>
      <c r="IY403" s="27"/>
      <c r="IZ403" s="27"/>
      <c r="JA403" s="27"/>
      <c r="JB403" s="27"/>
      <c r="JC403" s="27"/>
      <c r="JD403" s="27"/>
      <c r="JE403" s="27"/>
      <c r="JF403" s="27"/>
      <c r="JG403" s="27"/>
      <c r="JH403" s="27"/>
      <c r="JI403" s="27"/>
      <c r="JJ403" s="27"/>
      <c r="JK403" s="27"/>
      <c r="JL403" s="27"/>
      <c r="JM403" s="27"/>
      <c r="JN403" s="27"/>
      <c r="JO403" s="27"/>
      <c r="JP403" s="27"/>
      <c r="JQ403" s="27"/>
      <c r="JR403" s="27"/>
      <c r="JS403" s="27"/>
      <c r="JT403" s="27"/>
      <c r="JU403" s="30"/>
      <c r="JV403" s="30" t="s">
        <v>7125</v>
      </c>
      <c r="JW403" s="30"/>
      <c r="JX403" s="30" t="s">
        <v>320</v>
      </c>
      <c r="JY403" s="30" t="s">
        <v>321</v>
      </c>
      <c r="JZ403" s="30" t="s">
        <v>353</v>
      </c>
      <c r="KA403" s="30" t="s">
        <v>321</v>
      </c>
      <c r="KB403" s="30" t="s">
        <v>322</v>
      </c>
      <c r="KC403" s="30" t="s">
        <v>321</v>
      </c>
      <c r="KD403" s="30" t="s">
        <v>738</v>
      </c>
      <c r="KE403" s="30"/>
      <c r="KF403" s="30"/>
      <c r="KG403" s="29" t="s">
        <v>323</v>
      </c>
      <c r="KH403" s="29"/>
      <c r="KI403" s="29"/>
      <c r="KJ403" s="29"/>
      <c r="KK403" s="29"/>
      <c r="KL403" s="29"/>
      <c r="KM403" s="29"/>
      <c r="KN403" s="29"/>
      <c r="KO403" s="29"/>
      <c r="KP403" s="14" t="s">
        <v>324</v>
      </c>
      <c r="KQ403" s="14" t="s">
        <v>7010</v>
      </c>
      <c r="KR403" s="14" t="s">
        <v>768</v>
      </c>
      <c r="KS403" s="14" t="s">
        <v>7126</v>
      </c>
      <c r="KT403" s="14" t="s">
        <v>7127</v>
      </c>
    </row>
    <row r="404" spans="1:306" ht="96" x14ac:dyDescent="0.25">
      <c r="A404" s="14" t="s">
        <v>7236</v>
      </c>
      <c r="B404" s="29" t="s">
        <v>293</v>
      </c>
      <c r="C404" s="30" t="s">
        <v>294</v>
      </c>
      <c r="D404" s="26" t="s">
        <v>295</v>
      </c>
      <c r="E404" s="29">
        <v>685717</v>
      </c>
      <c r="F404" s="29"/>
      <c r="G404" s="29" t="s">
        <v>296</v>
      </c>
      <c r="H404" s="31">
        <v>144.898810387</v>
      </c>
      <c r="I404" s="31">
        <v>-41.2664528719</v>
      </c>
      <c r="J404" s="29"/>
      <c r="K404" s="29" t="s">
        <v>298</v>
      </c>
      <c r="L404" s="29" t="s">
        <v>400</v>
      </c>
      <c r="M404" s="29" t="s">
        <v>401</v>
      </c>
      <c r="N404" s="29"/>
      <c r="O404" s="26"/>
      <c r="P404" s="29"/>
      <c r="Q404" s="26"/>
      <c r="R404" s="26"/>
      <c r="S404" s="27"/>
      <c r="T404" s="27"/>
      <c r="U404" s="27"/>
      <c r="V404" s="27"/>
      <c r="W404" s="27"/>
      <c r="X404" s="27"/>
      <c r="Y404" s="26"/>
      <c r="Z404" s="29" t="s">
        <v>293</v>
      </c>
      <c r="AA404" s="30" t="s">
        <v>294</v>
      </c>
      <c r="AB404" s="26" t="s">
        <v>295</v>
      </c>
      <c r="AC404" s="29" t="s">
        <v>301</v>
      </c>
      <c r="AD404" s="29" t="s">
        <v>302</v>
      </c>
      <c r="AE404" s="26">
        <v>359</v>
      </c>
      <c r="AF404" s="26">
        <v>10</v>
      </c>
      <c r="AG404" s="27" t="s">
        <v>303</v>
      </c>
      <c r="AH404" s="27" t="s">
        <v>304</v>
      </c>
      <c r="AI404" s="27" t="s">
        <v>305</v>
      </c>
      <c r="AJ404" s="27" t="s">
        <v>306</v>
      </c>
      <c r="AK404" s="27" t="s">
        <v>307</v>
      </c>
      <c r="AL404" s="27" t="s">
        <v>308</v>
      </c>
      <c r="AM404" s="26">
        <v>5</v>
      </c>
      <c r="AN404" s="29"/>
      <c r="AO404" s="29"/>
      <c r="AP404" s="29"/>
      <c r="AQ404" s="30"/>
      <c r="AR404" s="26"/>
      <c r="AS404" s="27"/>
      <c r="AT404" s="27"/>
      <c r="AU404" s="27"/>
      <c r="AV404" s="27"/>
      <c r="AW404" s="27"/>
      <c r="AX404" s="27"/>
      <c r="AY404" s="27"/>
      <c r="AZ404" s="27"/>
      <c r="BA404" s="26"/>
      <c r="BB404" s="29"/>
      <c r="BC404" s="29"/>
      <c r="BD404" s="29"/>
      <c r="BE404" s="30"/>
      <c r="BF404" s="26"/>
      <c r="BG404" s="27"/>
      <c r="BH404" s="27"/>
      <c r="BI404" s="27"/>
      <c r="BJ404" s="27"/>
      <c r="BK404" s="27"/>
      <c r="BL404" s="27"/>
      <c r="BM404" s="27"/>
      <c r="BN404" s="27"/>
      <c r="BO404" s="26"/>
      <c r="BP404" s="30"/>
      <c r="BQ404" s="31"/>
      <c r="BR404" s="31"/>
      <c r="BS404" s="31"/>
      <c r="BT404" s="31"/>
      <c r="BU404" s="26"/>
      <c r="BV404" s="31"/>
      <c r="BW404" s="31"/>
      <c r="BX404" s="31"/>
      <c r="BY404" s="31"/>
      <c r="BZ404" s="31"/>
      <c r="CA404" s="31"/>
      <c r="CB404" s="31"/>
      <c r="CC404" s="31"/>
      <c r="CD404" s="31"/>
      <c r="CE404" s="31"/>
      <c r="CF404" s="31"/>
      <c r="CG404" s="31"/>
      <c r="CH404" s="31"/>
      <c r="CI404" s="31"/>
      <c r="CJ404" s="31"/>
      <c r="CK404" s="31"/>
      <c r="CL404" s="31"/>
      <c r="CM404" s="31"/>
      <c r="CN404" s="31"/>
      <c r="CO404" s="31"/>
      <c r="CP404" s="31"/>
      <c r="CQ404" s="31"/>
      <c r="CR404" s="31"/>
      <c r="CS404" s="31"/>
      <c r="CT404" s="31"/>
      <c r="CU404" s="31"/>
      <c r="CV404" s="31"/>
      <c r="CW404" s="31"/>
      <c r="CX404" s="31"/>
      <c r="CY404" s="31"/>
      <c r="CZ404" s="31"/>
      <c r="DA404" s="31"/>
      <c r="DB404" s="31"/>
      <c r="DC404" s="31"/>
      <c r="DD404" s="31"/>
      <c r="DE404" s="31"/>
      <c r="DF404" s="31"/>
      <c r="DG404" s="31"/>
      <c r="DH404" s="31"/>
      <c r="DI404" s="31"/>
      <c r="DJ404" s="31"/>
      <c r="DK404" s="31"/>
      <c r="DL404" s="31"/>
      <c r="DM404" s="31"/>
      <c r="DN404" s="31"/>
      <c r="DO404" s="31"/>
      <c r="DP404" s="31"/>
      <c r="DQ404" s="31"/>
      <c r="DR404" s="31"/>
      <c r="DS404" s="31"/>
      <c r="DT404" s="31"/>
      <c r="DU404" s="31"/>
      <c r="DV404" s="31"/>
      <c r="DW404" s="31"/>
      <c r="DX404" s="31"/>
      <c r="DY404" s="31"/>
      <c r="DZ404" s="31"/>
      <c r="EA404" s="31"/>
      <c r="EB404" s="31"/>
      <c r="EC404" s="31"/>
      <c r="ED404" s="31"/>
      <c r="EE404" s="31"/>
      <c r="EF404" s="31"/>
      <c r="EG404" s="31"/>
      <c r="EH404" s="32"/>
      <c r="EI404" s="32"/>
      <c r="EJ404" s="32"/>
      <c r="EK404" s="32"/>
      <c r="EL404" s="31"/>
      <c r="EM404" s="31"/>
      <c r="EN404" s="31"/>
      <c r="EO404" s="31"/>
      <c r="EP404" s="31"/>
      <c r="EQ404" s="31"/>
      <c r="ER404" s="31"/>
      <c r="ES404" s="31"/>
      <c r="ET404" s="31"/>
      <c r="EU404" s="31"/>
      <c r="EV404" s="31"/>
      <c r="EW404" s="31"/>
      <c r="EX404" s="31"/>
      <c r="EY404" s="26"/>
      <c r="EZ404" s="31"/>
      <c r="FA404" s="32"/>
      <c r="FB404" s="31"/>
      <c r="FC404" s="31"/>
      <c r="FD404" s="31"/>
      <c r="FE404" s="31"/>
      <c r="FF404" s="31"/>
      <c r="FG404" s="31"/>
      <c r="FH404" s="31"/>
      <c r="FI404" s="31"/>
      <c r="FJ404" s="31"/>
      <c r="FK404" s="31"/>
      <c r="FL404" s="31"/>
      <c r="FM404" s="31"/>
      <c r="FN404" s="31"/>
      <c r="FO404" s="31"/>
      <c r="FP404" s="31"/>
      <c r="FQ404" s="31"/>
      <c r="FR404" s="31"/>
      <c r="FS404" s="31"/>
      <c r="FT404" s="31"/>
      <c r="FU404" s="31"/>
      <c r="FV404" s="31"/>
      <c r="FW404" s="31"/>
      <c r="FX404" s="31"/>
      <c r="FY404" s="31"/>
      <c r="FZ404" s="31"/>
      <c r="GA404" s="31"/>
      <c r="GB404" s="31"/>
      <c r="GC404" s="31"/>
      <c r="GD404" s="31"/>
      <c r="GE404" s="31"/>
      <c r="GF404" s="31"/>
      <c r="GG404" s="31"/>
      <c r="GH404" s="31"/>
      <c r="GI404" s="31"/>
      <c r="GJ404" s="31"/>
      <c r="GK404" s="31"/>
      <c r="GL404" s="31"/>
      <c r="GM404" s="31"/>
      <c r="GN404" s="31"/>
      <c r="GO404" s="31"/>
      <c r="GP404" s="32"/>
      <c r="GQ404" s="31"/>
      <c r="GR404" s="31"/>
      <c r="GS404" s="31"/>
      <c r="GT404" s="31"/>
      <c r="GU404" s="31"/>
      <c r="GV404" s="31"/>
      <c r="GW404" s="31"/>
      <c r="GX404" s="31"/>
      <c r="GY404" s="31" t="s">
        <v>407</v>
      </c>
      <c r="GZ404" s="31"/>
      <c r="HA404" s="31"/>
      <c r="HB404" s="31"/>
      <c r="HC404" s="31"/>
      <c r="HD404" s="26" t="s">
        <v>7237</v>
      </c>
      <c r="HE404" s="26">
        <v>27555</v>
      </c>
      <c r="HF404" s="26" t="s">
        <v>7238</v>
      </c>
      <c r="HG404" s="27" t="s">
        <v>7239</v>
      </c>
      <c r="HH404" s="27"/>
      <c r="HI404" s="26"/>
      <c r="HJ404" s="27"/>
      <c r="HK404" s="27"/>
      <c r="HL404" s="27"/>
      <c r="HM404" s="26"/>
      <c r="HN404" s="27"/>
      <c r="HO404" s="27"/>
      <c r="HP404" s="27"/>
      <c r="HQ404" s="26"/>
      <c r="HR404" s="27"/>
      <c r="HS404" s="27"/>
      <c r="HT404" s="27"/>
      <c r="HU404" s="27"/>
      <c r="HV404" s="27"/>
      <c r="HW404" s="27"/>
      <c r="HX404" s="27"/>
      <c r="HY404" s="26"/>
      <c r="HZ404" s="27"/>
      <c r="IA404" s="27"/>
      <c r="IB404" s="26" t="s">
        <v>6082</v>
      </c>
      <c r="IC404" s="26">
        <v>8743</v>
      </c>
      <c r="ID404" s="26" t="s">
        <v>6083</v>
      </c>
      <c r="IE404" s="27" t="s">
        <v>3650</v>
      </c>
      <c r="IF404" s="26" t="s">
        <v>319</v>
      </c>
      <c r="IG404" s="26"/>
      <c r="IH404" s="26"/>
      <c r="II404" s="26"/>
      <c r="IJ404" s="26"/>
      <c r="IK404" s="26"/>
      <c r="IL404" s="27"/>
      <c r="IM404" s="26"/>
      <c r="IN404" s="27"/>
      <c r="IO404" s="27"/>
      <c r="IP404" s="27"/>
      <c r="IQ404" s="27"/>
      <c r="IR404" s="26"/>
      <c r="IS404" s="27"/>
      <c r="IT404" s="27"/>
      <c r="IU404" s="27"/>
      <c r="IV404" s="27"/>
      <c r="IW404" s="27"/>
      <c r="IX404" s="27"/>
      <c r="IY404" s="27"/>
      <c r="IZ404" s="27"/>
      <c r="JA404" s="27"/>
      <c r="JB404" s="27"/>
      <c r="JC404" s="27"/>
      <c r="JD404" s="27"/>
      <c r="JE404" s="27"/>
      <c r="JF404" s="27"/>
      <c r="JG404" s="27"/>
      <c r="JH404" s="27"/>
      <c r="JI404" s="27"/>
      <c r="JJ404" s="27"/>
      <c r="JK404" s="27"/>
      <c r="JL404" s="27"/>
      <c r="JM404" s="27"/>
      <c r="JN404" s="27"/>
      <c r="JO404" s="27"/>
      <c r="JP404" s="27"/>
      <c r="JQ404" s="27"/>
      <c r="JR404" s="27"/>
      <c r="JS404" s="27"/>
      <c r="JT404" s="27"/>
      <c r="JU404" s="30"/>
      <c r="JV404" s="30" t="s">
        <v>7240</v>
      </c>
      <c r="JW404" s="30"/>
      <c r="JX404" s="30"/>
      <c r="JY404" s="30"/>
      <c r="JZ404" s="30"/>
      <c r="KA404" s="30"/>
      <c r="KB404" s="30"/>
      <c r="KC404" s="30"/>
      <c r="KD404" s="30"/>
      <c r="KE404" s="30"/>
      <c r="KF404" s="30"/>
      <c r="KG404" s="29" t="s">
        <v>323</v>
      </c>
      <c r="KH404" s="29"/>
      <c r="KI404" s="29"/>
      <c r="KJ404" s="29"/>
      <c r="KK404" s="29"/>
      <c r="KL404" s="29"/>
      <c r="KM404" s="29"/>
      <c r="KN404" s="29"/>
      <c r="KO404" s="29"/>
      <c r="KP404" s="14" t="s">
        <v>7241</v>
      </c>
      <c r="KQ404" s="14" t="s">
        <v>645</v>
      </c>
      <c r="KR404" s="14" t="s">
        <v>645</v>
      </c>
      <c r="KS404" s="14"/>
      <c r="KT404" s="14"/>
    </row>
    <row r="405" spans="1:306" ht="108" x14ac:dyDescent="0.25">
      <c r="A405" s="5" t="s">
        <v>7405</v>
      </c>
      <c r="B405" s="4" t="s">
        <v>383</v>
      </c>
      <c r="C405" s="7" t="s">
        <v>403</v>
      </c>
      <c r="D405" s="8" t="s">
        <v>802</v>
      </c>
      <c r="E405" s="4">
        <v>334482</v>
      </c>
      <c r="G405" s="4" t="s">
        <v>427</v>
      </c>
      <c r="H405" s="6">
        <v>146.58070000000001</v>
      </c>
      <c r="I405" s="6">
        <v>-32.738100000000003</v>
      </c>
      <c r="J405" s="4" t="s">
        <v>7405</v>
      </c>
      <c r="K405" s="4" t="s">
        <v>298</v>
      </c>
      <c r="L405" s="4" t="s">
        <v>299</v>
      </c>
      <c r="M405" s="4" t="s">
        <v>428</v>
      </c>
      <c r="N405" s="4" t="s">
        <v>800</v>
      </c>
      <c r="Q405" s="8"/>
      <c r="R405" s="8"/>
      <c r="V405" s="4"/>
      <c r="W405" s="4"/>
      <c r="X405" s="4"/>
      <c r="Z405" s="4" t="s">
        <v>293</v>
      </c>
      <c r="AA405" s="7" t="s">
        <v>294</v>
      </c>
      <c r="AB405" s="8" t="s">
        <v>295</v>
      </c>
      <c r="AC405" s="4" t="s">
        <v>301</v>
      </c>
      <c r="AD405" s="4" t="s">
        <v>402</v>
      </c>
      <c r="AE405" s="8">
        <v>418</v>
      </c>
      <c r="AF405" s="8">
        <v>6</v>
      </c>
      <c r="AG405" s="9" t="s">
        <v>303</v>
      </c>
      <c r="AH405" s="9" t="s">
        <v>304</v>
      </c>
      <c r="AI405" s="9" t="s">
        <v>305</v>
      </c>
      <c r="AJ405" s="4" t="s">
        <v>306</v>
      </c>
      <c r="AK405" s="4" t="s">
        <v>307</v>
      </c>
      <c r="AL405" s="4" t="s">
        <v>308</v>
      </c>
      <c r="AM405" s="8">
        <v>5</v>
      </c>
      <c r="AN405" s="4" t="s">
        <v>381</v>
      </c>
      <c r="AO405" s="4" t="s">
        <v>382</v>
      </c>
      <c r="AP405" s="4" t="s">
        <v>383</v>
      </c>
      <c r="AQ405" s="7" t="s">
        <v>384</v>
      </c>
      <c r="AR405" s="8" t="s">
        <v>801</v>
      </c>
      <c r="AS405" s="7">
        <v>0</v>
      </c>
      <c r="AT405" s="7">
        <v>0</v>
      </c>
      <c r="AU405" s="9" t="s">
        <v>379</v>
      </c>
      <c r="AV405" s="9" t="s">
        <v>406</v>
      </c>
      <c r="BA405" s="8">
        <v>5</v>
      </c>
      <c r="BB405" s="4" t="s">
        <v>381</v>
      </c>
      <c r="BC405" s="4" t="s">
        <v>375</v>
      </c>
      <c r="BD405" s="4" t="s">
        <v>383</v>
      </c>
      <c r="BE405" s="7" t="s">
        <v>403</v>
      </c>
      <c r="BF405" s="8" t="s">
        <v>802</v>
      </c>
      <c r="BG405" s="7">
        <v>0</v>
      </c>
      <c r="BH405" s="7">
        <v>0</v>
      </c>
      <c r="BI405" s="9" t="s">
        <v>303</v>
      </c>
      <c r="BJ405" s="9" t="s">
        <v>406</v>
      </c>
      <c r="BO405" s="8">
        <v>5</v>
      </c>
      <c r="BP405" s="7">
        <v>15.6</v>
      </c>
      <c r="CY405" s="6">
        <v>0.15</v>
      </c>
      <c r="DE405" s="6">
        <v>0.03</v>
      </c>
      <c r="DZ405" s="31"/>
      <c r="EY405" s="6"/>
      <c r="FA405" s="6"/>
      <c r="FN405" s="6">
        <v>24.43</v>
      </c>
      <c r="FT405" s="9">
        <v>4.351</v>
      </c>
      <c r="GP405" s="32"/>
      <c r="GY405" s="6" t="s">
        <v>435</v>
      </c>
      <c r="GZ405" s="6" t="s">
        <v>639</v>
      </c>
      <c r="HB405" s="6" t="s">
        <v>916</v>
      </c>
      <c r="HC405" s="6" t="s">
        <v>311</v>
      </c>
      <c r="HD405" s="8" t="s">
        <v>7406</v>
      </c>
      <c r="HE405" s="8">
        <v>32684</v>
      </c>
      <c r="HF405" s="8" t="s">
        <v>7407</v>
      </c>
      <c r="HG405" s="9" t="s">
        <v>997</v>
      </c>
      <c r="HY405" s="9"/>
      <c r="IB405" s="8" t="s">
        <v>7408</v>
      </c>
      <c r="IC405" s="8">
        <v>18839</v>
      </c>
      <c r="ID405" s="8" t="s">
        <v>7409</v>
      </c>
      <c r="IE405" s="8" t="s">
        <v>805</v>
      </c>
      <c r="IF405" s="8" t="s">
        <v>329</v>
      </c>
      <c r="IW405" s="8"/>
      <c r="JB405" s="8"/>
      <c r="KP405" s="5" t="s">
        <v>358</v>
      </c>
      <c r="KQ405" s="5" t="s">
        <v>7410</v>
      </c>
      <c r="KR405" s="5" t="s">
        <v>7411</v>
      </c>
      <c r="KS405" s="5" t="s">
        <v>7412</v>
      </c>
      <c r="KT405" s="14" t="s">
        <v>7413</v>
      </c>
    </row>
    <row r="406" spans="1:306" ht="25.5" x14ac:dyDescent="0.2">
      <c r="A406" s="5" t="s">
        <v>7430</v>
      </c>
      <c r="B406" s="4" t="s">
        <v>293</v>
      </c>
      <c r="C406" s="7" t="s">
        <v>294</v>
      </c>
      <c r="D406" s="8" t="s">
        <v>295</v>
      </c>
      <c r="E406" s="44">
        <v>859629</v>
      </c>
      <c r="F406" s="4">
        <v>1123199</v>
      </c>
      <c r="G406" s="4" t="s">
        <v>427</v>
      </c>
      <c r="H406" s="6">
        <v>145.934</v>
      </c>
      <c r="I406" s="6">
        <v>-32.023299999999999</v>
      </c>
      <c r="J406" s="4" t="s">
        <v>7430</v>
      </c>
      <c r="K406" s="4" t="s">
        <v>298</v>
      </c>
      <c r="L406" s="4" t="s">
        <v>299</v>
      </c>
      <c r="M406" s="4" t="s">
        <v>428</v>
      </c>
      <c r="N406" s="4" t="s">
        <v>800</v>
      </c>
      <c r="Q406" s="7"/>
      <c r="R406" s="7"/>
      <c r="Z406" s="4" t="s">
        <v>293</v>
      </c>
      <c r="AA406" s="7" t="s">
        <v>294</v>
      </c>
      <c r="AB406" s="8" t="s">
        <v>295</v>
      </c>
      <c r="AC406" s="4" t="s">
        <v>301</v>
      </c>
      <c r="AD406" s="4" t="s">
        <v>302</v>
      </c>
      <c r="AE406" s="7">
        <v>419.8</v>
      </c>
      <c r="AF406" s="7">
        <v>1.7</v>
      </c>
      <c r="AG406" s="9" t="s">
        <v>379</v>
      </c>
      <c r="AH406" s="9" t="s">
        <v>429</v>
      </c>
      <c r="AI406" s="9" t="s">
        <v>845</v>
      </c>
      <c r="AJ406" s="9" t="s">
        <v>431</v>
      </c>
      <c r="AK406" s="9" t="s">
        <v>307</v>
      </c>
      <c r="AM406" s="8">
        <v>4</v>
      </c>
      <c r="AS406" s="7"/>
      <c r="AT406" s="7"/>
      <c r="DZ406" s="31"/>
      <c r="EY406" s="6"/>
      <c r="FA406" s="6"/>
      <c r="GP406" s="32"/>
      <c r="GY406" s="6" t="s">
        <v>407</v>
      </c>
      <c r="HF406" s="8" t="s">
        <v>7431</v>
      </c>
      <c r="HG406" s="9" t="s">
        <v>466</v>
      </c>
      <c r="HY406" s="9"/>
      <c r="IW406" s="8"/>
      <c r="JB406" s="8"/>
      <c r="JV406" s="7" t="s">
        <v>7432</v>
      </c>
      <c r="JX406" s="7" t="s">
        <v>320</v>
      </c>
      <c r="JY406" s="7" t="s">
        <v>354</v>
      </c>
      <c r="JZ406" s="7" t="s">
        <v>322</v>
      </c>
      <c r="KG406" s="4" t="s">
        <v>323</v>
      </c>
      <c r="KM406" s="4" t="s">
        <v>836</v>
      </c>
      <c r="KN406" s="4" t="s">
        <v>836</v>
      </c>
      <c r="KP406" s="5" t="s">
        <v>7433</v>
      </c>
      <c r="KQ406" s="5" t="s">
        <v>7433</v>
      </c>
      <c r="KR406" s="5" t="s">
        <v>7433</v>
      </c>
      <c r="KT406" s="5" t="s">
        <v>7434</v>
      </c>
    </row>
    <row r="407" spans="1:306" ht="108" x14ac:dyDescent="0.25">
      <c r="A407" s="5" t="s">
        <v>7617</v>
      </c>
      <c r="B407" s="4" t="s">
        <v>293</v>
      </c>
      <c r="C407" s="7" t="s">
        <v>294</v>
      </c>
      <c r="D407" s="8" t="s">
        <v>295</v>
      </c>
      <c r="E407" s="4">
        <v>335779</v>
      </c>
      <c r="G407" s="4" t="s">
        <v>479</v>
      </c>
      <c r="H407" s="6">
        <v>144.8698</v>
      </c>
      <c r="I407" s="6">
        <v>-17.403589</v>
      </c>
      <c r="J407" s="4" t="s">
        <v>7618</v>
      </c>
      <c r="K407" s="4" t="s">
        <v>298</v>
      </c>
      <c r="L407" s="4" t="s">
        <v>1018</v>
      </c>
      <c r="M407" s="4" t="s">
        <v>1019</v>
      </c>
      <c r="Q407" s="8"/>
      <c r="R407" s="8"/>
      <c r="Z407" s="4" t="s">
        <v>293</v>
      </c>
      <c r="AA407" s="7" t="s">
        <v>294</v>
      </c>
      <c r="AB407" s="8" t="s">
        <v>295</v>
      </c>
      <c r="AC407" s="4" t="s">
        <v>301</v>
      </c>
      <c r="AE407" s="8">
        <v>325</v>
      </c>
      <c r="AF407" s="8"/>
      <c r="AG407" s="9" t="s">
        <v>379</v>
      </c>
      <c r="AH407" s="9" t="s">
        <v>1156</v>
      </c>
      <c r="AM407" s="8">
        <v>3</v>
      </c>
      <c r="DZ407" s="31"/>
      <c r="EY407" s="6"/>
      <c r="FA407" s="6"/>
      <c r="FN407" s="6">
        <v>11.52</v>
      </c>
      <c r="FT407" s="9">
        <v>1.0760000000000001</v>
      </c>
      <c r="GP407" s="32"/>
      <c r="GY407" s="6" t="s">
        <v>338</v>
      </c>
      <c r="GZ407" s="6" t="s">
        <v>639</v>
      </c>
      <c r="HB407" s="6" t="s">
        <v>916</v>
      </c>
      <c r="HC407" s="6" t="s">
        <v>311</v>
      </c>
      <c r="HD407" s="8" t="s">
        <v>1023</v>
      </c>
      <c r="HE407" s="8">
        <v>8404</v>
      </c>
      <c r="HF407" s="8" t="s">
        <v>7619</v>
      </c>
      <c r="HG407" s="8" t="s">
        <v>1025</v>
      </c>
      <c r="HY407" s="9"/>
      <c r="IB407" s="8" t="s">
        <v>1692</v>
      </c>
      <c r="IC407" s="8">
        <v>28530</v>
      </c>
      <c r="ID407" s="8" t="s">
        <v>2679</v>
      </c>
      <c r="IE407" s="8" t="s">
        <v>1133</v>
      </c>
      <c r="IF407" s="8" t="s">
        <v>319</v>
      </c>
      <c r="IR407" s="9"/>
      <c r="JV407" s="7" t="s">
        <v>7620</v>
      </c>
      <c r="JW407" s="7" t="s">
        <v>910</v>
      </c>
      <c r="JX407" s="7" t="s">
        <v>320</v>
      </c>
      <c r="KG407" s="4" t="s">
        <v>323</v>
      </c>
      <c r="KM407" s="4" t="s">
        <v>4952</v>
      </c>
      <c r="KN407" s="4" t="s">
        <v>4952</v>
      </c>
      <c r="KO407" s="4" t="s">
        <v>445</v>
      </c>
      <c r="KP407" s="5" t="s">
        <v>358</v>
      </c>
      <c r="KQ407" s="5" t="s">
        <v>7621</v>
      </c>
      <c r="KS407" s="5" t="s">
        <v>1039</v>
      </c>
      <c r="KT407" s="5" t="s">
        <v>7622</v>
      </c>
    </row>
    <row r="408" spans="1:306" ht="132" x14ac:dyDescent="0.25">
      <c r="A408" s="5" t="s">
        <v>7790</v>
      </c>
      <c r="B408" s="4" t="s">
        <v>293</v>
      </c>
      <c r="C408" s="7" t="s">
        <v>294</v>
      </c>
      <c r="D408" s="8" t="s">
        <v>295</v>
      </c>
      <c r="E408" s="4">
        <v>335131</v>
      </c>
      <c r="G408" s="4" t="s">
        <v>479</v>
      </c>
      <c r="H408" s="6">
        <v>145.195099</v>
      </c>
      <c r="I408" s="6">
        <v>-17.425283</v>
      </c>
      <c r="J408" s="4" t="s">
        <v>1017</v>
      </c>
      <c r="K408" s="4" t="s">
        <v>298</v>
      </c>
      <c r="L408" s="4" t="s">
        <v>1018</v>
      </c>
      <c r="M408" s="4" t="s">
        <v>1019</v>
      </c>
      <c r="Q408" s="8"/>
      <c r="R408" s="8"/>
      <c r="Z408" s="4" t="s">
        <v>293</v>
      </c>
      <c r="AA408" s="7" t="s">
        <v>294</v>
      </c>
      <c r="AB408" s="8" t="s">
        <v>295</v>
      </c>
      <c r="AC408" s="4" t="s">
        <v>301</v>
      </c>
      <c r="AE408" s="8">
        <v>325</v>
      </c>
      <c r="AF408" s="8"/>
      <c r="AG408" s="9" t="s">
        <v>379</v>
      </c>
      <c r="AH408" s="9" t="s">
        <v>1156</v>
      </c>
      <c r="AM408" s="8">
        <v>3</v>
      </c>
      <c r="DZ408" s="31"/>
      <c r="EY408" s="6"/>
      <c r="FA408" s="6"/>
      <c r="FN408" s="6">
        <v>10.993</v>
      </c>
      <c r="GP408" s="32"/>
      <c r="GY408" s="6" t="s">
        <v>338</v>
      </c>
      <c r="GZ408" s="40" t="s">
        <v>639</v>
      </c>
      <c r="HD408" s="8" t="s">
        <v>1023</v>
      </c>
      <c r="HE408" s="8">
        <v>8404</v>
      </c>
      <c r="HF408" s="8" t="s">
        <v>1024</v>
      </c>
      <c r="HG408" s="8" t="s">
        <v>1025</v>
      </c>
      <c r="HY408" s="9"/>
      <c r="IB408" s="8" t="s">
        <v>1692</v>
      </c>
      <c r="IC408" s="8">
        <v>28530</v>
      </c>
      <c r="ID408" s="8" t="s">
        <v>2679</v>
      </c>
      <c r="IE408" s="8" t="s">
        <v>1133</v>
      </c>
      <c r="IF408" s="8" t="s">
        <v>319</v>
      </c>
      <c r="IR408" s="9"/>
      <c r="JV408" s="7" t="s">
        <v>783</v>
      </c>
      <c r="KP408" s="5" t="s">
        <v>358</v>
      </c>
      <c r="KQ408" s="5" t="s">
        <v>1039</v>
      </c>
      <c r="KS408" s="5" t="s">
        <v>1039</v>
      </c>
      <c r="KT408" s="5" t="s">
        <v>7622</v>
      </c>
    </row>
    <row r="409" spans="1:306" ht="96" x14ac:dyDescent="0.25">
      <c r="A409" s="5" t="s">
        <v>7922</v>
      </c>
      <c r="B409" s="4" t="s">
        <v>383</v>
      </c>
      <c r="C409" s="7" t="s">
        <v>384</v>
      </c>
      <c r="D409" s="8" t="s">
        <v>5544</v>
      </c>
      <c r="E409" s="4">
        <v>334398</v>
      </c>
      <c r="G409" s="4" t="s">
        <v>530</v>
      </c>
      <c r="H409" s="6">
        <v>134.3297</v>
      </c>
      <c r="I409" s="6">
        <v>-20.598600000000001</v>
      </c>
      <c r="J409" s="4" t="s">
        <v>7922</v>
      </c>
      <c r="K409" s="4" t="s">
        <v>481</v>
      </c>
      <c r="L409" s="4" t="s">
        <v>843</v>
      </c>
      <c r="M409" s="4" t="s">
        <v>3889</v>
      </c>
      <c r="Q409" s="8"/>
      <c r="R409" s="8"/>
      <c r="Z409" s="4" t="s">
        <v>293</v>
      </c>
      <c r="AA409" s="7" t="s">
        <v>294</v>
      </c>
      <c r="AB409" s="8" t="s">
        <v>295</v>
      </c>
      <c r="AC409" s="4" t="s">
        <v>301</v>
      </c>
      <c r="AD409" s="4" t="s">
        <v>402</v>
      </c>
      <c r="AE409" s="8">
        <v>1711</v>
      </c>
      <c r="AF409" s="8">
        <v>4</v>
      </c>
      <c r="AG409" s="9" t="s">
        <v>379</v>
      </c>
      <c r="AH409" s="9" t="s">
        <v>483</v>
      </c>
      <c r="AI409" s="9" t="s">
        <v>373</v>
      </c>
      <c r="AJ409" s="9" t="s">
        <v>306</v>
      </c>
      <c r="AK409" s="9" t="s">
        <v>307</v>
      </c>
      <c r="AL409" s="9" t="s">
        <v>337</v>
      </c>
      <c r="AM409" s="8">
        <v>3</v>
      </c>
      <c r="AN409" s="4" t="s">
        <v>381</v>
      </c>
      <c r="AO409" s="4" t="s">
        <v>382</v>
      </c>
      <c r="AP409" s="4" t="s">
        <v>383</v>
      </c>
      <c r="AQ409" s="7" t="s">
        <v>384</v>
      </c>
      <c r="AR409" s="8" t="s">
        <v>5544</v>
      </c>
      <c r="AS409" s="7">
        <v>0</v>
      </c>
      <c r="AT409" s="7">
        <v>0</v>
      </c>
      <c r="AU409" s="9" t="s">
        <v>303</v>
      </c>
      <c r="AV409" s="9" t="s">
        <v>406</v>
      </c>
      <c r="BA409" s="8">
        <v>5</v>
      </c>
      <c r="DZ409" s="31"/>
      <c r="FT409" s="9">
        <v>1.43</v>
      </c>
      <c r="GP409" s="32"/>
      <c r="GY409" s="31" t="s">
        <v>407</v>
      </c>
      <c r="GZ409" s="6" t="s">
        <v>916</v>
      </c>
      <c r="HD409" s="8" t="s">
        <v>3896</v>
      </c>
      <c r="HE409" s="8">
        <v>24513</v>
      </c>
      <c r="HF409" s="8" t="s">
        <v>3897</v>
      </c>
      <c r="HG409" s="9" t="s">
        <v>538</v>
      </c>
      <c r="IB409" s="8" t="s">
        <v>7923</v>
      </c>
      <c r="IC409" s="8">
        <v>5434</v>
      </c>
      <c r="ID409" s="8" t="s">
        <v>7924</v>
      </c>
      <c r="IE409" s="8" t="s">
        <v>538</v>
      </c>
      <c r="IF409" s="8" t="s">
        <v>319</v>
      </c>
      <c r="IW409" s="8"/>
      <c r="JB409" s="8"/>
      <c r="JV409" s="7" t="s">
        <v>2573</v>
      </c>
      <c r="JX409" s="7" t="s">
        <v>320</v>
      </c>
      <c r="KG409" s="4" t="s">
        <v>323</v>
      </c>
      <c r="KM409" s="4" t="s">
        <v>391</v>
      </c>
      <c r="KN409" s="4" t="s">
        <v>391</v>
      </c>
      <c r="KP409" s="5" t="s">
        <v>358</v>
      </c>
      <c r="KQ409" s="5" t="s">
        <v>7925</v>
      </c>
      <c r="KR409" s="5" t="s">
        <v>7926</v>
      </c>
      <c r="KS409" s="5" t="s">
        <v>7926</v>
      </c>
      <c r="KT409" s="5" t="s">
        <v>7927</v>
      </c>
    </row>
    <row r="410" spans="1:306" ht="96" x14ac:dyDescent="0.25">
      <c r="A410" s="5" t="s">
        <v>8189</v>
      </c>
      <c r="B410" s="4" t="s">
        <v>293</v>
      </c>
      <c r="C410" s="7" t="s">
        <v>294</v>
      </c>
      <c r="D410" s="8" t="s">
        <v>295</v>
      </c>
      <c r="E410" s="4">
        <v>804560</v>
      </c>
      <c r="G410" s="4" t="s">
        <v>530</v>
      </c>
      <c r="H410" s="6">
        <v>132.25</v>
      </c>
      <c r="I410" s="6">
        <v>-13.94</v>
      </c>
      <c r="K410" s="4" t="s">
        <v>481</v>
      </c>
      <c r="L410" s="4" t="s">
        <v>532</v>
      </c>
      <c r="M410" s="4" t="s">
        <v>2483</v>
      </c>
      <c r="Q410" s="8"/>
      <c r="R410" s="8"/>
      <c r="Z410" s="4" t="s">
        <v>293</v>
      </c>
      <c r="AA410" s="7" t="s">
        <v>294</v>
      </c>
      <c r="AB410" s="8" t="s">
        <v>295</v>
      </c>
      <c r="AC410" s="4" t="s">
        <v>301</v>
      </c>
      <c r="AD410" s="4" t="s">
        <v>302</v>
      </c>
      <c r="AE410" s="8"/>
      <c r="AF410" s="8"/>
      <c r="DZ410" s="31"/>
      <c r="EH410" s="16">
        <f>258*0.3/1000000</f>
        <v>7.7399999999999998E-5</v>
      </c>
      <c r="FN410" s="9"/>
      <c r="FT410" s="9">
        <v>0.74</v>
      </c>
      <c r="GP410" s="32"/>
      <c r="GY410" s="6" t="s">
        <v>309</v>
      </c>
      <c r="GZ410" s="6" t="s">
        <v>916</v>
      </c>
      <c r="HB410" s="6" t="s">
        <v>994</v>
      </c>
      <c r="HC410" s="6" t="s">
        <v>311</v>
      </c>
      <c r="HD410" s="8" t="s">
        <v>536</v>
      </c>
      <c r="HE410" s="8">
        <v>3134</v>
      </c>
      <c r="HF410" s="8" t="s">
        <v>537</v>
      </c>
      <c r="HG410" s="9" t="s">
        <v>538</v>
      </c>
      <c r="IW410" s="8"/>
      <c r="JB410" s="8"/>
      <c r="JV410" s="7" t="s">
        <v>8190</v>
      </c>
      <c r="JX410" s="7" t="s">
        <v>320</v>
      </c>
      <c r="KP410" s="5" t="s">
        <v>739</v>
      </c>
      <c r="KQ410" s="5" t="s">
        <v>2485</v>
      </c>
      <c r="KS410" s="5" t="s">
        <v>739</v>
      </c>
      <c r="KT410" s="5" t="s">
        <v>8191</v>
      </c>
    </row>
    <row r="411" spans="1:306" ht="84" x14ac:dyDescent="0.25">
      <c r="A411" s="5" t="s">
        <v>1598</v>
      </c>
      <c r="B411" s="4" t="s">
        <v>293</v>
      </c>
      <c r="C411" s="7" t="s">
        <v>294</v>
      </c>
      <c r="D411" s="8" t="s">
        <v>1599</v>
      </c>
      <c r="E411" s="4">
        <v>786580</v>
      </c>
      <c r="G411" s="4" t="s">
        <v>479</v>
      </c>
      <c r="H411" s="6">
        <v>145.95856111110001</v>
      </c>
      <c r="I411" s="6">
        <v>-19.047627777799999</v>
      </c>
      <c r="J411" s="4" t="s">
        <v>1600</v>
      </c>
      <c r="K411" s="4" t="s">
        <v>298</v>
      </c>
      <c r="L411" s="4" t="s">
        <v>760</v>
      </c>
      <c r="M411" s="4" t="s">
        <v>1047</v>
      </c>
      <c r="Q411" s="8"/>
      <c r="R411" s="8"/>
      <c r="Z411" s="4" t="s">
        <v>293</v>
      </c>
      <c r="AA411" s="7" t="s">
        <v>294</v>
      </c>
      <c r="AB411" s="8" t="s">
        <v>1599</v>
      </c>
      <c r="AC411" s="4" t="s">
        <v>301</v>
      </c>
      <c r="AD411" s="4" t="s">
        <v>375</v>
      </c>
      <c r="AE411" s="8">
        <v>342</v>
      </c>
      <c r="AF411" s="8">
        <v>8</v>
      </c>
      <c r="AG411" s="9" t="s">
        <v>379</v>
      </c>
      <c r="AH411" s="9" t="s">
        <v>429</v>
      </c>
      <c r="AJ411" s="9" t="s">
        <v>431</v>
      </c>
      <c r="AM411" s="8">
        <v>3</v>
      </c>
      <c r="DZ411" s="31"/>
      <c r="GP411" s="32"/>
      <c r="GY411" s="31" t="s">
        <v>407</v>
      </c>
      <c r="GZ411" s="6" t="s">
        <v>1601</v>
      </c>
      <c r="HD411" s="8" t="s">
        <v>1602</v>
      </c>
      <c r="HE411" s="8">
        <v>27288</v>
      </c>
      <c r="HF411" s="8" t="s">
        <v>1603</v>
      </c>
      <c r="HG411" s="9" t="s">
        <v>1254</v>
      </c>
      <c r="IB411" s="8" t="s">
        <v>1602</v>
      </c>
      <c r="IC411" s="8">
        <v>27288</v>
      </c>
      <c r="ID411" s="8" t="s">
        <v>702</v>
      </c>
      <c r="IE411" s="9" t="s">
        <v>1254</v>
      </c>
      <c r="IF411" s="8" t="s">
        <v>445</v>
      </c>
      <c r="IG411" s="8" t="s">
        <v>1604</v>
      </c>
      <c r="IH411" s="8">
        <v>4212</v>
      </c>
      <c r="II411" s="8" t="s">
        <v>1605</v>
      </c>
      <c r="IJ411" s="8" t="s">
        <v>1606</v>
      </c>
      <c r="IL411" s="9" t="s">
        <v>1607</v>
      </c>
      <c r="IM411" s="8">
        <v>23679</v>
      </c>
      <c r="IN411" s="9" t="s">
        <v>1608</v>
      </c>
      <c r="IO411" s="9" t="s">
        <v>1606</v>
      </c>
      <c r="KP411" s="5" t="s">
        <v>1609</v>
      </c>
      <c r="KQ411" s="5" t="s">
        <v>1610</v>
      </c>
      <c r="KR411" s="5" t="s">
        <v>1610</v>
      </c>
      <c r="KT411" s="14" t="s">
        <v>1611</v>
      </c>
    </row>
    <row r="412" spans="1:306" ht="84" x14ac:dyDescent="0.25">
      <c r="A412" s="5" t="s">
        <v>3230</v>
      </c>
      <c r="B412" s="4" t="s">
        <v>293</v>
      </c>
      <c r="C412" s="7" t="s">
        <v>294</v>
      </c>
      <c r="D412" s="8" t="s">
        <v>1599</v>
      </c>
      <c r="E412" s="4">
        <v>334356</v>
      </c>
      <c r="G412" s="4" t="s">
        <v>773</v>
      </c>
      <c r="H412" s="6">
        <v>146.57856000000001</v>
      </c>
      <c r="I412" s="6">
        <v>-36.416060000000002</v>
      </c>
      <c r="J412" s="4" t="s">
        <v>3230</v>
      </c>
      <c r="K412" s="4" t="s">
        <v>298</v>
      </c>
      <c r="L412" s="4" t="s">
        <v>299</v>
      </c>
      <c r="M412" s="4" t="s">
        <v>428</v>
      </c>
      <c r="N412" s="4" t="s">
        <v>2164</v>
      </c>
      <c r="Q412" s="7"/>
      <c r="R412" s="7"/>
      <c r="S412" s="4"/>
      <c r="Z412" s="4" t="s">
        <v>293</v>
      </c>
      <c r="AA412" s="7" t="s">
        <v>294</v>
      </c>
      <c r="AB412" s="8" t="s">
        <v>1599</v>
      </c>
      <c r="AC412" s="4" t="s">
        <v>301</v>
      </c>
      <c r="AD412" s="4" t="s">
        <v>302</v>
      </c>
      <c r="AE412" s="7">
        <v>379.6</v>
      </c>
      <c r="AF412" s="7">
        <v>1.9</v>
      </c>
      <c r="AG412" s="4" t="s">
        <v>303</v>
      </c>
      <c r="AH412" s="9" t="s">
        <v>304</v>
      </c>
      <c r="AI412" s="9" t="s">
        <v>598</v>
      </c>
      <c r="AJ412" s="9" t="s">
        <v>599</v>
      </c>
      <c r="AK412" s="9" t="s">
        <v>600</v>
      </c>
      <c r="AM412" s="8">
        <v>5</v>
      </c>
      <c r="BP412" s="6">
        <f>0.012591+0.004377</f>
        <v>1.6968E-2</v>
      </c>
      <c r="CT412" s="9">
        <f>((1.54*0.012591+0.41*0.004377)/(0.012591+0.004377))*(96/(96+2*32.07))</f>
        <v>0.74845083395027945</v>
      </c>
      <c r="DZ412" s="31"/>
      <c r="FI412" s="6">
        <f>1000*BP412*CT412/100</f>
        <v>0.12699713750468342</v>
      </c>
      <c r="GP412" s="32"/>
      <c r="GY412" s="6" t="s">
        <v>309</v>
      </c>
      <c r="GZ412" s="6" t="s">
        <v>763</v>
      </c>
      <c r="HC412" s="6" t="s">
        <v>764</v>
      </c>
      <c r="HD412" s="8" t="s">
        <v>3231</v>
      </c>
      <c r="HE412" s="8">
        <v>27771</v>
      </c>
      <c r="HF412" s="8" t="s">
        <v>3232</v>
      </c>
      <c r="HG412" s="9" t="s">
        <v>318</v>
      </c>
      <c r="HH412" s="9" t="s">
        <v>2165</v>
      </c>
      <c r="HI412" s="8">
        <v>23907</v>
      </c>
      <c r="HJ412" s="9" t="s">
        <v>2166</v>
      </c>
      <c r="HK412" s="9" t="s">
        <v>997</v>
      </c>
      <c r="IB412" s="8" t="s">
        <v>3231</v>
      </c>
      <c r="IC412" s="8">
        <v>27771</v>
      </c>
      <c r="ID412" s="8" t="s">
        <v>3232</v>
      </c>
      <c r="IE412" s="9" t="s">
        <v>318</v>
      </c>
      <c r="IF412" s="8" t="s">
        <v>319</v>
      </c>
      <c r="JV412" s="7" t="s">
        <v>2718</v>
      </c>
      <c r="JX412" s="7" t="s">
        <v>320</v>
      </c>
      <c r="JY412" s="7" t="s">
        <v>354</v>
      </c>
      <c r="JZ412" s="7" t="s">
        <v>322</v>
      </c>
      <c r="KG412" s="4" t="s">
        <v>323</v>
      </c>
      <c r="KP412" s="18" t="s">
        <v>3233</v>
      </c>
      <c r="KQ412" s="5" t="s">
        <v>3234</v>
      </c>
      <c r="KR412" s="5" t="s">
        <v>3235</v>
      </c>
      <c r="KS412" s="5" t="s">
        <v>3236</v>
      </c>
      <c r="KT412" s="5" t="s">
        <v>3237</v>
      </c>
    </row>
    <row r="413" spans="1:306" ht="97.5" x14ac:dyDescent="0.25">
      <c r="A413" s="5" t="s">
        <v>4134</v>
      </c>
      <c r="B413" s="4" t="s">
        <v>476</v>
      </c>
      <c r="C413" s="7" t="s">
        <v>1557</v>
      </c>
      <c r="D413" s="8" t="s">
        <v>1558</v>
      </c>
      <c r="E413" s="4">
        <v>335116</v>
      </c>
      <c r="G413" s="4" t="s">
        <v>479</v>
      </c>
      <c r="H413" s="6">
        <v>142.3177</v>
      </c>
      <c r="I413" s="6">
        <v>-10.605600000000001</v>
      </c>
      <c r="J413" s="4" t="s">
        <v>4134</v>
      </c>
      <c r="K413" s="4" t="s">
        <v>481</v>
      </c>
      <c r="L413" s="4" t="s">
        <v>4135</v>
      </c>
      <c r="Q413" s="8"/>
      <c r="Z413" s="4" t="s">
        <v>293</v>
      </c>
      <c r="AA413" s="7" t="s">
        <v>294</v>
      </c>
      <c r="AB413" s="8" t="s">
        <v>1599</v>
      </c>
      <c r="AC413" s="4" t="s">
        <v>301</v>
      </c>
      <c r="AD413" s="4" t="s">
        <v>402</v>
      </c>
      <c r="AE413" s="8">
        <v>343</v>
      </c>
      <c r="AG413" s="9" t="s">
        <v>303</v>
      </c>
      <c r="AH413" s="9" t="s">
        <v>304</v>
      </c>
      <c r="AI413" s="9" t="s">
        <v>598</v>
      </c>
      <c r="AJ413" s="9" t="s">
        <v>599</v>
      </c>
      <c r="AM413" s="8">
        <v>5</v>
      </c>
      <c r="AN413" s="4" t="s">
        <v>301</v>
      </c>
      <c r="AO413" s="4" t="s">
        <v>375</v>
      </c>
      <c r="AP413" s="4" t="s">
        <v>476</v>
      </c>
      <c r="AQ413" s="7" t="s">
        <v>1557</v>
      </c>
      <c r="AR413" s="8" t="s">
        <v>1558</v>
      </c>
      <c r="AS413" s="8">
        <v>317.5</v>
      </c>
      <c r="AT413" s="8">
        <v>2.5</v>
      </c>
      <c r="AU413" s="9" t="s">
        <v>379</v>
      </c>
      <c r="AV413" s="9" t="s">
        <v>429</v>
      </c>
      <c r="AW413" s="9" t="s">
        <v>430</v>
      </c>
      <c r="AX413" s="9" t="s">
        <v>431</v>
      </c>
      <c r="BA413" s="8">
        <v>4</v>
      </c>
      <c r="BB413" s="4" t="s">
        <v>381</v>
      </c>
      <c r="BC413" s="4" t="s">
        <v>402</v>
      </c>
      <c r="BD413" s="4" t="s">
        <v>383</v>
      </c>
      <c r="BE413" s="7" t="s">
        <v>403</v>
      </c>
      <c r="BF413" s="8" t="s">
        <v>434</v>
      </c>
      <c r="BG413" s="7">
        <v>0</v>
      </c>
      <c r="BH413" s="7">
        <v>0</v>
      </c>
      <c r="BI413" s="9" t="s">
        <v>303</v>
      </c>
      <c r="BJ413" s="9" t="s">
        <v>406</v>
      </c>
      <c r="BO413" s="8">
        <v>5</v>
      </c>
      <c r="DZ413" s="31"/>
      <c r="EL413" s="7">
        <f>0.2364+0.063147*0.39+0.640495*1.58+7.96*1.9</f>
        <v>16.397009429999997</v>
      </c>
      <c r="GP413" s="32"/>
      <c r="GY413" s="6" t="s">
        <v>435</v>
      </c>
      <c r="GZ413" s="6" t="s">
        <v>436</v>
      </c>
      <c r="HC413" s="6" t="s">
        <v>763</v>
      </c>
      <c r="HD413" s="8" t="s">
        <v>4136</v>
      </c>
      <c r="HE413" s="8">
        <v>870</v>
      </c>
      <c r="HF413" s="8" t="s">
        <v>4137</v>
      </c>
      <c r="HG413" s="8" t="s">
        <v>1265</v>
      </c>
      <c r="HH413" s="9" t="s">
        <v>4138</v>
      </c>
      <c r="HI413" s="8">
        <v>36370</v>
      </c>
      <c r="HJ413" s="9" t="s">
        <v>4139</v>
      </c>
      <c r="HK413" s="8" t="s">
        <v>1265</v>
      </c>
      <c r="HL413" s="8"/>
      <c r="HM413" s="9"/>
      <c r="IB413" s="8" t="s">
        <v>4140</v>
      </c>
      <c r="IC413" s="8">
        <v>36369</v>
      </c>
      <c r="ID413" s="8" t="s">
        <v>4141</v>
      </c>
      <c r="IE413" s="8" t="s">
        <v>715</v>
      </c>
      <c r="IF413" s="8" t="s">
        <v>445</v>
      </c>
      <c r="IG413" s="8" t="s">
        <v>4136</v>
      </c>
      <c r="IH413" s="8">
        <v>870</v>
      </c>
      <c r="II413" s="8" t="s">
        <v>4137</v>
      </c>
      <c r="IJ413" s="8" t="s">
        <v>1265</v>
      </c>
      <c r="IK413" s="8" t="s">
        <v>445</v>
      </c>
      <c r="IL413" s="9" t="s">
        <v>4138</v>
      </c>
      <c r="IM413" s="8">
        <v>36370</v>
      </c>
      <c r="IN413" s="9" t="s">
        <v>4139</v>
      </c>
      <c r="IO413" s="8" t="s">
        <v>1265</v>
      </c>
      <c r="IP413" s="9" t="s">
        <v>445</v>
      </c>
      <c r="IS413" s="9" t="s">
        <v>4142</v>
      </c>
      <c r="IT413" s="9" t="s">
        <v>1133</v>
      </c>
      <c r="IU413" s="9" t="s">
        <v>350</v>
      </c>
      <c r="JV413" s="7" t="s">
        <v>2718</v>
      </c>
      <c r="JX413" s="7" t="s">
        <v>320</v>
      </c>
      <c r="KG413" s="4" t="s">
        <v>323</v>
      </c>
      <c r="KP413" s="5" t="s">
        <v>358</v>
      </c>
      <c r="KQ413" s="5" t="s">
        <v>4143</v>
      </c>
      <c r="KR413" s="5" t="s">
        <v>4144</v>
      </c>
      <c r="KS413" s="5" t="s">
        <v>4145</v>
      </c>
      <c r="KT413" s="14" t="s">
        <v>4146</v>
      </c>
    </row>
    <row r="414" spans="1:306" ht="36" x14ac:dyDescent="0.25">
      <c r="A414" s="5" t="s">
        <v>5344</v>
      </c>
      <c r="B414" s="4" t="s">
        <v>293</v>
      </c>
      <c r="C414" s="7" t="s">
        <v>294</v>
      </c>
      <c r="D414" s="8" t="s">
        <v>1599</v>
      </c>
      <c r="G414" s="4" t="s">
        <v>479</v>
      </c>
      <c r="J414" s="4" t="s">
        <v>1017</v>
      </c>
      <c r="K414" s="4" t="s">
        <v>298</v>
      </c>
      <c r="L414" s="4" t="s">
        <v>1018</v>
      </c>
      <c r="M414" s="4" t="s">
        <v>1019</v>
      </c>
      <c r="Q414" s="8"/>
      <c r="R414" s="8"/>
      <c r="S414" s="4"/>
      <c r="Z414" s="4" t="s">
        <v>293</v>
      </c>
      <c r="AA414" s="7" t="s">
        <v>294</v>
      </c>
      <c r="AB414" s="8" t="s">
        <v>1599</v>
      </c>
      <c r="AC414" s="4" t="s">
        <v>301</v>
      </c>
      <c r="AD414" s="4" t="s">
        <v>302</v>
      </c>
      <c r="AE414" s="8">
        <v>337</v>
      </c>
      <c r="AF414" s="8">
        <v>2</v>
      </c>
      <c r="AG414" s="4" t="s">
        <v>303</v>
      </c>
      <c r="AH414" s="9" t="s">
        <v>304</v>
      </c>
      <c r="AI414" s="9" t="s">
        <v>598</v>
      </c>
      <c r="AJ414" s="9" t="s">
        <v>599</v>
      </c>
      <c r="AK414" s="9" t="s">
        <v>600</v>
      </c>
      <c r="AM414" s="8">
        <v>5</v>
      </c>
      <c r="DZ414" s="31"/>
      <c r="GP414" s="32"/>
      <c r="GY414" s="6" t="s">
        <v>407</v>
      </c>
      <c r="HD414" s="8" t="s">
        <v>5345</v>
      </c>
      <c r="HE414" s="8">
        <v>36176</v>
      </c>
      <c r="HF414" s="8" t="s">
        <v>5346</v>
      </c>
      <c r="HG414" s="9" t="s">
        <v>1606</v>
      </c>
      <c r="HJ414" s="9" t="s">
        <v>5096</v>
      </c>
      <c r="IB414" s="8" t="s">
        <v>5345</v>
      </c>
      <c r="IC414" s="8">
        <v>36176</v>
      </c>
      <c r="ID414" s="8" t="s">
        <v>5346</v>
      </c>
      <c r="IE414" s="9" t="s">
        <v>1606</v>
      </c>
      <c r="IF414" s="8" t="s">
        <v>319</v>
      </c>
      <c r="II414" s="9" t="s">
        <v>5096</v>
      </c>
      <c r="IK414" s="8" t="s">
        <v>445</v>
      </c>
      <c r="JV414" s="7" t="s">
        <v>767</v>
      </c>
      <c r="JW414" s="7" t="s">
        <v>644</v>
      </c>
      <c r="KQ414" s="5" t="s">
        <v>5347</v>
      </c>
      <c r="KR414" s="5" t="s">
        <v>1609</v>
      </c>
      <c r="KT414" s="5" t="s">
        <v>5348</v>
      </c>
    </row>
    <row r="415" spans="1:306" ht="36" x14ac:dyDescent="0.25">
      <c r="A415" s="5" t="s">
        <v>5424</v>
      </c>
      <c r="B415" s="4" t="s">
        <v>293</v>
      </c>
      <c r="C415" s="7" t="s">
        <v>294</v>
      </c>
      <c r="D415" s="8" t="s">
        <v>1599</v>
      </c>
      <c r="E415" s="4">
        <v>333386</v>
      </c>
      <c r="G415" s="4" t="s">
        <v>479</v>
      </c>
      <c r="H415" s="6">
        <v>145.13079400000001</v>
      </c>
      <c r="I415" s="6">
        <v>-16.519791000000001</v>
      </c>
      <c r="J415" s="4" t="s">
        <v>5425</v>
      </c>
      <c r="K415" s="4" t="s">
        <v>298</v>
      </c>
      <c r="L415" s="4" t="s">
        <v>1018</v>
      </c>
      <c r="Q415" s="7"/>
      <c r="R415" s="7"/>
      <c r="Z415" s="4" t="s">
        <v>293</v>
      </c>
      <c r="AA415" s="7" t="s">
        <v>294</v>
      </c>
      <c r="AB415" s="8" t="s">
        <v>1599</v>
      </c>
      <c r="AC415" s="4" t="s">
        <v>301</v>
      </c>
      <c r="AE415" s="7">
        <v>284.10000000000002</v>
      </c>
      <c r="AF415" s="7">
        <v>1.3</v>
      </c>
      <c r="AG415" s="9" t="s">
        <v>303</v>
      </c>
      <c r="AH415" s="9" t="s">
        <v>304</v>
      </c>
      <c r="AI415" s="9" t="s">
        <v>598</v>
      </c>
      <c r="AJ415" s="9" t="s">
        <v>599</v>
      </c>
      <c r="AK415" s="9" t="s">
        <v>600</v>
      </c>
      <c r="AM415" s="8">
        <v>5</v>
      </c>
      <c r="DZ415" s="31"/>
      <c r="EY415" s="6"/>
      <c r="FA415" s="6"/>
      <c r="FN415" s="9">
        <v>8.0000000000000002E-3</v>
      </c>
      <c r="FT415" s="6">
        <v>83.706000000000003</v>
      </c>
      <c r="GP415" s="32"/>
      <c r="GY415" s="6" t="s">
        <v>338</v>
      </c>
      <c r="GZ415" s="6" t="s">
        <v>916</v>
      </c>
      <c r="HB415" s="6" t="s">
        <v>639</v>
      </c>
      <c r="HC415" s="6" t="s">
        <v>763</v>
      </c>
      <c r="HD415" s="8" t="s">
        <v>1023</v>
      </c>
      <c r="HE415" s="8">
        <v>8404</v>
      </c>
      <c r="HF415" s="8" t="s">
        <v>2739</v>
      </c>
      <c r="HG415" s="8" t="s">
        <v>1025</v>
      </c>
      <c r="HY415" s="9"/>
      <c r="IB415" s="8" t="s">
        <v>1023</v>
      </c>
      <c r="IC415" s="8">
        <v>8404</v>
      </c>
      <c r="ID415" s="8" t="s">
        <v>2739</v>
      </c>
      <c r="IE415" s="8" t="s">
        <v>1025</v>
      </c>
      <c r="IF415" s="8" t="s">
        <v>445</v>
      </c>
      <c r="II415" s="8" t="s">
        <v>5426</v>
      </c>
      <c r="IJ415" s="8" t="s">
        <v>493</v>
      </c>
      <c r="IK415" s="8" t="s">
        <v>445</v>
      </c>
      <c r="IN415" s="9" t="s">
        <v>5427</v>
      </c>
      <c r="IR415" s="9"/>
      <c r="IS415" s="9" t="s">
        <v>5428</v>
      </c>
      <c r="IT415" s="9" t="s">
        <v>493</v>
      </c>
      <c r="IU415" s="9" t="s">
        <v>350</v>
      </c>
      <c r="JV415" s="7" t="s">
        <v>5429</v>
      </c>
      <c r="JX415" s="7" t="s">
        <v>320</v>
      </c>
      <c r="JY415" s="7" t="s">
        <v>321</v>
      </c>
      <c r="JZ415" s="7" t="s">
        <v>322</v>
      </c>
      <c r="KG415" s="4" t="s">
        <v>323</v>
      </c>
      <c r="KM415" s="4" t="s">
        <v>391</v>
      </c>
      <c r="KN415" s="4" t="s">
        <v>391</v>
      </c>
      <c r="KO415" s="4" t="s">
        <v>445</v>
      </c>
      <c r="KP415" s="5" t="s">
        <v>358</v>
      </c>
      <c r="KQ415" s="5" t="s">
        <v>1039</v>
      </c>
      <c r="KS415" s="5" t="s">
        <v>1039</v>
      </c>
      <c r="KT415" s="5" t="s">
        <v>5430</v>
      </c>
    </row>
    <row r="416" spans="1:306" ht="168" x14ac:dyDescent="0.2">
      <c r="A416" s="5" t="s">
        <v>6615</v>
      </c>
      <c r="B416" s="4" t="s">
        <v>293</v>
      </c>
      <c r="C416" s="7" t="s">
        <v>294</v>
      </c>
      <c r="D416" s="8" t="s">
        <v>1599</v>
      </c>
      <c r="E416" s="44">
        <v>859623</v>
      </c>
      <c r="F416" s="4">
        <v>1124865</v>
      </c>
      <c r="G416" s="4" t="s">
        <v>427</v>
      </c>
      <c r="H416" s="6">
        <v>147.12299999999999</v>
      </c>
      <c r="I416" s="6">
        <v>-33.048299999999998</v>
      </c>
      <c r="J416" s="4" t="s">
        <v>6616</v>
      </c>
      <c r="K416" s="4" t="s">
        <v>298</v>
      </c>
      <c r="L416" s="4" t="s">
        <v>299</v>
      </c>
      <c r="M416" s="4" t="s">
        <v>1359</v>
      </c>
      <c r="Q416" s="7"/>
      <c r="R416" s="7"/>
      <c r="Z416" s="4" t="s">
        <v>293</v>
      </c>
      <c r="AA416" s="7" t="s">
        <v>294</v>
      </c>
      <c r="AB416" s="8" t="s">
        <v>1599</v>
      </c>
      <c r="AC416" s="4" t="s">
        <v>301</v>
      </c>
      <c r="AE416" s="7">
        <v>403.2</v>
      </c>
      <c r="AF416" s="7">
        <v>1.1000000000000001</v>
      </c>
      <c r="AG416" s="9" t="s">
        <v>379</v>
      </c>
      <c r="AH416" s="9" t="s">
        <v>429</v>
      </c>
      <c r="AI416" s="9" t="s">
        <v>653</v>
      </c>
      <c r="AJ416" s="9" t="s">
        <v>431</v>
      </c>
      <c r="AK416" s="9" t="s">
        <v>307</v>
      </c>
      <c r="AL416" s="9" t="s">
        <v>6617</v>
      </c>
      <c r="AM416" s="8">
        <v>4</v>
      </c>
      <c r="AS416" s="7"/>
      <c r="AT416" s="7"/>
      <c r="BP416" s="6">
        <v>2.3948000000000001E-2</v>
      </c>
      <c r="DE416" s="6">
        <v>1.86</v>
      </c>
      <c r="DZ416" s="31"/>
      <c r="EY416" s="6"/>
      <c r="FA416" s="6"/>
      <c r="FT416" s="6">
        <f>1000*BP416*DE416/100</f>
        <v>0.44543280000000002</v>
      </c>
      <c r="GP416" s="32"/>
      <c r="GY416" s="6" t="s">
        <v>309</v>
      </c>
      <c r="GZ416" s="6" t="s">
        <v>916</v>
      </c>
      <c r="HC416" s="6" t="s">
        <v>763</v>
      </c>
      <c r="HD416" s="8" t="s">
        <v>6618</v>
      </c>
      <c r="HE416" s="8">
        <v>69898</v>
      </c>
      <c r="HF416" s="8" t="s">
        <v>6619</v>
      </c>
      <c r="HG416" s="9" t="s">
        <v>466</v>
      </c>
      <c r="HH416" s="9" t="s">
        <v>3384</v>
      </c>
      <c r="HI416" s="8">
        <v>8184</v>
      </c>
      <c r="HJ416" s="9" t="s">
        <v>6620</v>
      </c>
      <c r="HK416" s="9" t="s">
        <v>444</v>
      </c>
      <c r="HY416" s="9"/>
      <c r="IB416" s="9" t="s">
        <v>3384</v>
      </c>
      <c r="IC416" s="8">
        <v>8184</v>
      </c>
      <c r="ID416" s="9" t="s">
        <v>6620</v>
      </c>
      <c r="IE416" s="9" t="s">
        <v>444</v>
      </c>
      <c r="IF416" s="8" t="s">
        <v>445</v>
      </c>
      <c r="IG416" s="8" t="s">
        <v>3388</v>
      </c>
      <c r="IH416" s="8">
        <v>1000</v>
      </c>
      <c r="II416" s="8" t="s">
        <v>6621</v>
      </c>
      <c r="IJ416" s="8" t="s">
        <v>444</v>
      </c>
      <c r="IK416" s="8" t="s">
        <v>445</v>
      </c>
      <c r="IL416" s="9" t="s">
        <v>6622</v>
      </c>
      <c r="IM416" s="8">
        <v>16014</v>
      </c>
      <c r="IN416" s="9" t="s">
        <v>6623</v>
      </c>
      <c r="IO416" s="9" t="s">
        <v>444</v>
      </c>
      <c r="IP416" s="9" t="s">
        <v>445</v>
      </c>
      <c r="IQ416" s="9" t="s">
        <v>6624</v>
      </c>
      <c r="IR416" s="8">
        <v>35614</v>
      </c>
      <c r="IS416" s="9" t="s">
        <v>6625</v>
      </c>
      <c r="IW416" s="8"/>
      <c r="JB416" s="8"/>
      <c r="JV416" s="7" t="s">
        <v>6626</v>
      </c>
      <c r="JX416" s="7" t="s">
        <v>320</v>
      </c>
      <c r="JY416" s="7" t="s">
        <v>470</v>
      </c>
      <c r="JZ416" s="7" t="s">
        <v>322</v>
      </c>
      <c r="KG416" s="4" t="s">
        <v>323</v>
      </c>
      <c r="KP416" s="5" t="s">
        <v>6627</v>
      </c>
      <c r="KQ416" s="5" t="s">
        <v>6627</v>
      </c>
      <c r="KR416" s="5" t="s">
        <v>6627</v>
      </c>
      <c r="KS416" s="5" t="s">
        <v>6627</v>
      </c>
      <c r="KT416" s="5" t="s">
        <v>6628</v>
      </c>
    </row>
    <row r="417" spans="1:306" ht="72" x14ac:dyDescent="0.25">
      <c r="A417" s="5" t="s">
        <v>7912</v>
      </c>
      <c r="B417" s="4" t="s">
        <v>293</v>
      </c>
      <c r="C417" s="7" t="s">
        <v>294</v>
      </c>
      <c r="D417" s="8" t="s">
        <v>1599</v>
      </c>
      <c r="E417" s="4">
        <v>333598</v>
      </c>
      <c r="G417" s="4" t="s">
        <v>479</v>
      </c>
      <c r="H417" s="6">
        <v>144.880797</v>
      </c>
      <c r="I417" s="6">
        <v>-16.337592999999998</v>
      </c>
      <c r="J417" s="4" t="s">
        <v>5425</v>
      </c>
      <c r="K417" s="4" t="s">
        <v>298</v>
      </c>
      <c r="L417" s="4" t="s">
        <v>1018</v>
      </c>
      <c r="Q417" s="8"/>
      <c r="R417" s="8"/>
      <c r="S417" s="4"/>
      <c r="Z417" s="4" t="s">
        <v>293</v>
      </c>
      <c r="AA417" s="7" t="s">
        <v>294</v>
      </c>
      <c r="AB417" s="8" t="s">
        <v>1599</v>
      </c>
      <c r="AC417" s="4" t="s">
        <v>301</v>
      </c>
      <c r="AE417" s="8">
        <v>253</v>
      </c>
      <c r="AF417" s="8">
        <v>3</v>
      </c>
      <c r="AG417" s="4" t="s">
        <v>379</v>
      </c>
      <c r="AH417" s="9" t="s">
        <v>429</v>
      </c>
      <c r="AI417" s="9" t="s">
        <v>845</v>
      </c>
      <c r="AJ417" s="9" t="s">
        <v>431</v>
      </c>
      <c r="AM417" s="8">
        <v>3</v>
      </c>
      <c r="BP417" s="7">
        <v>49.2</v>
      </c>
      <c r="DE417" s="6">
        <v>0.14000000000000001</v>
      </c>
      <c r="DZ417" s="31"/>
      <c r="EY417" s="6"/>
      <c r="FA417" s="6"/>
      <c r="FT417" s="6">
        <f>1000*BP417*DE417/100</f>
        <v>68.88000000000001</v>
      </c>
      <c r="GP417" s="32"/>
      <c r="GY417" s="6" t="s">
        <v>338</v>
      </c>
      <c r="GZ417" s="6" t="s">
        <v>916</v>
      </c>
      <c r="HC417" s="6" t="s">
        <v>763</v>
      </c>
      <c r="HD417" s="8" t="s">
        <v>1023</v>
      </c>
      <c r="HE417" s="8">
        <v>8404</v>
      </c>
      <c r="HF417" s="8" t="s">
        <v>7913</v>
      </c>
      <c r="HG417" s="8" t="s">
        <v>1025</v>
      </c>
      <c r="HY417" s="9"/>
      <c r="ID417" s="8" t="s">
        <v>2038</v>
      </c>
      <c r="IE417" s="8" t="s">
        <v>493</v>
      </c>
      <c r="IF417" s="8" t="s">
        <v>445</v>
      </c>
      <c r="IR417" s="9"/>
      <c r="JV417" s="7" t="s">
        <v>7914</v>
      </c>
      <c r="JX417" s="7" t="s">
        <v>322</v>
      </c>
      <c r="KG417" s="4" t="s">
        <v>323</v>
      </c>
      <c r="KM417" s="4" t="s">
        <v>391</v>
      </c>
      <c r="KN417" s="4" t="s">
        <v>391</v>
      </c>
      <c r="KO417" s="4" t="s">
        <v>445</v>
      </c>
      <c r="KP417" s="5" t="s">
        <v>358</v>
      </c>
      <c r="KQ417" s="5" t="s">
        <v>1039</v>
      </c>
      <c r="KS417" s="5" t="s">
        <v>1039</v>
      </c>
      <c r="KT417" s="5" t="s">
        <v>7622</v>
      </c>
    </row>
    <row r="418" spans="1:306" ht="48" x14ac:dyDescent="0.25">
      <c r="A418" s="5" t="s">
        <v>2060</v>
      </c>
      <c r="B418" s="4" t="s">
        <v>293</v>
      </c>
      <c r="C418" s="7" t="s">
        <v>294</v>
      </c>
      <c r="D418" s="8" t="s">
        <v>2002</v>
      </c>
      <c r="E418" s="38">
        <v>865589</v>
      </c>
      <c r="G418" s="4" t="s">
        <v>773</v>
      </c>
      <c r="H418" s="6">
        <v>142.61016437000001</v>
      </c>
      <c r="I418" s="6">
        <v>-37.606493784999998</v>
      </c>
      <c r="J418" s="4" t="s">
        <v>2061</v>
      </c>
      <c r="K418" s="4" t="s">
        <v>298</v>
      </c>
      <c r="L418" s="4" t="s">
        <v>400</v>
      </c>
      <c r="M418" s="4" t="s">
        <v>2062</v>
      </c>
      <c r="Q418" s="8"/>
      <c r="R418" s="8"/>
      <c r="Z418" s="4" t="s">
        <v>293</v>
      </c>
      <c r="AA418" s="7" t="s">
        <v>294</v>
      </c>
      <c r="AB418" s="8" t="s">
        <v>2002</v>
      </c>
      <c r="AC418" s="4" t="s">
        <v>301</v>
      </c>
      <c r="AD418" s="4" t="s">
        <v>375</v>
      </c>
      <c r="AE418" s="8">
        <v>500</v>
      </c>
      <c r="AF418" s="8"/>
      <c r="AG418" s="9" t="s">
        <v>379</v>
      </c>
      <c r="AH418" s="9" t="s">
        <v>1156</v>
      </c>
      <c r="AM418" s="8">
        <v>4</v>
      </c>
      <c r="AN418" s="4" t="s">
        <v>381</v>
      </c>
      <c r="AO418" s="4" t="s">
        <v>382</v>
      </c>
      <c r="AP418" s="4" t="s">
        <v>383</v>
      </c>
      <c r="AQ418" s="7" t="s">
        <v>384</v>
      </c>
      <c r="AR418" s="8" t="s">
        <v>827</v>
      </c>
      <c r="AS418" s="7">
        <v>0</v>
      </c>
      <c r="AT418" s="7">
        <v>0</v>
      </c>
      <c r="AU418" s="9" t="s">
        <v>303</v>
      </c>
      <c r="AV418" s="9" t="s">
        <v>406</v>
      </c>
      <c r="BA418" s="8">
        <v>5</v>
      </c>
      <c r="BP418" s="7">
        <v>9.3000000000000007</v>
      </c>
      <c r="BR418" s="7">
        <v>1.2</v>
      </c>
      <c r="BU418" s="7">
        <v>7.1</v>
      </c>
      <c r="BV418" s="7">
        <v>0.2</v>
      </c>
      <c r="DZ418" s="31"/>
      <c r="EH418" s="10">
        <f>BP418*BR418/100</f>
        <v>0.1116</v>
      </c>
      <c r="EK418" s="10">
        <f>BP418*BU418/1000</f>
        <v>6.6030000000000005E-2</v>
      </c>
      <c r="EL418" s="6">
        <f>BP418*BV418</f>
        <v>1.8600000000000003</v>
      </c>
      <c r="EY418" s="6"/>
      <c r="FA418" s="6"/>
      <c r="GP418" s="32"/>
      <c r="GY418" s="6" t="s">
        <v>338</v>
      </c>
      <c r="GZ418" s="6" t="s">
        <v>994</v>
      </c>
      <c r="HA418" s="6" t="s">
        <v>436</v>
      </c>
      <c r="HB418" s="6" t="s">
        <v>462</v>
      </c>
      <c r="HD418" s="8" t="s">
        <v>2063</v>
      </c>
      <c r="HE418" s="8">
        <v>24575</v>
      </c>
      <c r="HF418" s="8" t="s">
        <v>2064</v>
      </c>
      <c r="HG418" s="8" t="s">
        <v>2065</v>
      </c>
      <c r="HH418" s="8" t="s">
        <v>2066</v>
      </c>
      <c r="HI418" s="8">
        <v>24532</v>
      </c>
      <c r="HJ418" s="8" t="s">
        <v>2067</v>
      </c>
      <c r="HK418" s="9" t="s">
        <v>415</v>
      </c>
      <c r="HL418" s="8"/>
      <c r="HN418" s="9" t="s">
        <v>2068</v>
      </c>
      <c r="HO418" s="9" t="s">
        <v>415</v>
      </c>
      <c r="HQ418" s="9"/>
      <c r="HR418" s="8"/>
      <c r="HY418" s="9"/>
      <c r="IB418" s="8" t="s">
        <v>2063</v>
      </c>
      <c r="IC418" s="8">
        <v>24575</v>
      </c>
      <c r="ID418" s="8" t="s">
        <v>2064</v>
      </c>
      <c r="IE418" s="8" t="s">
        <v>2065</v>
      </c>
      <c r="IF418" s="8" t="s">
        <v>445</v>
      </c>
      <c r="IG418" s="8" t="s">
        <v>2066</v>
      </c>
      <c r="IH418" s="8">
        <v>24532</v>
      </c>
      <c r="II418" s="8" t="s">
        <v>2067</v>
      </c>
      <c r="IJ418" s="9" t="s">
        <v>415</v>
      </c>
      <c r="IK418" s="8" t="s">
        <v>445</v>
      </c>
      <c r="IL418" s="8"/>
      <c r="IN418" s="9" t="s">
        <v>2068</v>
      </c>
      <c r="IO418" s="9" t="s">
        <v>415</v>
      </c>
      <c r="IP418" s="8" t="s">
        <v>445</v>
      </c>
      <c r="JX418" s="7" t="s">
        <v>320</v>
      </c>
      <c r="KG418" s="4" t="s">
        <v>323</v>
      </c>
      <c r="KM418" s="4" t="s">
        <v>471</v>
      </c>
      <c r="KN418" s="4" t="s">
        <v>471</v>
      </c>
      <c r="KP418" s="18" t="s">
        <v>2069</v>
      </c>
      <c r="KQ418" s="5" t="s">
        <v>2070</v>
      </c>
      <c r="KS418" s="5" t="s">
        <v>2071</v>
      </c>
      <c r="KT418" s="5" t="s">
        <v>2072</v>
      </c>
    </row>
    <row r="419" spans="1:306" ht="61.5" x14ac:dyDescent="0.25">
      <c r="A419" s="5" t="s">
        <v>688</v>
      </c>
      <c r="B419" s="4" t="s">
        <v>293</v>
      </c>
      <c r="C419" s="7" t="s">
        <v>294</v>
      </c>
      <c r="D419" s="8" t="s">
        <v>2002</v>
      </c>
      <c r="E419" s="4">
        <v>333599</v>
      </c>
      <c r="G419" s="4" t="s">
        <v>593</v>
      </c>
      <c r="H419" s="6">
        <v>139.00540000000001</v>
      </c>
      <c r="I419" s="6">
        <v>-35.091900000000003</v>
      </c>
      <c r="J419" s="4" t="s">
        <v>688</v>
      </c>
      <c r="K419" s="4" t="s">
        <v>298</v>
      </c>
      <c r="L419" s="4" t="s">
        <v>689</v>
      </c>
      <c r="M419" s="4" t="s">
        <v>688</v>
      </c>
      <c r="Q419" s="8"/>
      <c r="R419" s="8"/>
      <c r="S419" s="4"/>
      <c r="T419" s="4"/>
      <c r="U419" s="4"/>
      <c r="V419" s="4"/>
      <c r="W419" s="4"/>
      <c r="X419" s="4"/>
      <c r="Z419" s="4" t="s">
        <v>293</v>
      </c>
      <c r="AA419" s="7" t="s">
        <v>294</v>
      </c>
      <c r="AB419" s="8" t="s">
        <v>2002</v>
      </c>
      <c r="AC419" s="4" t="s">
        <v>301</v>
      </c>
      <c r="AD419" s="4" t="s">
        <v>302</v>
      </c>
      <c r="AE419" s="8">
        <v>492</v>
      </c>
      <c r="AF419" s="8">
        <v>9</v>
      </c>
      <c r="AG419" s="4" t="s">
        <v>379</v>
      </c>
      <c r="AH419" s="4" t="s">
        <v>335</v>
      </c>
      <c r="AI419" s="4" t="s">
        <v>504</v>
      </c>
      <c r="AJ419" s="4" t="s">
        <v>306</v>
      </c>
      <c r="AK419" s="4" t="s">
        <v>307</v>
      </c>
      <c r="AL419" s="4"/>
      <c r="AM419" s="8">
        <v>4</v>
      </c>
      <c r="BP419" s="7">
        <v>37.224000000000004</v>
      </c>
      <c r="BR419" s="6">
        <v>0.74353266709649701</v>
      </c>
      <c r="BS419" s="7"/>
      <c r="BT419" s="7"/>
      <c r="BV419" s="6">
        <v>0.12719132817537071</v>
      </c>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31"/>
      <c r="EA419" s="4"/>
      <c r="EB419" s="10"/>
      <c r="EC419" s="4"/>
      <c r="ED419" s="4"/>
      <c r="EE419" s="4"/>
      <c r="EF419" s="4"/>
      <c r="EG419" s="4"/>
      <c r="EH419" s="16">
        <f>BP419*BR419/100</f>
        <v>0.27677260000000009</v>
      </c>
      <c r="EI419" s="4"/>
      <c r="EJ419" s="4"/>
      <c r="EK419" s="4"/>
      <c r="EL419" s="16">
        <f>BP419*BV419</f>
        <v>4.7345699999999997</v>
      </c>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32"/>
      <c r="GQ419" s="4"/>
      <c r="GR419" s="4"/>
      <c r="GS419" s="4"/>
      <c r="GT419" s="4"/>
      <c r="GU419" s="4"/>
      <c r="GV419" s="4"/>
      <c r="GW419" s="4"/>
      <c r="GX419" s="4"/>
      <c r="GY419" s="4" t="s">
        <v>338</v>
      </c>
      <c r="GZ419" s="4" t="s">
        <v>994</v>
      </c>
      <c r="HA419" s="4" t="s">
        <v>436</v>
      </c>
      <c r="HB419" s="4"/>
      <c r="HC419" s="4" t="s">
        <v>462</v>
      </c>
      <c r="HD419" s="4" t="s">
        <v>693</v>
      </c>
      <c r="HE419" s="4">
        <v>26926</v>
      </c>
      <c r="HF419" s="4" t="s">
        <v>694</v>
      </c>
      <c r="HG419" s="4" t="s">
        <v>695</v>
      </c>
      <c r="HH419" s="4"/>
      <c r="HJ419" s="4"/>
      <c r="HK419" s="4"/>
      <c r="HL419" s="4"/>
      <c r="HN419" s="4"/>
      <c r="HO419" s="4"/>
      <c r="HP419" s="4"/>
      <c r="HR419" s="4"/>
      <c r="HS419" s="4"/>
      <c r="HT419" s="4"/>
      <c r="HU419" s="4"/>
      <c r="HV419" s="4"/>
      <c r="HW419" s="4"/>
      <c r="HX419" s="4"/>
      <c r="HY419" s="4"/>
      <c r="HZ419" s="4"/>
      <c r="IA419" s="4"/>
      <c r="IB419" s="4" t="s">
        <v>2037</v>
      </c>
      <c r="IC419" s="4"/>
      <c r="ID419" s="4" t="s">
        <v>4490</v>
      </c>
      <c r="IE419" s="4" t="s">
        <v>4491</v>
      </c>
      <c r="IF419" s="4" t="s">
        <v>329</v>
      </c>
      <c r="IG419" s="4"/>
      <c r="IH419" s="4"/>
      <c r="II419" s="4"/>
      <c r="IJ419" s="4"/>
      <c r="IK419" s="4"/>
      <c r="IL419" s="4"/>
      <c r="IM419" s="4"/>
      <c r="IN419" s="4"/>
      <c r="IO419" s="4"/>
      <c r="IP419" s="4"/>
      <c r="IQ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4"/>
      <c r="JU419" s="4"/>
      <c r="JV419" s="4" t="s">
        <v>4492</v>
      </c>
      <c r="JW419" s="4"/>
      <c r="JX419" s="4" t="s">
        <v>322</v>
      </c>
      <c r="JY419" s="4" t="s">
        <v>354</v>
      </c>
      <c r="JZ419" s="4" t="s">
        <v>320</v>
      </c>
      <c r="KA419" s="4"/>
      <c r="KB419" s="4"/>
      <c r="KC419" s="4"/>
      <c r="KD419" s="4"/>
      <c r="KE419" s="4"/>
      <c r="KF419" s="4"/>
      <c r="KG419" s="4" t="s">
        <v>323</v>
      </c>
      <c r="KM419" s="4" t="s">
        <v>702</v>
      </c>
      <c r="KN419" s="4" t="s">
        <v>702</v>
      </c>
      <c r="KP419" s="5" t="s">
        <v>358</v>
      </c>
      <c r="KQ419" s="5" t="s">
        <v>4493</v>
      </c>
      <c r="KS419" s="5" t="s">
        <v>4494</v>
      </c>
      <c r="KT419" s="5" t="s">
        <v>4495</v>
      </c>
    </row>
    <row r="420" spans="1:306" ht="24" x14ac:dyDescent="0.25">
      <c r="A420" s="5" t="s">
        <v>2635</v>
      </c>
      <c r="B420" s="4" t="s">
        <v>293</v>
      </c>
      <c r="G420" s="4" t="s">
        <v>479</v>
      </c>
      <c r="J420" s="4" t="s">
        <v>1017</v>
      </c>
      <c r="K420" s="4" t="s">
        <v>298</v>
      </c>
      <c r="L420" s="4" t="s">
        <v>1018</v>
      </c>
      <c r="M420" s="4" t="s">
        <v>1019</v>
      </c>
      <c r="Q420" s="8"/>
      <c r="R420" s="8"/>
      <c r="S420" s="4"/>
      <c r="Z420" s="4" t="s">
        <v>293</v>
      </c>
      <c r="AC420" s="4" t="s">
        <v>301</v>
      </c>
      <c r="AE420" s="8">
        <v>325</v>
      </c>
      <c r="AF420" s="8">
        <v>5</v>
      </c>
      <c r="AG420" s="4" t="s">
        <v>379</v>
      </c>
      <c r="AH420" s="9" t="s">
        <v>429</v>
      </c>
      <c r="AI420" s="9" t="s">
        <v>845</v>
      </c>
      <c r="AJ420" s="9" t="s">
        <v>431</v>
      </c>
      <c r="AM420" s="8">
        <v>4</v>
      </c>
      <c r="DZ420" s="31"/>
      <c r="EY420" s="6"/>
      <c r="FA420" s="6"/>
      <c r="GP420" s="32"/>
      <c r="GY420" s="31" t="s">
        <v>407</v>
      </c>
      <c r="HG420" s="8"/>
      <c r="HY420" s="9"/>
      <c r="IR420" s="9"/>
      <c r="JV420" s="7" t="s">
        <v>2573</v>
      </c>
      <c r="KP420" s="5" t="s">
        <v>358</v>
      </c>
      <c r="KQ420" s="5" t="s">
        <v>1039</v>
      </c>
      <c r="KR420" s="5" t="s">
        <v>1039</v>
      </c>
      <c r="KT420" s="5" t="s">
        <v>2636</v>
      </c>
    </row>
    <row r="421" spans="1:306" ht="24" x14ac:dyDescent="0.25">
      <c r="A421" s="5" t="s">
        <v>6521</v>
      </c>
      <c r="B421" s="4" t="s">
        <v>293</v>
      </c>
      <c r="E421" s="4">
        <v>788670</v>
      </c>
      <c r="G421" s="4" t="s">
        <v>479</v>
      </c>
      <c r="H421" s="6">
        <v>145.00996111110001</v>
      </c>
      <c r="I421" s="6">
        <v>-17.5049833333</v>
      </c>
      <c r="J421" s="4" t="s">
        <v>1017</v>
      </c>
      <c r="K421" s="4" t="s">
        <v>298</v>
      </c>
      <c r="L421" s="4" t="s">
        <v>1018</v>
      </c>
      <c r="M421" s="4" t="s">
        <v>1019</v>
      </c>
      <c r="Q421" s="8"/>
      <c r="R421" s="8"/>
      <c r="S421" s="4"/>
      <c r="Z421" s="4" t="s">
        <v>293</v>
      </c>
      <c r="AC421" s="4" t="s">
        <v>301</v>
      </c>
      <c r="AE421" s="8">
        <v>327</v>
      </c>
      <c r="AF421" s="8">
        <v>5</v>
      </c>
      <c r="AG421" s="4" t="s">
        <v>379</v>
      </c>
      <c r="AH421" s="9" t="s">
        <v>429</v>
      </c>
      <c r="AI421" s="9" t="s">
        <v>845</v>
      </c>
      <c r="AJ421" s="9" t="s">
        <v>431</v>
      </c>
      <c r="AM421" s="8">
        <v>4</v>
      </c>
      <c r="DZ421" s="31"/>
      <c r="EY421" s="6"/>
      <c r="FA421" s="6"/>
      <c r="GP421" s="32"/>
      <c r="GY421" s="6" t="s">
        <v>407</v>
      </c>
      <c r="HG421" s="8"/>
      <c r="HY421" s="9"/>
      <c r="IR421" s="9"/>
      <c r="JV421" s="7" t="s">
        <v>2573</v>
      </c>
      <c r="KP421" s="5" t="s">
        <v>358</v>
      </c>
      <c r="KQ421" s="5" t="s">
        <v>1039</v>
      </c>
      <c r="KR421" s="5" t="s">
        <v>1039</v>
      </c>
      <c r="KT421" s="5" t="s">
        <v>2636</v>
      </c>
    </row>
    <row r="422" spans="1:306" ht="48" x14ac:dyDescent="0.2">
      <c r="A422" s="5" t="s">
        <v>7603</v>
      </c>
      <c r="B422" s="4" t="s">
        <v>293</v>
      </c>
      <c r="E422" s="44">
        <v>859631</v>
      </c>
      <c r="F422" s="4">
        <v>1153787</v>
      </c>
      <c r="G422" s="4" t="s">
        <v>479</v>
      </c>
      <c r="H422" s="6">
        <v>145.01319699999999</v>
      </c>
      <c r="I422" s="6">
        <v>-17.46707</v>
      </c>
      <c r="J422" s="4" t="s">
        <v>1017</v>
      </c>
      <c r="K422" s="4" t="s">
        <v>298</v>
      </c>
      <c r="L422" s="4" t="s">
        <v>1018</v>
      </c>
      <c r="M422" s="4" t="s">
        <v>1019</v>
      </c>
      <c r="Q422" s="8"/>
      <c r="R422" s="8"/>
      <c r="S422" s="4"/>
      <c r="Z422" s="4" t="s">
        <v>293</v>
      </c>
      <c r="AC422" s="4" t="s">
        <v>301</v>
      </c>
      <c r="AE422" s="8">
        <v>317</v>
      </c>
      <c r="AF422" s="8">
        <v>5</v>
      </c>
      <c r="AG422" s="4" t="s">
        <v>379</v>
      </c>
      <c r="AH422" s="9" t="s">
        <v>429</v>
      </c>
      <c r="AI422" s="9" t="s">
        <v>845</v>
      </c>
      <c r="AJ422" s="9" t="s">
        <v>431</v>
      </c>
      <c r="AM422" s="8">
        <v>4</v>
      </c>
      <c r="DZ422" s="31"/>
      <c r="EY422" s="6"/>
      <c r="FA422" s="6"/>
      <c r="GP422" s="32"/>
      <c r="GY422" s="31" t="s">
        <v>407</v>
      </c>
      <c r="HG422" s="8"/>
      <c r="HY422" s="9"/>
      <c r="IR422" s="9"/>
      <c r="JV422" s="7" t="s">
        <v>2573</v>
      </c>
      <c r="KP422" s="5" t="s">
        <v>358</v>
      </c>
      <c r="KQ422" s="5" t="s">
        <v>1039</v>
      </c>
      <c r="KR422" s="5" t="s">
        <v>1039</v>
      </c>
      <c r="KT422" s="5" t="s">
        <v>7604</v>
      </c>
    </row>
    <row r="423" spans="1:306" ht="60" x14ac:dyDescent="0.25">
      <c r="A423" s="5" t="s">
        <v>1898</v>
      </c>
      <c r="B423" s="4" t="s">
        <v>1899</v>
      </c>
      <c r="C423" s="7" t="s">
        <v>3797</v>
      </c>
      <c r="D423" s="7" t="s">
        <v>3797</v>
      </c>
      <c r="E423" s="38">
        <v>437427</v>
      </c>
      <c r="G423" s="4" t="s">
        <v>593</v>
      </c>
      <c r="H423" s="6">
        <v>135.1217</v>
      </c>
      <c r="I423" s="6">
        <v>-29.29861</v>
      </c>
      <c r="J423" s="29" t="s">
        <v>1900</v>
      </c>
      <c r="K423" s="29" t="s">
        <v>595</v>
      </c>
      <c r="L423" s="29" t="s">
        <v>596</v>
      </c>
      <c r="M423" s="29" t="s">
        <v>1901</v>
      </c>
      <c r="O423" s="7"/>
      <c r="Q423" s="8"/>
      <c r="R423" s="8"/>
      <c r="Z423" s="4" t="s">
        <v>1899</v>
      </c>
      <c r="AA423" s="7" t="s">
        <v>3797</v>
      </c>
      <c r="AB423" s="7" t="s">
        <v>3797</v>
      </c>
      <c r="AC423" s="4" t="s">
        <v>301</v>
      </c>
      <c r="AD423" s="4" t="s">
        <v>1902</v>
      </c>
      <c r="AE423" s="8">
        <v>1581</v>
      </c>
      <c r="AF423" s="8">
        <v>13</v>
      </c>
      <c r="AG423" s="9" t="s">
        <v>303</v>
      </c>
      <c r="AH423" s="9" t="s">
        <v>335</v>
      </c>
      <c r="AI423" s="9" t="s">
        <v>373</v>
      </c>
      <c r="AJ423" s="9" t="s">
        <v>306</v>
      </c>
      <c r="AK423" s="9" t="s">
        <v>1903</v>
      </c>
      <c r="AL423" s="9" t="s">
        <v>308</v>
      </c>
      <c r="AM423" s="8">
        <v>4</v>
      </c>
      <c r="AN423" s="4" t="s">
        <v>381</v>
      </c>
      <c r="AO423" s="4" t="s">
        <v>382</v>
      </c>
      <c r="AP423" s="4" t="s">
        <v>424</v>
      </c>
      <c r="AQ423" s="7" t="s">
        <v>425</v>
      </c>
      <c r="AR423" s="8" t="s">
        <v>10244</v>
      </c>
      <c r="AS423" s="8">
        <v>1489</v>
      </c>
      <c r="AT423" s="8">
        <v>3</v>
      </c>
      <c r="AU423" s="9" t="s">
        <v>1905</v>
      </c>
      <c r="AV423" s="9" t="s">
        <v>1906</v>
      </c>
      <c r="AW423" s="9" t="s">
        <v>504</v>
      </c>
      <c r="AX423" s="9" t="s">
        <v>306</v>
      </c>
      <c r="AY423" s="9" t="s">
        <v>1080</v>
      </c>
      <c r="AZ423" s="9" t="s">
        <v>308</v>
      </c>
      <c r="BA423" s="8">
        <v>1</v>
      </c>
      <c r="BP423" s="7">
        <v>14.3</v>
      </c>
      <c r="BR423" s="6">
        <v>0.28999999999999998</v>
      </c>
      <c r="BV423" s="6">
        <v>0.09</v>
      </c>
      <c r="CJ423" s="6">
        <v>50.6</v>
      </c>
      <c r="DZ423" s="31"/>
      <c r="EH423" s="10">
        <f>BP423*BR423/100</f>
        <v>4.147E-2</v>
      </c>
      <c r="EL423" s="6">
        <f>BP423*BV423</f>
        <v>1.2869999999999999</v>
      </c>
      <c r="EY423" s="6">
        <f>CJ423/100*BP423</f>
        <v>7.2358000000000002</v>
      </c>
      <c r="GP423" s="32"/>
      <c r="GY423" s="6" t="s">
        <v>338</v>
      </c>
      <c r="GZ423" s="6" t="s">
        <v>386</v>
      </c>
      <c r="HA423" s="6" t="s">
        <v>994</v>
      </c>
      <c r="HB423" s="6" t="s">
        <v>436</v>
      </c>
      <c r="HD423" s="8" t="s">
        <v>1907</v>
      </c>
      <c r="HF423" s="8" t="s">
        <v>1908</v>
      </c>
      <c r="HG423" s="9" t="s">
        <v>1909</v>
      </c>
      <c r="HH423" s="9" t="s">
        <v>1910</v>
      </c>
      <c r="HK423" s="9" t="s">
        <v>1909</v>
      </c>
      <c r="IB423" s="8" t="s">
        <v>1911</v>
      </c>
      <c r="IC423" s="8">
        <v>1011</v>
      </c>
      <c r="ID423" s="8" t="s">
        <v>1912</v>
      </c>
      <c r="IE423" s="8" t="s">
        <v>487</v>
      </c>
      <c r="JX423" s="7" t="s">
        <v>353</v>
      </c>
      <c r="JY423" s="7" t="s">
        <v>448</v>
      </c>
      <c r="JZ423" s="7" t="s">
        <v>320</v>
      </c>
      <c r="KA423" s="7" t="s">
        <v>354</v>
      </c>
      <c r="KB423" s="7" t="s">
        <v>322</v>
      </c>
      <c r="KM423" s="4" t="s">
        <v>1192</v>
      </c>
      <c r="KN423" s="4" t="s">
        <v>1192</v>
      </c>
      <c r="KP423" s="5" t="s">
        <v>1913</v>
      </c>
      <c r="KQ423" s="5" t="s">
        <v>1913</v>
      </c>
      <c r="KR423" s="5" t="s">
        <v>1913</v>
      </c>
      <c r="KS423" s="5" t="s">
        <v>1914</v>
      </c>
      <c r="KT423" s="5" t="s">
        <v>1915</v>
      </c>
    </row>
    <row r="424" spans="1:306" ht="204" x14ac:dyDescent="0.25">
      <c r="A424" s="5" t="s">
        <v>5861</v>
      </c>
      <c r="B424" s="6" t="s">
        <v>476</v>
      </c>
      <c r="C424" s="7" t="s">
        <v>477</v>
      </c>
      <c r="D424" s="7" t="s">
        <v>5862</v>
      </c>
      <c r="E424" s="4">
        <v>335066</v>
      </c>
      <c r="G424" s="4" t="s">
        <v>330</v>
      </c>
      <c r="H424" s="6">
        <v>117.9</v>
      </c>
      <c r="I424" s="6">
        <v>-23.431999999999999</v>
      </c>
      <c r="J424" s="4" t="s">
        <v>5863</v>
      </c>
      <c r="K424" s="4" t="s">
        <v>331</v>
      </c>
      <c r="L424" s="4" t="s">
        <v>5864</v>
      </c>
      <c r="O424" s="7"/>
      <c r="Q424" s="8"/>
      <c r="R424" s="8"/>
      <c r="Z424" s="6" t="s">
        <v>476</v>
      </c>
      <c r="AA424" s="7" t="s">
        <v>477</v>
      </c>
      <c r="AB424" s="7" t="s">
        <v>5862</v>
      </c>
      <c r="AC424" s="4" t="s">
        <v>301</v>
      </c>
      <c r="AD424" s="4" t="s">
        <v>375</v>
      </c>
      <c r="AE424" s="8">
        <v>1769</v>
      </c>
      <c r="AF424" s="8">
        <v>5</v>
      </c>
      <c r="AG424" s="9" t="s">
        <v>379</v>
      </c>
      <c r="AH424" s="9" t="s">
        <v>335</v>
      </c>
      <c r="AI424" s="9" t="s">
        <v>336</v>
      </c>
      <c r="AJ424" s="9" t="s">
        <v>306</v>
      </c>
      <c r="AK424" s="9" t="s">
        <v>307</v>
      </c>
      <c r="AL424" s="9" t="s">
        <v>337</v>
      </c>
      <c r="AM424" s="8">
        <v>4</v>
      </c>
      <c r="AN424" s="4" t="s">
        <v>381</v>
      </c>
      <c r="AO424" s="4" t="s">
        <v>382</v>
      </c>
      <c r="AP424" s="4" t="s">
        <v>383</v>
      </c>
      <c r="AQ424" s="7" t="s">
        <v>384</v>
      </c>
      <c r="AR424" s="8" t="s">
        <v>433</v>
      </c>
      <c r="AS424" s="7">
        <v>0</v>
      </c>
      <c r="AT424" s="7">
        <v>0</v>
      </c>
      <c r="AU424" s="9" t="s">
        <v>303</v>
      </c>
      <c r="AV424" s="9" t="s">
        <v>406</v>
      </c>
      <c r="BA424" s="8">
        <v>5</v>
      </c>
      <c r="BG424" s="8"/>
      <c r="BH424" s="8"/>
      <c r="BP424" s="7">
        <v>24.530999999999999</v>
      </c>
      <c r="BQ424" s="7"/>
      <c r="BV424" s="7">
        <v>2.5174024703436468</v>
      </c>
      <c r="DZ424" s="31"/>
      <c r="EL424" s="8">
        <v>61.754399999999997</v>
      </c>
      <c r="FA424" s="6"/>
      <c r="GP424" s="32"/>
      <c r="GY424" s="31" t="s">
        <v>407</v>
      </c>
      <c r="GZ424" s="6" t="s">
        <v>436</v>
      </c>
      <c r="HC424" s="6" t="s">
        <v>5865</v>
      </c>
      <c r="HD424" s="8" t="s">
        <v>5866</v>
      </c>
      <c r="HE424" s="8">
        <v>12923</v>
      </c>
      <c r="HF424" s="8" t="s">
        <v>5867</v>
      </c>
      <c r="HG424" s="9" t="s">
        <v>538</v>
      </c>
      <c r="HH424" s="9" t="s">
        <v>5868</v>
      </c>
      <c r="HI424" s="8">
        <v>26528</v>
      </c>
      <c r="HJ424" s="9" t="s">
        <v>5869</v>
      </c>
      <c r="HK424" s="9" t="s">
        <v>538</v>
      </c>
      <c r="IM424" s="9"/>
      <c r="IR424" s="9"/>
      <c r="JV424" s="7" t="s">
        <v>5870</v>
      </c>
      <c r="JW424" s="7" t="s">
        <v>2831</v>
      </c>
      <c r="JX424" s="7" t="s">
        <v>320</v>
      </c>
      <c r="KG424" s="4" t="s">
        <v>2775</v>
      </c>
      <c r="KH424" s="4" t="s">
        <v>1317</v>
      </c>
      <c r="KI424" s="4" t="s">
        <v>5871</v>
      </c>
      <c r="KJ424" s="4" t="s">
        <v>1317</v>
      </c>
      <c r="KM424" s="4" t="s">
        <v>391</v>
      </c>
      <c r="KN424" s="4" t="s">
        <v>391</v>
      </c>
      <c r="KP424" s="5" t="s">
        <v>358</v>
      </c>
      <c r="KQ424" s="5" t="s">
        <v>5872</v>
      </c>
      <c r="KR424" s="5" t="s">
        <v>5873</v>
      </c>
      <c r="KT424" s="5" t="s">
        <v>5874</v>
      </c>
    </row>
    <row r="425" spans="1:306" ht="72" x14ac:dyDescent="0.25">
      <c r="A425" s="5" t="s">
        <v>2769</v>
      </c>
      <c r="B425" s="4" t="s">
        <v>476</v>
      </c>
      <c r="C425" s="7" t="s">
        <v>477</v>
      </c>
      <c r="D425" s="8" t="s">
        <v>2770</v>
      </c>
      <c r="E425" s="4">
        <v>335210</v>
      </c>
      <c r="G425" s="4" t="s">
        <v>427</v>
      </c>
      <c r="H425" s="6">
        <f>147+1.5*(5.82/(9.5+3.9))</f>
        <v>147.65149253731343</v>
      </c>
      <c r="I425" s="6">
        <f>-(34+8.34/10.8)</f>
        <v>-34.772222222222226</v>
      </c>
      <c r="K425" s="4" t="s">
        <v>298</v>
      </c>
      <c r="L425" s="4" t="s">
        <v>299</v>
      </c>
      <c r="M425" s="4" t="s">
        <v>1359</v>
      </c>
      <c r="N425" s="4" t="s">
        <v>1360</v>
      </c>
      <c r="Q425" s="8"/>
      <c r="R425" s="8"/>
      <c r="Z425" s="4" t="s">
        <v>476</v>
      </c>
      <c r="AA425" s="7" t="s">
        <v>477</v>
      </c>
      <c r="AB425" s="8" t="s">
        <v>2770</v>
      </c>
      <c r="AC425" s="4" t="s">
        <v>301</v>
      </c>
      <c r="AD425" s="4" t="s">
        <v>375</v>
      </c>
      <c r="AE425" s="8">
        <v>436</v>
      </c>
      <c r="AF425" s="8"/>
      <c r="AG425" s="9" t="s">
        <v>379</v>
      </c>
      <c r="AH425" s="9" t="s">
        <v>380</v>
      </c>
      <c r="AM425" s="8">
        <v>3</v>
      </c>
      <c r="AN425" s="4" t="s">
        <v>381</v>
      </c>
      <c r="AO425" s="4" t="s">
        <v>382</v>
      </c>
      <c r="AP425" s="4" t="s">
        <v>383</v>
      </c>
      <c r="AQ425" s="7" t="s">
        <v>384</v>
      </c>
      <c r="AR425" s="8" t="s">
        <v>433</v>
      </c>
      <c r="AS425" s="7">
        <v>0</v>
      </c>
      <c r="AT425" s="7">
        <v>0</v>
      </c>
      <c r="AU425" s="9" t="s">
        <v>303</v>
      </c>
      <c r="AV425" s="9" t="s">
        <v>406</v>
      </c>
      <c r="BA425" s="8">
        <v>5</v>
      </c>
      <c r="BP425" s="7">
        <v>2.08</v>
      </c>
      <c r="BV425" s="6">
        <v>1.1499999999999999</v>
      </c>
      <c r="DZ425" s="31"/>
      <c r="EL425" s="6">
        <f>BP425*BV425</f>
        <v>2.3919999999999999</v>
      </c>
      <c r="GP425" s="32"/>
      <c r="GY425" s="6" t="s">
        <v>338</v>
      </c>
      <c r="GZ425" s="6" t="s">
        <v>436</v>
      </c>
      <c r="HC425" s="6" t="s">
        <v>2771</v>
      </c>
      <c r="HD425" s="8" t="s">
        <v>2772</v>
      </c>
      <c r="HE425" s="8">
        <v>29578</v>
      </c>
      <c r="HF425" s="8" t="s">
        <v>2773</v>
      </c>
      <c r="HG425" s="9" t="s">
        <v>440</v>
      </c>
      <c r="IB425" s="8" t="s">
        <v>2772</v>
      </c>
      <c r="IC425" s="8">
        <v>29578</v>
      </c>
      <c r="ID425" s="8" t="s">
        <v>2773</v>
      </c>
      <c r="IE425" s="9" t="s">
        <v>440</v>
      </c>
      <c r="IF425" s="9" t="s">
        <v>445</v>
      </c>
      <c r="II425" s="9"/>
      <c r="IJ425" s="9"/>
      <c r="IW425" s="8"/>
      <c r="JB425" s="8"/>
      <c r="JV425" s="7" t="s">
        <v>2774</v>
      </c>
      <c r="JX425" s="7" t="s">
        <v>320</v>
      </c>
      <c r="KG425" s="4" t="s">
        <v>2775</v>
      </c>
      <c r="KH425" s="4" t="s">
        <v>1317</v>
      </c>
      <c r="KI425" s="4" t="s">
        <v>356</v>
      </c>
      <c r="KJ425" s="4" t="s">
        <v>1317</v>
      </c>
      <c r="KP425" s="5" t="s">
        <v>2776</v>
      </c>
      <c r="KQ425" s="5" t="s">
        <v>2777</v>
      </c>
      <c r="KS425" s="5" t="s">
        <v>2778</v>
      </c>
      <c r="KT425" s="5" t="s">
        <v>718</v>
      </c>
    </row>
    <row r="426" spans="1:306" ht="36" x14ac:dyDescent="0.2">
      <c r="A426" s="5" t="s">
        <v>3070</v>
      </c>
      <c r="B426" s="4" t="s">
        <v>476</v>
      </c>
      <c r="C426" s="7" t="s">
        <v>477</v>
      </c>
      <c r="D426" s="8" t="s">
        <v>2770</v>
      </c>
      <c r="E426" s="44">
        <v>859598</v>
      </c>
      <c r="F426" s="4">
        <v>1125253</v>
      </c>
      <c r="G426" s="4" t="s">
        <v>427</v>
      </c>
      <c r="H426" s="6">
        <v>147.45099999999999</v>
      </c>
      <c r="I426" s="6">
        <v>-33.685299999999998</v>
      </c>
      <c r="J426" s="4" t="s">
        <v>2076</v>
      </c>
      <c r="K426" s="4" t="s">
        <v>298</v>
      </c>
      <c r="L426" s="4" t="s">
        <v>299</v>
      </c>
      <c r="M426" s="4" t="s">
        <v>1359</v>
      </c>
      <c r="N426" s="4" t="s">
        <v>1360</v>
      </c>
      <c r="Q426" s="7"/>
      <c r="R426" s="7"/>
      <c r="S426" s="4"/>
      <c r="Z426" s="4" t="s">
        <v>476</v>
      </c>
      <c r="AA426" s="7" t="s">
        <v>477</v>
      </c>
      <c r="AB426" s="8" t="s">
        <v>2770</v>
      </c>
      <c r="AC426" s="4" t="s">
        <v>301</v>
      </c>
      <c r="AD426" s="4" t="s">
        <v>302</v>
      </c>
      <c r="AE426" s="7">
        <v>465.6</v>
      </c>
      <c r="AF426" s="7">
        <v>4.7</v>
      </c>
      <c r="AG426" s="4" t="s">
        <v>379</v>
      </c>
      <c r="AH426" s="9" t="s">
        <v>429</v>
      </c>
      <c r="AI426" s="9" t="s">
        <v>430</v>
      </c>
      <c r="AJ426" s="9" t="s">
        <v>431</v>
      </c>
      <c r="AK426" s="9" t="s">
        <v>432</v>
      </c>
      <c r="AM426" s="8">
        <v>3</v>
      </c>
      <c r="AS426" s="7"/>
      <c r="AT426" s="7"/>
      <c r="DZ426" s="31"/>
      <c r="EY426" s="6"/>
      <c r="FA426" s="6"/>
      <c r="GP426" s="32"/>
      <c r="GY426" s="6" t="s">
        <v>407</v>
      </c>
      <c r="HD426" s="8" t="s">
        <v>2077</v>
      </c>
      <c r="HE426" s="8">
        <v>37285</v>
      </c>
      <c r="HF426" s="8" t="s">
        <v>3071</v>
      </c>
      <c r="HG426" s="9" t="s">
        <v>466</v>
      </c>
      <c r="HY426" s="9"/>
      <c r="IB426" s="8" t="s">
        <v>2077</v>
      </c>
      <c r="IC426" s="8">
        <v>37285</v>
      </c>
      <c r="ID426" s="8" t="s">
        <v>3071</v>
      </c>
      <c r="IE426" s="9" t="s">
        <v>466</v>
      </c>
      <c r="IF426" s="8" t="s">
        <v>445</v>
      </c>
      <c r="IW426" s="8"/>
      <c r="JB426" s="8"/>
      <c r="JV426" s="7" t="s">
        <v>3072</v>
      </c>
      <c r="KG426" s="4" t="s">
        <v>2775</v>
      </c>
      <c r="KH426" s="4" t="s">
        <v>1317</v>
      </c>
      <c r="KP426" s="5" t="s">
        <v>3073</v>
      </c>
      <c r="KQ426" s="5" t="s">
        <v>3074</v>
      </c>
      <c r="KR426" s="5" t="s">
        <v>3075</v>
      </c>
    </row>
    <row r="427" spans="1:306" ht="73.5" x14ac:dyDescent="0.25">
      <c r="A427" s="5" t="s">
        <v>3436</v>
      </c>
      <c r="B427" s="4" t="s">
        <v>476</v>
      </c>
      <c r="C427" s="7" t="s">
        <v>477</v>
      </c>
      <c r="D427" s="8" t="s">
        <v>2770</v>
      </c>
      <c r="E427" s="4">
        <v>339082</v>
      </c>
      <c r="G427" s="4" t="s">
        <v>427</v>
      </c>
      <c r="H427" s="6">
        <v>147.45550299999999</v>
      </c>
      <c r="I427" s="6">
        <v>-34.323605440000001</v>
      </c>
      <c r="J427" s="4" t="s">
        <v>2514</v>
      </c>
      <c r="K427" s="4" t="s">
        <v>298</v>
      </c>
      <c r="L427" s="4" t="s">
        <v>299</v>
      </c>
      <c r="M427" s="4" t="s">
        <v>1359</v>
      </c>
      <c r="N427" s="4" t="s">
        <v>1360</v>
      </c>
      <c r="Q427" s="8"/>
      <c r="R427" s="8"/>
      <c r="Z427" s="4" t="s">
        <v>476</v>
      </c>
      <c r="AA427" s="7" t="s">
        <v>477</v>
      </c>
      <c r="AB427" s="8" t="s">
        <v>2770</v>
      </c>
      <c r="AC427" s="4" t="s">
        <v>301</v>
      </c>
      <c r="AD427" s="4" t="s">
        <v>382</v>
      </c>
      <c r="AE427" s="8">
        <v>436</v>
      </c>
      <c r="AF427" s="8">
        <v>3</v>
      </c>
      <c r="AG427" s="9" t="s">
        <v>379</v>
      </c>
      <c r="AH427" s="9" t="s">
        <v>335</v>
      </c>
      <c r="AI427" s="9" t="s">
        <v>373</v>
      </c>
      <c r="AJ427" s="9" t="s">
        <v>306</v>
      </c>
      <c r="AK427" s="9" t="s">
        <v>307</v>
      </c>
      <c r="AL427" s="9" t="s">
        <v>337</v>
      </c>
      <c r="AM427" s="8">
        <v>3</v>
      </c>
      <c r="AN427" s="4" t="s">
        <v>381</v>
      </c>
      <c r="AO427" s="4" t="s">
        <v>382</v>
      </c>
      <c r="AP427" s="4" t="s">
        <v>383</v>
      </c>
      <c r="AQ427" s="7" t="s">
        <v>384</v>
      </c>
      <c r="AR427" s="8" t="s">
        <v>433</v>
      </c>
      <c r="AS427" s="7">
        <v>0</v>
      </c>
      <c r="AT427" s="7">
        <v>0</v>
      </c>
      <c r="AU427" s="9" t="s">
        <v>303</v>
      </c>
      <c r="AV427" s="9" t="s">
        <v>406</v>
      </c>
      <c r="BA427" s="8">
        <v>5</v>
      </c>
      <c r="BP427" s="7">
        <f>10.23+8</f>
        <v>18.23</v>
      </c>
      <c r="BV427" s="6">
        <f>(10.23*2.06+8*1.5)/(10.23+8)</f>
        <v>1.8142512342292927</v>
      </c>
      <c r="DZ427" s="31"/>
      <c r="EL427" s="6">
        <f>BP427*BV427</f>
        <v>33.073800000000006</v>
      </c>
      <c r="EY427" s="6"/>
      <c r="FA427" s="6"/>
      <c r="GP427" s="32"/>
      <c r="GY427" s="6" t="s">
        <v>435</v>
      </c>
      <c r="GZ427" s="6" t="s">
        <v>436</v>
      </c>
      <c r="HC427" s="6" t="s">
        <v>2771</v>
      </c>
      <c r="HD427" s="8" t="s">
        <v>2515</v>
      </c>
      <c r="HE427" s="8">
        <v>21844</v>
      </c>
      <c r="HF427" s="8" t="s">
        <v>3437</v>
      </c>
      <c r="HG427" s="9" t="s">
        <v>2517</v>
      </c>
      <c r="HY427" s="9"/>
      <c r="IB427" s="8" t="s">
        <v>2515</v>
      </c>
      <c r="IC427" s="8">
        <v>21844</v>
      </c>
      <c r="ID427" s="8" t="s">
        <v>3437</v>
      </c>
      <c r="IE427" s="9" t="s">
        <v>2517</v>
      </c>
      <c r="IF427" s="8" t="s">
        <v>445</v>
      </c>
      <c r="IW427" s="8"/>
      <c r="JB427" s="8"/>
      <c r="JV427" s="7" t="s">
        <v>3438</v>
      </c>
      <c r="JX427" s="7" t="s">
        <v>320</v>
      </c>
      <c r="KG427" s="4" t="s">
        <v>2775</v>
      </c>
      <c r="KH427" s="4" t="s">
        <v>1317</v>
      </c>
      <c r="KI427" s="4" t="s">
        <v>356</v>
      </c>
      <c r="KJ427" s="4" t="s">
        <v>1317</v>
      </c>
      <c r="KP427" s="5" t="s">
        <v>2519</v>
      </c>
      <c r="KQ427" s="5" t="s">
        <v>3439</v>
      </c>
      <c r="KR427" s="5" t="s">
        <v>3440</v>
      </c>
      <c r="KS427" s="5" t="s">
        <v>3441</v>
      </c>
      <c r="KT427" s="14" t="s">
        <v>3442</v>
      </c>
    </row>
    <row r="428" spans="1:306" ht="324" x14ac:dyDescent="0.25">
      <c r="A428" s="5" t="s">
        <v>5431</v>
      </c>
      <c r="B428" s="4" t="s">
        <v>476</v>
      </c>
      <c r="C428" s="7" t="s">
        <v>477</v>
      </c>
      <c r="D428" s="8" t="s">
        <v>2770</v>
      </c>
      <c r="E428" s="4">
        <v>467209</v>
      </c>
      <c r="G428" s="4" t="s">
        <v>479</v>
      </c>
      <c r="H428" s="6">
        <v>147.56190000000001</v>
      </c>
      <c r="I428" s="6">
        <v>-20.271599999999999</v>
      </c>
      <c r="K428" s="4" t="s">
        <v>298</v>
      </c>
      <c r="L428" s="4" t="s">
        <v>552</v>
      </c>
      <c r="M428" s="4" t="s">
        <v>5432</v>
      </c>
      <c r="Q428" s="7"/>
      <c r="R428" s="7"/>
      <c r="Z428" s="4" t="s">
        <v>476</v>
      </c>
      <c r="AA428" s="7" t="s">
        <v>477</v>
      </c>
      <c r="AB428" s="8" t="s">
        <v>2770</v>
      </c>
      <c r="AC428" s="4" t="s">
        <v>301</v>
      </c>
      <c r="AD428" s="4" t="s">
        <v>302</v>
      </c>
      <c r="AE428" s="7">
        <f>AVERAGE(284.3,284)</f>
        <v>284.14999999999998</v>
      </c>
      <c r="AF428" s="7">
        <f>SQRT(2^2+4.1^2)/2</f>
        <v>2.2808989455914088</v>
      </c>
      <c r="AG428" s="9" t="s">
        <v>379</v>
      </c>
      <c r="AH428" s="9" t="s">
        <v>429</v>
      </c>
      <c r="AI428" s="9" t="s">
        <v>2775</v>
      </c>
      <c r="AJ428" s="9" t="s">
        <v>431</v>
      </c>
      <c r="AM428" s="8">
        <v>4</v>
      </c>
      <c r="BP428" s="7">
        <v>8.8170000000000002</v>
      </c>
      <c r="BR428" s="6">
        <v>0.15062266099999999</v>
      </c>
      <c r="BU428" s="7">
        <v>48.13356263</v>
      </c>
      <c r="BV428" s="6">
        <v>3.0027883750000002</v>
      </c>
      <c r="DZ428" s="31"/>
      <c r="EH428" s="9">
        <f>BP428*BR428/100</f>
        <v>1.328040002037E-2</v>
      </c>
      <c r="EK428" s="9">
        <f>BP428*BU428/1000</f>
        <v>0.42439362170870998</v>
      </c>
      <c r="EL428" s="7">
        <f>BP428*BV428</f>
        <v>26.475585102375003</v>
      </c>
      <c r="GP428" s="32"/>
      <c r="GY428" s="6" t="s">
        <v>435</v>
      </c>
      <c r="GZ428" s="6" t="s">
        <v>436</v>
      </c>
      <c r="HA428" s="6" t="s">
        <v>462</v>
      </c>
      <c r="HB428" s="6" t="s">
        <v>994</v>
      </c>
      <c r="HC428" s="6" t="s">
        <v>846</v>
      </c>
      <c r="HD428" s="8" t="s">
        <v>5433</v>
      </c>
      <c r="HE428" s="8">
        <v>41783</v>
      </c>
      <c r="HF428" s="8" t="s">
        <v>5434</v>
      </c>
      <c r="HG428" s="9" t="s">
        <v>3491</v>
      </c>
      <c r="IB428" s="8" t="s">
        <v>5433</v>
      </c>
      <c r="IC428" s="8">
        <v>41783</v>
      </c>
      <c r="ID428" s="8" t="s">
        <v>5435</v>
      </c>
      <c r="IE428" s="9" t="s">
        <v>3491</v>
      </c>
      <c r="IF428" s="8" t="s">
        <v>445</v>
      </c>
      <c r="II428" s="8" t="s">
        <v>1174</v>
      </c>
      <c r="IK428" s="8" t="s">
        <v>350</v>
      </c>
      <c r="JV428" s="7" t="s">
        <v>5436</v>
      </c>
      <c r="JW428" s="7" t="s">
        <v>2831</v>
      </c>
      <c r="JX428" s="7" t="s">
        <v>320</v>
      </c>
      <c r="KG428" s="4" t="s">
        <v>356</v>
      </c>
      <c r="KH428" s="4" t="s">
        <v>402</v>
      </c>
      <c r="KI428" s="4" t="s">
        <v>1894</v>
      </c>
      <c r="KJ428" s="4" t="s">
        <v>5437</v>
      </c>
      <c r="KP428" s="5" t="s">
        <v>358</v>
      </c>
      <c r="KQ428" s="5" t="s">
        <v>5438</v>
      </c>
      <c r="KT428" s="14" t="s">
        <v>5439</v>
      </c>
    </row>
    <row r="429" spans="1:306" ht="108" x14ac:dyDescent="0.25">
      <c r="A429" s="5" t="s">
        <v>6580</v>
      </c>
      <c r="B429" s="4" t="s">
        <v>383</v>
      </c>
      <c r="C429" s="7" t="s">
        <v>384</v>
      </c>
      <c r="D429" s="8" t="s">
        <v>433</v>
      </c>
      <c r="E429" s="4">
        <v>334555</v>
      </c>
      <c r="G429" s="4" t="s">
        <v>427</v>
      </c>
      <c r="H429" s="6">
        <v>148.19499999999999</v>
      </c>
      <c r="I429" s="6">
        <v>-32.72278</v>
      </c>
      <c r="K429" s="4" t="s">
        <v>298</v>
      </c>
      <c r="L429" s="4" t="s">
        <v>299</v>
      </c>
      <c r="M429" s="4" t="s">
        <v>1359</v>
      </c>
      <c r="N429" s="4" t="s">
        <v>1360</v>
      </c>
      <c r="Q429" s="8"/>
      <c r="Z429" s="4" t="s">
        <v>476</v>
      </c>
      <c r="AA429" s="7" t="s">
        <v>477</v>
      </c>
      <c r="AB429" s="8" t="s">
        <v>2770</v>
      </c>
      <c r="AC429" s="4" t="s">
        <v>301</v>
      </c>
      <c r="AD429" s="4" t="s">
        <v>382</v>
      </c>
      <c r="AE429" s="8">
        <v>436</v>
      </c>
      <c r="AG429" s="9" t="s">
        <v>379</v>
      </c>
      <c r="AH429" s="9" t="s">
        <v>380</v>
      </c>
      <c r="AM429" s="8">
        <v>2</v>
      </c>
      <c r="AN429" s="4" t="s">
        <v>381</v>
      </c>
      <c r="AO429" s="4" t="s">
        <v>375</v>
      </c>
      <c r="AP429" s="4" t="s">
        <v>383</v>
      </c>
      <c r="AQ429" s="7" t="s">
        <v>384</v>
      </c>
      <c r="AR429" s="8" t="s">
        <v>433</v>
      </c>
      <c r="AS429" s="7">
        <v>0</v>
      </c>
      <c r="AT429" s="7">
        <v>0</v>
      </c>
      <c r="AU429" s="9" t="s">
        <v>303</v>
      </c>
      <c r="AV429" s="9" t="s">
        <v>406</v>
      </c>
      <c r="BA429" s="8">
        <v>5</v>
      </c>
      <c r="BP429" s="7">
        <f>0.475+4.7+7.65</f>
        <v>12.824999999999999</v>
      </c>
      <c r="BV429" s="6">
        <f>EL429/BP429</f>
        <v>1.3049504873294349</v>
      </c>
      <c r="DZ429" s="31"/>
      <c r="EL429" s="6">
        <f>(61900+154000)*31.1/1000000+7.65*1.31</f>
        <v>16.735990000000001</v>
      </c>
      <c r="GP429" s="32"/>
      <c r="GY429" s="6" t="s">
        <v>435</v>
      </c>
      <c r="GZ429" s="6" t="s">
        <v>436</v>
      </c>
      <c r="HC429" s="6" t="s">
        <v>2771</v>
      </c>
      <c r="HD429" s="8" t="s">
        <v>3116</v>
      </c>
      <c r="HE429" s="8">
        <v>7578</v>
      </c>
      <c r="HF429" s="8" t="s">
        <v>6581</v>
      </c>
      <c r="HG429" s="9" t="s">
        <v>466</v>
      </c>
      <c r="IB429" s="8" t="s">
        <v>3116</v>
      </c>
      <c r="IC429" s="8">
        <v>7578</v>
      </c>
      <c r="ID429" s="8" t="s">
        <v>6581</v>
      </c>
      <c r="IE429" s="9" t="s">
        <v>466</v>
      </c>
      <c r="IF429" s="8" t="s">
        <v>319</v>
      </c>
      <c r="IW429" s="8"/>
      <c r="JB429" s="8"/>
      <c r="JV429" s="7" t="s">
        <v>6582</v>
      </c>
      <c r="JX429" s="7" t="s">
        <v>320</v>
      </c>
      <c r="KG429" s="4" t="s">
        <v>356</v>
      </c>
      <c r="KH429" s="4" t="s">
        <v>402</v>
      </c>
      <c r="KI429" s="4" t="s">
        <v>1894</v>
      </c>
      <c r="KJ429" s="4" t="s">
        <v>5437</v>
      </c>
      <c r="KP429" s="18" t="s">
        <v>6583</v>
      </c>
      <c r="KQ429" s="5" t="s">
        <v>6584</v>
      </c>
      <c r="KS429" s="5" t="s">
        <v>6585</v>
      </c>
      <c r="KT429" s="5" t="s">
        <v>6586</v>
      </c>
    </row>
    <row r="430" spans="1:306" ht="120" x14ac:dyDescent="0.25">
      <c r="A430" s="5" t="s">
        <v>2293</v>
      </c>
      <c r="B430" s="4" t="s">
        <v>476</v>
      </c>
      <c r="C430" s="7" t="s">
        <v>477</v>
      </c>
      <c r="D430" s="8" t="s">
        <v>2294</v>
      </c>
      <c r="E430" s="4">
        <v>677549</v>
      </c>
      <c r="G430" s="4" t="s">
        <v>427</v>
      </c>
      <c r="H430" s="6">
        <v>147.12950000000001</v>
      </c>
      <c r="I430" s="6">
        <v>-33.052399999999999</v>
      </c>
      <c r="J430" s="4" t="s">
        <v>2295</v>
      </c>
      <c r="K430" s="4" t="s">
        <v>298</v>
      </c>
      <c r="L430" s="4" t="s">
        <v>299</v>
      </c>
      <c r="M430" s="4" t="s">
        <v>428</v>
      </c>
      <c r="N430" s="4" t="s">
        <v>990</v>
      </c>
      <c r="Q430" s="8"/>
      <c r="R430" s="8"/>
      <c r="S430" s="7"/>
      <c r="T430" s="7"/>
      <c r="Z430" s="4" t="s">
        <v>476</v>
      </c>
      <c r="AA430" s="7" t="s">
        <v>477</v>
      </c>
      <c r="AB430" s="8" t="s">
        <v>2294</v>
      </c>
      <c r="AC430" s="4" t="s">
        <v>301</v>
      </c>
      <c r="AD430" s="4" t="s">
        <v>375</v>
      </c>
      <c r="AE430" s="8"/>
      <c r="AF430" s="8"/>
      <c r="AG430" s="7"/>
      <c r="AH430" s="7"/>
      <c r="AN430" s="4" t="s">
        <v>381</v>
      </c>
      <c r="AO430" s="4" t="s">
        <v>402</v>
      </c>
      <c r="AP430" s="4" t="s">
        <v>383</v>
      </c>
      <c r="AQ430" s="7" t="s">
        <v>384</v>
      </c>
      <c r="AR430" s="8" t="s">
        <v>1048</v>
      </c>
      <c r="AS430" s="7">
        <v>0</v>
      </c>
      <c r="AT430" s="7">
        <v>0</v>
      </c>
      <c r="AU430" s="9" t="s">
        <v>303</v>
      </c>
      <c r="AV430" s="9" t="s">
        <v>406</v>
      </c>
      <c r="BA430" s="8">
        <v>5</v>
      </c>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c r="CW430" s="7"/>
      <c r="CX430" s="7"/>
      <c r="CY430" s="7"/>
      <c r="CZ430" s="7"/>
      <c r="DA430" s="7"/>
      <c r="DB430" s="7"/>
      <c r="DC430" s="7"/>
      <c r="DD430" s="7"/>
      <c r="DE430" s="7"/>
      <c r="DF430" s="7"/>
      <c r="DG430" s="7"/>
      <c r="DH430" s="7"/>
      <c r="DI430" s="7"/>
      <c r="DJ430" s="7"/>
      <c r="DK430" s="7"/>
      <c r="DL430" s="7"/>
      <c r="DM430" s="7"/>
      <c r="DN430" s="7"/>
      <c r="DO430" s="7"/>
      <c r="DP430" s="7"/>
      <c r="DQ430" s="7"/>
      <c r="DR430" s="7"/>
      <c r="DS430" s="7"/>
      <c r="DT430" s="7"/>
      <c r="DU430" s="7"/>
      <c r="DV430" s="7"/>
      <c r="DW430" s="7"/>
      <c r="DX430" s="7"/>
      <c r="DY430" s="7"/>
      <c r="DZ430" s="31"/>
      <c r="EA430" s="7"/>
      <c r="EB430" s="7"/>
      <c r="EC430" s="7"/>
      <c r="ED430" s="7"/>
      <c r="EE430" s="7"/>
      <c r="EF430" s="7"/>
      <c r="EG430" s="7"/>
      <c r="EY430" s="6"/>
      <c r="FA430" s="6"/>
      <c r="GP430" s="32"/>
      <c r="GY430" s="31" t="s">
        <v>407</v>
      </c>
      <c r="HD430" s="8" t="s">
        <v>1198</v>
      </c>
      <c r="HE430" s="8">
        <v>27158</v>
      </c>
      <c r="HF430" s="8" t="s">
        <v>1199</v>
      </c>
      <c r="HG430" s="9" t="s">
        <v>1200</v>
      </c>
      <c r="HY430" s="9"/>
      <c r="IE430" s="9"/>
      <c r="IW430" s="8"/>
      <c r="JB430" s="8"/>
      <c r="JV430" s="7" t="s">
        <v>2296</v>
      </c>
      <c r="JX430" s="7" t="s">
        <v>320</v>
      </c>
      <c r="KG430" s="4" t="s">
        <v>323</v>
      </c>
      <c r="KM430" s="4" t="s">
        <v>391</v>
      </c>
      <c r="KN430" s="4" t="s">
        <v>391</v>
      </c>
      <c r="KP430" s="5" t="s">
        <v>2297</v>
      </c>
      <c r="KQ430" s="5" t="s">
        <v>2297</v>
      </c>
      <c r="KT430" s="5" t="s">
        <v>2298</v>
      </c>
    </row>
    <row r="431" spans="1:306" ht="60" x14ac:dyDescent="0.25">
      <c r="A431" s="5" t="s">
        <v>5173</v>
      </c>
      <c r="B431" s="4" t="s">
        <v>476</v>
      </c>
      <c r="C431" s="7" t="s">
        <v>477</v>
      </c>
      <c r="D431" s="8" t="s">
        <v>2294</v>
      </c>
      <c r="E431" s="4">
        <v>334282</v>
      </c>
      <c r="G431" s="4" t="s">
        <v>593</v>
      </c>
      <c r="H431" s="6">
        <v>136.41499999999999</v>
      </c>
      <c r="I431" s="6">
        <v>-32.644100000000002</v>
      </c>
      <c r="J431" s="4" t="s">
        <v>5173</v>
      </c>
      <c r="K431" s="4" t="s">
        <v>595</v>
      </c>
      <c r="L431" s="4" t="s">
        <v>596</v>
      </c>
      <c r="M431" s="4" t="s">
        <v>1166</v>
      </c>
      <c r="Q431" s="8"/>
      <c r="R431" s="8"/>
      <c r="S431" s="4"/>
      <c r="T431" s="4"/>
      <c r="U431" s="4"/>
      <c r="V431" s="4"/>
      <c r="W431" s="4"/>
      <c r="X431" s="4"/>
      <c r="Z431" s="4" t="s">
        <v>476</v>
      </c>
      <c r="AA431" s="7" t="s">
        <v>477</v>
      </c>
      <c r="AB431" s="8" t="s">
        <v>2294</v>
      </c>
      <c r="AC431" s="4" t="s">
        <v>301</v>
      </c>
      <c r="AD431" s="4" t="s">
        <v>302</v>
      </c>
      <c r="AE431" s="8">
        <v>1590</v>
      </c>
      <c r="AF431" s="8">
        <v>10</v>
      </c>
      <c r="AG431" s="4" t="s">
        <v>379</v>
      </c>
      <c r="AH431" s="4" t="s">
        <v>5174</v>
      </c>
      <c r="AI431" s="4" t="s">
        <v>373</v>
      </c>
      <c r="AJ431" s="4" t="s">
        <v>306</v>
      </c>
      <c r="AK431" s="4" t="s">
        <v>307</v>
      </c>
      <c r="AL431" s="4" t="s">
        <v>337</v>
      </c>
      <c r="AM431" s="8">
        <v>4</v>
      </c>
      <c r="BP431" s="7">
        <v>7.7</v>
      </c>
      <c r="BQ431" s="7"/>
      <c r="BR431" s="7"/>
      <c r="BS431" s="7">
        <v>3.1</v>
      </c>
      <c r="BT431" s="7">
        <v>2.6</v>
      </c>
      <c r="BU431" s="8">
        <v>27</v>
      </c>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31"/>
      <c r="EA431" s="4"/>
      <c r="EB431" s="10"/>
      <c r="EC431" s="4"/>
      <c r="ED431" s="4"/>
      <c r="EE431" s="4"/>
      <c r="EF431" s="4"/>
      <c r="EG431" s="4"/>
      <c r="EI431" s="10">
        <f>BP431*BS431/100</f>
        <v>0.23870000000000002</v>
      </c>
      <c r="EJ431" s="10">
        <f>BP431*BT431/100</f>
        <v>0.20019999999999999</v>
      </c>
      <c r="EK431" s="6">
        <f>BP431*BU431/1000</f>
        <v>0.2079</v>
      </c>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32"/>
      <c r="GQ431" s="4"/>
      <c r="GR431" s="4"/>
      <c r="GS431" s="4"/>
      <c r="GT431" s="4"/>
      <c r="GU431" s="4"/>
      <c r="GV431" s="4"/>
      <c r="GW431" s="4"/>
      <c r="GX431" s="4"/>
      <c r="GY431" s="31" t="s">
        <v>407</v>
      </c>
      <c r="GZ431" s="4" t="s">
        <v>461</v>
      </c>
      <c r="HA431" s="4" t="s">
        <v>462</v>
      </c>
      <c r="HB431" s="4"/>
      <c r="HC431" s="4" t="s">
        <v>5175</v>
      </c>
      <c r="HD431" s="4" t="s">
        <v>3791</v>
      </c>
      <c r="HE431" s="4">
        <v>25953</v>
      </c>
      <c r="HF431" s="4" t="s">
        <v>5176</v>
      </c>
      <c r="HG431" s="4" t="s">
        <v>538</v>
      </c>
      <c r="HH431" s="4" t="s">
        <v>5177</v>
      </c>
      <c r="HI431" s="8">
        <v>27899</v>
      </c>
      <c r="HJ431" s="4" t="s">
        <v>5178</v>
      </c>
      <c r="HK431" s="4" t="s">
        <v>538</v>
      </c>
      <c r="HL431" s="4" t="s">
        <v>5179</v>
      </c>
      <c r="HM431" s="8">
        <v>23390</v>
      </c>
      <c r="HN431" s="4" t="s">
        <v>5180</v>
      </c>
      <c r="HO431" s="4" t="s">
        <v>349</v>
      </c>
      <c r="HP431" s="4"/>
      <c r="HR431" s="4"/>
      <c r="HS431" s="4"/>
      <c r="HT431" s="4"/>
      <c r="HU431" s="4"/>
      <c r="HV431" s="4"/>
      <c r="HW431" s="4"/>
      <c r="HX431" s="4"/>
      <c r="HY431" s="4"/>
      <c r="HZ431" s="4"/>
      <c r="IA431" s="4"/>
      <c r="IB431" s="4" t="s">
        <v>5179</v>
      </c>
      <c r="IC431" s="8">
        <v>23390</v>
      </c>
      <c r="ID431" s="4" t="s">
        <v>5180</v>
      </c>
      <c r="IE431" s="4" t="s">
        <v>349</v>
      </c>
      <c r="IF431" s="4" t="s">
        <v>319</v>
      </c>
      <c r="IG431" s="4"/>
      <c r="IH431" s="4"/>
      <c r="II431" s="4"/>
      <c r="IJ431" s="4"/>
      <c r="IK431" s="4"/>
      <c r="IL431" s="4"/>
      <c r="IM431" s="4"/>
      <c r="IN431" s="4"/>
      <c r="IO431" s="4"/>
      <c r="IP431" s="4"/>
      <c r="IQ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4"/>
      <c r="JU431" s="4"/>
      <c r="JV431" s="4" t="s">
        <v>5181</v>
      </c>
      <c r="JW431" s="4" t="s">
        <v>352</v>
      </c>
      <c r="JX431" s="7" t="s">
        <v>320</v>
      </c>
      <c r="JY431" s="7" t="s">
        <v>448</v>
      </c>
      <c r="JZ431" s="7" t="s">
        <v>322</v>
      </c>
      <c r="KA431" s="4" t="s">
        <v>321</v>
      </c>
      <c r="KB431" s="4" t="s">
        <v>5182</v>
      </c>
      <c r="KC431" s="4" t="s">
        <v>321</v>
      </c>
      <c r="KD431" s="4" t="s">
        <v>353</v>
      </c>
      <c r="KE431" s="4"/>
      <c r="KF431" s="4"/>
      <c r="KG431" s="4" t="s">
        <v>323</v>
      </c>
      <c r="KP431" s="5" t="s">
        <v>358</v>
      </c>
      <c r="KQ431" s="5" t="s">
        <v>5183</v>
      </c>
      <c r="KR431" s="5" t="s">
        <v>5184</v>
      </c>
      <c r="KS431" s="5" t="s">
        <v>5185</v>
      </c>
      <c r="KT431" s="5" t="s">
        <v>5186</v>
      </c>
    </row>
    <row r="432" spans="1:306" ht="180" x14ac:dyDescent="0.25">
      <c r="A432" s="5" t="s">
        <v>5231</v>
      </c>
      <c r="B432" s="4" t="s">
        <v>293</v>
      </c>
      <c r="C432" s="7" t="s">
        <v>294</v>
      </c>
      <c r="D432" s="7" t="s">
        <v>2002</v>
      </c>
      <c r="E432" s="4">
        <v>335994</v>
      </c>
      <c r="G432" s="4" t="s">
        <v>427</v>
      </c>
      <c r="H432" s="6">
        <v>146.98555999999999</v>
      </c>
      <c r="I432" s="6">
        <v>-32.57694</v>
      </c>
      <c r="J432" s="4" t="s">
        <v>5232</v>
      </c>
      <c r="K432" s="4" t="s">
        <v>298</v>
      </c>
      <c r="L432" s="4" t="s">
        <v>299</v>
      </c>
      <c r="M432" s="4" t="s">
        <v>1359</v>
      </c>
      <c r="N432" s="4" t="s">
        <v>1757</v>
      </c>
      <c r="Q432" s="7"/>
      <c r="R432" s="7"/>
      <c r="Z432" s="4" t="s">
        <v>476</v>
      </c>
      <c r="AA432" s="7" t="s">
        <v>477</v>
      </c>
      <c r="AB432" s="8" t="s">
        <v>2294</v>
      </c>
      <c r="AC432" s="4" t="s">
        <v>301</v>
      </c>
      <c r="AD432" s="4" t="s">
        <v>382</v>
      </c>
      <c r="AE432" s="7">
        <v>420.5</v>
      </c>
      <c r="AF432" s="7">
        <v>2.7</v>
      </c>
      <c r="AG432" s="9" t="s">
        <v>379</v>
      </c>
      <c r="AH432" s="9" t="s">
        <v>429</v>
      </c>
      <c r="AI432" s="9" t="s">
        <v>845</v>
      </c>
      <c r="AJ432" s="9" t="s">
        <v>431</v>
      </c>
      <c r="AK432" s="9" t="s">
        <v>432</v>
      </c>
      <c r="AM432" s="8">
        <v>4</v>
      </c>
      <c r="AN432" s="4" t="s">
        <v>991</v>
      </c>
      <c r="AO432" s="4" t="s">
        <v>375</v>
      </c>
      <c r="AP432" s="4" t="s">
        <v>293</v>
      </c>
      <c r="AQ432" s="7" t="s">
        <v>294</v>
      </c>
      <c r="AR432" s="7" t="s">
        <v>2002</v>
      </c>
      <c r="AS432" s="8">
        <v>405</v>
      </c>
      <c r="AT432" s="7"/>
      <c r="AU432" s="9" t="s">
        <v>379</v>
      </c>
      <c r="AV432" s="9" t="s">
        <v>335</v>
      </c>
      <c r="AW432" s="9" t="s">
        <v>1118</v>
      </c>
      <c r="AX432" s="9" t="s">
        <v>1080</v>
      </c>
      <c r="AY432" s="9" t="s">
        <v>600</v>
      </c>
      <c r="BA432" s="8">
        <v>3</v>
      </c>
      <c r="BB432" s="4" t="s">
        <v>381</v>
      </c>
      <c r="BC432" s="4" t="s">
        <v>382</v>
      </c>
      <c r="BD432" s="4" t="s">
        <v>383</v>
      </c>
      <c r="BE432" s="7" t="s">
        <v>384</v>
      </c>
      <c r="BF432" s="8" t="s">
        <v>433</v>
      </c>
      <c r="BG432" s="7">
        <v>0</v>
      </c>
      <c r="BH432" s="7">
        <v>0</v>
      </c>
      <c r="BI432" s="9" t="s">
        <v>303</v>
      </c>
      <c r="BJ432" s="9" t="s">
        <v>406</v>
      </c>
      <c r="BO432" s="8">
        <v>5</v>
      </c>
      <c r="BP432" s="7">
        <v>12.164300000000001</v>
      </c>
      <c r="BR432" s="7">
        <v>1.012594231</v>
      </c>
      <c r="BS432" s="7">
        <v>0.93527782100000001</v>
      </c>
      <c r="BT432" s="7">
        <v>1.348963771</v>
      </c>
      <c r="BU432" s="8">
        <v>23.41511801</v>
      </c>
      <c r="BV432" s="7">
        <v>2.1162335689999998</v>
      </c>
      <c r="DZ432" s="31"/>
      <c r="EH432" s="10">
        <f>BP432*BR432/100</f>
        <v>0.12317500004153301</v>
      </c>
      <c r="EI432" s="10">
        <f>BP432*BS432/100</f>
        <v>0.11376999997990302</v>
      </c>
      <c r="EJ432" s="10">
        <f>BP432*BT432/100</f>
        <v>0.164091999995753</v>
      </c>
      <c r="EK432" s="6">
        <f>BP432*BU432/1000</f>
        <v>0.28482852000904302</v>
      </c>
      <c r="EL432" s="6">
        <f>BP432*BV432</f>
        <v>25.742500003386699</v>
      </c>
      <c r="EY432" s="6"/>
      <c r="FA432" s="6"/>
      <c r="GP432" s="32"/>
      <c r="GY432" s="31" t="s">
        <v>407</v>
      </c>
      <c r="GZ432" s="6" t="s">
        <v>1528</v>
      </c>
      <c r="HA432" s="6" t="s">
        <v>339</v>
      </c>
      <c r="HB432" s="6" t="s">
        <v>1386</v>
      </c>
      <c r="HC432" s="6" t="s">
        <v>5175</v>
      </c>
      <c r="HD432" s="8" t="s">
        <v>5233</v>
      </c>
      <c r="HE432" s="8">
        <v>11894</v>
      </c>
      <c r="HF432" s="8" t="s">
        <v>5234</v>
      </c>
      <c r="HG432" s="9" t="s">
        <v>1025</v>
      </c>
      <c r="HY432" s="9"/>
      <c r="IB432" s="8" t="s">
        <v>5233</v>
      </c>
      <c r="IC432" s="8">
        <v>11894</v>
      </c>
      <c r="ID432" s="8" t="s">
        <v>5234</v>
      </c>
      <c r="IE432" s="9" t="s">
        <v>1025</v>
      </c>
      <c r="IF432" s="8" t="s">
        <v>445</v>
      </c>
      <c r="IG432" s="8" t="s">
        <v>5235</v>
      </c>
      <c r="IH432" s="8">
        <v>20146</v>
      </c>
      <c r="II432" s="8" t="s">
        <v>5236</v>
      </c>
      <c r="IJ432" s="9" t="s">
        <v>1760</v>
      </c>
      <c r="IK432" s="8" t="s">
        <v>329</v>
      </c>
      <c r="IL432" s="9" t="s">
        <v>5237</v>
      </c>
      <c r="IM432" s="8">
        <v>20939</v>
      </c>
      <c r="IN432" s="9" t="s">
        <v>5238</v>
      </c>
      <c r="IO432" s="9" t="s">
        <v>1760</v>
      </c>
      <c r="IP432" s="9" t="s">
        <v>329</v>
      </c>
      <c r="IQ432" s="9" t="s">
        <v>5239</v>
      </c>
      <c r="IR432" s="8">
        <v>26059</v>
      </c>
      <c r="IS432" s="9" t="s">
        <v>5240</v>
      </c>
      <c r="IT432" s="9" t="s">
        <v>782</v>
      </c>
      <c r="IU432" s="9" t="s">
        <v>445</v>
      </c>
      <c r="IV432" s="9" t="s">
        <v>1625</v>
      </c>
      <c r="IW432" s="8"/>
      <c r="IX432" s="9" t="s">
        <v>1030</v>
      </c>
      <c r="IZ432" s="9" t="s">
        <v>329</v>
      </c>
      <c r="JB432" s="8"/>
      <c r="JV432" s="30" t="s">
        <v>5241</v>
      </c>
      <c r="JW432" s="7" t="s">
        <v>910</v>
      </c>
      <c r="JX432" s="7" t="s">
        <v>320</v>
      </c>
      <c r="JY432" s="7" t="s">
        <v>448</v>
      </c>
      <c r="JZ432" s="7" t="s">
        <v>738</v>
      </c>
      <c r="KA432" s="7" t="s">
        <v>321</v>
      </c>
      <c r="KB432" s="7" t="s">
        <v>353</v>
      </c>
      <c r="KC432" s="7" t="s">
        <v>321</v>
      </c>
      <c r="KD432" s="7" t="s">
        <v>355</v>
      </c>
      <c r="KG432" s="4" t="s">
        <v>356</v>
      </c>
      <c r="KH432" s="4" t="s">
        <v>1317</v>
      </c>
      <c r="KP432" s="18" t="s">
        <v>5242</v>
      </c>
      <c r="KQ432" s="5" t="s">
        <v>5243</v>
      </c>
      <c r="KR432" s="5" t="s">
        <v>5244</v>
      </c>
      <c r="KS432" s="5" t="s">
        <v>5245</v>
      </c>
      <c r="KT432" s="5" t="s">
        <v>5246</v>
      </c>
    </row>
    <row r="433" spans="1:306" ht="133.5" x14ac:dyDescent="0.25">
      <c r="A433" s="5" t="s">
        <v>5440</v>
      </c>
      <c r="B433" s="4" t="s">
        <v>476</v>
      </c>
      <c r="C433" s="7" t="s">
        <v>477</v>
      </c>
      <c r="D433" s="8" t="s">
        <v>2294</v>
      </c>
      <c r="E433" s="4">
        <v>595158</v>
      </c>
      <c r="G433" s="4" t="s">
        <v>427</v>
      </c>
      <c r="H433" s="6">
        <v>152.370158737</v>
      </c>
      <c r="I433" s="6">
        <v>-28.91038262</v>
      </c>
      <c r="J433" s="4" t="s">
        <v>5441</v>
      </c>
      <c r="K433" s="4" t="s">
        <v>298</v>
      </c>
      <c r="L433" s="4" t="s">
        <v>552</v>
      </c>
      <c r="M433" s="4" t="s">
        <v>899</v>
      </c>
      <c r="Q433" s="8"/>
      <c r="R433" s="7"/>
      <c r="S433" s="4"/>
      <c r="T433" s="4"/>
      <c r="U433" s="4"/>
      <c r="V433" s="4"/>
      <c r="W433" s="4"/>
      <c r="X433" s="4"/>
      <c r="Z433" s="4" t="s">
        <v>476</v>
      </c>
      <c r="AA433" s="7" t="s">
        <v>477</v>
      </c>
      <c r="AB433" s="8" t="s">
        <v>2294</v>
      </c>
      <c r="AC433" s="4" t="s">
        <v>301</v>
      </c>
      <c r="AD433" s="4" t="s">
        <v>302</v>
      </c>
      <c r="AE433" s="8">
        <v>262</v>
      </c>
      <c r="AF433" s="7"/>
      <c r="AG433" s="4"/>
      <c r="AH433" s="4"/>
      <c r="AI433" s="4" t="s">
        <v>430</v>
      </c>
      <c r="AJ433" s="4" t="s">
        <v>431</v>
      </c>
      <c r="AK433" s="4"/>
      <c r="AL433" s="4"/>
      <c r="AM433" s="8">
        <v>3</v>
      </c>
      <c r="AN433" s="4" t="s">
        <v>381</v>
      </c>
      <c r="AO433" s="4" t="s">
        <v>382</v>
      </c>
      <c r="AP433" s="4" t="s">
        <v>383</v>
      </c>
      <c r="AQ433" s="7" t="s">
        <v>384</v>
      </c>
      <c r="AR433" s="8" t="s">
        <v>433</v>
      </c>
      <c r="AS433" s="7">
        <v>0</v>
      </c>
      <c r="AT433" s="7">
        <v>0</v>
      </c>
      <c r="AU433" s="9" t="s">
        <v>303</v>
      </c>
      <c r="AV433" s="9" t="s">
        <v>406</v>
      </c>
      <c r="BA433" s="8">
        <v>5</v>
      </c>
      <c r="BP433" s="7">
        <f>0.233+6+8.95</f>
        <v>15.183</v>
      </c>
      <c r="BQ433" s="7"/>
      <c r="BR433" s="6">
        <f>(0*0.233+0.06*6+0*8.95)/(0.233+6+8.95)</f>
        <v>2.3710729104919975E-2</v>
      </c>
      <c r="BS433" s="6">
        <f>(0*0.233+0.33*6+0*8.95)/(0.233+6+8.95)</f>
        <v>0.13040901007705988</v>
      </c>
      <c r="BT433" s="7"/>
      <c r="BU433" s="7">
        <f>(7.44*0.233+1.59*6+51*8.95)/(0.233+6+8.95)</f>
        <v>30.805737996443391</v>
      </c>
      <c r="BV433" s="6">
        <f>(2.38*0.233+1.17*6+0.01*8.95)/(0.233+6+8.95)</f>
        <v>0.50477771191464138</v>
      </c>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31"/>
      <c r="EA433" s="4"/>
      <c r="EB433" s="4"/>
      <c r="EC433" s="4"/>
      <c r="ED433" s="4"/>
      <c r="EE433" s="4"/>
      <c r="EF433" s="4"/>
      <c r="EG433" s="4"/>
      <c r="EH433" s="10">
        <f>BP433*BR433/100</f>
        <v>3.5999999999999999E-3</v>
      </c>
      <c r="EI433" s="10">
        <f>BP433*BS433/100</f>
        <v>1.9800000000000002E-2</v>
      </c>
      <c r="EK433" s="6">
        <f>BP433*BU433/1000+4.4/1000</f>
        <v>0.47212352000000002</v>
      </c>
      <c r="EL433" s="7">
        <f>BP433*BV433+1.1</f>
        <v>8.7640399999999996</v>
      </c>
      <c r="EY433" s="6"/>
      <c r="FA433" s="6"/>
      <c r="GP433" s="32"/>
      <c r="GY433" s="31" t="s">
        <v>407</v>
      </c>
      <c r="GZ433" s="6" t="s">
        <v>1432</v>
      </c>
      <c r="HB433" s="6" t="s">
        <v>734</v>
      </c>
      <c r="HC433" s="6" t="s">
        <v>5175</v>
      </c>
      <c r="HD433" s="4" t="s">
        <v>5442</v>
      </c>
      <c r="HE433" s="8">
        <v>28513</v>
      </c>
      <c r="HF433" s="4" t="s">
        <v>5443</v>
      </c>
      <c r="HG433" s="4" t="s">
        <v>3491</v>
      </c>
      <c r="HH433" s="4"/>
      <c r="HJ433" s="4"/>
      <c r="HK433" s="4"/>
      <c r="HL433" s="4"/>
      <c r="HN433" s="4"/>
      <c r="HO433" s="4"/>
      <c r="HP433" s="4"/>
      <c r="HR433" s="4"/>
      <c r="HS433" s="4"/>
      <c r="HT433" s="4"/>
      <c r="HU433" s="4"/>
      <c r="HV433" s="4"/>
      <c r="HW433" s="4"/>
      <c r="HX433" s="4"/>
      <c r="HY433" s="4"/>
      <c r="HZ433" s="4"/>
      <c r="IA433" s="4"/>
      <c r="IB433" s="4" t="s">
        <v>5442</v>
      </c>
      <c r="IC433" s="8">
        <v>28513</v>
      </c>
      <c r="ID433" s="4" t="s">
        <v>5443</v>
      </c>
      <c r="IE433" s="4" t="s">
        <v>3491</v>
      </c>
      <c r="IF433" s="4" t="s">
        <v>319</v>
      </c>
      <c r="IG433" s="4"/>
      <c r="IH433" s="4"/>
      <c r="II433" s="4"/>
      <c r="IJ433" s="4"/>
      <c r="IK433" s="4"/>
      <c r="IL433" s="4"/>
      <c r="IN433" s="4"/>
      <c r="IO433" s="4"/>
      <c r="IP433" s="4"/>
      <c r="IQ433" s="4"/>
      <c r="IS433" s="4"/>
      <c r="IT433" s="4"/>
      <c r="IU433" s="4"/>
      <c r="IV433" s="4"/>
      <c r="IW433" s="8"/>
      <c r="IX433" s="4"/>
      <c r="IY433" s="4"/>
      <c r="IZ433" s="4"/>
      <c r="JA433" s="4"/>
      <c r="JB433" s="8"/>
      <c r="JC433" s="4"/>
      <c r="JD433" s="4"/>
      <c r="JE433" s="4"/>
      <c r="JF433" s="4"/>
      <c r="JG433" s="4"/>
      <c r="JH433" s="4"/>
      <c r="JI433" s="4"/>
      <c r="JJ433" s="4"/>
      <c r="JK433" s="4"/>
      <c r="JL433" s="4"/>
      <c r="JM433" s="4"/>
      <c r="JN433" s="4"/>
      <c r="JO433" s="4"/>
      <c r="JP433" s="4"/>
      <c r="JQ433" s="4"/>
      <c r="JR433" s="4"/>
      <c r="JS433" s="4"/>
      <c r="JT433" s="4"/>
      <c r="JU433" s="4"/>
      <c r="JV433" s="4" t="s">
        <v>5444</v>
      </c>
      <c r="JW433" s="4" t="s">
        <v>5445</v>
      </c>
      <c r="JX433" s="4" t="s">
        <v>320</v>
      </c>
      <c r="JY433" s="4"/>
      <c r="JZ433" s="4"/>
      <c r="KA433" s="4"/>
      <c r="KB433" s="4"/>
      <c r="KC433" s="4"/>
      <c r="KD433" s="4"/>
      <c r="KE433" s="4"/>
      <c r="KF433" s="4"/>
      <c r="KP433" s="18" t="s">
        <v>5446</v>
      </c>
      <c r="KQ433" s="5" t="s">
        <v>5447</v>
      </c>
      <c r="KR433" s="5" t="s">
        <v>5448</v>
      </c>
      <c r="KS433" s="5" t="s">
        <v>5449</v>
      </c>
      <c r="KT433" s="14" t="s">
        <v>5450</v>
      </c>
    </row>
    <row r="434" spans="1:306" ht="108" x14ac:dyDescent="0.25">
      <c r="A434" s="5" t="s">
        <v>5647</v>
      </c>
      <c r="B434" s="4" t="s">
        <v>383</v>
      </c>
      <c r="C434" s="7" t="s">
        <v>384</v>
      </c>
      <c r="D434" s="8" t="s">
        <v>1048</v>
      </c>
      <c r="E434" s="4">
        <v>336066</v>
      </c>
      <c r="G434" s="4" t="s">
        <v>479</v>
      </c>
      <c r="H434" s="6">
        <v>151.29050000000001</v>
      </c>
      <c r="I434" s="6">
        <v>-28.8306</v>
      </c>
      <c r="J434" s="4" t="s">
        <v>5648</v>
      </c>
      <c r="K434" s="4" t="s">
        <v>298</v>
      </c>
      <c r="L434" s="4" t="s">
        <v>552</v>
      </c>
      <c r="M434" s="4" t="s">
        <v>5649</v>
      </c>
      <c r="Q434" s="8"/>
      <c r="Z434" s="4" t="s">
        <v>476</v>
      </c>
      <c r="AA434" s="7" t="s">
        <v>477</v>
      </c>
      <c r="AB434" s="8" t="s">
        <v>2294</v>
      </c>
      <c r="AC434" s="4" t="s">
        <v>301</v>
      </c>
      <c r="AD434" s="4" t="s">
        <v>382</v>
      </c>
      <c r="AE434" s="8">
        <v>245</v>
      </c>
      <c r="AG434" s="9" t="s">
        <v>379</v>
      </c>
      <c r="AH434" s="9" t="s">
        <v>1156</v>
      </c>
      <c r="AM434" s="8">
        <v>3</v>
      </c>
      <c r="AN434" s="4" t="s">
        <v>381</v>
      </c>
      <c r="AO434" s="4" t="s">
        <v>375</v>
      </c>
      <c r="AP434" s="4" t="s">
        <v>383</v>
      </c>
      <c r="AQ434" s="7" t="s">
        <v>384</v>
      </c>
      <c r="AR434" s="8" t="s">
        <v>1048</v>
      </c>
      <c r="AS434" s="7">
        <v>0</v>
      </c>
      <c r="AT434" s="7">
        <v>0</v>
      </c>
      <c r="AU434" s="9" t="s">
        <v>303</v>
      </c>
      <c r="AV434" s="9" t="s">
        <v>406</v>
      </c>
      <c r="BA434" s="8">
        <v>5</v>
      </c>
      <c r="BP434" s="7">
        <v>4.5</v>
      </c>
      <c r="BS434" s="6">
        <v>0.11</v>
      </c>
      <c r="BT434" s="6">
        <v>0.13</v>
      </c>
      <c r="BU434" s="8">
        <v>38</v>
      </c>
      <c r="BV434" s="6">
        <v>0.04</v>
      </c>
      <c r="DZ434" s="31"/>
      <c r="EI434" s="10">
        <f>BP434*BS434/100</f>
        <v>4.9499999999999995E-3</v>
      </c>
      <c r="EJ434" s="10">
        <f>BP434*BT434/100</f>
        <v>5.8499999999999993E-3</v>
      </c>
      <c r="EK434" s="10">
        <f>BP434*BU434/1000</f>
        <v>0.17100000000000001</v>
      </c>
      <c r="EL434" s="6">
        <f>BP434*BV434</f>
        <v>0.18</v>
      </c>
      <c r="GP434" s="32"/>
      <c r="GY434" s="6" t="s">
        <v>338</v>
      </c>
      <c r="GZ434" s="6" t="s">
        <v>462</v>
      </c>
      <c r="HB434" s="6" t="s">
        <v>5650</v>
      </c>
      <c r="HC434" s="6" t="s">
        <v>5175</v>
      </c>
      <c r="HD434" s="8" t="s">
        <v>5651</v>
      </c>
      <c r="HE434" s="8">
        <v>16892</v>
      </c>
      <c r="HF434" s="8" t="s">
        <v>5652</v>
      </c>
      <c r="HG434" s="9" t="s">
        <v>766</v>
      </c>
      <c r="IB434" s="8" t="s">
        <v>5651</v>
      </c>
      <c r="IC434" s="8">
        <v>16892</v>
      </c>
      <c r="ID434" s="8" t="s">
        <v>5653</v>
      </c>
      <c r="IE434" s="9" t="s">
        <v>766</v>
      </c>
      <c r="IF434" s="8" t="s">
        <v>445</v>
      </c>
      <c r="II434" s="8" t="s">
        <v>5654</v>
      </c>
      <c r="IK434" s="8" t="s">
        <v>329</v>
      </c>
      <c r="JV434" s="7" t="s">
        <v>5655</v>
      </c>
      <c r="JX434" s="7" t="s">
        <v>320</v>
      </c>
      <c r="KG434" s="4" t="s">
        <v>323</v>
      </c>
      <c r="KM434" s="4" t="s">
        <v>471</v>
      </c>
      <c r="KN434" s="4" t="s">
        <v>471</v>
      </c>
      <c r="KO434" s="4" t="s">
        <v>445</v>
      </c>
      <c r="KP434" s="5" t="s">
        <v>358</v>
      </c>
      <c r="KQ434" s="5" t="s">
        <v>5656</v>
      </c>
      <c r="KS434" s="5" t="s">
        <v>5657</v>
      </c>
      <c r="KT434" s="5" t="s">
        <v>5658</v>
      </c>
    </row>
    <row r="435" spans="1:306" ht="60" x14ac:dyDescent="0.25">
      <c r="A435" s="5" t="s">
        <v>6540</v>
      </c>
      <c r="B435" s="4" t="s">
        <v>476</v>
      </c>
      <c r="C435" s="7" t="s">
        <v>477</v>
      </c>
      <c r="D435" s="8" t="s">
        <v>2294</v>
      </c>
      <c r="E435" s="4">
        <v>575546</v>
      </c>
      <c r="G435" s="4" t="s">
        <v>593</v>
      </c>
      <c r="H435" s="6">
        <v>136.01929999999999</v>
      </c>
      <c r="I435" s="6">
        <v>-32.646999999999998</v>
      </c>
      <c r="J435" s="4" t="s">
        <v>6540</v>
      </c>
      <c r="K435" s="4" t="s">
        <v>595</v>
      </c>
      <c r="L435" s="4" t="s">
        <v>596</v>
      </c>
      <c r="M435" s="4" t="s">
        <v>1166</v>
      </c>
      <c r="Q435" s="8"/>
      <c r="R435" s="8"/>
      <c r="S435" s="4"/>
      <c r="T435" s="4"/>
      <c r="U435" s="4"/>
      <c r="V435" s="4"/>
      <c r="W435" s="4"/>
      <c r="X435" s="4"/>
      <c r="Z435" s="4" t="s">
        <v>476</v>
      </c>
      <c r="AA435" s="7" t="s">
        <v>477</v>
      </c>
      <c r="AB435" s="8" t="s">
        <v>2294</v>
      </c>
      <c r="AC435" s="4" t="s">
        <v>301</v>
      </c>
      <c r="AD435" s="4" t="s">
        <v>375</v>
      </c>
      <c r="AE435" s="8">
        <v>1597</v>
      </c>
      <c r="AF435" s="8">
        <v>14</v>
      </c>
      <c r="AG435" s="4" t="s">
        <v>379</v>
      </c>
      <c r="AH435" s="4" t="s">
        <v>5174</v>
      </c>
      <c r="AI435" s="4" t="s">
        <v>373</v>
      </c>
      <c r="AJ435" s="4" t="s">
        <v>306</v>
      </c>
      <c r="AK435" s="4" t="s">
        <v>307</v>
      </c>
      <c r="AL435" s="4" t="s">
        <v>337</v>
      </c>
      <c r="AM435" s="8">
        <v>4</v>
      </c>
      <c r="AN435" s="4" t="s">
        <v>381</v>
      </c>
      <c r="AO435" s="4" t="s">
        <v>402</v>
      </c>
      <c r="AP435" s="4" t="s">
        <v>383</v>
      </c>
      <c r="AQ435" s="7" t="s">
        <v>384</v>
      </c>
      <c r="AR435" s="8" t="s">
        <v>1048</v>
      </c>
      <c r="AS435" s="7">
        <v>0</v>
      </c>
      <c r="AT435" s="7">
        <v>0</v>
      </c>
      <c r="AU435" s="9" t="s">
        <v>303</v>
      </c>
      <c r="AV435" s="9" t="s">
        <v>406</v>
      </c>
      <c r="BA435" s="8">
        <v>5</v>
      </c>
      <c r="BP435" s="7">
        <v>24</v>
      </c>
      <c r="BQ435" s="7"/>
      <c r="BR435" s="7"/>
      <c r="BS435" s="7"/>
      <c r="BT435" s="6">
        <v>0.41</v>
      </c>
      <c r="BU435" s="8">
        <v>73</v>
      </c>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31"/>
      <c r="EA435" s="4"/>
      <c r="EB435" s="10"/>
      <c r="EC435" s="4"/>
      <c r="ED435" s="4"/>
      <c r="EE435" s="4"/>
      <c r="EF435" s="4"/>
      <c r="EG435" s="4"/>
      <c r="EJ435" s="10">
        <f>BP435*BT435/100</f>
        <v>9.8400000000000001E-2</v>
      </c>
      <c r="EK435" s="6">
        <f>BP435*BU435/1000</f>
        <v>1.752</v>
      </c>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32"/>
      <c r="GQ435" s="4"/>
      <c r="GR435" s="4"/>
      <c r="GS435" s="4"/>
      <c r="GT435" s="4"/>
      <c r="GU435" s="4"/>
      <c r="GV435" s="4"/>
      <c r="GW435" s="4"/>
      <c r="GX435" s="4"/>
      <c r="GY435" s="31" t="s">
        <v>407</v>
      </c>
      <c r="GZ435" s="4" t="s">
        <v>462</v>
      </c>
      <c r="HA435" s="4" t="s">
        <v>339</v>
      </c>
      <c r="HB435" s="4"/>
      <c r="HC435" s="4" t="s">
        <v>5175</v>
      </c>
      <c r="HD435" s="4" t="s">
        <v>3791</v>
      </c>
      <c r="HE435" s="4">
        <v>25953</v>
      </c>
      <c r="HF435" s="4" t="s">
        <v>6541</v>
      </c>
      <c r="HG435" s="4" t="s">
        <v>538</v>
      </c>
      <c r="HH435" s="4"/>
      <c r="HJ435" s="4"/>
      <c r="HK435" s="4"/>
      <c r="HL435" s="4"/>
      <c r="HN435" s="4"/>
      <c r="HO435" s="4"/>
      <c r="HP435" s="4"/>
      <c r="HR435" s="4"/>
      <c r="HS435" s="4"/>
      <c r="HT435" s="4"/>
      <c r="HU435" s="4"/>
      <c r="HV435" s="4"/>
      <c r="HW435" s="4"/>
      <c r="HX435" s="4"/>
      <c r="HY435" s="4"/>
      <c r="HZ435" s="4"/>
      <c r="IA435" s="4"/>
      <c r="IB435" s="4" t="s">
        <v>6542</v>
      </c>
      <c r="IC435" s="4"/>
      <c r="ID435" s="4" t="s">
        <v>6543</v>
      </c>
      <c r="IE435" s="4" t="s">
        <v>538</v>
      </c>
      <c r="IF435" s="4" t="s">
        <v>445</v>
      </c>
      <c r="IG435" s="4" t="s">
        <v>6544</v>
      </c>
      <c r="IH435" s="4">
        <v>26613</v>
      </c>
      <c r="II435" s="4" t="s">
        <v>6545</v>
      </c>
      <c r="IJ435" s="4" t="s">
        <v>349</v>
      </c>
      <c r="IK435" s="4" t="s">
        <v>810</v>
      </c>
      <c r="IL435" s="4" t="s">
        <v>6546</v>
      </c>
      <c r="IM435" s="4">
        <v>7059</v>
      </c>
      <c r="IN435" s="4" t="s">
        <v>6547</v>
      </c>
      <c r="IO435" s="4"/>
      <c r="IP435" s="4"/>
      <c r="IQ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4"/>
      <c r="JU435" s="4"/>
      <c r="JV435" s="4" t="s">
        <v>6548</v>
      </c>
      <c r="JW435" s="4" t="s">
        <v>2718</v>
      </c>
      <c r="JX435" s="4" t="s">
        <v>320</v>
      </c>
      <c r="JY435" s="4"/>
      <c r="JZ435" s="4"/>
      <c r="KA435" s="4"/>
      <c r="KB435" s="4"/>
      <c r="KC435" s="4"/>
      <c r="KD435" s="4"/>
      <c r="KE435" s="4"/>
      <c r="KF435" s="4"/>
      <c r="KG435" s="4" t="s">
        <v>323</v>
      </c>
      <c r="KP435" s="5" t="s">
        <v>358</v>
      </c>
      <c r="KQ435" s="5" t="s">
        <v>6549</v>
      </c>
      <c r="KR435" s="5" t="s">
        <v>6550</v>
      </c>
      <c r="KS435" s="5" t="s">
        <v>6551</v>
      </c>
      <c r="KT435" s="5" t="s">
        <v>6552</v>
      </c>
    </row>
    <row r="436" spans="1:306" ht="48" x14ac:dyDescent="0.25">
      <c r="A436" s="5" t="s">
        <v>6686</v>
      </c>
      <c r="B436" s="4" t="s">
        <v>476</v>
      </c>
      <c r="C436" s="7" t="s">
        <v>477</v>
      </c>
      <c r="D436" s="8" t="s">
        <v>2294</v>
      </c>
      <c r="E436" s="4">
        <v>655529</v>
      </c>
      <c r="G436" s="4" t="s">
        <v>427</v>
      </c>
      <c r="H436" s="6">
        <v>146.42599999999999</v>
      </c>
      <c r="I436" s="6">
        <v>-31.716100000000001</v>
      </c>
      <c r="J436" s="4" t="s">
        <v>1943</v>
      </c>
      <c r="K436" s="4" t="s">
        <v>298</v>
      </c>
      <c r="L436" s="4" t="s">
        <v>299</v>
      </c>
      <c r="M436" s="4" t="s">
        <v>428</v>
      </c>
      <c r="N436" s="4" t="s">
        <v>1757</v>
      </c>
      <c r="Q436" s="4"/>
      <c r="R436" s="4"/>
      <c r="S436" s="4"/>
      <c r="T436" s="4"/>
      <c r="U436" s="4"/>
      <c r="V436" s="4"/>
      <c r="W436" s="4"/>
      <c r="X436" s="4"/>
      <c r="Z436" s="4" t="s">
        <v>476</v>
      </c>
      <c r="AA436" s="7" t="s">
        <v>477</v>
      </c>
      <c r="AB436" s="8" t="s">
        <v>2294</v>
      </c>
      <c r="AC436" s="4" t="s">
        <v>301</v>
      </c>
      <c r="AD436" s="4" t="s">
        <v>375</v>
      </c>
      <c r="AE436" s="4">
        <v>408.2</v>
      </c>
      <c r="AF436" s="4">
        <v>0.6</v>
      </c>
      <c r="AG436" s="4" t="s">
        <v>379</v>
      </c>
      <c r="AH436" s="4" t="s">
        <v>429</v>
      </c>
      <c r="AI436" s="4" t="s">
        <v>845</v>
      </c>
      <c r="AJ436" s="4" t="s">
        <v>431</v>
      </c>
      <c r="AK436" s="4" t="s">
        <v>432</v>
      </c>
      <c r="AL436" s="4"/>
      <c r="AM436" s="8">
        <v>4</v>
      </c>
      <c r="AS436" s="7"/>
      <c r="AT436" s="7"/>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31"/>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32"/>
      <c r="GQ436" s="4"/>
      <c r="GR436" s="4"/>
      <c r="GS436" s="4"/>
      <c r="GT436" s="4"/>
      <c r="GU436" s="4"/>
      <c r="GV436" s="4"/>
      <c r="GW436" s="4"/>
      <c r="GX436" s="4"/>
      <c r="GY436" s="6" t="s">
        <v>407</v>
      </c>
      <c r="GZ436" s="4"/>
      <c r="HA436" s="4"/>
      <c r="HB436" s="4"/>
      <c r="HC436" s="4"/>
      <c r="HD436" s="4" t="s">
        <v>5414</v>
      </c>
      <c r="HE436" s="8">
        <v>954</v>
      </c>
      <c r="HF436" s="4" t="s">
        <v>6687</v>
      </c>
      <c r="HG436" s="4" t="s">
        <v>1760</v>
      </c>
      <c r="HH436" s="4"/>
      <c r="HJ436" s="4"/>
      <c r="HK436" s="4"/>
      <c r="HL436" s="4"/>
      <c r="HN436" s="4"/>
      <c r="HO436" s="4"/>
      <c r="HP436" s="4"/>
      <c r="HR436" s="4"/>
      <c r="HS436" s="4"/>
      <c r="HT436" s="4"/>
      <c r="HU436" s="4"/>
      <c r="HV436" s="4"/>
      <c r="HW436" s="4"/>
      <c r="HX436" s="4"/>
      <c r="HY436" s="4"/>
      <c r="HZ436" s="4"/>
      <c r="IA436" s="4"/>
      <c r="IB436" s="4" t="s">
        <v>5414</v>
      </c>
      <c r="IC436" s="8">
        <v>954</v>
      </c>
      <c r="ID436" s="4" t="s">
        <v>6687</v>
      </c>
      <c r="IE436" s="4" t="s">
        <v>1760</v>
      </c>
      <c r="IF436" s="4" t="s">
        <v>445</v>
      </c>
      <c r="IG436" s="4"/>
      <c r="IH436" s="4"/>
      <c r="II436" s="4"/>
      <c r="IJ436" s="4"/>
      <c r="IK436" s="4"/>
      <c r="IL436" s="4"/>
      <c r="IN436" s="4"/>
      <c r="IO436" s="4"/>
      <c r="IP436" s="4"/>
      <c r="IQ436" s="4"/>
      <c r="IS436" s="4"/>
      <c r="IT436" s="4"/>
      <c r="IU436" s="4"/>
      <c r="IV436" s="4"/>
      <c r="IW436" s="8"/>
      <c r="IX436" s="4"/>
      <c r="IY436" s="4"/>
      <c r="IZ436" s="4"/>
      <c r="JA436" s="4"/>
      <c r="JB436" s="8"/>
      <c r="JC436" s="4"/>
      <c r="JD436" s="4"/>
      <c r="JE436" s="4"/>
      <c r="JF436" s="4"/>
      <c r="JG436" s="4"/>
      <c r="JH436" s="4"/>
      <c r="JI436" s="4"/>
      <c r="JJ436" s="4"/>
      <c r="JK436" s="4"/>
      <c r="JL436" s="4"/>
      <c r="JM436" s="4"/>
      <c r="JN436" s="4"/>
      <c r="JO436" s="4"/>
      <c r="JP436" s="4"/>
      <c r="JQ436" s="4"/>
      <c r="JR436" s="4"/>
      <c r="JS436" s="4"/>
      <c r="JT436" s="4"/>
      <c r="JU436" s="4"/>
      <c r="JV436" s="4" t="s">
        <v>6688</v>
      </c>
      <c r="JW436" s="4"/>
      <c r="JX436" s="4" t="s">
        <v>320</v>
      </c>
      <c r="JY436" s="4"/>
      <c r="JZ436" s="4"/>
      <c r="KA436" s="4"/>
      <c r="KB436" s="4"/>
      <c r="KC436" s="4"/>
      <c r="KD436" s="4"/>
      <c r="KE436" s="4"/>
      <c r="KF436" s="4"/>
      <c r="KG436" s="4" t="s">
        <v>323</v>
      </c>
      <c r="KP436" s="5" t="s">
        <v>1202</v>
      </c>
      <c r="KQ436" s="5" t="s">
        <v>6689</v>
      </c>
      <c r="KR436" s="5" t="s">
        <v>6265</v>
      </c>
    </row>
    <row r="437" spans="1:306" ht="108" x14ac:dyDescent="0.25">
      <c r="A437" s="5" t="s">
        <v>7167</v>
      </c>
      <c r="B437" s="4" t="s">
        <v>476</v>
      </c>
      <c r="C437" s="7" t="s">
        <v>477</v>
      </c>
      <c r="D437" s="8" t="s">
        <v>2294</v>
      </c>
      <c r="E437" s="4">
        <v>334478</v>
      </c>
      <c r="G437" s="4" t="s">
        <v>479</v>
      </c>
      <c r="H437" s="6">
        <v>151.27350000000001</v>
      </c>
      <c r="I437" s="6">
        <v>-28.863700000000001</v>
      </c>
      <c r="J437" s="4" t="s">
        <v>5648</v>
      </c>
      <c r="K437" s="4" t="s">
        <v>298</v>
      </c>
      <c r="L437" s="4" t="s">
        <v>552</v>
      </c>
      <c r="M437" s="4" t="s">
        <v>5649</v>
      </c>
      <c r="Q437" s="8"/>
      <c r="Z437" s="4" t="s">
        <v>476</v>
      </c>
      <c r="AA437" s="7" t="s">
        <v>477</v>
      </c>
      <c r="AB437" s="8" t="s">
        <v>2294</v>
      </c>
      <c r="AC437" s="4" t="s">
        <v>301</v>
      </c>
      <c r="AE437" s="8">
        <v>245</v>
      </c>
      <c r="AG437" s="9" t="s">
        <v>379</v>
      </c>
      <c r="AH437" s="9" t="s">
        <v>1156</v>
      </c>
      <c r="AM437" s="8">
        <v>3</v>
      </c>
      <c r="AS437" s="7"/>
      <c r="AT437" s="7"/>
      <c r="BP437" s="7">
        <f>0.1+0.66</f>
        <v>0.76</v>
      </c>
      <c r="BR437" s="6">
        <f>(0.1*(100*990/100000)+0.66*0.09)/(0.1+0.66)</f>
        <v>0.20842105263157895</v>
      </c>
      <c r="BS437" s="6">
        <f>(0.1*(100*690/100000)+0.66*2.03)/(0.1+0.66)</f>
        <v>1.8536842105263156</v>
      </c>
      <c r="BT437" s="6">
        <f>(0.1*(100*1050/100000)+0.66*0.69)/(0.1+0.66)</f>
        <v>0.73736842105263156</v>
      </c>
      <c r="BU437" s="8">
        <f>(0.1*(68*1000000/100000)+0.66*54)/(0.1+0.66)</f>
        <v>136.36842105263159</v>
      </c>
      <c r="BV437" s="6">
        <f>(0.1*(140000/100000)+0.66*0.06)/(0.1+0.66)</f>
        <v>0.23631578947368417</v>
      </c>
      <c r="DZ437" s="31"/>
      <c r="EH437" s="10">
        <f>BP437*BR437/100</f>
        <v>1.5840000000000001E-3</v>
      </c>
      <c r="EI437" s="10">
        <f>BP437*BS437/100</f>
        <v>1.4087999999999998E-2</v>
      </c>
      <c r="EJ437" s="10">
        <f>BP437*BT437/100</f>
        <v>5.6040000000000005E-3</v>
      </c>
      <c r="EK437" s="10">
        <f>BP437*BU437/1000</f>
        <v>0.10364000000000001</v>
      </c>
      <c r="EL437" s="6">
        <f>BP437*BV437</f>
        <v>0.17959999999999998</v>
      </c>
      <c r="EY437" s="6"/>
      <c r="FA437" s="6"/>
      <c r="GP437" s="32"/>
      <c r="GY437" s="6" t="s">
        <v>435</v>
      </c>
      <c r="GZ437" s="6" t="s">
        <v>5830</v>
      </c>
      <c r="HB437" s="6" t="s">
        <v>7168</v>
      </c>
      <c r="HC437" s="6" t="s">
        <v>5175</v>
      </c>
      <c r="HD437" s="8" t="s">
        <v>5651</v>
      </c>
      <c r="HE437" s="8">
        <v>16892</v>
      </c>
      <c r="HF437" s="8" t="s">
        <v>5652</v>
      </c>
      <c r="HG437" s="9" t="s">
        <v>766</v>
      </c>
      <c r="HY437" s="9"/>
      <c r="IB437" s="8" t="s">
        <v>5651</v>
      </c>
      <c r="IC437" s="8">
        <v>16892</v>
      </c>
      <c r="ID437" s="8" t="s">
        <v>5653</v>
      </c>
      <c r="IE437" s="9" t="s">
        <v>766</v>
      </c>
      <c r="IF437" s="8" t="s">
        <v>445</v>
      </c>
      <c r="II437" s="8" t="s">
        <v>7169</v>
      </c>
      <c r="IK437" s="8" t="s">
        <v>329</v>
      </c>
      <c r="IR437" s="9"/>
      <c r="KM437" s="4" t="s">
        <v>471</v>
      </c>
      <c r="KN437" s="4" t="s">
        <v>471</v>
      </c>
      <c r="KO437" s="4" t="s">
        <v>445</v>
      </c>
      <c r="KP437" s="5" t="s">
        <v>358</v>
      </c>
      <c r="KQ437" s="5" t="s">
        <v>5656</v>
      </c>
      <c r="KS437" s="5" t="s">
        <v>5656</v>
      </c>
      <c r="KT437" s="5" t="s">
        <v>7170</v>
      </c>
    </row>
    <row r="438" spans="1:306" ht="108" x14ac:dyDescent="0.25">
      <c r="A438" s="5" t="s">
        <v>7742</v>
      </c>
      <c r="B438" s="4" t="s">
        <v>476</v>
      </c>
      <c r="C438" s="7" t="s">
        <v>477</v>
      </c>
      <c r="D438" s="8" t="s">
        <v>2294</v>
      </c>
      <c r="E438" s="4">
        <v>335715</v>
      </c>
      <c r="G438" s="4" t="s">
        <v>479</v>
      </c>
      <c r="H438" s="6">
        <v>151.26349999999999</v>
      </c>
      <c r="I438" s="6">
        <v>-28.8474</v>
      </c>
      <c r="J438" s="4" t="s">
        <v>5648</v>
      </c>
      <c r="K438" s="4" t="s">
        <v>298</v>
      </c>
      <c r="L438" s="4" t="s">
        <v>552</v>
      </c>
      <c r="M438" s="4" t="s">
        <v>5649</v>
      </c>
      <c r="Q438" s="7"/>
      <c r="R438" s="7"/>
      <c r="Z438" s="4" t="s">
        <v>476</v>
      </c>
      <c r="AA438" s="7" t="s">
        <v>477</v>
      </c>
      <c r="AB438" s="8" t="s">
        <v>2294</v>
      </c>
      <c r="AC438" s="4" t="s">
        <v>301</v>
      </c>
      <c r="AD438" s="4" t="s">
        <v>375</v>
      </c>
      <c r="AE438" s="7">
        <v>244.6</v>
      </c>
      <c r="AF438" s="7">
        <v>6.1</v>
      </c>
      <c r="AG438" s="9" t="s">
        <v>379</v>
      </c>
      <c r="AH438" s="9" t="s">
        <v>429</v>
      </c>
      <c r="AI438" s="9" t="s">
        <v>3765</v>
      </c>
      <c r="AJ438" s="9" t="s">
        <v>1238</v>
      </c>
      <c r="AM438" s="8">
        <v>4</v>
      </c>
      <c r="AN438" s="4" t="s">
        <v>381</v>
      </c>
      <c r="AO438" s="4" t="s">
        <v>382</v>
      </c>
      <c r="AP438" s="4" t="s">
        <v>383</v>
      </c>
      <c r="AQ438" s="7" t="s">
        <v>384</v>
      </c>
      <c r="AR438" s="8" t="s">
        <v>1048</v>
      </c>
      <c r="AS438" s="7">
        <v>0</v>
      </c>
      <c r="AT438" s="7">
        <v>0</v>
      </c>
      <c r="AU438" s="9" t="s">
        <v>303</v>
      </c>
      <c r="AV438" s="9" t="s">
        <v>406</v>
      </c>
      <c r="BA438" s="8">
        <v>5</v>
      </c>
      <c r="BP438" s="7">
        <f>1.9+6.1</f>
        <v>8</v>
      </c>
      <c r="BU438" s="8">
        <f>(1.9*71.1+6.1*48)/(1.9+6.1)</f>
        <v>53.486249999999991</v>
      </c>
      <c r="BV438" s="6">
        <f>(1.9*0+6.1*0.06)/(1.9+6.1)</f>
        <v>4.5749999999999999E-2</v>
      </c>
      <c r="DZ438" s="31"/>
      <c r="EK438" s="10">
        <f>(8.57*51.22+1.4*31.1)/1000</f>
        <v>0.48249540000000002</v>
      </c>
      <c r="EL438" s="6">
        <f>BP438*BV438</f>
        <v>0.36599999999999999</v>
      </c>
      <c r="EY438" s="6"/>
      <c r="FA438" s="6"/>
      <c r="GP438" s="32"/>
      <c r="GY438" s="6" t="s">
        <v>435</v>
      </c>
      <c r="GZ438" s="6" t="s">
        <v>462</v>
      </c>
      <c r="HB438" s="6" t="s">
        <v>436</v>
      </c>
      <c r="HC438" s="6" t="s">
        <v>5175</v>
      </c>
      <c r="HD438" s="8" t="s">
        <v>5651</v>
      </c>
      <c r="HE438" s="8">
        <v>16892</v>
      </c>
      <c r="HF438" s="8" t="s">
        <v>5652</v>
      </c>
      <c r="HG438" s="9" t="s">
        <v>766</v>
      </c>
      <c r="HY438" s="9"/>
      <c r="IB438" s="8" t="s">
        <v>5651</v>
      </c>
      <c r="IC438" s="8">
        <v>16892</v>
      </c>
      <c r="ID438" s="8" t="s">
        <v>5653</v>
      </c>
      <c r="IE438" s="9" t="s">
        <v>766</v>
      </c>
      <c r="IF438" s="8" t="s">
        <v>445</v>
      </c>
      <c r="II438" s="8" t="s">
        <v>3356</v>
      </c>
      <c r="IK438" s="8" t="s">
        <v>329</v>
      </c>
      <c r="IN438" s="9" t="s">
        <v>7743</v>
      </c>
      <c r="IP438" s="9" t="s">
        <v>329</v>
      </c>
      <c r="IR438" s="9"/>
      <c r="IS438" s="9" t="s">
        <v>7744</v>
      </c>
      <c r="IU438" s="9" t="s">
        <v>329</v>
      </c>
      <c r="JV438" s="7" t="s">
        <v>5655</v>
      </c>
      <c r="JX438" s="7" t="s">
        <v>320</v>
      </c>
      <c r="KG438" s="4" t="s">
        <v>323</v>
      </c>
      <c r="KM438" s="4" t="s">
        <v>471</v>
      </c>
      <c r="KN438" s="4" t="s">
        <v>471</v>
      </c>
      <c r="KO438" s="4" t="s">
        <v>445</v>
      </c>
      <c r="KP438" s="5" t="s">
        <v>7745</v>
      </c>
      <c r="KQ438" s="5" t="s">
        <v>7746</v>
      </c>
      <c r="KR438" s="5" t="s">
        <v>7745</v>
      </c>
      <c r="KS438" s="5" t="s">
        <v>5657</v>
      </c>
      <c r="KT438" s="5" t="s">
        <v>7747</v>
      </c>
    </row>
    <row r="439" spans="1:306" ht="96" x14ac:dyDescent="0.25">
      <c r="A439" s="5" t="s">
        <v>8339</v>
      </c>
      <c r="B439" s="4" t="s">
        <v>476</v>
      </c>
      <c r="C439" s="7" t="s">
        <v>477</v>
      </c>
      <c r="D439" s="8" t="s">
        <v>2294</v>
      </c>
      <c r="E439" s="4">
        <v>334192</v>
      </c>
      <c r="G439" s="4" t="s">
        <v>427</v>
      </c>
      <c r="H439" s="6">
        <v>150.20699999999999</v>
      </c>
      <c r="I439" s="6">
        <v>-34.113799999999998</v>
      </c>
      <c r="J439" s="4" t="s">
        <v>8340</v>
      </c>
      <c r="K439" s="4" t="s">
        <v>298</v>
      </c>
      <c r="L439" s="4" t="s">
        <v>299</v>
      </c>
      <c r="M439" s="4" t="s">
        <v>1359</v>
      </c>
      <c r="N439" s="4" t="s">
        <v>6513</v>
      </c>
      <c r="Q439" s="7"/>
      <c r="R439" s="7"/>
      <c r="S439" s="4"/>
      <c r="Z439" s="4" t="s">
        <v>476</v>
      </c>
      <c r="AA439" s="7" t="s">
        <v>477</v>
      </c>
      <c r="AB439" s="8" t="s">
        <v>2294</v>
      </c>
      <c r="AC439" s="4" t="s">
        <v>301</v>
      </c>
      <c r="AD439" s="4" t="s">
        <v>375</v>
      </c>
      <c r="AE439" s="7">
        <v>372.09999999999997</v>
      </c>
      <c r="AF439" s="7">
        <v>1.9</v>
      </c>
      <c r="AG439" s="4" t="s">
        <v>379</v>
      </c>
      <c r="AH439" s="9" t="s">
        <v>429</v>
      </c>
      <c r="AI439" s="9" t="s">
        <v>845</v>
      </c>
      <c r="AJ439" s="9" t="s">
        <v>431</v>
      </c>
      <c r="AK439" s="9" t="s">
        <v>307</v>
      </c>
      <c r="AM439" s="8">
        <v>4</v>
      </c>
      <c r="AN439" s="4" t="s">
        <v>381</v>
      </c>
      <c r="AO439" s="4" t="s">
        <v>382</v>
      </c>
      <c r="AP439" s="4" t="s">
        <v>383</v>
      </c>
      <c r="AQ439" s="7" t="s">
        <v>384</v>
      </c>
      <c r="AR439" s="8" t="s">
        <v>433</v>
      </c>
      <c r="AS439" s="7">
        <v>0</v>
      </c>
      <c r="AT439" s="7">
        <v>0</v>
      </c>
      <c r="AU439" s="9" t="s">
        <v>379</v>
      </c>
      <c r="AV439" s="9" t="s">
        <v>406</v>
      </c>
      <c r="BA439" s="8">
        <v>5</v>
      </c>
      <c r="BP439" s="7">
        <f>0.123735+0.0381</f>
        <v>0.16183500000000001</v>
      </c>
      <c r="BT439" s="7">
        <f>((100*28027/123735)*0.123735+3.8*0.0381)/(0.123735+0.0381)</f>
        <v>18.212871134179871</v>
      </c>
      <c r="BU439" s="8">
        <f>((341.18*1000000/123735)*0.123735+1210*0.0381)/(0.123735+0.0381)</f>
        <v>2393.0608335650504</v>
      </c>
      <c r="BV439" s="7">
        <f>((0.623*1000000/123735)*0.123735+6.9*0.0381)/(0.123735+0.0381)</f>
        <v>5.4740321932832829</v>
      </c>
      <c r="DZ439" s="31"/>
      <c r="EJ439" s="10">
        <f>BP439*BT439/100</f>
        <v>2.9474799999999995E-2</v>
      </c>
      <c r="EK439" s="9">
        <f>BP439*BU439/1000</f>
        <v>0.38728099999999993</v>
      </c>
      <c r="EL439" s="9">
        <f>BP439*BV439</f>
        <v>0.88589000000000018</v>
      </c>
      <c r="EY439" s="6"/>
      <c r="FA439" s="6"/>
      <c r="GP439" s="32"/>
      <c r="GY439" s="6" t="s">
        <v>309</v>
      </c>
      <c r="GZ439" s="6" t="s">
        <v>462</v>
      </c>
      <c r="HA439" s="6" t="s">
        <v>5313</v>
      </c>
      <c r="HC439" s="6" t="s">
        <v>5175</v>
      </c>
      <c r="HD439" s="8" t="s">
        <v>8341</v>
      </c>
      <c r="HE439" s="8">
        <v>69879</v>
      </c>
      <c r="HF439" s="8" t="s">
        <v>8342</v>
      </c>
      <c r="HG439" s="9" t="s">
        <v>782</v>
      </c>
      <c r="HY439" s="9"/>
      <c r="IB439" s="8" t="s">
        <v>8341</v>
      </c>
      <c r="IC439" s="8">
        <v>69879</v>
      </c>
      <c r="ID439" s="8" t="s">
        <v>8342</v>
      </c>
      <c r="IE439" s="9" t="s">
        <v>782</v>
      </c>
      <c r="IF439" s="8" t="s">
        <v>445</v>
      </c>
      <c r="IW439" s="8"/>
      <c r="JB439" s="8"/>
      <c r="JV439" s="7" t="s">
        <v>8343</v>
      </c>
      <c r="JX439" s="7" t="s">
        <v>320</v>
      </c>
      <c r="KG439" s="4" t="s">
        <v>323</v>
      </c>
      <c r="KM439" s="4" t="s">
        <v>391</v>
      </c>
      <c r="KN439" s="4" t="s">
        <v>391</v>
      </c>
      <c r="KP439" s="5" t="s">
        <v>358</v>
      </c>
      <c r="KQ439" s="5" t="s">
        <v>8344</v>
      </c>
      <c r="KR439" s="5" t="s">
        <v>8344</v>
      </c>
      <c r="KS439" s="5" t="s">
        <v>8344</v>
      </c>
      <c r="KT439" s="14" t="s">
        <v>8345</v>
      </c>
    </row>
    <row r="440" spans="1:306" ht="144" x14ac:dyDescent="0.25">
      <c r="A440" s="5" t="s">
        <v>475</v>
      </c>
      <c r="B440" s="4" t="s">
        <v>476</v>
      </c>
      <c r="C440" s="7" t="s">
        <v>477</v>
      </c>
      <c r="D440" s="8" t="s">
        <v>478</v>
      </c>
      <c r="E440" s="4">
        <v>334811</v>
      </c>
      <c r="G440" s="4" t="s">
        <v>479</v>
      </c>
      <c r="H440" s="6">
        <v>143.54859999999999</v>
      </c>
      <c r="I440" s="6">
        <v>-18.994199999999999</v>
      </c>
      <c r="J440" s="4" t="s">
        <v>480</v>
      </c>
      <c r="K440" s="4" t="s">
        <v>481</v>
      </c>
      <c r="L440" s="4" t="s">
        <v>482</v>
      </c>
      <c r="Q440" s="7"/>
      <c r="R440" s="7"/>
      <c r="Z440" s="4" t="s">
        <v>476</v>
      </c>
      <c r="AA440" s="7" t="s">
        <v>477</v>
      </c>
      <c r="AB440" s="8" t="s">
        <v>478</v>
      </c>
      <c r="AC440" s="4" t="s">
        <v>301</v>
      </c>
      <c r="AE440" s="7">
        <v>284.89999999999998</v>
      </c>
      <c r="AF440" s="7"/>
      <c r="AG440" s="9" t="s">
        <v>379</v>
      </c>
      <c r="AH440" s="9" t="s">
        <v>483</v>
      </c>
      <c r="AI440" s="9" t="s">
        <v>373</v>
      </c>
      <c r="AJ440" s="9" t="s">
        <v>306</v>
      </c>
      <c r="AK440" s="9" t="s">
        <v>307</v>
      </c>
      <c r="AL440" s="9" t="s">
        <v>337</v>
      </c>
      <c r="AM440" s="8">
        <v>3</v>
      </c>
      <c r="BP440" s="7">
        <v>15.81</v>
      </c>
      <c r="BV440" s="6">
        <v>0.93</v>
      </c>
      <c r="DZ440" s="31"/>
      <c r="EL440" s="6">
        <f>BP440*BV440</f>
        <v>14.7033</v>
      </c>
      <c r="EY440" s="6"/>
      <c r="FA440" s="6"/>
      <c r="GP440" s="32"/>
      <c r="GY440" s="6" t="s">
        <v>338</v>
      </c>
      <c r="GZ440" s="6" t="s">
        <v>436</v>
      </c>
      <c r="HC440" s="6" t="s">
        <v>484</v>
      </c>
      <c r="HD440" s="8" t="s">
        <v>485</v>
      </c>
      <c r="HE440" s="8">
        <v>6827</v>
      </c>
      <c r="HF440" s="8" t="s">
        <v>486</v>
      </c>
      <c r="HG440" s="9" t="s">
        <v>487</v>
      </c>
      <c r="HH440" s="9" t="s">
        <v>488</v>
      </c>
      <c r="HI440" s="8">
        <v>25745</v>
      </c>
      <c r="HJ440" s="9" t="s">
        <v>489</v>
      </c>
      <c r="HK440" s="9" t="s">
        <v>490</v>
      </c>
      <c r="HL440" s="8" t="s">
        <v>491</v>
      </c>
      <c r="HN440" s="8" t="s">
        <v>492</v>
      </c>
      <c r="HO440" s="8" t="s">
        <v>493</v>
      </c>
      <c r="HY440" s="9"/>
      <c r="IB440" s="8" t="s">
        <v>485</v>
      </c>
      <c r="IC440" s="8">
        <v>6827</v>
      </c>
      <c r="ID440" s="8" t="s">
        <v>486</v>
      </c>
      <c r="IE440" s="8" t="s">
        <v>487</v>
      </c>
      <c r="IF440" s="8" t="s">
        <v>445</v>
      </c>
      <c r="IG440" s="8" t="s">
        <v>491</v>
      </c>
      <c r="II440" s="8" t="s">
        <v>492</v>
      </c>
      <c r="IJ440" s="8" t="s">
        <v>493</v>
      </c>
      <c r="IK440" s="8" t="s">
        <v>445</v>
      </c>
      <c r="IR440" s="9"/>
      <c r="JV440" s="7" t="s">
        <v>494</v>
      </c>
      <c r="JX440" s="7" t="s">
        <v>320</v>
      </c>
      <c r="KG440" s="4" t="s">
        <v>323</v>
      </c>
      <c r="KP440" s="5" t="s">
        <v>358</v>
      </c>
      <c r="KQ440" s="5" t="s">
        <v>495</v>
      </c>
      <c r="KR440" s="5" t="s">
        <v>495</v>
      </c>
      <c r="KS440" s="5" t="s">
        <v>496</v>
      </c>
      <c r="KT440" s="5" t="s">
        <v>497</v>
      </c>
    </row>
    <row r="441" spans="1:306" ht="60" x14ac:dyDescent="0.25">
      <c r="A441" s="5" t="s">
        <v>1250</v>
      </c>
      <c r="B441" s="4" t="s">
        <v>476</v>
      </c>
      <c r="C441" s="7" t="s">
        <v>477</v>
      </c>
      <c r="D441" s="8" t="s">
        <v>478</v>
      </c>
      <c r="E441" s="4">
        <v>652955</v>
      </c>
      <c r="G441" s="4" t="s">
        <v>479</v>
      </c>
      <c r="H441" s="6">
        <v>147.295413</v>
      </c>
      <c r="I441" s="6">
        <v>-22.287785</v>
      </c>
      <c r="J441" s="4" t="s">
        <v>1251</v>
      </c>
      <c r="K441" s="4" t="s">
        <v>298</v>
      </c>
      <c r="L441" s="4" t="s">
        <v>760</v>
      </c>
      <c r="M441" s="4" t="s">
        <v>761</v>
      </c>
      <c r="Q441" s="8"/>
      <c r="R441" s="8"/>
      <c r="Z441" s="4" t="s">
        <v>476</v>
      </c>
      <c r="AA441" s="7" t="s">
        <v>477</v>
      </c>
      <c r="AB441" s="8" t="s">
        <v>478</v>
      </c>
      <c r="AC441" s="4" t="s">
        <v>301</v>
      </c>
      <c r="AE441" s="8">
        <v>345</v>
      </c>
      <c r="AF441" s="8"/>
      <c r="AG441" s="9" t="s">
        <v>379</v>
      </c>
      <c r="AH441" s="9" t="s">
        <v>380</v>
      </c>
      <c r="AM441" s="8">
        <v>3</v>
      </c>
      <c r="AS441" s="7"/>
      <c r="AT441" s="7"/>
      <c r="BP441" s="7">
        <v>2.5</v>
      </c>
      <c r="BV441" s="6">
        <v>1.49</v>
      </c>
      <c r="DZ441" s="31"/>
      <c r="EL441" s="6">
        <f>BP441*BV441</f>
        <v>3.7250000000000001</v>
      </c>
      <c r="EY441" s="6"/>
      <c r="FA441" s="6"/>
      <c r="GP441" s="32"/>
      <c r="GY441" s="6" t="s">
        <v>309</v>
      </c>
      <c r="GZ441" s="6" t="s">
        <v>436</v>
      </c>
      <c r="HC441" s="6" t="s">
        <v>484</v>
      </c>
      <c r="HD441" s="8" t="s">
        <v>1252</v>
      </c>
      <c r="HE441" s="8">
        <v>401</v>
      </c>
      <c r="HF441" s="8" t="s">
        <v>1253</v>
      </c>
      <c r="HG441" s="9" t="s">
        <v>1254</v>
      </c>
      <c r="HY441" s="9"/>
      <c r="IB441" s="8" t="s">
        <v>1255</v>
      </c>
      <c r="IC441" s="8">
        <v>25477</v>
      </c>
      <c r="ID441" s="8" t="s">
        <v>1256</v>
      </c>
      <c r="IE441" s="9" t="s">
        <v>1257</v>
      </c>
      <c r="IF441" s="8" t="s">
        <v>329</v>
      </c>
      <c r="IR441" s="9"/>
      <c r="JV441" s="7" t="s">
        <v>1258</v>
      </c>
      <c r="JX441" s="7" t="s">
        <v>320</v>
      </c>
      <c r="KG441" s="4" t="s">
        <v>323</v>
      </c>
      <c r="KM441" s="4" t="s">
        <v>391</v>
      </c>
      <c r="KN441" s="4" t="s">
        <v>702</v>
      </c>
      <c r="KO441" s="4" t="s">
        <v>445</v>
      </c>
      <c r="KP441" s="5" t="s">
        <v>358</v>
      </c>
      <c r="KQ441" s="5" t="s">
        <v>1259</v>
      </c>
      <c r="KT441" s="5" t="s">
        <v>1260</v>
      </c>
    </row>
    <row r="442" spans="1:306" ht="156" x14ac:dyDescent="0.25">
      <c r="A442" s="5" t="s">
        <v>2470</v>
      </c>
      <c r="B442" s="4" t="s">
        <v>476</v>
      </c>
      <c r="C442" s="7" t="s">
        <v>477</v>
      </c>
      <c r="D442" s="8" t="s">
        <v>478</v>
      </c>
      <c r="E442" s="4">
        <v>334920</v>
      </c>
      <c r="G442" s="4" t="s">
        <v>479</v>
      </c>
      <c r="H442" s="6">
        <v>150.27029999999999</v>
      </c>
      <c r="I442" s="6">
        <v>-25.289280000000002</v>
      </c>
      <c r="J442" s="4" t="s">
        <v>2471</v>
      </c>
      <c r="K442" s="4" t="s">
        <v>298</v>
      </c>
      <c r="L442" s="4" t="s">
        <v>552</v>
      </c>
      <c r="M442" s="4" t="s">
        <v>2472</v>
      </c>
      <c r="Q442" s="8"/>
      <c r="R442" s="8"/>
      <c r="Z442" s="4" t="s">
        <v>476</v>
      </c>
      <c r="AA442" s="7" t="s">
        <v>477</v>
      </c>
      <c r="AB442" s="8" t="s">
        <v>478</v>
      </c>
      <c r="AC442" s="4" t="s">
        <v>301</v>
      </c>
      <c r="AE442" s="8">
        <v>291.10000000000002</v>
      </c>
      <c r="AF442" s="8">
        <v>5.3</v>
      </c>
      <c r="AG442" s="9" t="s">
        <v>379</v>
      </c>
      <c r="AH442" s="9" t="s">
        <v>483</v>
      </c>
      <c r="AI442" s="9" t="s">
        <v>373</v>
      </c>
      <c r="AJ442" s="9" t="s">
        <v>306</v>
      </c>
      <c r="AK442" s="9" t="s">
        <v>307</v>
      </c>
      <c r="AL442" s="9" t="s">
        <v>337</v>
      </c>
      <c r="AM442" s="8">
        <v>3</v>
      </c>
      <c r="DZ442" s="31"/>
      <c r="EL442" s="6">
        <f>31.1*(1250000+850000+21388+26792+90357+80983+87744+73685+53920+48221)/1000000+4.9*3.3</f>
        <v>96.504098999999997</v>
      </c>
      <c r="EY442" s="6"/>
      <c r="FA442" s="6"/>
      <c r="GP442" s="32"/>
      <c r="GY442" s="6" t="s">
        <v>435</v>
      </c>
      <c r="GZ442" s="6" t="s">
        <v>436</v>
      </c>
      <c r="HC442" s="6" t="s">
        <v>484</v>
      </c>
      <c r="HD442" s="8" t="s">
        <v>2473</v>
      </c>
      <c r="HE442" s="8">
        <v>3378</v>
      </c>
      <c r="HF442" s="8" t="s">
        <v>2474</v>
      </c>
      <c r="HG442" s="8" t="s">
        <v>2475</v>
      </c>
      <c r="HY442" s="9"/>
      <c r="IB442" s="8" t="s">
        <v>2473</v>
      </c>
      <c r="IC442" s="8">
        <v>3378</v>
      </c>
      <c r="ID442" s="8" t="s">
        <v>2474</v>
      </c>
      <c r="IE442" s="8" t="s">
        <v>2475</v>
      </c>
      <c r="IF442" s="8" t="s">
        <v>350</v>
      </c>
      <c r="II442" s="8" t="s">
        <v>2476</v>
      </c>
      <c r="IJ442" s="8" t="s">
        <v>766</v>
      </c>
      <c r="IK442" s="8" t="s">
        <v>319</v>
      </c>
      <c r="IR442" s="9"/>
      <c r="JV442" s="7" t="s">
        <v>2477</v>
      </c>
      <c r="JX442" s="7" t="s">
        <v>320</v>
      </c>
      <c r="KG442" s="4" t="s">
        <v>323</v>
      </c>
      <c r="KM442" s="4" t="s">
        <v>471</v>
      </c>
      <c r="KN442" s="4" t="s">
        <v>471</v>
      </c>
      <c r="KP442" s="5" t="s">
        <v>358</v>
      </c>
      <c r="KQ442" s="5" t="s">
        <v>2478</v>
      </c>
      <c r="KR442" s="5" t="s">
        <v>2479</v>
      </c>
      <c r="KS442" s="5" t="s">
        <v>2480</v>
      </c>
      <c r="KT442" s="5" t="s">
        <v>2481</v>
      </c>
    </row>
    <row r="443" spans="1:306" ht="120" x14ac:dyDescent="0.2">
      <c r="A443" s="5" t="s">
        <v>3084</v>
      </c>
      <c r="B443" s="4" t="s">
        <v>476</v>
      </c>
      <c r="C443" s="7" t="s">
        <v>477</v>
      </c>
      <c r="D443" s="8" t="s">
        <v>478</v>
      </c>
      <c r="E443" s="44">
        <v>859600</v>
      </c>
      <c r="F443" s="4">
        <v>489258</v>
      </c>
      <c r="G443" s="4" t="s">
        <v>427</v>
      </c>
      <c r="H443" s="6">
        <v>147.409696844</v>
      </c>
      <c r="I443" s="6">
        <v>-33.625421899000003</v>
      </c>
      <c r="J443" s="4" t="s">
        <v>2076</v>
      </c>
      <c r="K443" s="4" t="s">
        <v>298</v>
      </c>
      <c r="L443" s="4" t="s">
        <v>299</v>
      </c>
      <c r="M443" s="4" t="s">
        <v>1359</v>
      </c>
      <c r="N443" s="4" t="s">
        <v>1360</v>
      </c>
      <c r="Q443" s="8"/>
      <c r="S443" s="4"/>
      <c r="Z443" s="4" t="s">
        <v>476</v>
      </c>
      <c r="AA443" s="7" t="s">
        <v>477</v>
      </c>
      <c r="AB443" s="8" t="s">
        <v>478</v>
      </c>
      <c r="AC443" s="4" t="s">
        <v>301</v>
      </c>
      <c r="AD443" s="4" t="s">
        <v>375</v>
      </c>
      <c r="AE443" s="8">
        <v>438</v>
      </c>
      <c r="AG443" s="4" t="s">
        <v>379</v>
      </c>
      <c r="AH443" s="9" t="s">
        <v>1156</v>
      </c>
      <c r="AM443" s="8">
        <v>2</v>
      </c>
      <c r="AN443" s="4" t="s">
        <v>381</v>
      </c>
      <c r="AO443" s="4" t="s">
        <v>382</v>
      </c>
      <c r="AP443" s="4" t="s">
        <v>383</v>
      </c>
      <c r="AQ443" s="7" t="s">
        <v>384</v>
      </c>
      <c r="AR443" s="8" t="s">
        <v>433</v>
      </c>
      <c r="AS443" s="7">
        <v>0</v>
      </c>
      <c r="AT443" s="7">
        <v>0</v>
      </c>
      <c r="AU443" s="9" t="s">
        <v>303</v>
      </c>
      <c r="AV443" s="9" t="s">
        <v>406</v>
      </c>
      <c r="BA443" s="8">
        <v>5</v>
      </c>
      <c r="BP443" s="7">
        <f>5+8</f>
        <v>13</v>
      </c>
      <c r="BV443" s="6">
        <f>(5*1.29+8*0.91)/(5+8)</f>
        <v>1.0561538461538462</v>
      </c>
      <c r="DZ443" s="31"/>
      <c r="EL443" s="6">
        <f>BP443*BV443</f>
        <v>13.73</v>
      </c>
      <c r="GP443" s="32"/>
      <c r="GY443" s="6" t="s">
        <v>338</v>
      </c>
      <c r="GZ443" s="6" t="s">
        <v>436</v>
      </c>
      <c r="HC443" s="6" t="s">
        <v>484</v>
      </c>
      <c r="HD443" s="8" t="s">
        <v>2077</v>
      </c>
      <c r="HE443" s="8">
        <v>37285</v>
      </c>
      <c r="HF443" s="8" t="s">
        <v>3085</v>
      </c>
      <c r="HG443" s="9" t="s">
        <v>466</v>
      </c>
      <c r="HH443" s="9" t="s">
        <v>3086</v>
      </c>
      <c r="HI443" s="8">
        <v>73681</v>
      </c>
      <c r="HJ443" s="9" t="s">
        <v>3087</v>
      </c>
      <c r="HK443" s="9" t="s">
        <v>466</v>
      </c>
      <c r="HL443" s="8" t="s">
        <v>3088</v>
      </c>
      <c r="HM443" s="8">
        <v>37285</v>
      </c>
      <c r="HN443" s="8" t="s">
        <v>3089</v>
      </c>
      <c r="HO443" s="8" t="s">
        <v>466</v>
      </c>
      <c r="IB443" s="9" t="s">
        <v>3086</v>
      </c>
      <c r="IC443" s="8">
        <v>73681</v>
      </c>
      <c r="ID443" s="9" t="s">
        <v>3087</v>
      </c>
      <c r="IE443" s="9" t="s">
        <v>466</v>
      </c>
      <c r="IF443" s="8" t="s">
        <v>445</v>
      </c>
      <c r="IG443" s="8" t="s">
        <v>3088</v>
      </c>
      <c r="IH443" s="8">
        <v>37285</v>
      </c>
      <c r="II443" s="8" t="s">
        <v>3089</v>
      </c>
      <c r="IJ443" s="8" t="s">
        <v>466</v>
      </c>
      <c r="IK443" s="8" t="s">
        <v>445</v>
      </c>
      <c r="IL443" s="8" t="s">
        <v>3090</v>
      </c>
      <c r="IM443" s="8">
        <v>37285</v>
      </c>
      <c r="IN443" s="8" t="s">
        <v>3091</v>
      </c>
      <c r="IO443" s="8" t="s">
        <v>466</v>
      </c>
      <c r="IP443" s="9" t="s">
        <v>445</v>
      </c>
      <c r="IQ443" s="8" t="s">
        <v>3092</v>
      </c>
      <c r="IR443" s="8">
        <v>37285</v>
      </c>
      <c r="IS443" s="9" t="s">
        <v>3093</v>
      </c>
      <c r="IT443" s="9" t="s">
        <v>466</v>
      </c>
      <c r="IU443" s="9" t="s">
        <v>319</v>
      </c>
      <c r="IV443" s="8" t="s">
        <v>3094</v>
      </c>
      <c r="IW443" s="8">
        <v>37285</v>
      </c>
      <c r="IX443" s="9" t="s">
        <v>3095</v>
      </c>
      <c r="IY443" s="9" t="s">
        <v>1365</v>
      </c>
      <c r="IZ443" s="9" t="s">
        <v>350</v>
      </c>
      <c r="JB443" s="8"/>
      <c r="JV443" s="7" t="s">
        <v>3096</v>
      </c>
      <c r="JX443" s="7" t="s">
        <v>320</v>
      </c>
      <c r="JY443" s="7" t="s">
        <v>448</v>
      </c>
      <c r="JZ443" s="7" t="s">
        <v>355</v>
      </c>
      <c r="KG443" s="4" t="s">
        <v>323</v>
      </c>
      <c r="KP443" s="5" t="s">
        <v>3073</v>
      </c>
      <c r="KQ443" s="5" t="s">
        <v>3097</v>
      </c>
      <c r="KR443" s="5" t="s">
        <v>2392</v>
      </c>
      <c r="KS443" s="5" t="s">
        <v>3098</v>
      </c>
      <c r="KT443" s="5" t="s">
        <v>3099</v>
      </c>
    </row>
    <row r="444" spans="1:306" ht="85.5" x14ac:dyDescent="0.25">
      <c r="A444" s="5" t="s">
        <v>3100</v>
      </c>
      <c r="B444" s="4" t="s">
        <v>476</v>
      </c>
      <c r="C444" s="7" t="s">
        <v>477</v>
      </c>
      <c r="D444" s="8" t="s">
        <v>478</v>
      </c>
      <c r="E444" s="4">
        <v>339331</v>
      </c>
      <c r="G444" s="4" t="s">
        <v>427</v>
      </c>
      <c r="H444" s="6">
        <v>147.40921748900001</v>
      </c>
      <c r="I444" s="6">
        <v>-33.638050604</v>
      </c>
      <c r="J444" s="4" t="s">
        <v>2076</v>
      </c>
      <c r="K444" s="4" t="s">
        <v>298</v>
      </c>
      <c r="L444" s="4" t="s">
        <v>299</v>
      </c>
      <c r="M444" s="4" t="s">
        <v>1359</v>
      </c>
      <c r="N444" s="4" t="s">
        <v>1360</v>
      </c>
      <c r="Q444" s="7"/>
      <c r="R444" s="7"/>
      <c r="S444" s="4"/>
      <c r="Z444" s="4" t="s">
        <v>476</v>
      </c>
      <c r="AA444" s="7" t="s">
        <v>477</v>
      </c>
      <c r="AB444" s="8" t="s">
        <v>478</v>
      </c>
      <c r="AC444" s="4" t="s">
        <v>301</v>
      </c>
      <c r="AD444" s="4" t="s">
        <v>375</v>
      </c>
      <c r="AE444" s="7">
        <f>AVERAGE(439,437.6)</f>
        <v>438.3</v>
      </c>
      <c r="AF444" s="7">
        <f>SQRT(4.5^2+4.5^2)/2</f>
        <v>3.1819805153394638</v>
      </c>
      <c r="AG444" s="4" t="s">
        <v>379</v>
      </c>
      <c r="AH444" s="9" t="s">
        <v>429</v>
      </c>
      <c r="AI444" s="9" t="s">
        <v>430</v>
      </c>
      <c r="AJ444" s="9" t="s">
        <v>431</v>
      </c>
      <c r="AK444" s="9" t="s">
        <v>432</v>
      </c>
      <c r="AM444" s="8">
        <v>4</v>
      </c>
      <c r="AN444" s="4" t="s">
        <v>381</v>
      </c>
      <c r="AO444" s="4" t="s">
        <v>402</v>
      </c>
      <c r="AP444" s="4" t="s">
        <v>383</v>
      </c>
      <c r="AQ444" s="7" t="s">
        <v>384</v>
      </c>
      <c r="AR444" s="8" t="s">
        <v>433</v>
      </c>
      <c r="AS444" s="7">
        <v>0</v>
      </c>
      <c r="AT444" s="7">
        <v>0</v>
      </c>
      <c r="AU444" s="9" t="s">
        <v>303</v>
      </c>
      <c r="AV444" s="9" t="s">
        <v>406</v>
      </c>
      <c r="BA444" s="8">
        <v>5</v>
      </c>
      <c r="DZ444" s="31"/>
      <c r="EL444" s="8">
        <f>4.3*31.1+1*0.54+110*0.88+44*0.71</f>
        <v>262.31</v>
      </c>
      <c r="EY444" s="6"/>
      <c r="FA444" s="6"/>
      <c r="GP444" s="32"/>
      <c r="GY444" s="6" t="s">
        <v>435</v>
      </c>
      <c r="GZ444" s="6" t="s">
        <v>436</v>
      </c>
      <c r="HC444" s="6" t="s">
        <v>484</v>
      </c>
      <c r="HD444" s="8" t="s">
        <v>2077</v>
      </c>
      <c r="HE444" s="8">
        <v>37285</v>
      </c>
      <c r="HF444" s="8" t="s">
        <v>3101</v>
      </c>
      <c r="HG444" s="9" t="s">
        <v>466</v>
      </c>
      <c r="HH444" s="9" t="s">
        <v>3086</v>
      </c>
      <c r="HI444" s="8">
        <v>73681</v>
      </c>
      <c r="HJ444" s="9" t="s">
        <v>3087</v>
      </c>
      <c r="HK444" s="9" t="s">
        <v>466</v>
      </c>
      <c r="HY444" s="9"/>
      <c r="IB444" s="8" t="s">
        <v>2077</v>
      </c>
      <c r="IC444" s="8">
        <v>37285</v>
      </c>
      <c r="ID444" s="9" t="s">
        <v>3102</v>
      </c>
      <c r="IE444" s="9" t="s">
        <v>466</v>
      </c>
      <c r="IF444" s="8" t="s">
        <v>445</v>
      </c>
      <c r="IG444" s="9" t="s">
        <v>3086</v>
      </c>
      <c r="IH444" s="8">
        <v>73681</v>
      </c>
      <c r="II444" s="9" t="s">
        <v>3087</v>
      </c>
      <c r="IJ444" s="9" t="s">
        <v>466</v>
      </c>
      <c r="IK444" s="8" t="s">
        <v>445</v>
      </c>
      <c r="IL444" s="8"/>
      <c r="IW444" s="8"/>
      <c r="JB444" s="8"/>
      <c r="JV444" s="7" t="s">
        <v>3096</v>
      </c>
      <c r="JX444" s="7" t="s">
        <v>320</v>
      </c>
      <c r="JY444" s="7" t="s">
        <v>448</v>
      </c>
      <c r="JZ444" s="7" t="s">
        <v>355</v>
      </c>
      <c r="KG444" s="4" t="s">
        <v>323</v>
      </c>
      <c r="KP444" s="5" t="s">
        <v>3098</v>
      </c>
      <c r="KQ444" s="5" t="s">
        <v>3103</v>
      </c>
      <c r="KR444" s="5" t="s">
        <v>2392</v>
      </c>
      <c r="KS444" s="5" t="s">
        <v>3098</v>
      </c>
      <c r="KT444" s="14" t="s">
        <v>3104</v>
      </c>
    </row>
    <row r="445" spans="1:306" ht="84" x14ac:dyDescent="0.2">
      <c r="A445" s="5" t="s">
        <v>3114</v>
      </c>
      <c r="B445" s="4" t="s">
        <v>476</v>
      </c>
      <c r="C445" s="7" t="s">
        <v>477</v>
      </c>
      <c r="D445" s="8" t="s">
        <v>478</v>
      </c>
      <c r="E445" s="44">
        <v>859602</v>
      </c>
      <c r="F445" s="4">
        <v>1125281</v>
      </c>
      <c r="G445" s="4" t="s">
        <v>427</v>
      </c>
      <c r="H445" s="6">
        <v>147.93199999999999</v>
      </c>
      <c r="I445" s="6">
        <v>-33.020499999999998</v>
      </c>
      <c r="J445" s="4" t="s">
        <v>3115</v>
      </c>
      <c r="K445" s="4" t="s">
        <v>298</v>
      </c>
      <c r="L445" s="4" t="s">
        <v>299</v>
      </c>
      <c r="M445" s="4" t="s">
        <v>1359</v>
      </c>
      <c r="N445" s="4" t="s">
        <v>1360</v>
      </c>
      <c r="P445" s="8"/>
      <c r="Q445" s="7"/>
      <c r="R445" s="7"/>
      <c r="Z445" s="4" t="s">
        <v>476</v>
      </c>
      <c r="AA445" s="7" t="s">
        <v>477</v>
      </c>
      <c r="AB445" s="8" t="s">
        <v>478</v>
      </c>
      <c r="AC445" s="4" t="s">
        <v>301</v>
      </c>
      <c r="AD445" s="8" t="s">
        <v>302</v>
      </c>
      <c r="AE445" s="7">
        <v>438.9</v>
      </c>
      <c r="AF445" s="7">
        <v>2.2000000000000002</v>
      </c>
      <c r="AG445" s="9" t="s">
        <v>303</v>
      </c>
      <c r="AH445" s="9" t="s">
        <v>304</v>
      </c>
      <c r="AI445" s="9" t="s">
        <v>598</v>
      </c>
      <c r="AJ445" s="9" t="s">
        <v>599</v>
      </c>
      <c r="AK445" s="9" t="s">
        <v>600</v>
      </c>
      <c r="AM445" s="8">
        <v>4</v>
      </c>
      <c r="AN445" s="7"/>
      <c r="AO445" s="8"/>
      <c r="AS445" s="7"/>
      <c r="AT445" s="7"/>
      <c r="DZ445" s="31"/>
      <c r="EH445" s="7"/>
      <c r="EL445" s="8"/>
      <c r="EY445" s="6"/>
      <c r="FA445" s="6"/>
      <c r="GP445" s="32"/>
      <c r="GY445" s="6" t="s">
        <v>407</v>
      </c>
      <c r="HC445" s="6" t="s">
        <v>484</v>
      </c>
      <c r="HD445" s="8" t="s">
        <v>3116</v>
      </c>
      <c r="HE445" s="8">
        <v>7578</v>
      </c>
      <c r="HF445" s="8" t="s">
        <v>3117</v>
      </c>
      <c r="HG445" s="9" t="s">
        <v>466</v>
      </c>
      <c r="HH445" s="9" t="s">
        <v>3118</v>
      </c>
      <c r="HJ445" s="8" t="s">
        <v>3119</v>
      </c>
      <c r="HK445" s="9" t="s">
        <v>1365</v>
      </c>
      <c r="HY445" s="9"/>
      <c r="IB445" s="8" t="s">
        <v>3116</v>
      </c>
      <c r="IC445" s="8">
        <v>7578</v>
      </c>
      <c r="ID445" s="8" t="s">
        <v>3117</v>
      </c>
      <c r="IE445" s="9" t="s">
        <v>466</v>
      </c>
      <c r="IF445" s="4"/>
      <c r="IG445" s="9" t="s">
        <v>3120</v>
      </c>
      <c r="II445" s="8" t="s">
        <v>3121</v>
      </c>
      <c r="IJ445" s="9" t="s">
        <v>1365</v>
      </c>
      <c r="IK445" s="8" t="s">
        <v>445</v>
      </c>
      <c r="IL445" s="9" t="s">
        <v>3122</v>
      </c>
      <c r="IN445" s="8" t="s">
        <v>3123</v>
      </c>
      <c r="IO445" s="9" t="s">
        <v>1365</v>
      </c>
      <c r="IP445" s="8" t="s">
        <v>319</v>
      </c>
      <c r="IQ445" s="9" t="s">
        <v>3124</v>
      </c>
      <c r="IS445" s="8" t="s">
        <v>3125</v>
      </c>
      <c r="IT445" s="9" t="s">
        <v>1365</v>
      </c>
      <c r="IU445" s="8" t="s">
        <v>350</v>
      </c>
      <c r="IW445" s="8"/>
      <c r="JB445" s="8"/>
      <c r="JV445" s="7" t="s">
        <v>3126</v>
      </c>
      <c r="JX445" s="7" t="s">
        <v>320</v>
      </c>
      <c r="JY445" s="7" t="s">
        <v>354</v>
      </c>
      <c r="JZ445" s="7" t="s">
        <v>353</v>
      </c>
      <c r="KG445" s="4" t="s">
        <v>1893</v>
      </c>
      <c r="KH445" s="4" t="s">
        <v>1317</v>
      </c>
      <c r="KP445" s="5" t="s">
        <v>3127</v>
      </c>
      <c r="KQ445" s="5" t="s">
        <v>3127</v>
      </c>
      <c r="KR445" s="5" t="s">
        <v>3127</v>
      </c>
      <c r="KT445" s="14" t="s">
        <v>3128</v>
      </c>
    </row>
    <row r="446" spans="1:306" ht="72" x14ac:dyDescent="0.2">
      <c r="A446" s="5" t="s">
        <v>3129</v>
      </c>
      <c r="B446" s="4" t="s">
        <v>383</v>
      </c>
      <c r="C446" s="7" t="s">
        <v>384</v>
      </c>
      <c r="D446" s="8" t="s">
        <v>433</v>
      </c>
      <c r="E446" s="44">
        <v>859603</v>
      </c>
      <c r="F446" s="4">
        <v>1125286</v>
      </c>
      <c r="G446" s="4" t="s">
        <v>427</v>
      </c>
      <c r="H446" s="6">
        <v>147.411438406</v>
      </c>
      <c r="I446" s="6">
        <v>-33.651572260000002</v>
      </c>
      <c r="J446" s="4" t="s">
        <v>2076</v>
      </c>
      <c r="K446" s="4" t="s">
        <v>298</v>
      </c>
      <c r="L446" s="4" t="s">
        <v>299</v>
      </c>
      <c r="M446" s="4" t="s">
        <v>1359</v>
      </c>
      <c r="N446" s="4" t="s">
        <v>1360</v>
      </c>
      <c r="Q446" s="8"/>
      <c r="R446" s="7"/>
      <c r="S446" s="4"/>
      <c r="Z446" s="4" t="s">
        <v>476</v>
      </c>
      <c r="AA446" s="7" t="s">
        <v>477</v>
      </c>
      <c r="AB446" s="8" t="s">
        <v>478</v>
      </c>
      <c r="AC446" s="4" t="s">
        <v>301</v>
      </c>
      <c r="AD446" s="4" t="s">
        <v>382</v>
      </c>
      <c r="AE446" s="8">
        <v>438</v>
      </c>
      <c r="AF446" s="7"/>
      <c r="AG446" s="4" t="s">
        <v>379</v>
      </c>
      <c r="AH446" s="9" t="s">
        <v>1156</v>
      </c>
      <c r="AM446" s="8">
        <v>2</v>
      </c>
      <c r="AN446" s="4" t="s">
        <v>381</v>
      </c>
      <c r="AO446" s="4" t="s">
        <v>375</v>
      </c>
      <c r="AP446" s="4" t="s">
        <v>383</v>
      </c>
      <c r="AQ446" s="7" t="s">
        <v>384</v>
      </c>
      <c r="AR446" s="8" t="s">
        <v>433</v>
      </c>
      <c r="AS446" s="7">
        <v>0</v>
      </c>
      <c r="AT446" s="7">
        <v>0</v>
      </c>
      <c r="AU446" s="9" t="s">
        <v>303</v>
      </c>
      <c r="AV446" s="9" t="s">
        <v>406</v>
      </c>
      <c r="BA446" s="8">
        <v>5</v>
      </c>
      <c r="BP446" s="7">
        <f>4+2+1+2</f>
        <v>9</v>
      </c>
      <c r="BV446" s="6">
        <f>(4*1.26+2*1.51+1*1.74+2*1.73)/(1+2+4+2)</f>
        <v>1.4733333333333336</v>
      </c>
      <c r="DZ446" s="31"/>
      <c r="EL446" s="6">
        <f>BP446*BV446</f>
        <v>13.260000000000002</v>
      </c>
      <c r="EY446" s="6"/>
      <c r="FA446" s="6"/>
      <c r="GP446" s="32"/>
      <c r="GY446" s="6" t="s">
        <v>338</v>
      </c>
      <c r="GZ446" s="6" t="s">
        <v>436</v>
      </c>
      <c r="HC446" s="6" t="s">
        <v>484</v>
      </c>
      <c r="HD446" s="8" t="s">
        <v>2077</v>
      </c>
      <c r="HE446" s="8">
        <v>37285</v>
      </c>
      <c r="HF446" s="8" t="s">
        <v>3130</v>
      </c>
      <c r="HG446" s="9" t="s">
        <v>466</v>
      </c>
      <c r="HH446" s="9" t="s">
        <v>3086</v>
      </c>
      <c r="HI446" s="8">
        <v>73681</v>
      </c>
      <c r="HJ446" s="9" t="s">
        <v>3087</v>
      </c>
      <c r="HK446" s="9" t="s">
        <v>466</v>
      </c>
      <c r="HY446" s="9"/>
      <c r="IB446" s="8" t="s">
        <v>2077</v>
      </c>
      <c r="IC446" s="8">
        <v>37285</v>
      </c>
      <c r="ID446" s="9" t="s">
        <v>3131</v>
      </c>
      <c r="IE446" s="9" t="s">
        <v>466</v>
      </c>
      <c r="IF446" s="8" t="s">
        <v>445</v>
      </c>
      <c r="IG446" s="9" t="s">
        <v>3086</v>
      </c>
      <c r="IH446" s="8">
        <v>73681</v>
      </c>
      <c r="II446" s="9" t="s">
        <v>3087</v>
      </c>
      <c r="IJ446" s="9" t="s">
        <v>466</v>
      </c>
      <c r="IK446" s="8" t="s">
        <v>445</v>
      </c>
      <c r="IW446" s="8"/>
      <c r="JB446" s="8"/>
      <c r="JV446" s="7" t="s">
        <v>3096</v>
      </c>
      <c r="JX446" s="7" t="s">
        <v>320</v>
      </c>
      <c r="JY446" s="7" t="s">
        <v>448</v>
      </c>
      <c r="JZ446" s="7" t="s">
        <v>355</v>
      </c>
      <c r="KG446" s="4" t="s">
        <v>323</v>
      </c>
      <c r="KP446" s="5" t="s">
        <v>3098</v>
      </c>
      <c r="KQ446" s="5" t="s">
        <v>3097</v>
      </c>
      <c r="KR446" s="5" t="s">
        <v>2392</v>
      </c>
      <c r="KS446" s="5" t="s">
        <v>3098</v>
      </c>
      <c r="KT446" s="5" t="s">
        <v>3132</v>
      </c>
    </row>
    <row r="447" spans="1:306" ht="48" x14ac:dyDescent="0.2">
      <c r="A447" s="5" t="s">
        <v>3256</v>
      </c>
      <c r="B447" s="4" t="s">
        <v>476</v>
      </c>
      <c r="C447" s="7" t="s">
        <v>477</v>
      </c>
      <c r="D447" s="8" t="s">
        <v>478</v>
      </c>
      <c r="E447" s="44">
        <v>865590</v>
      </c>
      <c r="G447" s="4" t="s">
        <v>773</v>
      </c>
      <c r="H447" s="6">
        <v>142.640680338517</v>
      </c>
      <c r="I447" s="6">
        <v>-37.682967456675797</v>
      </c>
      <c r="J447" s="4" t="s">
        <v>2061</v>
      </c>
      <c r="K447" s="4" t="s">
        <v>298</v>
      </c>
      <c r="L447" s="4" t="s">
        <v>400</v>
      </c>
      <c r="M447" s="4" t="s">
        <v>2062</v>
      </c>
      <c r="Q447" s="8"/>
      <c r="Z447" s="4" t="s">
        <v>476</v>
      </c>
      <c r="AA447" s="7" t="s">
        <v>477</v>
      </c>
      <c r="AB447" s="8" t="s">
        <v>478</v>
      </c>
      <c r="AC447" s="4" t="s">
        <v>301</v>
      </c>
      <c r="AD447" s="4" t="s">
        <v>302</v>
      </c>
      <c r="AE447" s="8">
        <v>500</v>
      </c>
      <c r="AG447" s="9" t="s">
        <v>379</v>
      </c>
      <c r="AH447" s="9" t="s">
        <v>380</v>
      </c>
      <c r="AM447" s="8">
        <v>3</v>
      </c>
      <c r="DZ447" s="31"/>
      <c r="GP447" s="32"/>
      <c r="GY447" s="6" t="s">
        <v>407</v>
      </c>
      <c r="HD447" s="8" t="s">
        <v>3257</v>
      </c>
      <c r="HE447" s="8">
        <v>24290</v>
      </c>
      <c r="HF447" s="8" t="s">
        <v>3258</v>
      </c>
      <c r="HG447" s="9" t="s">
        <v>418</v>
      </c>
      <c r="HJ447" s="9" t="s">
        <v>3259</v>
      </c>
      <c r="HK447" s="9" t="s">
        <v>698</v>
      </c>
      <c r="ID447" s="9" t="s">
        <v>3259</v>
      </c>
      <c r="IE447" s="9" t="s">
        <v>698</v>
      </c>
      <c r="IF447" s="8" t="s">
        <v>1578</v>
      </c>
      <c r="JV447" s="7" t="s">
        <v>3260</v>
      </c>
      <c r="JX447" s="7" t="s">
        <v>320</v>
      </c>
      <c r="KG447" s="4" t="s">
        <v>323</v>
      </c>
      <c r="KP447" s="5" t="s">
        <v>3261</v>
      </c>
      <c r="KQ447" s="5" t="s">
        <v>3262</v>
      </c>
      <c r="KT447" s="5" t="s">
        <v>3263</v>
      </c>
    </row>
    <row r="448" spans="1:306" ht="96" x14ac:dyDescent="0.2">
      <c r="A448" s="5" t="s">
        <v>3466</v>
      </c>
      <c r="B448" s="4" t="s">
        <v>383</v>
      </c>
      <c r="C448" s="7" t="s">
        <v>403</v>
      </c>
      <c r="D448" s="8" t="s">
        <v>434</v>
      </c>
      <c r="E448" s="44">
        <v>865584</v>
      </c>
      <c r="G448" s="4" t="s">
        <v>479</v>
      </c>
      <c r="H448" s="6">
        <v>143.66999999999999</v>
      </c>
      <c r="I448" s="6">
        <v>-19.27</v>
      </c>
      <c r="J448" s="4" t="s">
        <v>3466</v>
      </c>
      <c r="K448" s="4" t="s">
        <v>481</v>
      </c>
      <c r="L448" s="4" t="s">
        <v>482</v>
      </c>
      <c r="Q448" s="8"/>
      <c r="R448" s="8"/>
      <c r="Z448" s="4" t="s">
        <v>476</v>
      </c>
      <c r="AA448" s="7" t="s">
        <v>477</v>
      </c>
      <c r="AB448" s="8" t="s">
        <v>478</v>
      </c>
      <c r="AC448" s="4" t="s">
        <v>301</v>
      </c>
      <c r="AD448" s="4" t="s">
        <v>382</v>
      </c>
      <c r="AE448" s="8">
        <v>285</v>
      </c>
      <c r="AF448" s="8"/>
      <c r="AG448" s="9" t="s">
        <v>379</v>
      </c>
      <c r="AH448" s="9" t="s">
        <v>380</v>
      </c>
      <c r="AM448" s="8">
        <v>3</v>
      </c>
      <c r="AN448" s="4" t="s">
        <v>381</v>
      </c>
      <c r="AO448" s="4" t="s">
        <v>375</v>
      </c>
      <c r="AP448" s="4" t="s">
        <v>383</v>
      </c>
      <c r="AQ448" s="7" t="s">
        <v>403</v>
      </c>
      <c r="AR448" s="8" t="s">
        <v>434</v>
      </c>
      <c r="AS448" s="7">
        <v>0</v>
      </c>
      <c r="AT448" s="7">
        <v>0</v>
      </c>
      <c r="AU448" s="9" t="s">
        <v>303</v>
      </c>
      <c r="AV448" s="9" t="s">
        <v>406</v>
      </c>
      <c r="BA448" s="8">
        <v>5</v>
      </c>
      <c r="DZ448" s="31"/>
      <c r="EL448" s="6">
        <v>4.8319999999999999</v>
      </c>
      <c r="EY448" s="6"/>
      <c r="FA448" s="6"/>
      <c r="GP448" s="32"/>
      <c r="GY448" s="6" t="s">
        <v>309</v>
      </c>
      <c r="GZ448" s="6" t="s">
        <v>436</v>
      </c>
      <c r="HC448" s="6" t="s">
        <v>484</v>
      </c>
      <c r="HD448" s="8" t="s">
        <v>3467</v>
      </c>
      <c r="HE448" s="8">
        <v>26300</v>
      </c>
      <c r="HF448" s="8" t="s">
        <v>3468</v>
      </c>
      <c r="HG448" s="9" t="s">
        <v>490</v>
      </c>
      <c r="HH448" s="9" t="s">
        <v>3469</v>
      </c>
      <c r="HI448" s="8">
        <v>24855</v>
      </c>
      <c r="HJ448" s="9" t="s">
        <v>3470</v>
      </c>
      <c r="HK448" s="9" t="s">
        <v>490</v>
      </c>
      <c r="HL448" s="9" t="s">
        <v>3471</v>
      </c>
      <c r="HM448" s="8">
        <v>27285</v>
      </c>
      <c r="HN448" s="9" t="s">
        <v>3472</v>
      </c>
      <c r="HO448" s="9" t="s">
        <v>490</v>
      </c>
      <c r="HY448" s="9"/>
      <c r="IB448" s="8" t="s">
        <v>3469</v>
      </c>
      <c r="IC448" s="8">
        <v>24855</v>
      </c>
      <c r="ID448" s="8" t="s">
        <v>3470</v>
      </c>
      <c r="IE448" s="9" t="s">
        <v>490</v>
      </c>
      <c r="IF448" s="8" t="s">
        <v>445</v>
      </c>
      <c r="IO448" s="8"/>
      <c r="IP448" s="8"/>
      <c r="IR448" s="9"/>
      <c r="JV448" s="7" t="s">
        <v>3473</v>
      </c>
      <c r="JX448" s="7" t="s">
        <v>320</v>
      </c>
      <c r="JY448" s="7" t="s">
        <v>354</v>
      </c>
      <c r="JZ448" s="7" t="s">
        <v>353</v>
      </c>
      <c r="KG448" s="4" t="s">
        <v>323</v>
      </c>
      <c r="KM448" s="4" t="s">
        <v>391</v>
      </c>
      <c r="KN448" s="4" t="s">
        <v>391</v>
      </c>
      <c r="KO448" s="4" t="s">
        <v>445</v>
      </c>
      <c r="KP448" s="5" t="s">
        <v>495</v>
      </c>
      <c r="KQ448" s="5" t="s">
        <v>495</v>
      </c>
      <c r="KS448" s="5" t="s">
        <v>495</v>
      </c>
      <c r="KT448" s="5" t="s">
        <v>3474</v>
      </c>
    </row>
    <row r="449" spans="1:306" ht="96" x14ac:dyDescent="0.25">
      <c r="A449" s="5" t="s">
        <v>1140</v>
      </c>
      <c r="B449" s="4" t="s">
        <v>476</v>
      </c>
      <c r="C449" s="7" t="s">
        <v>477</v>
      </c>
      <c r="D449" s="8" t="s">
        <v>478</v>
      </c>
      <c r="E449" s="4">
        <v>335113</v>
      </c>
      <c r="G449" s="4" t="s">
        <v>479</v>
      </c>
      <c r="H449" s="6">
        <v>152.6866</v>
      </c>
      <c r="I449" s="6">
        <v>-26.213899999999999</v>
      </c>
      <c r="J449" s="4" t="s">
        <v>1140</v>
      </c>
      <c r="K449" s="4" t="s">
        <v>298</v>
      </c>
      <c r="L449" s="4" t="s">
        <v>552</v>
      </c>
      <c r="M449" s="4" t="s">
        <v>1140</v>
      </c>
      <c r="Q449" s="8"/>
      <c r="R449" s="8"/>
      <c r="Z449" s="4" t="s">
        <v>476</v>
      </c>
      <c r="AA449" s="7" t="s">
        <v>477</v>
      </c>
      <c r="AB449" s="8" t="s">
        <v>478</v>
      </c>
      <c r="AC449" s="4" t="s">
        <v>301</v>
      </c>
      <c r="AD449" s="4" t="s">
        <v>375</v>
      </c>
      <c r="AE449" s="8">
        <v>245</v>
      </c>
      <c r="AF449" s="8">
        <v>14</v>
      </c>
      <c r="AG449" s="9" t="s">
        <v>379</v>
      </c>
      <c r="AH449" s="9" t="s">
        <v>429</v>
      </c>
      <c r="AI449" s="9" t="s">
        <v>430</v>
      </c>
      <c r="AJ449" s="9" t="s">
        <v>3797</v>
      </c>
      <c r="AM449" s="8">
        <v>2</v>
      </c>
      <c r="AN449" s="4" t="s">
        <v>381</v>
      </c>
      <c r="AO449" s="4" t="s">
        <v>382</v>
      </c>
      <c r="AP449" s="4" t="s">
        <v>383</v>
      </c>
      <c r="AQ449" s="7" t="s">
        <v>403</v>
      </c>
      <c r="AR449" s="8" t="s">
        <v>434</v>
      </c>
      <c r="AS449" s="7">
        <v>0</v>
      </c>
      <c r="AT449" s="7">
        <v>0</v>
      </c>
      <c r="AU449" s="9" t="s">
        <v>303</v>
      </c>
      <c r="AV449" s="9" t="s">
        <v>406</v>
      </c>
      <c r="BA449" s="8">
        <v>5</v>
      </c>
      <c r="DZ449" s="31"/>
      <c r="EL449" s="8">
        <f>(3.4+0.163115+0.571)*31.1</f>
        <v>128.5709765</v>
      </c>
      <c r="EY449" s="6"/>
      <c r="FA449" s="6"/>
      <c r="GP449" s="32"/>
      <c r="GY449" s="6" t="s">
        <v>309</v>
      </c>
      <c r="GZ449" s="6" t="s">
        <v>436</v>
      </c>
      <c r="HC449" s="6" t="s">
        <v>484</v>
      </c>
      <c r="HD449" s="8" t="s">
        <v>3798</v>
      </c>
      <c r="HE449" s="8">
        <v>15817</v>
      </c>
      <c r="HF449" s="8" t="s">
        <v>3799</v>
      </c>
      <c r="HG449" s="9" t="s">
        <v>3800</v>
      </c>
      <c r="HY449" s="9"/>
      <c r="IB449" s="8" t="s">
        <v>3798</v>
      </c>
      <c r="IC449" s="8">
        <v>15817</v>
      </c>
      <c r="ID449" s="8" t="s">
        <v>3799</v>
      </c>
      <c r="IE449" s="9" t="s">
        <v>3800</v>
      </c>
      <c r="IF449" s="8" t="s">
        <v>445</v>
      </c>
      <c r="IR449" s="9"/>
      <c r="JV449" s="7" t="s">
        <v>3801</v>
      </c>
      <c r="JX449" s="7" t="s">
        <v>320</v>
      </c>
      <c r="KG449" s="4" t="s">
        <v>323</v>
      </c>
      <c r="KP449" s="5" t="s">
        <v>358</v>
      </c>
      <c r="KQ449" s="5" t="s">
        <v>3802</v>
      </c>
      <c r="KR449" s="5" t="s">
        <v>3803</v>
      </c>
      <c r="KS449" s="5" t="s">
        <v>3804</v>
      </c>
      <c r="KT449" s="5" t="s">
        <v>3805</v>
      </c>
    </row>
    <row r="450" spans="1:306" ht="48" x14ac:dyDescent="0.25">
      <c r="A450" s="5" t="s">
        <v>5159</v>
      </c>
      <c r="B450" s="4" t="s">
        <v>383</v>
      </c>
      <c r="C450" s="7" t="s">
        <v>384</v>
      </c>
      <c r="D450" s="8" t="s">
        <v>433</v>
      </c>
      <c r="E450" s="4">
        <v>336137</v>
      </c>
      <c r="G450" s="4" t="s">
        <v>427</v>
      </c>
      <c r="H450" s="6">
        <f>145+41/60+33/3600</f>
        <v>145.6925</v>
      </c>
      <c r="I450" s="6">
        <f>-(31+46/60+51/3600)</f>
        <v>-31.780833333333334</v>
      </c>
      <c r="K450" s="4" t="s">
        <v>298</v>
      </c>
      <c r="L450" s="4" t="s">
        <v>299</v>
      </c>
      <c r="M450" s="4" t="s">
        <v>428</v>
      </c>
      <c r="N450" s="4" t="s">
        <v>1757</v>
      </c>
      <c r="Q450" s="8"/>
      <c r="R450" s="8"/>
      <c r="S450" s="4"/>
      <c r="T450" s="4"/>
      <c r="U450" s="4"/>
      <c r="V450" s="4"/>
      <c r="W450" s="4"/>
      <c r="X450" s="4"/>
      <c r="Z450" s="4" t="s">
        <v>476</v>
      </c>
      <c r="AA450" s="7" t="s">
        <v>477</v>
      </c>
      <c r="AB450" s="8" t="s">
        <v>478</v>
      </c>
      <c r="AC450" s="4" t="s">
        <v>301</v>
      </c>
      <c r="AD450" s="4" t="s">
        <v>402</v>
      </c>
      <c r="AE450" s="8"/>
      <c r="AF450" s="8"/>
      <c r="AG450" s="4"/>
      <c r="AH450" s="4"/>
      <c r="AI450" s="4"/>
      <c r="AJ450" s="4"/>
      <c r="AK450" s="4"/>
      <c r="AL450" s="4"/>
      <c r="AM450" s="8">
        <v>2</v>
      </c>
      <c r="AN450" s="4" t="s">
        <v>381</v>
      </c>
      <c r="AO450" s="4" t="s">
        <v>382</v>
      </c>
      <c r="AP450" s="4" t="s">
        <v>383</v>
      </c>
      <c r="AQ450" s="7" t="s">
        <v>384</v>
      </c>
      <c r="AR450" s="8" t="s">
        <v>433</v>
      </c>
      <c r="AS450" s="8">
        <v>15</v>
      </c>
      <c r="AT450" s="8">
        <v>5</v>
      </c>
      <c r="AU450" s="9" t="s">
        <v>334</v>
      </c>
      <c r="AV450" s="9" t="s">
        <v>4508</v>
      </c>
      <c r="BA450" s="8">
        <v>4</v>
      </c>
      <c r="BP450" s="7">
        <v>3.66</v>
      </c>
      <c r="BQ450" s="7"/>
      <c r="BR450" s="7"/>
      <c r="BS450" s="7"/>
      <c r="BT450" s="7"/>
      <c r="BU450" s="7"/>
      <c r="BV450" s="6">
        <v>1.5</v>
      </c>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31"/>
      <c r="EA450" s="4"/>
      <c r="EB450" s="4"/>
      <c r="EC450" s="4"/>
      <c r="ED450" s="4"/>
      <c r="EE450" s="4"/>
      <c r="EF450" s="4"/>
      <c r="EG450" s="4"/>
      <c r="EK450" s="6"/>
      <c r="EL450" s="6">
        <f>BP450*BV450</f>
        <v>5.49</v>
      </c>
      <c r="EY450" s="6"/>
      <c r="FA450" s="6"/>
      <c r="GP450" s="32"/>
      <c r="GY450" s="31" t="s">
        <v>407</v>
      </c>
      <c r="GZ450" s="6" t="s">
        <v>436</v>
      </c>
      <c r="HC450" s="6" t="s">
        <v>484</v>
      </c>
      <c r="HD450" s="4" t="s">
        <v>5131</v>
      </c>
      <c r="HE450" s="8">
        <v>381</v>
      </c>
      <c r="HF450" s="4" t="s">
        <v>5160</v>
      </c>
      <c r="HG450" s="4" t="s">
        <v>3276</v>
      </c>
      <c r="HH450" s="4"/>
      <c r="HJ450" s="4"/>
      <c r="HK450" s="4"/>
      <c r="HL450" s="4"/>
      <c r="HN450" s="4"/>
      <c r="HO450" s="4"/>
      <c r="HP450" s="4"/>
      <c r="HR450" s="4"/>
      <c r="HS450" s="4"/>
      <c r="HT450" s="4"/>
      <c r="HU450" s="4"/>
      <c r="HV450" s="4"/>
      <c r="HW450" s="4"/>
      <c r="HX450" s="4"/>
      <c r="HY450" s="4"/>
      <c r="HZ450" s="4"/>
      <c r="IA450" s="4"/>
      <c r="IB450" s="4"/>
      <c r="ID450" s="4"/>
      <c r="IE450" s="4"/>
      <c r="IF450" s="4"/>
      <c r="IG450" s="4"/>
      <c r="IH450" s="4"/>
      <c r="II450" s="4"/>
      <c r="IJ450" s="4"/>
      <c r="IK450" s="4"/>
      <c r="IL450" s="4"/>
      <c r="IN450" s="4"/>
      <c r="IO450" s="4"/>
      <c r="IP450" s="4"/>
      <c r="IQ450" s="4"/>
      <c r="IS450" s="4"/>
      <c r="IT450" s="4"/>
      <c r="IU450" s="4"/>
      <c r="IV450" s="4"/>
      <c r="IW450" s="8"/>
      <c r="IX450" s="4"/>
      <c r="IY450" s="4"/>
      <c r="IZ450" s="4"/>
      <c r="JA450" s="4"/>
      <c r="JB450" s="8"/>
      <c r="JC450" s="4"/>
      <c r="JD450" s="4"/>
      <c r="JE450" s="4"/>
      <c r="JF450" s="4"/>
      <c r="JG450" s="4"/>
      <c r="JH450" s="4"/>
      <c r="JI450" s="4"/>
      <c r="JJ450" s="4"/>
      <c r="JK450" s="4"/>
      <c r="JL450" s="4"/>
      <c r="JM450" s="4"/>
      <c r="JN450" s="4"/>
      <c r="JO450" s="4"/>
      <c r="JP450" s="4"/>
      <c r="JQ450" s="4"/>
      <c r="JR450" s="4"/>
      <c r="JS450" s="4"/>
      <c r="JT450" s="4"/>
      <c r="JU450" s="4"/>
      <c r="JV450" s="4" t="s">
        <v>5161</v>
      </c>
      <c r="JW450" s="4"/>
      <c r="JX450" s="4" t="s">
        <v>320</v>
      </c>
      <c r="JY450" s="4"/>
      <c r="JZ450" s="4"/>
      <c r="KA450" s="4"/>
      <c r="KB450" s="4"/>
      <c r="KC450" s="4"/>
      <c r="KD450" s="4"/>
      <c r="KE450" s="4"/>
      <c r="KF450" s="4"/>
      <c r="KG450" s="4" t="s">
        <v>323</v>
      </c>
      <c r="KP450" s="5" t="s">
        <v>5162</v>
      </c>
      <c r="KQ450" s="5" t="s">
        <v>5163</v>
      </c>
      <c r="KR450" s="5" t="s">
        <v>5164</v>
      </c>
      <c r="KS450" s="5" t="s">
        <v>5162</v>
      </c>
      <c r="KT450" s="5" t="s">
        <v>5165</v>
      </c>
    </row>
    <row r="451" spans="1:306" ht="72" x14ac:dyDescent="0.25">
      <c r="A451" s="5" t="s">
        <v>5168</v>
      </c>
      <c r="B451" s="4" t="s">
        <v>476</v>
      </c>
      <c r="C451" s="7" t="s">
        <v>477</v>
      </c>
      <c r="D451" s="8" t="s">
        <v>478</v>
      </c>
      <c r="E451" s="4">
        <v>529552</v>
      </c>
      <c r="G451" s="4" t="s">
        <v>427</v>
      </c>
      <c r="H451" s="6">
        <v>149.32220000000001</v>
      </c>
      <c r="I451" s="6">
        <v>-33.488399999999999</v>
      </c>
      <c r="J451" s="4" t="s">
        <v>2754</v>
      </c>
      <c r="K451" s="4" t="s">
        <v>298</v>
      </c>
      <c r="L451" s="4" t="s">
        <v>299</v>
      </c>
      <c r="M451" s="4" t="s">
        <v>1359</v>
      </c>
      <c r="N451" s="4" t="s">
        <v>1545</v>
      </c>
      <c r="Q451" s="8"/>
      <c r="R451" s="8"/>
      <c r="S451" s="7"/>
      <c r="T451" s="7"/>
      <c r="Z451" s="4" t="s">
        <v>476</v>
      </c>
      <c r="AA451" s="7" t="s">
        <v>477</v>
      </c>
      <c r="AB451" s="8" t="s">
        <v>478</v>
      </c>
      <c r="AC451" s="4" t="s">
        <v>301</v>
      </c>
      <c r="AD451" s="4" t="s">
        <v>375</v>
      </c>
      <c r="AE451" s="8"/>
      <c r="AF451" s="8"/>
      <c r="AG451" s="7"/>
      <c r="AH451" s="7"/>
      <c r="AN451" s="4" t="s">
        <v>381</v>
      </c>
      <c r="AO451" s="4" t="s">
        <v>402</v>
      </c>
      <c r="AP451" s="4" t="s">
        <v>383</v>
      </c>
      <c r="AQ451" s="7" t="s">
        <v>384</v>
      </c>
      <c r="AR451" s="8" t="s">
        <v>433</v>
      </c>
      <c r="AS451" s="7">
        <v>0</v>
      </c>
      <c r="AT451" s="7">
        <v>0</v>
      </c>
      <c r="AU451" s="9" t="s">
        <v>303</v>
      </c>
      <c r="AV451" s="9" t="s">
        <v>406</v>
      </c>
      <c r="BA451" s="8">
        <v>5</v>
      </c>
      <c r="BP451" s="7">
        <v>60.9</v>
      </c>
      <c r="BQ451" s="9"/>
      <c r="BV451" s="6">
        <v>1.04</v>
      </c>
      <c r="DZ451" s="31"/>
      <c r="EL451" s="6">
        <f>BP451*BV451</f>
        <v>63.335999999999999</v>
      </c>
      <c r="EY451" s="6"/>
      <c r="FA451" s="6"/>
      <c r="GP451" s="32"/>
      <c r="GY451" s="6" t="s">
        <v>338</v>
      </c>
      <c r="GZ451" s="6" t="s">
        <v>436</v>
      </c>
      <c r="HD451" s="8" t="s">
        <v>4855</v>
      </c>
      <c r="HE451" s="8">
        <v>29659</v>
      </c>
      <c r="HF451" s="8" t="s">
        <v>5169</v>
      </c>
      <c r="HG451" s="9" t="s">
        <v>2517</v>
      </c>
      <c r="HY451" s="9"/>
      <c r="IB451" s="8" t="s">
        <v>4855</v>
      </c>
      <c r="IC451" s="8">
        <v>29659</v>
      </c>
      <c r="ID451" s="8" t="s">
        <v>5169</v>
      </c>
      <c r="IE451" s="9" t="s">
        <v>2517</v>
      </c>
      <c r="IW451" s="8"/>
      <c r="JB451" s="8"/>
      <c r="JV451" s="7" t="s">
        <v>5170</v>
      </c>
      <c r="JW451" s="7" t="s">
        <v>352</v>
      </c>
      <c r="JX451" s="7" t="s">
        <v>320</v>
      </c>
      <c r="JY451" s="7" t="s">
        <v>448</v>
      </c>
      <c r="JZ451" s="7" t="s">
        <v>322</v>
      </c>
      <c r="KG451" s="4" t="s">
        <v>323</v>
      </c>
      <c r="KM451" s="4" t="s">
        <v>391</v>
      </c>
      <c r="KN451" s="4" t="s">
        <v>391</v>
      </c>
      <c r="KP451" s="5" t="s">
        <v>358</v>
      </c>
      <c r="KQ451" s="5" t="s">
        <v>5171</v>
      </c>
      <c r="KS451" s="5" t="s">
        <v>2758</v>
      </c>
      <c r="KT451" s="5" t="s">
        <v>5172</v>
      </c>
    </row>
    <row r="452" spans="1:306" ht="48" x14ac:dyDescent="0.2">
      <c r="A452" s="5" t="s">
        <v>5265</v>
      </c>
      <c r="B452" s="4" t="s">
        <v>476</v>
      </c>
      <c r="C452" s="7" t="s">
        <v>477</v>
      </c>
      <c r="D452" s="8" t="s">
        <v>478</v>
      </c>
      <c r="E452" s="44">
        <v>859649</v>
      </c>
      <c r="G452" s="4" t="s">
        <v>330</v>
      </c>
      <c r="H452" s="6">
        <v>119.555013</v>
      </c>
      <c r="I452" s="6">
        <v>-21.15213</v>
      </c>
      <c r="J452" s="4" t="s">
        <v>2825</v>
      </c>
      <c r="K452" s="4" t="s">
        <v>331</v>
      </c>
      <c r="L452" s="4" t="s">
        <v>368</v>
      </c>
      <c r="M452" s="4" t="s">
        <v>369</v>
      </c>
      <c r="Q452" s="8"/>
      <c r="R452" s="8"/>
      <c r="Z452" s="4" t="s">
        <v>476</v>
      </c>
      <c r="AA452" s="7" t="s">
        <v>477</v>
      </c>
      <c r="AB452" s="8" t="s">
        <v>478</v>
      </c>
      <c r="AC452" s="4" t="s">
        <v>301</v>
      </c>
      <c r="AD452" s="4" t="s">
        <v>302</v>
      </c>
      <c r="AE452" s="8">
        <v>3449</v>
      </c>
      <c r="AF452" s="8">
        <v>3</v>
      </c>
      <c r="AG452" s="9" t="s">
        <v>379</v>
      </c>
      <c r="AH452" s="9" t="s">
        <v>483</v>
      </c>
      <c r="AI452" s="9" t="s">
        <v>373</v>
      </c>
      <c r="AJ452" s="9" t="s">
        <v>306</v>
      </c>
      <c r="AK452" s="9" t="s">
        <v>307</v>
      </c>
      <c r="AL452" s="9" t="s">
        <v>1295</v>
      </c>
      <c r="AM452" s="8">
        <v>4</v>
      </c>
      <c r="AS452" s="8"/>
      <c r="AT452" s="8"/>
      <c r="BG452" s="8"/>
      <c r="BH452" s="8"/>
      <c r="DZ452" s="31"/>
      <c r="FA452" s="6"/>
      <c r="GP452" s="32"/>
      <c r="GY452" s="6" t="s">
        <v>407</v>
      </c>
      <c r="HD452" s="8" t="s">
        <v>791</v>
      </c>
      <c r="HE452" s="8">
        <v>19508</v>
      </c>
      <c r="HF452" s="8" t="s">
        <v>960</v>
      </c>
      <c r="HG452" s="9" t="s">
        <v>792</v>
      </c>
      <c r="IB452" s="8" t="s">
        <v>791</v>
      </c>
      <c r="IC452" s="8">
        <v>19508</v>
      </c>
      <c r="ID452" s="8" t="s">
        <v>5266</v>
      </c>
      <c r="IE452" s="9" t="s">
        <v>792</v>
      </c>
      <c r="IF452" s="8" t="s">
        <v>445</v>
      </c>
      <c r="II452" s="8" t="s">
        <v>5267</v>
      </c>
      <c r="IJ452" s="8" t="s">
        <v>792</v>
      </c>
      <c r="IK452" s="8" t="s">
        <v>319</v>
      </c>
      <c r="IM452" s="9"/>
      <c r="IR452" s="9"/>
      <c r="JV452" s="7" t="s">
        <v>5268</v>
      </c>
      <c r="JX452" s="7" t="s">
        <v>320</v>
      </c>
      <c r="KG452" s="4" t="s">
        <v>323</v>
      </c>
      <c r="KM452" s="4" t="s">
        <v>471</v>
      </c>
      <c r="KN452" s="4" t="s">
        <v>471</v>
      </c>
      <c r="KP452" s="5" t="s">
        <v>5269</v>
      </c>
      <c r="KQ452" s="5" t="s">
        <v>5270</v>
      </c>
      <c r="KR452" s="5" t="s">
        <v>5271</v>
      </c>
      <c r="KT452" s="5" t="s">
        <v>5272</v>
      </c>
    </row>
    <row r="453" spans="1:306" ht="96" x14ac:dyDescent="0.25">
      <c r="A453" s="5" t="s">
        <v>5391</v>
      </c>
      <c r="B453" s="4" t="s">
        <v>476</v>
      </c>
      <c r="C453" s="7" t="s">
        <v>477</v>
      </c>
      <c r="D453" s="8" t="s">
        <v>478</v>
      </c>
      <c r="E453" s="4">
        <v>648273</v>
      </c>
      <c r="G453" s="4" t="s">
        <v>427</v>
      </c>
      <c r="H453" s="6">
        <v>148.438843171</v>
      </c>
      <c r="I453" s="6">
        <v>-32.944925871999999</v>
      </c>
      <c r="K453" s="4" t="s">
        <v>298</v>
      </c>
      <c r="L453" s="4" t="s">
        <v>299</v>
      </c>
      <c r="M453" s="4" t="s">
        <v>1359</v>
      </c>
      <c r="Q453" s="8"/>
      <c r="R453" s="8"/>
      <c r="Z453" s="4" t="s">
        <v>476</v>
      </c>
      <c r="AA453" s="7" t="s">
        <v>477</v>
      </c>
      <c r="AB453" s="8" t="s">
        <v>478</v>
      </c>
      <c r="AC453" s="4" t="s">
        <v>301</v>
      </c>
      <c r="AD453" s="4" t="s">
        <v>375</v>
      </c>
      <c r="AE453" s="8">
        <v>401</v>
      </c>
      <c r="AF453" s="8">
        <v>4</v>
      </c>
      <c r="AG453" s="9" t="s">
        <v>379</v>
      </c>
      <c r="AH453" s="9" t="s">
        <v>429</v>
      </c>
      <c r="AI453" s="9" t="s">
        <v>430</v>
      </c>
      <c r="AJ453" s="9" t="s">
        <v>1238</v>
      </c>
      <c r="AM453" s="8">
        <v>3</v>
      </c>
      <c r="AN453" s="4" t="s">
        <v>381</v>
      </c>
      <c r="AO453" s="4" t="s">
        <v>382</v>
      </c>
      <c r="AP453" s="4" t="s">
        <v>383</v>
      </c>
      <c r="AQ453" s="7" t="s">
        <v>384</v>
      </c>
      <c r="AR453" s="8" t="s">
        <v>433</v>
      </c>
      <c r="AS453" s="7">
        <v>0</v>
      </c>
      <c r="AT453" s="7">
        <v>0</v>
      </c>
      <c r="AU453" s="9" t="s">
        <v>303</v>
      </c>
      <c r="AV453" s="9" t="s">
        <v>406</v>
      </c>
      <c r="BA453" s="8">
        <v>5</v>
      </c>
      <c r="BP453" s="7">
        <f>1.21+0.12</f>
        <v>1.33</v>
      </c>
      <c r="BV453" s="6">
        <f>(1.61*1.21+3.3*0.12)/(1.21+0.12)</f>
        <v>1.7624812030075188</v>
      </c>
      <c r="DZ453" s="31"/>
      <c r="EL453" s="6">
        <f>BP453*BV453</f>
        <v>2.3441000000000001</v>
      </c>
      <c r="GP453" s="32"/>
      <c r="GY453" s="6" t="s">
        <v>309</v>
      </c>
      <c r="GZ453" s="6" t="s">
        <v>436</v>
      </c>
      <c r="HC453" s="6" t="s">
        <v>484</v>
      </c>
      <c r="HD453" s="8" t="s">
        <v>5392</v>
      </c>
      <c r="HE453" s="8">
        <v>29509</v>
      </c>
      <c r="HF453" s="8" t="s">
        <v>5393</v>
      </c>
      <c r="HG453" s="9" t="s">
        <v>1507</v>
      </c>
      <c r="IB453" s="8" t="s">
        <v>5392</v>
      </c>
      <c r="IC453" s="8">
        <v>29509</v>
      </c>
      <c r="ID453" s="8" t="s">
        <v>5393</v>
      </c>
      <c r="IE453" s="9" t="s">
        <v>1507</v>
      </c>
      <c r="IF453" s="8" t="s">
        <v>445</v>
      </c>
      <c r="IW453" s="8"/>
      <c r="JB453" s="8"/>
      <c r="JV453" s="7" t="s">
        <v>5394</v>
      </c>
      <c r="JX453" s="7" t="s">
        <v>320</v>
      </c>
      <c r="KG453" s="4" t="s">
        <v>323</v>
      </c>
      <c r="KP453" s="5" t="s">
        <v>358</v>
      </c>
      <c r="KQ453" s="5" t="s">
        <v>5395</v>
      </c>
      <c r="KR453" s="5" t="s">
        <v>2392</v>
      </c>
      <c r="KS453" s="5" t="s">
        <v>5396</v>
      </c>
      <c r="KT453" s="5" t="s">
        <v>5397</v>
      </c>
    </row>
    <row r="454" spans="1:306" ht="120" x14ac:dyDescent="0.25">
      <c r="A454" s="5" t="s">
        <v>5508</v>
      </c>
      <c r="B454" s="4" t="s">
        <v>476</v>
      </c>
      <c r="C454" s="7" t="s">
        <v>477</v>
      </c>
      <c r="D454" s="8" t="s">
        <v>478</v>
      </c>
      <c r="E454" s="4">
        <v>335118</v>
      </c>
      <c r="G454" s="4" t="s">
        <v>479</v>
      </c>
      <c r="H454" s="6">
        <v>147.3527</v>
      </c>
      <c r="I454" s="6">
        <v>-21.402699999999999</v>
      </c>
      <c r="J454" s="4" t="s">
        <v>5509</v>
      </c>
      <c r="K454" s="4" t="s">
        <v>298</v>
      </c>
      <c r="L454" s="4" t="s">
        <v>760</v>
      </c>
      <c r="M454" s="4" t="s">
        <v>5509</v>
      </c>
      <c r="Q454" s="8"/>
      <c r="R454" s="8"/>
      <c r="Z454" s="4" t="s">
        <v>476</v>
      </c>
      <c r="AA454" s="7" t="s">
        <v>477</v>
      </c>
      <c r="AB454" s="8" t="s">
        <v>478</v>
      </c>
      <c r="AC454" s="4" t="s">
        <v>301</v>
      </c>
      <c r="AD454" s="4" t="s">
        <v>375</v>
      </c>
      <c r="AE454" s="8">
        <v>345</v>
      </c>
      <c r="AF454" s="8"/>
      <c r="AG454" s="9" t="s">
        <v>379</v>
      </c>
      <c r="AH454" s="9" t="s">
        <v>380</v>
      </c>
      <c r="AM454" s="8">
        <v>2</v>
      </c>
      <c r="AN454" s="4" t="s">
        <v>381</v>
      </c>
      <c r="AO454" s="4" t="s">
        <v>382</v>
      </c>
      <c r="AP454" s="4" t="s">
        <v>383</v>
      </c>
      <c r="AQ454" s="7" t="s">
        <v>384</v>
      </c>
      <c r="AR454" s="8" t="s">
        <v>433</v>
      </c>
      <c r="AS454" s="7">
        <v>0</v>
      </c>
      <c r="AT454" s="7">
        <v>0</v>
      </c>
      <c r="AU454" s="9" t="s">
        <v>303</v>
      </c>
      <c r="AV454" s="9" t="s">
        <v>406</v>
      </c>
      <c r="BA454" s="8">
        <v>5</v>
      </c>
      <c r="BP454" s="7">
        <f>0.59+6.65</f>
        <v>7.24</v>
      </c>
      <c r="BV454" s="6">
        <f>(12.2*0.59+1.54*6.65)/(0.59+6.65)</f>
        <v>2.4087016574585633</v>
      </c>
      <c r="DZ454" s="31"/>
      <c r="EL454" s="7">
        <f>BP454*BV454</f>
        <v>17.439</v>
      </c>
      <c r="GP454" s="32"/>
      <c r="GY454" s="6" t="s">
        <v>338</v>
      </c>
      <c r="GZ454" s="6" t="s">
        <v>436</v>
      </c>
      <c r="HC454" s="6" t="s">
        <v>484</v>
      </c>
      <c r="HD454" s="8" t="s">
        <v>1255</v>
      </c>
      <c r="HE454" s="8">
        <v>25477</v>
      </c>
      <c r="HF454" s="8" t="s">
        <v>1256</v>
      </c>
      <c r="HG454" s="9" t="s">
        <v>5510</v>
      </c>
      <c r="IB454" s="8" t="s">
        <v>1255</v>
      </c>
      <c r="IC454" s="8">
        <v>25477</v>
      </c>
      <c r="ID454" s="8" t="s">
        <v>1256</v>
      </c>
      <c r="IE454" s="9" t="s">
        <v>5510</v>
      </c>
      <c r="IF454" s="8" t="s">
        <v>445</v>
      </c>
      <c r="II454" s="8" t="s">
        <v>5511</v>
      </c>
      <c r="IK454" s="8" t="s">
        <v>350</v>
      </c>
      <c r="JV454" s="7" t="s">
        <v>5512</v>
      </c>
      <c r="JX454" s="7" t="s">
        <v>320</v>
      </c>
      <c r="JY454" s="7" t="s">
        <v>354</v>
      </c>
      <c r="JZ454" s="7" t="s">
        <v>322</v>
      </c>
      <c r="KA454" s="7" t="s">
        <v>321</v>
      </c>
      <c r="KB454" s="7" t="s">
        <v>353</v>
      </c>
      <c r="KG454" s="4" t="s">
        <v>323</v>
      </c>
      <c r="KM454" s="4" t="s">
        <v>5513</v>
      </c>
      <c r="KN454" s="4" t="s">
        <v>5513</v>
      </c>
      <c r="KO454" s="4" t="s">
        <v>350</v>
      </c>
      <c r="KP454" s="5" t="s">
        <v>358</v>
      </c>
      <c r="KQ454" s="5" t="s">
        <v>5514</v>
      </c>
      <c r="KR454" s="5" t="s">
        <v>5515</v>
      </c>
      <c r="KS454" s="5" t="s">
        <v>5516</v>
      </c>
      <c r="KT454" s="5" t="s">
        <v>5517</v>
      </c>
    </row>
    <row r="455" spans="1:306" ht="108" x14ac:dyDescent="0.25">
      <c r="A455" s="5" t="s">
        <v>6504</v>
      </c>
      <c r="B455" s="4" t="s">
        <v>476</v>
      </c>
      <c r="C455" s="7" t="s">
        <v>477</v>
      </c>
      <c r="D455" s="8" t="s">
        <v>478</v>
      </c>
      <c r="E455" s="4">
        <v>335001</v>
      </c>
      <c r="G455" s="4" t="s">
        <v>479</v>
      </c>
      <c r="H455" s="6">
        <v>146.450514</v>
      </c>
      <c r="I455" s="6">
        <v>-20.526764</v>
      </c>
      <c r="J455" s="4" t="s">
        <v>5509</v>
      </c>
      <c r="K455" s="4" t="s">
        <v>298</v>
      </c>
      <c r="L455" s="4" t="s">
        <v>760</v>
      </c>
      <c r="M455" s="4" t="s">
        <v>5509</v>
      </c>
      <c r="Q455" s="8"/>
      <c r="R455" s="8"/>
      <c r="Z455" s="4" t="s">
        <v>476</v>
      </c>
      <c r="AA455" s="7" t="s">
        <v>477</v>
      </c>
      <c r="AB455" s="8" t="s">
        <v>478</v>
      </c>
      <c r="AC455" s="4" t="s">
        <v>301</v>
      </c>
      <c r="AD455" s="4" t="s">
        <v>375</v>
      </c>
      <c r="AE455" s="8">
        <v>342</v>
      </c>
      <c r="AF455" s="8">
        <v>6</v>
      </c>
      <c r="AG455" s="9" t="s">
        <v>379</v>
      </c>
      <c r="AH455" s="9" t="s">
        <v>429</v>
      </c>
      <c r="AI455" s="9" t="s">
        <v>430</v>
      </c>
      <c r="AJ455" s="9" t="s">
        <v>1238</v>
      </c>
      <c r="AM455" s="8">
        <v>4</v>
      </c>
      <c r="AN455" s="4" t="s">
        <v>381</v>
      </c>
      <c r="AO455" s="4" t="s">
        <v>382</v>
      </c>
      <c r="AP455" s="4" t="s">
        <v>383</v>
      </c>
      <c r="AQ455" s="7" t="s">
        <v>384</v>
      </c>
      <c r="AR455" s="8" t="s">
        <v>433</v>
      </c>
      <c r="AS455" s="7">
        <v>0</v>
      </c>
      <c r="AT455" s="7">
        <v>0</v>
      </c>
      <c r="AU455" s="9" t="s">
        <v>303</v>
      </c>
      <c r="AV455" s="9" t="s">
        <v>406</v>
      </c>
      <c r="BA455" s="8">
        <v>5</v>
      </c>
      <c r="DZ455" s="31"/>
      <c r="EL455" s="8">
        <f>(0.3665+0.046468+2.7+0.823)*31.1</f>
        <v>122.40860480000002</v>
      </c>
      <c r="EY455" s="6"/>
      <c r="FA455" s="6"/>
      <c r="GP455" s="32"/>
      <c r="GY455" s="6" t="s">
        <v>338</v>
      </c>
      <c r="GZ455" s="6" t="s">
        <v>436</v>
      </c>
      <c r="HC455" s="6" t="s">
        <v>484</v>
      </c>
      <c r="HD455" s="8" t="s">
        <v>6505</v>
      </c>
      <c r="HE455" s="8">
        <v>39645</v>
      </c>
      <c r="HF455" s="8" t="s">
        <v>6506</v>
      </c>
      <c r="HG455" s="9" t="s">
        <v>3650</v>
      </c>
      <c r="HY455" s="9"/>
      <c r="IB455" s="8" t="s">
        <v>6505</v>
      </c>
      <c r="IC455" s="8">
        <v>39645</v>
      </c>
      <c r="ID455" s="8" t="s">
        <v>6506</v>
      </c>
      <c r="IE455" s="9" t="s">
        <v>3650</v>
      </c>
      <c r="IF455" s="8" t="s">
        <v>445</v>
      </c>
      <c r="II455" s="8" t="s">
        <v>6507</v>
      </c>
      <c r="IK455" s="8" t="s">
        <v>329</v>
      </c>
      <c r="IR455" s="9"/>
      <c r="JV455" s="7" t="s">
        <v>6508</v>
      </c>
      <c r="JX455" s="7" t="s">
        <v>320</v>
      </c>
      <c r="JY455" s="7" t="s">
        <v>448</v>
      </c>
      <c r="JZ455" s="7" t="s">
        <v>322</v>
      </c>
      <c r="KG455" s="4" t="s">
        <v>323</v>
      </c>
      <c r="KP455" s="5" t="s">
        <v>358</v>
      </c>
      <c r="KQ455" s="5" t="s">
        <v>6509</v>
      </c>
      <c r="KR455" s="5" t="s">
        <v>2392</v>
      </c>
      <c r="KS455" s="5" t="s">
        <v>6510</v>
      </c>
      <c r="KT455" s="5" t="s">
        <v>6511</v>
      </c>
    </row>
    <row r="456" spans="1:306" ht="72" x14ac:dyDescent="0.25">
      <c r="A456" s="5" t="s">
        <v>6512</v>
      </c>
      <c r="B456" s="4" t="s">
        <v>476</v>
      </c>
      <c r="C456" s="7" t="s">
        <v>477</v>
      </c>
      <c r="D456" s="8" t="s">
        <v>478</v>
      </c>
      <c r="E456" s="4">
        <v>335213</v>
      </c>
      <c r="G456" s="4" t="s">
        <v>427</v>
      </c>
      <c r="H456" s="6">
        <v>149.8295</v>
      </c>
      <c r="I456" s="6">
        <v>-36.948399999999999</v>
      </c>
      <c r="K456" s="4" t="s">
        <v>298</v>
      </c>
      <c r="L456" s="4" t="s">
        <v>299</v>
      </c>
      <c r="M456" s="4" t="s">
        <v>1359</v>
      </c>
      <c r="N456" s="4" t="s">
        <v>6513</v>
      </c>
      <c r="Q456" s="8"/>
      <c r="R456" s="8"/>
      <c r="S456" s="4"/>
      <c r="T456" s="4"/>
      <c r="U456" s="4"/>
      <c r="V456" s="4"/>
      <c r="W456" s="4"/>
      <c r="X456" s="4"/>
      <c r="Z456" s="4" t="s">
        <v>476</v>
      </c>
      <c r="AA456" s="7" t="s">
        <v>477</v>
      </c>
      <c r="AB456" s="8" t="s">
        <v>478</v>
      </c>
      <c r="AC456" s="4" t="s">
        <v>301</v>
      </c>
      <c r="AD456" s="4" t="s">
        <v>375</v>
      </c>
      <c r="AE456" s="8"/>
      <c r="AF456" s="8"/>
      <c r="AG456" s="4"/>
      <c r="AH456" s="4"/>
      <c r="AI456" s="4"/>
      <c r="AJ456" s="4"/>
      <c r="AK456" s="4"/>
      <c r="AL456" s="4"/>
      <c r="AN456" s="4" t="s">
        <v>381</v>
      </c>
      <c r="AO456" s="4" t="s">
        <v>402</v>
      </c>
      <c r="AP456" s="4" t="s">
        <v>383</v>
      </c>
      <c r="AQ456" s="7" t="s">
        <v>384</v>
      </c>
      <c r="AR456" s="8" t="s">
        <v>433</v>
      </c>
      <c r="AS456" s="7">
        <v>0</v>
      </c>
      <c r="AT456" s="7">
        <v>0</v>
      </c>
      <c r="AU456" s="9" t="s">
        <v>303</v>
      </c>
      <c r="AV456" s="9" t="s">
        <v>406</v>
      </c>
      <c r="BA456" s="8">
        <v>5</v>
      </c>
      <c r="BG456" s="7"/>
      <c r="BH456" s="7"/>
      <c r="BQ456" s="7"/>
      <c r="BR456" s="7"/>
      <c r="BS456" s="7"/>
      <c r="BT456" s="7"/>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31"/>
      <c r="EA456" s="4"/>
      <c r="EB456" s="4"/>
      <c r="EC456" s="4"/>
      <c r="ED456" s="4"/>
      <c r="EE456" s="4"/>
      <c r="EF456" s="4"/>
      <c r="EG456" s="4"/>
      <c r="EK456" s="6"/>
      <c r="EL456" s="6">
        <v>1.87903</v>
      </c>
      <c r="EY456" s="6"/>
      <c r="FA456" s="6"/>
      <c r="GP456" s="32"/>
      <c r="GY456" s="6" t="s">
        <v>309</v>
      </c>
      <c r="GZ456" s="6" t="s">
        <v>436</v>
      </c>
      <c r="HC456" s="6" t="s">
        <v>484</v>
      </c>
      <c r="HD456" s="4" t="s">
        <v>6514</v>
      </c>
      <c r="HE456" s="8">
        <v>27117</v>
      </c>
      <c r="HF456" s="4" t="s">
        <v>6515</v>
      </c>
      <c r="HG456" s="4" t="s">
        <v>2787</v>
      </c>
      <c r="HH456" s="4"/>
      <c r="HJ456" s="4"/>
      <c r="HK456" s="4"/>
      <c r="HL456" s="4"/>
      <c r="HN456" s="4"/>
      <c r="HO456" s="4"/>
      <c r="HP456" s="4"/>
      <c r="HR456" s="4"/>
      <c r="HS456" s="4"/>
      <c r="HT456" s="4"/>
      <c r="HU456" s="4"/>
      <c r="HV456" s="4"/>
      <c r="HW456" s="4"/>
      <c r="HX456" s="4"/>
      <c r="HY456" s="4"/>
      <c r="HZ456" s="4"/>
      <c r="IA456" s="4"/>
      <c r="IB456" s="4" t="s">
        <v>6514</v>
      </c>
      <c r="IC456" s="8">
        <v>27117</v>
      </c>
      <c r="ID456" s="4" t="s">
        <v>6515</v>
      </c>
      <c r="IE456" s="4" t="s">
        <v>2786</v>
      </c>
      <c r="IF456" s="4" t="s">
        <v>445</v>
      </c>
      <c r="IG456" s="4"/>
      <c r="IH456" s="4"/>
      <c r="II456" s="4"/>
      <c r="IJ456" s="4"/>
      <c r="IK456" s="4"/>
      <c r="IL456" s="4"/>
      <c r="IN456" s="4"/>
      <c r="IO456" s="4"/>
      <c r="IP456" s="4"/>
      <c r="IQ456" s="4"/>
      <c r="IS456" s="4"/>
      <c r="IT456" s="4"/>
      <c r="IU456" s="4"/>
      <c r="IV456" s="4"/>
      <c r="IW456" s="8"/>
      <c r="IX456" s="4"/>
      <c r="IY456" s="4"/>
      <c r="IZ456" s="4"/>
      <c r="JA456" s="4"/>
      <c r="JB456" s="8"/>
      <c r="JC456" s="4"/>
      <c r="JD456" s="4"/>
      <c r="JE456" s="4"/>
      <c r="JF456" s="4"/>
      <c r="JG456" s="4"/>
      <c r="JH456" s="4"/>
      <c r="JI456" s="4"/>
      <c r="JJ456" s="4"/>
      <c r="JK456" s="4"/>
      <c r="JL456" s="4"/>
      <c r="JM456" s="4"/>
      <c r="JN456" s="4"/>
      <c r="JO456" s="4"/>
      <c r="JP456" s="4"/>
      <c r="JQ456" s="4"/>
      <c r="JR456" s="4"/>
      <c r="JS456" s="4"/>
      <c r="JT456" s="4"/>
      <c r="JU456" s="4"/>
      <c r="JV456" s="4" t="s">
        <v>6516</v>
      </c>
      <c r="JW456" s="7" t="s">
        <v>6517</v>
      </c>
      <c r="JX456" s="4" t="s">
        <v>320</v>
      </c>
      <c r="JY456" s="4"/>
      <c r="JZ456" s="4"/>
      <c r="KA456" s="4"/>
      <c r="KB456" s="4"/>
      <c r="KC456" s="4"/>
      <c r="KD456" s="4"/>
      <c r="KE456" s="4"/>
      <c r="KF456" s="4"/>
      <c r="KG456" s="4" t="s">
        <v>356</v>
      </c>
      <c r="KH456" s="4" t="s">
        <v>1317</v>
      </c>
      <c r="KP456" s="5" t="s">
        <v>358</v>
      </c>
      <c r="KQ456" s="5" t="s">
        <v>6518</v>
      </c>
      <c r="KS456" s="5" t="s">
        <v>6519</v>
      </c>
      <c r="KT456" s="5" t="s">
        <v>6520</v>
      </c>
    </row>
    <row r="457" spans="1:306" ht="48" x14ac:dyDescent="0.25">
      <c r="A457" s="5" t="s">
        <v>7205</v>
      </c>
      <c r="B457" s="4" t="s">
        <v>476</v>
      </c>
      <c r="C457" s="7" t="s">
        <v>477</v>
      </c>
      <c r="D457" s="8" t="s">
        <v>478</v>
      </c>
      <c r="E457" s="4">
        <v>595107</v>
      </c>
      <c r="G457" s="4" t="s">
        <v>427</v>
      </c>
      <c r="H457" s="6">
        <v>147.460152768</v>
      </c>
      <c r="I457" s="6">
        <v>-32.815479259</v>
      </c>
      <c r="K457" s="4" t="s">
        <v>298</v>
      </c>
      <c r="L457" s="4" t="s">
        <v>299</v>
      </c>
      <c r="M457" s="4" t="s">
        <v>428</v>
      </c>
      <c r="Q457" s="8"/>
      <c r="R457" s="7"/>
      <c r="Z457" s="4" t="s">
        <v>476</v>
      </c>
      <c r="AA457" s="7" t="s">
        <v>477</v>
      </c>
      <c r="AB457" s="8" t="s">
        <v>478</v>
      </c>
      <c r="AC457" s="4" t="s">
        <v>301</v>
      </c>
      <c r="AD457" s="4" t="s">
        <v>375</v>
      </c>
      <c r="AE457" s="8"/>
      <c r="AF457" s="7"/>
      <c r="AN457" s="4" t="s">
        <v>381</v>
      </c>
      <c r="AO457" s="4" t="s">
        <v>382</v>
      </c>
      <c r="AP457" s="4" t="s">
        <v>383</v>
      </c>
      <c r="AQ457" s="7" t="s">
        <v>384</v>
      </c>
      <c r="AR457" s="8" t="s">
        <v>433</v>
      </c>
      <c r="AS457" s="7">
        <v>0</v>
      </c>
      <c r="AT457" s="7">
        <v>0</v>
      </c>
      <c r="AU457" s="9" t="s">
        <v>303</v>
      </c>
      <c r="AV457" s="9" t="s">
        <v>406</v>
      </c>
      <c r="BA457" s="8">
        <v>5</v>
      </c>
      <c r="BP457" s="7">
        <v>6.4</v>
      </c>
      <c r="BU457" s="8">
        <v>38</v>
      </c>
      <c r="BV457" s="6">
        <v>0.61</v>
      </c>
      <c r="DZ457" s="31"/>
      <c r="EK457" s="6">
        <f>BP457*BU457/1000</f>
        <v>0.24320000000000003</v>
      </c>
      <c r="EL457" s="6">
        <f>BP457*BV457</f>
        <v>3.9039999999999999</v>
      </c>
      <c r="EY457" s="6"/>
      <c r="FA457" s="6"/>
      <c r="GP457" s="32"/>
      <c r="GY457" s="6" t="s">
        <v>338</v>
      </c>
      <c r="GZ457" s="6" t="s">
        <v>1432</v>
      </c>
      <c r="HC457" s="6" t="s">
        <v>7206</v>
      </c>
      <c r="HF457" s="8" t="s">
        <v>7207</v>
      </c>
      <c r="HH457" s="8"/>
      <c r="HJ457" s="8"/>
      <c r="HY457" s="9"/>
      <c r="IE457" s="9"/>
      <c r="IF457" s="9"/>
      <c r="IJ457" s="9"/>
      <c r="IK457" s="9"/>
      <c r="IL457" s="4"/>
      <c r="IM457" s="4"/>
      <c r="IW457" s="8"/>
      <c r="JB457" s="8"/>
      <c r="JV457" s="7" t="s">
        <v>1779</v>
      </c>
      <c r="JX457" s="7" t="s">
        <v>320</v>
      </c>
      <c r="KP457" s="5" t="s">
        <v>7208</v>
      </c>
      <c r="KQ457" s="5" t="s">
        <v>7209</v>
      </c>
      <c r="KS457" s="5" t="s">
        <v>7208</v>
      </c>
      <c r="KT457" s="5" t="s">
        <v>7210</v>
      </c>
    </row>
    <row r="458" spans="1:306" ht="60" x14ac:dyDescent="0.25">
      <c r="A458" s="5" t="s">
        <v>7748</v>
      </c>
      <c r="B458" s="4" t="s">
        <v>476</v>
      </c>
      <c r="C458" s="7" t="s">
        <v>477</v>
      </c>
      <c r="D458" s="8" t="s">
        <v>478</v>
      </c>
      <c r="E458" s="4">
        <v>334852</v>
      </c>
      <c r="G458" s="4" t="s">
        <v>479</v>
      </c>
      <c r="H458" s="6">
        <v>147.05340000000001</v>
      </c>
      <c r="I458" s="6">
        <v>-21.923100000000002</v>
      </c>
      <c r="J458" s="4" t="s">
        <v>5509</v>
      </c>
      <c r="K458" s="4" t="s">
        <v>298</v>
      </c>
      <c r="L458" s="4" t="s">
        <v>760</v>
      </c>
      <c r="M458" s="4" t="s">
        <v>5509</v>
      </c>
      <c r="Q458" s="8"/>
      <c r="R458" s="8"/>
      <c r="Z458" s="4" t="s">
        <v>476</v>
      </c>
      <c r="AA458" s="7" t="s">
        <v>477</v>
      </c>
      <c r="AB458" s="8" t="s">
        <v>478</v>
      </c>
      <c r="AC458" s="4" t="s">
        <v>301</v>
      </c>
      <c r="AE458" s="8">
        <v>342</v>
      </c>
      <c r="AF458" s="8">
        <v>4</v>
      </c>
      <c r="AG458" s="9" t="s">
        <v>379</v>
      </c>
      <c r="AH458" s="9" t="s">
        <v>429</v>
      </c>
      <c r="AI458" s="9" t="s">
        <v>7749</v>
      </c>
      <c r="AJ458" s="9" t="s">
        <v>431</v>
      </c>
      <c r="AK458" s="9" t="s">
        <v>432</v>
      </c>
      <c r="AM458" s="8">
        <v>4</v>
      </c>
      <c r="BP458" s="7">
        <f>23.11+0.072979</f>
        <v>23.182979</v>
      </c>
      <c r="BU458" s="6">
        <v>6.5</v>
      </c>
      <c r="BV458" s="6">
        <f>(1.3*23.11+10.01*0.072979)/(23.11+0.072979)</f>
        <v>1.3274186975711793</v>
      </c>
      <c r="DZ458" s="31"/>
      <c r="EK458" s="7">
        <f>BP458*BU458/1000</f>
        <v>0.15068936349999998</v>
      </c>
      <c r="EL458" s="7">
        <f>BP458*BV458</f>
        <v>30.773519789999998</v>
      </c>
      <c r="GP458" s="32"/>
      <c r="GY458" s="6" t="s">
        <v>338</v>
      </c>
      <c r="GZ458" s="6" t="s">
        <v>436</v>
      </c>
      <c r="HC458" s="6" t="s">
        <v>484</v>
      </c>
      <c r="HD458" s="8" t="s">
        <v>1255</v>
      </c>
      <c r="HE458" s="8">
        <v>25477</v>
      </c>
      <c r="HF458" s="8" t="s">
        <v>1256</v>
      </c>
      <c r="HG458" s="9" t="s">
        <v>5510</v>
      </c>
      <c r="IB458" s="8" t="s">
        <v>1255</v>
      </c>
      <c r="IC458" s="8">
        <v>25477</v>
      </c>
      <c r="ID458" s="8" t="s">
        <v>1256</v>
      </c>
      <c r="IE458" s="9" t="s">
        <v>5510</v>
      </c>
      <c r="IF458" s="8" t="s">
        <v>445</v>
      </c>
      <c r="JV458" s="7" t="s">
        <v>7750</v>
      </c>
      <c r="JX458" s="7" t="s">
        <v>320</v>
      </c>
      <c r="KG458" s="4" t="s">
        <v>323</v>
      </c>
      <c r="KP458" s="5" t="s">
        <v>358</v>
      </c>
      <c r="KQ458" s="5" t="s">
        <v>7751</v>
      </c>
      <c r="KR458" s="5" t="s">
        <v>2392</v>
      </c>
      <c r="KS458" s="5" t="s">
        <v>7752</v>
      </c>
      <c r="KT458" s="5" t="s">
        <v>7753</v>
      </c>
    </row>
    <row r="459" spans="1:306" ht="84" x14ac:dyDescent="0.25">
      <c r="A459" s="5" t="s">
        <v>8151</v>
      </c>
      <c r="B459" s="4" t="s">
        <v>476</v>
      </c>
      <c r="C459" s="7" t="s">
        <v>477</v>
      </c>
      <c r="D459" s="8" t="s">
        <v>478</v>
      </c>
      <c r="E459" s="4">
        <v>333490</v>
      </c>
      <c r="G459" s="4" t="s">
        <v>479</v>
      </c>
      <c r="H459" s="6">
        <v>147.26890900000001</v>
      </c>
      <c r="I459" s="6">
        <v>-21.118458</v>
      </c>
      <c r="J459" s="4" t="s">
        <v>5509</v>
      </c>
      <c r="K459" s="4" t="s">
        <v>298</v>
      </c>
      <c r="L459" s="4" t="s">
        <v>760</v>
      </c>
      <c r="M459" s="4" t="s">
        <v>5509</v>
      </c>
      <c r="Q459" s="8"/>
      <c r="R459" s="8"/>
      <c r="Z459" s="4" t="s">
        <v>476</v>
      </c>
      <c r="AA459" s="7" t="s">
        <v>477</v>
      </c>
      <c r="AB459" s="8" t="s">
        <v>478</v>
      </c>
      <c r="AC459" s="4" t="s">
        <v>301</v>
      </c>
      <c r="AD459" s="4" t="s">
        <v>382</v>
      </c>
      <c r="AE459" s="8">
        <v>344</v>
      </c>
      <c r="AF459" s="8">
        <v>4</v>
      </c>
      <c r="AG459" s="9" t="s">
        <v>379</v>
      </c>
      <c r="AH459" s="9" t="s">
        <v>429</v>
      </c>
      <c r="AI459" s="9" t="s">
        <v>7749</v>
      </c>
      <c r="AJ459" s="9" t="s">
        <v>1238</v>
      </c>
      <c r="AM459" s="8">
        <v>4</v>
      </c>
      <c r="AN459" s="4" t="s">
        <v>381</v>
      </c>
      <c r="AO459" s="4" t="s">
        <v>375</v>
      </c>
      <c r="AP459" s="4" t="s">
        <v>383</v>
      </c>
      <c r="AQ459" s="7" t="s">
        <v>384</v>
      </c>
      <c r="AR459" s="8" t="s">
        <v>433</v>
      </c>
      <c r="AS459" s="7">
        <v>0</v>
      </c>
      <c r="AT459" s="7">
        <v>0</v>
      </c>
      <c r="AU459" s="9" t="s">
        <v>303</v>
      </c>
      <c r="AV459" s="9" t="s">
        <v>406</v>
      </c>
      <c r="BA459" s="8">
        <v>5</v>
      </c>
      <c r="BP459" s="7">
        <v>3.65</v>
      </c>
      <c r="BV459" s="6">
        <v>2.75</v>
      </c>
      <c r="DZ459" s="31"/>
      <c r="EL459" s="7">
        <f>BP459*BV459</f>
        <v>10.0375</v>
      </c>
      <c r="EY459" s="6"/>
      <c r="FA459" s="6"/>
      <c r="GP459" s="32"/>
      <c r="GY459" s="6" t="s">
        <v>309</v>
      </c>
      <c r="GZ459" s="6" t="s">
        <v>436</v>
      </c>
      <c r="HC459" s="6" t="s">
        <v>484</v>
      </c>
      <c r="HD459" s="8" t="s">
        <v>8152</v>
      </c>
      <c r="HE459" s="8">
        <v>23388</v>
      </c>
      <c r="HF459" s="8" t="s">
        <v>8153</v>
      </c>
      <c r="HG459" s="9" t="s">
        <v>3650</v>
      </c>
      <c r="HH459" s="9" t="s">
        <v>8154</v>
      </c>
      <c r="HI459" s="8">
        <v>13251</v>
      </c>
      <c r="HJ459" s="9" t="s">
        <v>8155</v>
      </c>
      <c r="HK459" s="9" t="s">
        <v>3650</v>
      </c>
      <c r="HY459" s="9"/>
      <c r="IB459" s="8" t="s">
        <v>8152</v>
      </c>
      <c r="IC459" s="8">
        <v>23388</v>
      </c>
      <c r="ID459" s="8" t="s">
        <v>8153</v>
      </c>
      <c r="IE459" s="9" t="s">
        <v>3650</v>
      </c>
      <c r="IF459" s="8" t="s">
        <v>445</v>
      </c>
      <c r="IR459" s="9"/>
      <c r="JV459" s="7" t="s">
        <v>8156</v>
      </c>
      <c r="JX459" s="7" t="s">
        <v>320</v>
      </c>
      <c r="JY459" s="7" t="s">
        <v>354</v>
      </c>
      <c r="JZ459" s="7" t="s">
        <v>738</v>
      </c>
      <c r="KG459" s="4" t="s">
        <v>323</v>
      </c>
      <c r="KP459" s="5" t="s">
        <v>358</v>
      </c>
      <c r="KQ459" s="5" t="s">
        <v>8157</v>
      </c>
      <c r="KR459" s="5" t="s">
        <v>2392</v>
      </c>
      <c r="KS459" s="5" t="s">
        <v>8158</v>
      </c>
      <c r="KT459" s="5" t="s">
        <v>8159</v>
      </c>
    </row>
    <row r="460" spans="1:306" ht="120" x14ac:dyDescent="0.25">
      <c r="A460" s="5" t="s">
        <v>8264</v>
      </c>
      <c r="B460" s="4" t="s">
        <v>476</v>
      </c>
      <c r="C460" s="7" t="s">
        <v>477</v>
      </c>
      <c r="D460" s="8" t="s">
        <v>478</v>
      </c>
      <c r="E460" s="4">
        <v>333431</v>
      </c>
      <c r="G460" s="4" t="s">
        <v>479</v>
      </c>
      <c r="H460" s="6">
        <v>143.38919999999999</v>
      </c>
      <c r="I460" s="6">
        <v>-19.776299999999999</v>
      </c>
      <c r="J460" s="4" t="s">
        <v>8262</v>
      </c>
      <c r="K460" s="4" t="s">
        <v>481</v>
      </c>
      <c r="L460" s="4" t="s">
        <v>482</v>
      </c>
      <c r="Q460" s="8"/>
      <c r="R460" s="7"/>
      <c r="Z460" s="4" t="s">
        <v>476</v>
      </c>
      <c r="AA460" s="7" t="s">
        <v>477</v>
      </c>
      <c r="AB460" s="8" t="s">
        <v>478</v>
      </c>
      <c r="AC460" s="4" t="s">
        <v>301</v>
      </c>
      <c r="AE460" s="8">
        <v>285</v>
      </c>
      <c r="AF460" s="7"/>
      <c r="AG460" s="9" t="s">
        <v>379</v>
      </c>
      <c r="AH460" s="9" t="s">
        <v>380</v>
      </c>
      <c r="AM460" s="8">
        <v>2</v>
      </c>
      <c r="BP460" s="7">
        <v>21.85</v>
      </c>
      <c r="BV460" s="6">
        <v>0.97</v>
      </c>
      <c r="DZ460" s="31"/>
      <c r="EL460" s="6">
        <f>BP460*BV460</f>
        <v>21.194500000000001</v>
      </c>
      <c r="EY460" s="6"/>
      <c r="FA460" s="6"/>
      <c r="GP460" s="32"/>
      <c r="GY460" s="31" t="s">
        <v>407</v>
      </c>
      <c r="GZ460" s="6" t="s">
        <v>436</v>
      </c>
      <c r="HC460" s="6" t="s">
        <v>484</v>
      </c>
      <c r="HD460" s="8" t="s">
        <v>2183</v>
      </c>
      <c r="HE460" s="8">
        <v>6018</v>
      </c>
      <c r="HF460" s="8" t="s">
        <v>8265</v>
      </c>
      <c r="HG460" s="9" t="s">
        <v>490</v>
      </c>
      <c r="HJ460" s="9" t="s">
        <v>8266</v>
      </c>
      <c r="HY460" s="9"/>
      <c r="ID460" s="9" t="s">
        <v>8266</v>
      </c>
      <c r="IF460" s="8" t="s">
        <v>445</v>
      </c>
      <c r="IR460" s="9"/>
      <c r="JV460" s="7" t="s">
        <v>1772</v>
      </c>
      <c r="JX460" s="7" t="s">
        <v>320</v>
      </c>
      <c r="KG460" s="4" t="s">
        <v>323</v>
      </c>
      <c r="KM460" s="4" t="s">
        <v>702</v>
      </c>
      <c r="KN460" s="4" t="s">
        <v>888</v>
      </c>
      <c r="KO460" s="4" t="s">
        <v>445</v>
      </c>
      <c r="KP460" s="5" t="s">
        <v>358</v>
      </c>
      <c r="KQ460" s="5" t="s">
        <v>495</v>
      </c>
      <c r="KS460" s="5" t="s">
        <v>495</v>
      </c>
      <c r="KT460" s="5" t="s">
        <v>8267</v>
      </c>
    </row>
    <row r="461" spans="1:306" ht="96" x14ac:dyDescent="0.25">
      <c r="A461" s="5" t="s">
        <v>8286</v>
      </c>
      <c r="B461" s="4" t="s">
        <v>476</v>
      </c>
      <c r="C461" s="7" t="s">
        <v>477</v>
      </c>
      <c r="D461" s="8" t="s">
        <v>478</v>
      </c>
      <c r="E461" s="4">
        <v>334643</v>
      </c>
      <c r="G461" s="4" t="s">
        <v>427</v>
      </c>
      <c r="H461" s="6">
        <v>150.38300000000001</v>
      </c>
      <c r="I461" s="6">
        <v>-34.929900000000004</v>
      </c>
      <c r="K461" s="4" t="s">
        <v>298</v>
      </c>
      <c r="L461" s="4" t="s">
        <v>299</v>
      </c>
      <c r="M461" s="4" t="s">
        <v>1359</v>
      </c>
      <c r="N461" s="4" t="s">
        <v>6513</v>
      </c>
      <c r="Q461" s="8"/>
      <c r="R461" s="8"/>
      <c r="Z461" s="4" t="s">
        <v>476</v>
      </c>
      <c r="AA461" s="7" t="s">
        <v>477</v>
      </c>
      <c r="AB461" s="8" t="s">
        <v>478</v>
      </c>
      <c r="AC461" s="4" t="s">
        <v>301</v>
      </c>
      <c r="AD461" s="4" t="s">
        <v>375</v>
      </c>
      <c r="AE461" s="8">
        <v>363</v>
      </c>
      <c r="AF461" s="8"/>
      <c r="AG461" s="9" t="s">
        <v>303</v>
      </c>
      <c r="AH461" s="9" t="s">
        <v>304</v>
      </c>
      <c r="AI461" s="9" t="s">
        <v>8287</v>
      </c>
      <c r="AJ461" s="9" t="s">
        <v>1080</v>
      </c>
      <c r="AK461" s="9" t="s">
        <v>600</v>
      </c>
      <c r="AM461" s="8">
        <v>3</v>
      </c>
      <c r="AS461" s="7"/>
      <c r="AT461" s="7"/>
      <c r="BU461" s="7"/>
      <c r="CQ461" s="8"/>
      <c r="CS461" s="8"/>
      <c r="CT461" s="10"/>
      <c r="DC461" s="8"/>
      <c r="DD461" s="8"/>
      <c r="DZ461" s="31"/>
      <c r="EK461" s="6"/>
      <c r="EL461" s="6">
        <v>2.5139999999999998</v>
      </c>
      <c r="GP461" s="32"/>
      <c r="GY461" s="6" t="s">
        <v>309</v>
      </c>
      <c r="GZ461" s="6" t="s">
        <v>436</v>
      </c>
      <c r="HC461" s="6" t="s">
        <v>484</v>
      </c>
      <c r="HD461" s="8" t="s">
        <v>8288</v>
      </c>
      <c r="HE461" s="8">
        <v>20784</v>
      </c>
      <c r="HF461" s="6" t="s">
        <v>8289</v>
      </c>
      <c r="HG461" s="9" t="s">
        <v>2786</v>
      </c>
      <c r="IB461" s="8" t="s">
        <v>8288</v>
      </c>
      <c r="IC461" s="8">
        <v>20784</v>
      </c>
      <c r="ID461" s="6" t="s">
        <v>8289</v>
      </c>
      <c r="IE461" s="9" t="s">
        <v>2786</v>
      </c>
      <c r="IF461" s="8" t="s">
        <v>445</v>
      </c>
      <c r="IG461" s="8" t="s">
        <v>8290</v>
      </c>
      <c r="IH461" s="8">
        <v>2992</v>
      </c>
      <c r="II461" s="8" t="s">
        <v>8291</v>
      </c>
      <c r="IJ461" s="8" t="s">
        <v>8292</v>
      </c>
      <c r="IW461" s="8"/>
      <c r="JB461" s="8"/>
      <c r="JV461" s="7" t="s">
        <v>8293</v>
      </c>
      <c r="JW461" s="7" t="s">
        <v>8294</v>
      </c>
      <c r="JX461" s="7" t="s">
        <v>320</v>
      </c>
      <c r="JY461" s="7" t="s">
        <v>448</v>
      </c>
      <c r="JZ461" s="7" t="s">
        <v>353</v>
      </c>
      <c r="KG461" s="4" t="s">
        <v>356</v>
      </c>
      <c r="KH461" s="4" t="s">
        <v>1317</v>
      </c>
      <c r="KP461" s="5" t="s">
        <v>358</v>
      </c>
      <c r="KQ461" s="5" t="s">
        <v>6519</v>
      </c>
      <c r="KR461" s="5" t="s">
        <v>8295</v>
      </c>
      <c r="KS461" s="5" t="s">
        <v>6519</v>
      </c>
      <c r="KT461" s="5" t="s">
        <v>8296</v>
      </c>
    </row>
    <row r="462" spans="1:306" ht="84" x14ac:dyDescent="0.25">
      <c r="A462" s="5" t="s">
        <v>8306</v>
      </c>
      <c r="B462" s="4" t="s">
        <v>476</v>
      </c>
      <c r="C462" s="7" t="s">
        <v>477</v>
      </c>
      <c r="D462" s="8" t="s">
        <v>478</v>
      </c>
      <c r="E462" s="4">
        <v>335942</v>
      </c>
      <c r="G462" s="4" t="s">
        <v>479</v>
      </c>
      <c r="H462" s="6">
        <v>146.9708</v>
      </c>
      <c r="I462" s="6">
        <v>-21.297499999999999</v>
      </c>
      <c r="J462" s="4" t="s">
        <v>5509</v>
      </c>
      <c r="K462" s="4" t="s">
        <v>298</v>
      </c>
      <c r="L462" s="4" t="s">
        <v>760</v>
      </c>
      <c r="M462" s="4" t="s">
        <v>5509</v>
      </c>
      <c r="Q462" s="8"/>
      <c r="R462" s="8"/>
      <c r="Z462" s="4" t="s">
        <v>476</v>
      </c>
      <c r="AA462" s="7" t="s">
        <v>477</v>
      </c>
      <c r="AB462" s="8" t="s">
        <v>478</v>
      </c>
      <c r="AC462" s="4" t="s">
        <v>301</v>
      </c>
      <c r="AD462" s="4" t="s">
        <v>375</v>
      </c>
      <c r="AE462" s="8">
        <v>346</v>
      </c>
      <c r="AF462" s="8">
        <v>4</v>
      </c>
      <c r="AG462" s="9" t="s">
        <v>379</v>
      </c>
      <c r="AH462" s="9" t="s">
        <v>429</v>
      </c>
      <c r="AI462" s="9" t="s">
        <v>8307</v>
      </c>
      <c r="AJ462" s="9" t="s">
        <v>1238</v>
      </c>
      <c r="AM462" s="8">
        <v>4</v>
      </c>
      <c r="AN462" s="4" t="s">
        <v>381</v>
      </c>
      <c r="AO462" s="4" t="s">
        <v>375</v>
      </c>
      <c r="AP462" s="4" t="s">
        <v>383</v>
      </c>
      <c r="AQ462" s="7" t="s">
        <v>384</v>
      </c>
      <c r="AR462" s="8" t="s">
        <v>433</v>
      </c>
      <c r="AS462" s="7">
        <v>0</v>
      </c>
      <c r="AT462" s="7">
        <v>0</v>
      </c>
      <c r="AU462" s="9" t="s">
        <v>303</v>
      </c>
      <c r="AV462" s="9" t="s">
        <v>406</v>
      </c>
      <c r="BA462" s="8">
        <v>5</v>
      </c>
      <c r="DZ462" s="31"/>
      <c r="EL462" s="6">
        <f>(0.221028*31.1)+(15.892*1)</f>
        <v>22.765970799999998</v>
      </c>
      <c r="EY462" s="6"/>
      <c r="FA462" s="6"/>
      <c r="GP462" s="32"/>
      <c r="GY462" s="6" t="s">
        <v>338</v>
      </c>
      <c r="GZ462" s="6" t="s">
        <v>436</v>
      </c>
      <c r="HC462" s="6" t="s">
        <v>484</v>
      </c>
      <c r="HD462" s="8" t="s">
        <v>8308</v>
      </c>
      <c r="HF462" s="8" t="s">
        <v>8309</v>
      </c>
      <c r="HG462" s="9" t="s">
        <v>3650</v>
      </c>
      <c r="HY462" s="9"/>
      <c r="ID462" s="8" t="s">
        <v>8310</v>
      </c>
      <c r="IE462" s="9" t="s">
        <v>3650</v>
      </c>
      <c r="IF462" s="8" t="s">
        <v>445</v>
      </c>
      <c r="IR462" s="9"/>
      <c r="JV462" s="7" t="s">
        <v>8311</v>
      </c>
      <c r="JX462" s="7" t="s">
        <v>320</v>
      </c>
      <c r="KG462" s="4" t="s">
        <v>323</v>
      </c>
      <c r="KP462" s="5" t="s">
        <v>358</v>
      </c>
      <c r="KQ462" s="5" t="s">
        <v>8312</v>
      </c>
      <c r="KR462" s="5" t="s">
        <v>2392</v>
      </c>
      <c r="KS462" s="5" t="s">
        <v>8313</v>
      </c>
      <c r="KT462" s="5" t="s">
        <v>8314</v>
      </c>
    </row>
    <row r="463" spans="1:306" ht="120" x14ac:dyDescent="0.25">
      <c r="A463" s="5" t="s">
        <v>1502</v>
      </c>
      <c r="B463" s="4" t="s">
        <v>476</v>
      </c>
      <c r="C463" s="7" t="s">
        <v>1557</v>
      </c>
      <c r="D463" s="8" t="s">
        <v>1503</v>
      </c>
      <c r="E463" s="4">
        <v>655727</v>
      </c>
      <c r="G463" s="4" t="s">
        <v>427</v>
      </c>
      <c r="H463" s="6">
        <v>146.94489999999999</v>
      </c>
      <c r="I463" s="6">
        <v>-32.597900000000003</v>
      </c>
      <c r="J463" s="4" t="s">
        <v>1504</v>
      </c>
      <c r="K463" s="4" t="s">
        <v>298</v>
      </c>
      <c r="L463" s="4" t="s">
        <v>299</v>
      </c>
      <c r="M463" s="4" t="s">
        <v>428</v>
      </c>
      <c r="N463" s="4" t="s">
        <v>990</v>
      </c>
      <c r="Q463" s="7"/>
      <c r="R463" s="7"/>
      <c r="Z463" s="4" t="s">
        <v>476</v>
      </c>
      <c r="AA463" s="7" t="s">
        <v>1557</v>
      </c>
      <c r="AB463" s="8" t="s">
        <v>1503</v>
      </c>
      <c r="AC463" s="4" t="s">
        <v>301</v>
      </c>
      <c r="AD463" s="4" t="s">
        <v>382</v>
      </c>
      <c r="AE463" s="7">
        <v>399.5</v>
      </c>
      <c r="AF463" s="7">
        <v>0.3</v>
      </c>
      <c r="AG463" s="9" t="s">
        <v>379</v>
      </c>
      <c r="AH463" s="9" t="s">
        <v>429</v>
      </c>
      <c r="AI463" s="9" t="s">
        <v>653</v>
      </c>
      <c r="AJ463" s="9" t="s">
        <v>431</v>
      </c>
      <c r="AK463" s="9" t="s">
        <v>307</v>
      </c>
      <c r="AM463" s="8">
        <v>4</v>
      </c>
      <c r="AN463" s="4" t="s">
        <v>381</v>
      </c>
      <c r="AO463" s="4" t="s">
        <v>382</v>
      </c>
      <c r="AP463" s="4" t="s">
        <v>383</v>
      </c>
      <c r="AQ463" s="7" t="s">
        <v>384</v>
      </c>
      <c r="AR463" s="8" t="s">
        <v>827</v>
      </c>
      <c r="AS463" s="7">
        <v>0</v>
      </c>
      <c r="AT463" s="7">
        <v>0</v>
      </c>
      <c r="AU463" s="9" t="s">
        <v>303</v>
      </c>
      <c r="AV463" s="9" t="s">
        <v>406</v>
      </c>
      <c r="BA463" s="8">
        <v>5</v>
      </c>
      <c r="DZ463" s="31"/>
      <c r="GP463" s="32"/>
      <c r="GY463" s="6" t="s">
        <v>407</v>
      </c>
      <c r="HD463" s="8" t="s">
        <v>1198</v>
      </c>
      <c r="HE463" s="8">
        <v>27158</v>
      </c>
      <c r="HF463" s="8" t="s">
        <v>1199</v>
      </c>
      <c r="HG463" s="9" t="s">
        <v>1200</v>
      </c>
      <c r="HH463" s="9" t="s">
        <v>1505</v>
      </c>
      <c r="HI463" s="8">
        <v>27473</v>
      </c>
      <c r="HJ463" s="9" t="s">
        <v>1506</v>
      </c>
      <c r="HK463" s="9" t="s">
        <v>1507</v>
      </c>
      <c r="IB463" s="8" t="s">
        <v>1505</v>
      </c>
      <c r="IC463" s="8">
        <v>27473</v>
      </c>
      <c r="ID463" s="8" t="s">
        <v>1506</v>
      </c>
      <c r="IE463" s="9" t="s">
        <v>1507</v>
      </c>
      <c r="IF463" s="9" t="s">
        <v>445</v>
      </c>
      <c r="IJ463" s="9"/>
      <c r="IK463" s="9"/>
      <c r="IL463" s="8"/>
      <c r="IN463" s="8"/>
      <c r="IW463" s="8"/>
      <c r="JB463" s="8"/>
      <c r="JX463" s="7" t="s">
        <v>320</v>
      </c>
      <c r="KP463" s="5" t="s">
        <v>1508</v>
      </c>
      <c r="KQ463" s="5" t="s">
        <v>1509</v>
      </c>
      <c r="KR463" s="5" t="s">
        <v>1510</v>
      </c>
    </row>
    <row r="464" spans="1:306" ht="72" x14ac:dyDescent="0.25">
      <c r="A464" s="5" t="s">
        <v>2146</v>
      </c>
      <c r="B464" s="4" t="s">
        <v>476</v>
      </c>
      <c r="C464" s="7" t="s">
        <v>1557</v>
      </c>
      <c r="D464" s="8" t="s">
        <v>1503</v>
      </c>
      <c r="E464" s="4">
        <v>334832</v>
      </c>
      <c r="G464" s="4" t="s">
        <v>427</v>
      </c>
      <c r="H464" s="6">
        <v>145.858</v>
      </c>
      <c r="I464" s="6">
        <v>-31.523</v>
      </c>
      <c r="J464" s="4" t="s">
        <v>1504</v>
      </c>
      <c r="K464" s="4" t="s">
        <v>298</v>
      </c>
      <c r="L464" s="4" t="s">
        <v>299</v>
      </c>
      <c r="M464" s="4" t="s">
        <v>428</v>
      </c>
      <c r="N464" s="4" t="s">
        <v>1757</v>
      </c>
      <c r="Q464" s="8"/>
      <c r="Z464" s="4" t="s">
        <v>476</v>
      </c>
      <c r="AA464" s="7" t="s">
        <v>1557</v>
      </c>
      <c r="AB464" s="8" t="s">
        <v>1503</v>
      </c>
      <c r="AC464" s="4" t="s">
        <v>301</v>
      </c>
      <c r="AD464" s="4" t="s">
        <v>375</v>
      </c>
      <c r="AE464" s="8">
        <v>402</v>
      </c>
      <c r="AG464" s="9" t="s">
        <v>379</v>
      </c>
      <c r="AH464" s="9" t="s">
        <v>1156</v>
      </c>
      <c r="AM464" s="8">
        <v>3</v>
      </c>
      <c r="AN464" s="4" t="s">
        <v>381</v>
      </c>
      <c r="AO464" s="4" t="s">
        <v>375</v>
      </c>
      <c r="AP464" s="4" t="s">
        <v>383</v>
      </c>
      <c r="AQ464" s="7" t="s">
        <v>384</v>
      </c>
      <c r="AR464" s="8" t="s">
        <v>827</v>
      </c>
      <c r="AS464" s="7">
        <v>0</v>
      </c>
      <c r="AT464" s="7">
        <v>0</v>
      </c>
      <c r="AU464" s="9" t="s">
        <v>303</v>
      </c>
      <c r="AV464" s="9" t="s">
        <v>406</v>
      </c>
      <c r="BA464" s="8">
        <v>5</v>
      </c>
      <c r="DZ464" s="31"/>
      <c r="EH464" s="10">
        <f>0.006+0.02</f>
        <v>2.6000000000000002E-2</v>
      </c>
      <c r="EL464" s="6">
        <f>(0.006+0.046)*31.1</f>
        <v>1.6172</v>
      </c>
      <c r="GP464" s="32"/>
      <c r="GY464" s="6" t="s">
        <v>309</v>
      </c>
      <c r="GZ464" s="6" t="s">
        <v>1361</v>
      </c>
      <c r="HD464" s="4" t="s">
        <v>2147</v>
      </c>
      <c r="HE464" s="8">
        <v>7731</v>
      </c>
      <c r="HF464" s="4" t="s">
        <v>2148</v>
      </c>
      <c r="HG464" s="4" t="s">
        <v>2149</v>
      </c>
      <c r="IW464" s="8"/>
      <c r="JB464" s="8"/>
      <c r="JV464" s="7" t="s">
        <v>2150</v>
      </c>
      <c r="JX464" s="7" t="s">
        <v>322</v>
      </c>
      <c r="JY464" s="7" t="s">
        <v>354</v>
      </c>
      <c r="JZ464" s="7" t="s">
        <v>353</v>
      </c>
      <c r="KA464" s="7" t="s">
        <v>354</v>
      </c>
      <c r="KB464" s="7" t="s">
        <v>320</v>
      </c>
      <c r="KG464" s="4" t="s">
        <v>323</v>
      </c>
      <c r="KM464" s="4" t="s">
        <v>391</v>
      </c>
      <c r="KN464" s="4" t="s">
        <v>391</v>
      </c>
      <c r="KP464" s="5" t="s">
        <v>2151</v>
      </c>
      <c r="KQ464" s="5" t="s">
        <v>2152</v>
      </c>
      <c r="KS464" s="5" t="s">
        <v>2151</v>
      </c>
      <c r="KT464" s="5" t="s">
        <v>2153</v>
      </c>
    </row>
    <row r="465" spans="1:306" ht="60" x14ac:dyDescent="0.25">
      <c r="A465" s="5" t="s">
        <v>2503</v>
      </c>
      <c r="B465" s="4" t="s">
        <v>476</v>
      </c>
      <c r="C465" s="7" t="s">
        <v>1557</v>
      </c>
      <c r="D465" s="8" t="s">
        <v>1503</v>
      </c>
      <c r="E465" s="4">
        <v>337566</v>
      </c>
      <c r="G465" s="4" t="s">
        <v>427</v>
      </c>
      <c r="H465" s="6">
        <v>145.80000000000001</v>
      </c>
      <c r="I465" s="6">
        <v>-31.41</v>
      </c>
      <c r="J465" s="4" t="s">
        <v>1504</v>
      </c>
      <c r="K465" s="4" t="s">
        <v>298</v>
      </c>
      <c r="L465" s="4" t="s">
        <v>299</v>
      </c>
      <c r="M465" s="4" t="s">
        <v>428</v>
      </c>
      <c r="N465" s="4" t="s">
        <v>1757</v>
      </c>
      <c r="Q465" s="8"/>
      <c r="Z465" s="4" t="s">
        <v>476</v>
      </c>
      <c r="AA465" s="7" t="s">
        <v>1557</v>
      </c>
      <c r="AB465" s="8" t="s">
        <v>1503</v>
      </c>
      <c r="AC465" s="4" t="s">
        <v>301</v>
      </c>
      <c r="AD465" s="4" t="s">
        <v>375</v>
      </c>
      <c r="AE465" s="8">
        <v>402</v>
      </c>
      <c r="AG465" s="9" t="s">
        <v>379</v>
      </c>
      <c r="AH465" s="9" t="s">
        <v>1156</v>
      </c>
      <c r="AM465" s="8">
        <v>3</v>
      </c>
      <c r="AN465" s="4" t="s">
        <v>381</v>
      </c>
      <c r="AO465" s="4" t="s">
        <v>375</v>
      </c>
      <c r="AP465" s="4" t="s">
        <v>383</v>
      </c>
      <c r="AQ465" s="7" t="s">
        <v>384</v>
      </c>
      <c r="AR465" s="8" t="s">
        <v>827</v>
      </c>
      <c r="AS465" s="7">
        <v>0</v>
      </c>
      <c r="AT465" s="7">
        <v>0</v>
      </c>
      <c r="AU465" s="9" t="s">
        <v>303</v>
      </c>
      <c r="AV465" s="9" t="s">
        <v>406</v>
      </c>
      <c r="BA465" s="8">
        <v>5</v>
      </c>
      <c r="DZ465" s="31"/>
      <c r="EH465" s="9">
        <f>0.408+0.52+12*5.58/100</f>
        <v>1.5975999999999999</v>
      </c>
      <c r="EK465" s="10">
        <f>12*22.5/1000</f>
        <v>0.27</v>
      </c>
      <c r="EL465" s="6">
        <f>0.006*31.1</f>
        <v>0.18660000000000002</v>
      </c>
      <c r="GP465" s="32"/>
      <c r="GY465" s="6" t="s">
        <v>338</v>
      </c>
      <c r="GZ465" s="6" t="s">
        <v>994</v>
      </c>
      <c r="HB465" s="6" t="s">
        <v>2504</v>
      </c>
      <c r="HD465" s="4" t="s">
        <v>2505</v>
      </c>
      <c r="HE465" s="8">
        <v>3248</v>
      </c>
      <c r="HF465" s="4" t="s">
        <v>2506</v>
      </c>
      <c r="HG465" s="4" t="s">
        <v>782</v>
      </c>
      <c r="IW465" s="8"/>
      <c r="JB465" s="8"/>
      <c r="JV465" s="7" t="s">
        <v>2150</v>
      </c>
      <c r="JX465" s="7" t="s">
        <v>322</v>
      </c>
      <c r="JY465" s="7" t="s">
        <v>354</v>
      </c>
      <c r="JZ465" s="7" t="s">
        <v>353</v>
      </c>
      <c r="KA465" s="7" t="s">
        <v>354</v>
      </c>
      <c r="KB465" s="7" t="s">
        <v>320</v>
      </c>
      <c r="KG465" s="4" t="s">
        <v>323</v>
      </c>
      <c r="KM465" s="4" t="s">
        <v>391</v>
      </c>
      <c r="KN465" s="4" t="s">
        <v>391</v>
      </c>
      <c r="KP465" s="5" t="s">
        <v>2151</v>
      </c>
      <c r="KQ465" s="5" t="s">
        <v>2152</v>
      </c>
      <c r="KS465" s="5" t="s">
        <v>2151</v>
      </c>
      <c r="KT465" s="5" t="s">
        <v>2507</v>
      </c>
    </row>
    <row r="466" spans="1:306" ht="72" x14ac:dyDescent="0.25">
      <c r="A466" s="5" t="s">
        <v>3672</v>
      </c>
      <c r="B466" s="4" t="s">
        <v>476</v>
      </c>
      <c r="C466" s="7" t="s">
        <v>1557</v>
      </c>
      <c r="D466" s="8" t="s">
        <v>1503</v>
      </c>
      <c r="E466" s="4">
        <v>334161</v>
      </c>
      <c r="G466" s="4" t="s">
        <v>427</v>
      </c>
      <c r="H466" s="6">
        <v>145.84200000000001</v>
      </c>
      <c r="I466" s="6">
        <v>-31.498999999999999</v>
      </c>
      <c r="J466" s="4" t="s">
        <v>1504</v>
      </c>
      <c r="K466" s="4" t="s">
        <v>298</v>
      </c>
      <c r="L466" s="4" t="s">
        <v>299</v>
      </c>
      <c r="M466" s="4" t="s">
        <v>428</v>
      </c>
      <c r="N466" s="4" t="s">
        <v>1757</v>
      </c>
      <c r="Q466" s="8"/>
      <c r="Z466" s="4" t="s">
        <v>476</v>
      </c>
      <c r="AA466" s="7" t="s">
        <v>1557</v>
      </c>
      <c r="AB466" s="8" t="s">
        <v>1503</v>
      </c>
      <c r="AC466" s="4" t="s">
        <v>301</v>
      </c>
      <c r="AD466" s="4" t="s">
        <v>375</v>
      </c>
      <c r="AE466" s="8">
        <v>402</v>
      </c>
      <c r="AG466" s="9" t="s">
        <v>379</v>
      </c>
      <c r="AH466" s="9" t="s">
        <v>1156</v>
      </c>
      <c r="AM466" s="8">
        <v>3</v>
      </c>
      <c r="AN466" s="4" t="s">
        <v>381</v>
      </c>
      <c r="AO466" s="4" t="s">
        <v>375</v>
      </c>
      <c r="AP466" s="4" t="s">
        <v>383</v>
      </c>
      <c r="AQ466" s="7" t="s">
        <v>384</v>
      </c>
      <c r="AR466" s="8" t="s">
        <v>827</v>
      </c>
      <c r="AS466" s="7">
        <v>0</v>
      </c>
      <c r="AT466" s="7">
        <v>0</v>
      </c>
      <c r="AU466" s="9" t="s">
        <v>303</v>
      </c>
      <c r="AV466" s="9" t="s">
        <v>406</v>
      </c>
      <c r="BA466" s="8">
        <v>5</v>
      </c>
      <c r="DZ466" s="31"/>
      <c r="EH466" s="10">
        <v>0.115</v>
      </c>
      <c r="EK466" s="10">
        <f>1.5*31.1/1000</f>
        <v>4.6650000000000004E-2</v>
      </c>
      <c r="EL466" s="6">
        <f>0.288*31.1</f>
        <v>8.9567999999999994</v>
      </c>
      <c r="GP466" s="32"/>
      <c r="GY466" s="6" t="s">
        <v>309</v>
      </c>
      <c r="GZ466" s="6" t="s">
        <v>1361</v>
      </c>
      <c r="HB466" s="6" t="s">
        <v>462</v>
      </c>
      <c r="HD466" s="4" t="s">
        <v>2147</v>
      </c>
      <c r="HE466" s="8">
        <v>7731</v>
      </c>
      <c r="HF466" s="4" t="s">
        <v>2148</v>
      </c>
      <c r="HG466" s="4" t="s">
        <v>2149</v>
      </c>
      <c r="IW466" s="8"/>
      <c r="JB466" s="8"/>
      <c r="JV466" s="7" t="s">
        <v>2150</v>
      </c>
      <c r="JX466" s="7" t="s">
        <v>322</v>
      </c>
      <c r="JY466" s="7" t="s">
        <v>354</v>
      </c>
      <c r="JZ466" s="7" t="s">
        <v>353</v>
      </c>
      <c r="KA466" s="7" t="s">
        <v>354</v>
      </c>
      <c r="KB466" s="7" t="s">
        <v>320</v>
      </c>
      <c r="KG466" s="4" t="s">
        <v>323</v>
      </c>
      <c r="KM466" s="4" t="s">
        <v>391</v>
      </c>
      <c r="KN466" s="4" t="s">
        <v>391</v>
      </c>
      <c r="KP466" s="5" t="s">
        <v>2151</v>
      </c>
      <c r="KQ466" s="5" t="s">
        <v>2152</v>
      </c>
      <c r="KS466" s="5" t="s">
        <v>2151</v>
      </c>
      <c r="KT466" s="5" t="s">
        <v>3673</v>
      </c>
    </row>
    <row r="467" spans="1:306" ht="144" x14ac:dyDescent="0.25">
      <c r="A467" s="5" t="s">
        <v>5671</v>
      </c>
      <c r="B467" s="4" t="s">
        <v>476</v>
      </c>
      <c r="C467" s="7" t="s">
        <v>1557</v>
      </c>
      <c r="D467" s="8" t="s">
        <v>1503</v>
      </c>
      <c r="E467" s="4">
        <v>333985</v>
      </c>
      <c r="G467" s="4" t="s">
        <v>427</v>
      </c>
      <c r="H467" s="6">
        <v>145.85890000000001</v>
      </c>
      <c r="I467" s="6">
        <v>-32.884</v>
      </c>
      <c r="J467" s="4" t="s">
        <v>1504</v>
      </c>
      <c r="K467" s="4" t="s">
        <v>298</v>
      </c>
      <c r="L467" s="4" t="s">
        <v>299</v>
      </c>
      <c r="M467" s="4" t="s">
        <v>428</v>
      </c>
      <c r="N467" s="4" t="s">
        <v>1757</v>
      </c>
      <c r="Q467" s="8"/>
      <c r="R467" s="8"/>
      <c r="Z467" s="4" t="s">
        <v>476</v>
      </c>
      <c r="AA467" s="7" t="s">
        <v>1557</v>
      </c>
      <c r="AB467" s="8" t="s">
        <v>1503</v>
      </c>
      <c r="AC467" s="4" t="s">
        <v>301</v>
      </c>
      <c r="AD467" s="4" t="s">
        <v>382</v>
      </c>
      <c r="AE467" s="8"/>
      <c r="AF467" s="8"/>
      <c r="AN467" s="4" t="s">
        <v>381</v>
      </c>
      <c r="AO467" s="4" t="s">
        <v>382</v>
      </c>
      <c r="AP467" s="4" t="s">
        <v>383</v>
      </c>
      <c r="AQ467" s="7" t="s">
        <v>384</v>
      </c>
      <c r="AR467" s="8" t="s">
        <v>433</v>
      </c>
      <c r="AS467" s="7">
        <v>0</v>
      </c>
      <c r="AT467" s="7">
        <v>0</v>
      </c>
      <c r="AU467" s="9" t="s">
        <v>303</v>
      </c>
      <c r="AV467" s="9" t="s">
        <v>406</v>
      </c>
      <c r="BA467" s="8">
        <v>5</v>
      </c>
      <c r="BU467" s="7"/>
      <c r="DZ467" s="31"/>
      <c r="EH467" s="10">
        <f>5035/1000000</f>
        <v>5.0350000000000004E-3</v>
      </c>
      <c r="EY467" s="6"/>
      <c r="FA467" s="6"/>
      <c r="GP467" s="32"/>
      <c r="GY467" s="31" t="s">
        <v>407</v>
      </c>
      <c r="GZ467" s="6" t="s">
        <v>994</v>
      </c>
      <c r="HD467" s="8" t="s">
        <v>5672</v>
      </c>
      <c r="HE467" s="8">
        <v>26255</v>
      </c>
      <c r="HF467" s="8" t="s">
        <v>5673</v>
      </c>
      <c r="HG467" s="9" t="s">
        <v>1760</v>
      </c>
      <c r="HY467" s="9"/>
      <c r="IB467" s="8" t="s">
        <v>5672</v>
      </c>
      <c r="IC467" s="8">
        <v>26255</v>
      </c>
      <c r="ID467" s="8" t="s">
        <v>5674</v>
      </c>
      <c r="IE467" s="9" t="s">
        <v>1760</v>
      </c>
      <c r="IF467" s="8" t="s">
        <v>445</v>
      </c>
      <c r="IW467" s="8"/>
      <c r="JB467" s="8"/>
      <c r="JV467" s="7" t="s">
        <v>5675</v>
      </c>
      <c r="JX467" s="7" t="s">
        <v>320</v>
      </c>
      <c r="JY467" s="7" t="s">
        <v>321</v>
      </c>
      <c r="JZ467" s="7" t="s">
        <v>322</v>
      </c>
      <c r="KA467" s="7" t="s">
        <v>448</v>
      </c>
      <c r="KB467" s="7" t="s">
        <v>353</v>
      </c>
      <c r="KC467" s="7" t="s">
        <v>354</v>
      </c>
      <c r="KD467" s="7" t="s">
        <v>355</v>
      </c>
      <c r="KG467" s="4" t="s">
        <v>323</v>
      </c>
      <c r="KP467" s="5" t="s">
        <v>5676</v>
      </c>
      <c r="KQ467" s="5" t="s">
        <v>5677</v>
      </c>
      <c r="KS467" s="5" t="s">
        <v>5678</v>
      </c>
      <c r="KT467" s="5" t="s">
        <v>5679</v>
      </c>
    </row>
    <row r="468" spans="1:306" ht="72" x14ac:dyDescent="0.25">
      <c r="A468" s="5" t="s">
        <v>6201</v>
      </c>
      <c r="B468" s="4" t="s">
        <v>476</v>
      </c>
      <c r="C468" s="7" t="s">
        <v>1557</v>
      </c>
      <c r="D468" s="8" t="s">
        <v>1503</v>
      </c>
      <c r="E468" s="4">
        <v>334374</v>
      </c>
      <c r="G468" s="4" t="s">
        <v>427</v>
      </c>
      <c r="H468" s="6">
        <v>145.85599999999999</v>
      </c>
      <c r="I468" s="6">
        <v>-31.516999999999999</v>
      </c>
      <c r="J468" s="4" t="s">
        <v>1504</v>
      </c>
      <c r="K468" s="4" t="s">
        <v>298</v>
      </c>
      <c r="L468" s="4" t="s">
        <v>299</v>
      </c>
      <c r="M468" s="4" t="s">
        <v>428</v>
      </c>
      <c r="N468" s="4" t="s">
        <v>1757</v>
      </c>
      <c r="Q468" s="8"/>
      <c r="Z468" s="4" t="s">
        <v>476</v>
      </c>
      <c r="AA468" s="7" t="s">
        <v>1557</v>
      </c>
      <c r="AB468" s="8" t="s">
        <v>1503</v>
      </c>
      <c r="AC468" s="4" t="s">
        <v>301</v>
      </c>
      <c r="AD468" s="4" t="s">
        <v>375</v>
      </c>
      <c r="AE468" s="8">
        <v>402</v>
      </c>
      <c r="AG468" s="9" t="s">
        <v>379</v>
      </c>
      <c r="AH468" s="9" t="s">
        <v>1156</v>
      </c>
      <c r="AM468" s="8">
        <v>3</v>
      </c>
      <c r="AN468" s="4" t="s">
        <v>381</v>
      </c>
      <c r="AO468" s="4" t="s">
        <v>375</v>
      </c>
      <c r="AP468" s="4" t="s">
        <v>383</v>
      </c>
      <c r="AQ468" s="7" t="s">
        <v>384</v>
      </c>
      <c r="AR468" s="8" t="s">
        <v>827</v>
      </c>
      <c r="AS468" s="7">
        <v>0</v>
      </c>
      <c r="AT468" s="7">
        <v>0</v>
      </c>
      <c r="AU468" s="9" t="s">
        <v>303</v>
      </c>
      <c r="AV468" s="9" t="s">
        <v>406</v>
      </c>
      <c r="BA468" s="8">
        <v>5</v>
      </c>
      <c r="DZ468" s="31"/>
      <c r="EH468" s="10">
        <f>0.005+0.013</f>
        <v>1.7999999999999999E-2</v>
      </c>
      <c r="EL468" s="6">
        <f>(0.242+0.066+0.232)*31.1</f>
        <v>16.794</v>
      </c>
      <c r="GP468" s="32"/>
      <c r="GY468" s="6" t="s">
        <v>309</v>
      </c>
      <c r="GZ468" s="6" t="s">
        <v>436</v>
      </c>
      <c r="HB468" s="6" t="s">
        <v>994</v>
      </c>
      <c r="HD468" s="4" t="s">
        <v>2147</v>
      </c>
      <c r="HE468" s="8">
        <v>7731</v>
      </c>
      <c r="HF468" s="4" t="s">
        <v>2148</v>
      </c>
      <c r="HG468" s="4" t="s">
        <v>1760</v>
      </c>
      <c r="IW468" s="8"/>
      <c r="JB468" s="8"/>
      <c r="JV468" s="7" t="s">
        <v>2150</v>
      </c>
      <c r="JX468" s="7" t="s">
        <v>322</v>
      </c>
      <c r="JY468" s="7" t="s">
        <v>354</v>
      </c>
      <c r="JZ468" s="7" t="s">
        <v>353</v>
      </c>
      <c r="KA468" s="7" t="s">
        <v>354</v>
      </c>
      <c r="KB468" s="7" t="s">
        <v>320</v>
      </c>
      <c r="KG468" s="4" t="s">
        <v>323</v>
      </c>
      <c r="KM468" s="4" t="s">
        <v>391</v>
      </c>
      <c r="KN468" s="4" t="s">
        <v>391</v>
      </c>
      <c r="KP468" s="5" t="s">
        <v>2151</v>
      </c>
      <c r="KQ468" s="5" t="s">
        <v>2152</v>
      </c>
      <c r="KS468" s="5" t="s">
        <v>2151</v>
      </c>
      <c r="KT468" s="5" t="s">
        <v>6202</v>
      </c>
    </row>
    <row r="469" spans="1:306" ht="72" customHeight="1" x14ac:dyDescent="0.25">
      <c r="A469" s="5" t="s">
        <v>6203</v>
      </c>
      <c r="B469" s="4" t="s">
        <v>476</v>
      </c>
      <c r="C469" s="7" t="s">
        <v>1557</v>
      </c>
      <c r="D469" s="8" t="s">
        <v>1503</v>
      </c>
      <c r="E469" s="4">
        <v>333291</v>
      </c>
      <c r="G469" s="4" t="s">
        <v>427</v>
      </c>
      <c r="H469" s="6">
        <v>145.864</v>
      </c>
      <c r="I469" s="6">
        <v>-31.54</v>
      </c>
      <c r="J469" s="4" t="s">
        <v>1504</v>
      </c>
      <c r="K469" s="4" t="s">
        <v>298</v>
      </c>
      <c r="L469" s="4" t="s">
        <v>299</v>
      </c>
      <c r="M469" s="4" t="s">
        <v>428</v>
      </c>
      <c r="N469" s="4" t="s">
        <v>1757</v>
      </c>
      <c r="Q469" s="8"/>
      <c r="Z469" s="4" t="s">
        <v>476</v>
      </c>
      <c r="AA469" s="7" t="s">
        <v>1557</v>
      </c>
      <c r="AB469" s="8" t="s">
        <v>1503</v>
      </c>
      <c r="AC469" s="4" t="s">
        <v>301</v>
      </c>
      <c r="AD469" s="4" t="s">
        <v>375</v>
      </c>
      <c r="AE469" s="8">
        <v>402</v>
      </c>
      <c r="AG469" s="9" t="s">
        <v>379</v>
      </c>
      <c r="AH469" s="9" t="s">
        <v>1156</v>
      </c>
      <c r="AM469" s="8">
        <v>3</v>
      </c>
      <c r="AN469" s="4" t="s">
        <v>381</v>
      </c>
      <c r="AO469" s="4" t="s">
        <v>375</v>
      </c>
      <c r="AP469" s="4" t="s">
        <v>383</v>
      </c>
      <c r="AQ469" s="7" t="s">
        <v>384</v>
      </c>
      <c r="AR469" s="8" t="s">
        <v>827</v>
      </c>
      <c r="AS469" s="7">
        <v>0</v>
      </c>
      <c r="AT469" s="7">
        <v>0</v>
      </c>
      <c r="AU469" s="9" t="s">
        <v>303</v>
      </c>
      <c r="AV469" s="9" t="s">
        <v>406</v>
      </c>
      <c r="BA469" s="8">
        <v>5</v>
      </c>
      <c r="DZ469" s="31"/>
      <c r="EH469" s="10">
        <v>4.0000000000000001E-3</v>
      </c>
      <c r="EL469" s="6">
        <f>(0.691+0.526)*31.1</f>
        <v>37.848700000000001</v>
      </c>
      <c r="GP469" s="32"/>
      <c r="GY469" s="6" t="s">
        <v>309</v>
      </c>
      <c r="GZ469" s="6" t="s">
        <v>436</v>
      </c>
      <c r="HB469" s="6" t="s">
        <v>994</v>
      </c>
      <c r="HD469" s="4" t="s">
        <v>2147</v>
      </c>
      <c r="HE469" s="8">
        <v>7731</v>
      </c>
      <c r="HF469" s="4" t="s">
        <v>2148</v>
      </c>
      <c r="HG469" s="4" t="s">
        <v>1760</v>
      </c>
      <c r="IW469" s="8"/>
      <c r="JB469" s="8"/>
      <c r="JV469" s="7" t="s">
        <v>2150</v>
      </c>
      <c r="JX469" s="7" t="s">
        <v>322</v>
      </c>
      <c r="JY469" s="7" t="s">
        <v>354</v>
      </c>
      <c r="JZ469" s="7" t="s">
        <v>353</v>
      </c>
      <c r="KA469" s="7" t="s">
        <v>354</v>
      </c>
      <c r="KB469" s="7" t="s">
        <v>320</v>
      </c>
      <c r="KG469" s="4" t="s">
        <v>323</v>
      </c>
      <c r="KM469" s="4" t="s">
        <v>391</v>
      </c>
      <c r="KN469" s="4" t="s">
        <v>391</v>
      </c>
      <c r="KP469" s="5" t="s">
        <v>2151</v>
      </c>
      <c r="KQ469" s="5" t="s">
        <v>2152</v>
      </c>
      <c r="KS469" s="5" t="s">
        <v>2151</v>
      </c>
      <c r="KT469" s="5" t="s">
        <v>6204</v>
      </c>
    </row>
    <row r="470" spans="1:306" ht="48" x14ac:dyDescent="0.25">
      <c r="A470" s="5" t="s">
        <v>3966</v>
      </c>
      <c r="B470" s="4" t="s">
        <v>476</v>
      </c>
      <c r="C470" s="7" t="s">
        <v>1557</v>
      </c>
      <c r="D470" s="8" t="s">
        <v>1503</v>
      </c>
      <c r="E470" s="4">
        <v>335658</v>
      </c>
      <c r="G470" s="4" t="s">
        <v>427</v>
      </c>
      <c r="H470" s="6">
        <v>146.30850000000001</v>
      </c>
      <c r="I470" s="6">
        <v>-32.063699999999997</v>
      </c>
      <c r="J470" s="4" t="s">
        <v>3966</v>
      </c>
      <c r="K470" s="4" t="s">
        <v>298</v>
      </c>
      <c r="L470" s="4" t="s">
        <v>299</v>
      </c>
      <c r="M470" s="4" t="s">
        <v>428</v>
      </c>
      <c r="N470" s="4" t="s">
        <v>1757</v>
      </c>
      <c r="Q470" s="8"/>
      <c r="R470" s="8"/>
      <c r="S470" s="4"/>
      <c r="T470" s="4"/>
      <c r="U470" s="4"/>
      <c r="V470" s="4"/>
      <c r="W470" s="4"/>
      <c r="X470" s="4"/>
      <c r="Z470" s="4" t="s">
        <v>476</v>
      </c>
      <c r="AA470" s="7" t="s">
        <v>1557</v>
      </c>
      <c r="AB470" s="8" t="s">
        <v>1503</v>
      </c>
      <c r="AC470" s="4" t="s">
        <v>301</v>
      </c>
      <c r="AD470" s="4" t="s">
        <v>375</v>
      </c>
      <c r="AE470" s="8">
        <v>403</v>
      </c>
      <c r="AF470" s="8"/>
      <c r="AG470" s="4" t="s">
        <v>379</v>
      </c>
      <c r="AH470" s="4" t="s">
        <v>1156</v>
      </c>
      <c r="AI470" s="4"/>
      <c r="AJ470" s="4"/>
      <c r="AK470" s="4"/>
      <c r="AL470" s="4"/>
      <c r="AM470" s="8">
        <v>3</v>
      </c>
      <c r="AN470" s="4" t="s">
        <v>301</v>
      </c>
      <c r="AO470" s="4" t="s">
        <v>382</v>
      </c>
      <c r="AP470" s="4" t="s">
        <v>424</v>
      </c>
      <c r="AQ470" s="7" t="s">
        <v>425</v>
      </c>
      <c r="AR470" s="8" t="s">
        <v>1756</v>
      </c>
      <c r="AS470" s="8">
        <v>382</v>
      </c>
      <c r="AT470" s="7"/>
      <c r="AU470" s="9" t="s">
        <v>379</v>
      </c>
      <c r="AV470" s="9" t="s">
        <v>1156</v>
      </c>
      <c r="BA470" s="8">
        <v>3</v>
      </c>
      <c r="BB470" s="4" t="s">
        <v>381</v>
      </c>
      <c r="BC470" s="4" t="s">
        <v>375</v>
      </c>
      <c r="BD470" s="4" t="s">
        <v>383</v>
      </c>
      <c r="BE470" s="7" t="s">
        <v>384</v>
      </c>
      <c r="BF470" s="8" t="s">
        <v>827</v>
      </c>
      <c r="BG470" s="7">
        <v>0</v>
      </c>
      <c r="BH470" s="7">
        <v>0</v>
      </c>
      <c r="BI470" s="9" t="s">
        <v>303</v>
      </c>
      <c r="BJ470" s="9" t="s">
        <v>406</v>
      </c>
      <c r="BO470" s="8">
        <v>5</v>
      </c>
      <c r="BP470" s="7">
        <f>0.422+1.45</f>
        <v>1.8719999999999999</v>
      </c>
      <c r="BQ470" s="7"/>
      <c r="BR470" s="7">
        <f>(5.8*0.422+2.2*1.45)/(0.422+1.45)</f>
        <v>3.0115384615384615</v>
      </c>
      <c r="BS470" s="7">
        <f>(0*0.422+1.4*1.45)/(0.422+1.45)</f>
        <v>1.0844017094017093</v>
      </c>
      <c r="BT470" s="7">
        <f>(0*0.422+0.8*1.45)/(0.422+1.45)</f>
        <v>0.61965811965811968</v>
      </c>
      <c r="BU470" s="8">
        <f>(0*0.422+18*1.45)/(0.422+1.45)</f>
        <v>13.942307692307692</v>
      </c>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31"/>
      <c r="EA470" s="4"/>
      <c r="EB470" s="4"/>
      <c r="EC470" s="4"/>
      <c r="ED470" s="4"/>
      <c r="EE470" s="4"/>
      <c r="EF470" s="4"/>
      <c r="EG470" s="4"/>
      <c r="EH470" s="10">
        <f>BP470*BR470/100</f>
        <v>5.6376000000000002E-2</v>
      </c>
      <c r="EI470" s="10">
        <f>BP470*BS470/100</f>
        <v>2.0299999999999999E-2</v>
      </c>
      <c r="EJ470" s="10">
        <f>BP470*BT470/100</f>
        <v>1.1599999999999999E-2</v>
      </c>
      <c r="EK470" s="6">
        <f>BP470*BU470/1000</f>
        <v>2.6099999999999998E-2</v>
      </c>
      <c r="EY470" s="6"/>
      <c r="FA470" s="6"/>
      <c r="GP470" s="32"/>
      <c r="GY470" s="6" t="s">
        <v>338</v>
      </c>
      <c r="GZ470" s="6" t="s">
        <v>994</v>
      </c>
      <c r="HB470" s="6" t="s">
        <v>5705</v>
      </c>
      <c r="HD470" s="4" t="s">
        <v>3968</v>
      </c>
      <c r="HE470" s="8">
        <v>25736</v>
      </c>
      <c r="HF470" s="4" t="s">
        <v>6349</v>
      </c>
      <c r="HG470" s="4" t="s">
        <v>782</v>
      </c>
      <c r="HH470" s="4"/>
      <c r="HJ470" s="4"/>
      <c r="HK470" s="4"/>
      <c r="HL470" s="4"/>
      <c r="HN470" s="4"/>
      <c r="HO470" s="4"/>
      <c r="HP470" s="4"/>
      <c r="HR470" s="4"/>
      <c r="HS470" s="4"/>
      <c r="HT470" s="4"/>
      <c r="HU470" s="4"/>
      <c r="HV470" s="4"/>
      <c r="HW470" s="4"/>
      <c r="HX470" s="4"/>
      <c r="HY470" s="4"/>
      <c r="HZ470" s="4"/>
      <c r="IA470" s="4"/>
      <c r="IB470" s="4"/>
      <c r="ID470" s="4"/>
      <c r="IE470" s="4"/>
      <c r="IF470" s="4"/>
      <c r="IG470" s="4"/>
      <c r="IH470" s="4"/>
      <c r="II470" s="4"/>
      <c r="IJ470" s="4"/>
      <c r="IK470" s="4"/>
      <c r="IL470" s="4"/>
      <c r="IN470" s="4"/>
      <c r="IO470" s="4"/>
      <c r="IP470" s="4"/>
      <c r="IQ470" s="4"/>
      <c r="IS470" s="4"/>
      <c r="IT470" s="4"/>
      <c r="IU470" s="4"/>
      <c r="IV470" s="4"/>
      <c r="IW470" s="8"/>
      <c r="IX470" s="4"/>
      <c r="IY470" s="4"/>
      <c r="IZ470" s="4"/>
      <c r="JA470" s="4"/>
      <c r="JB470" s="8"/>
      <c r="JC470" s="4"/>
      <c r="JD470" s="4"/>
      <c r="JE470" s="4"/>
      <c r="JF470" s="4"/>
      <c r="JG470" s="4"/>
      <c r="JH470" s="4"/>
      <c r="JI470" s="4"/>
      <c r="JJ470" s="4"/>
      <c r="JK470" s="4"/>
      <c r="JL470" s="4"/>
      <c r="JM470" s="4"/>
      <c r="JN470" s="4"/>
      <c r="JO470" s="4"/>
      <c r="JP470" s="4"/>
      <c r="JQ470" s="4"/>
      <c r="JR470" s="4"/>
      <c r="JS470" s="4"/>
      <c r="JT470" s="4"/>
      <c r="JU470" s="4"/>
      <c r="JV470" s="4" t="s">
        <v>6350</v>
      </c>
      <c r="JW470" s="4" t="s">
        <v>2081</v>
      </c>
      <c r="JX470" s="4" t="s">
        <v>322</v>
      </c>
      <c r="JY470" s="4" t="s">
        <v>448</v>
      </c>
      <c r="JZ470" s="4" t="s">
        <v>353</v>
      </c>
      <c r="KA470" s="4"/>
      <c r="KB470" s="4"/>
      <c r="KC470" s="4"/>
      <c r="KD470" s="4"/>
      <c r="KE470" s="4"/>
      <c r="KF470" s="4"/>
      <c r="KG470" s="4" t="s">
        <v>323</v>
      </c>
      <c r="KM470" s="4" t="s">
        <v>521</v>
      </c>
      <c r="KN470" s="4" t="s">
        <v>522</v>
      </c>
      <c r="KP470" s="5" t="s">
        <v>358</v>
      </c>
      <c r="KQ470" s="5" t="s">
        <v>6351</v>
      </c>
      <c r="KS470" s="5" t="s">
        <v>6352</v>
      </c>
      <c r="KT470" s="5" t="s">
        <v>6353</v>
      </c>
    </row>
    <row r="471" spans="1:306" ht="72" x14ac:dyDescent="0.25">
      <c r="A471" s="5" t="s">
        <v>6605</v>
      </c>
      <c r="B471" s="4" t="s">
        <v>383</v>
      </c>
      <c r="C471" s="7" t="s">
        <v>384</v>
      </c>
      <c r="D471" s="8" t="s">
        <v>827</v>
      </c>
      <c r="E471" s="4">
        <v>342204</v>
      </c>
      <c r="G471" s="4" t="s">
        <v>427</v>
      </c>
      <c r="H471" s="6">
        <v>145.88200000000001</v>
      </c>
      <c r="I471" s="6">
        <v>-31.571000000000002</v>
      </c>
      <c r="J471" s="4" t="s">
        <v>1504</v>
      </c>
      <c r="K471" s="4" t="s">
        <v>298</v>
      </c>
      <c r="L471" s="4" t="s">
        <v>299</v>
      </c>
      <c r="M471" s="4" t="s">
        <v>428</v>
      </c>
      <c r="N471" s="4" t="s">
        <v>1757</v>
      </c>
      <c r="Q471" s="6"/>
      <c r="R471" s="6"/>
      <c r="Z471" s="4" t="s">
        <v>476</v>
      </c>
      <c r="AA471" s="7" t="s">
        <v>1557</v>
      </c>
      <c r="AB471" s="8" t="s">
        <v>1503</v>
      </c>
      <c r="AC471" s="4" t="s">
        <v>301</v>
      </c>
      <c r="AD471" s="4" t="s">
        <v>382</v>
      </c>
      <c r="AE471" s="6">
        <v>409.96</v>
      </c>
      <c r="AF471" s="6">
        <v>0.68</v>
      </c>
      <c r="AG471" s="9" t="s">
        <v>379</v>
      </c>
      <c r="AH471" s="9" t="s">
        <v>429</v>
      </c>
      <c r="AI471" s="9" t="s">
        <v>503</v>
      </c>
      <c r="AJ471" s="9" t="s">
        <v>306</v>
      </c>
      <c r="AK471" s="9" t="s">
        <v>307</v>
      </c>
      <c r="AL471" s="9" t="s">
        <v>337</v>
      </c>
      <c r="AM471" s="8">
        <v>4</v>
      </c>
      <c r="AN471" s="4" t="s">
        <v>381</v>
      </c>
      <c r="AO471" s="4" t="s">
        <v>375</v>
      </c>
      <c r="AP471" s="4" t="s">
        <v>383</v>
      </c>
      <c r="AQ471" s="7" t="s">
        <v>384</v>
      </c>
      <c r="AR471" s="8" t="s">
        <v>827</v>
      </c>
      <c r="AS471" s="7">
        <v>0</v>
      </c>
      <c r="AT471" s="7">
        <v>0</v>
      </c>
      <c r="AU471" s="9" t="s">
        <v>303</v>
      </c>
      <c r="AV471" s="9" t="s">
        <v>406</v>
      </c>
      <c r="BA471" s="8">
        <v>5</v>
      </c>
      <c r="DZ471" s="31"/>
      <c r="EH471" s="10">
        <v>3.3000000000000002E-2</v>
      </c>
      <c r="EL471" s="6">
        <f>0.578*31.1</f>
        <v>17.9758</v>
      </c>
      <c r="GP471" s="32"/>
      <c r="GY471" s="6" t="s">
        <v>309</v>
      </c>
      <c r="GZ471" s="6" t="s">
        <v>1528</v>
      </c>
      <c r="HD471" s="4" t="s">
        <v>2147</v>
      </c>
      <c r="HE471" s="8">
        <v>7731</v>
      </c>
      <c r="HF471" s="4" t="s">
        <v>2148</v>
      </c>
      <c r="HG471" s="4" t="s">
        <v>1760</v>
      </c>
      <c r="IW471" s="8"/>
      <c r="JB471" s="8"/>
      <c r="JV471" s="7" t="s">
        <v>2150</v>
      </c>
      <c r="JX471" s="7" t="s">
        <v>322</v>
      </c>
      <c r="JY471" s="7" t="s">
        <v>354</v>
      </c>
      <c r="JZ471" s="7" t="s">
        <v>353</v>
      </c>
      <c r="KA471" s="7" t="s">
        <v>354</v>
      </c>
      <c r="KB471" s="7" t="s">
        <v>320</v>
      </c>
      <c r="KG471" s="4" t="s">
        <v>323</v>
      </c>
      <c r="KM471" s="4" t="s">
        <v>391</v>
      </c>
      <c r="KN471" s="4" t="s">
        <v>391</v>
      </c>
      <c r="KP471" s="5" t="s">
        <v>2151</v>
      </c>
      <c r="KQ471" s="5" t="s">
        <v>6606</v>
      </c>
      <c r="KR471" s="5" t="s">
        <v>6265</v>
      </c>
      <c r="KS471" s="5" t="s">
        <v>2151</v>
      </c>
      <c r="KT471" s="5" t="s">
        <v>6607</v>
      </c>
    </row>
    <row r="472" spans="1:306" ht="72" x14ac:dyDescent="0.2">
      <c r="A472" s="5" t="s">
        <v>6756</v>
      </c>
      <c r="B472" s="4" t="s">
        <v>383</v>
      </c>
      <c r="C472" s="7" t="s">
        <v>384</v>
      </c>
      <c r="D472" s="8" t="s">
        <v>827</v>
      </c>
      <c r="E472" s="44">
        <v>859624</v>
      </c>
      <c r="F472" s="4">
        <v>1123056</v>
      </c>
      <c r="G472" s="4" t="s">
        <v>427</v>
      </c>
      <c r="H472" s="6">
        <v>145.96109652800001</v>
      </c>
      <c r="I472" s="6">
        <v>-31.619041794000001</v>
      </c>
      <c r="J472" s="4" t="s">
        <v>1504</v>
      </c>
      <c r="K472" s="4" t="s">
        <v>298</v>
      </c>
      <c r="L472" s="4" t="s">
        <v>299</v>
      </c>
      <c r="M472" s="4" t="s">
        <v>428</v>
      </c>
      <c r="N472" s="4" t="s">
        <v>1757</v>
      </c>
      <c r="Q472" s="8"/>
      <c r="Z472" s="4" t="s">
        <v>476</v>
      </c>
      <c r="AA472" s="7" t="s">
        <v>1557</v>
      </c>
      <c r="AB472" s="8" t="s">
        <v>1503</v>
      </c>
      <c r="AC472" s="4" t="s">
        <v>301</v>
      </c>
      <c r="AD472" s="4" t="s">
        <v>382</v>
      </c>
      <c r="AE472" s="8">
        <v>402</v>
      </c>
      <c r="AG472" s="9" t="s">
        <v>379</v>
      </c>
      <c r="AH472" s="9" t="s">
        <v>1156</v>
      </c>
      <c r="AM472" s="8">
        <v>3</v>
      </c>
      <c r="AN472" s="4" t="s">
        <v>381</v>
      </c>
      <c r="AO472" s="4" t="s">
        <v>375</v>
      </c>
      <c r="AP472" s="4" t="s">
        <v>383</v>
      </c>
      <c r="AQ472" s="7" t="s">
        <v>384</v>
      </c>
      <c r="AR472" s="8" t="s">
        <v>827</v>
      </c>
      <c r="AS472" s="7">
        <v>0</v>
      </c>
      <c r="AT472" s="7">
        <v>0</v>
      </c>
      <c r="AU472" s="9" t="s">
        <v>303</v>
      </c>
      <c r="AV472" s="9" t="s">
        <v>406</v>
      </c>
      <c r="BA472" s="8">
        <v>5</v>
      </c>
      <c r="BP472" s="6">
        <v>0.04</v>
      </c>
      <c r="BR472" s="7">
        <f>100*3/40</f>
        <v>7.5</v>
      </c>
      <c r="DZ472" s="31"/>
      <c r="EH472" s="10">
        <v>3.0000000000000001E-3</v>
      </c>
      <c r="GP472" s="32"/>
      <c r="GY472" s="6" t="s">
        <v>309</v>
      </c>
      <c r="GZ472" s="6" t="s">
        <v>994</v>
      </c>
      <c r="HD472" s="4" t="s">
        <v>2147</v>
      </c>
      <c r="HE472" s="8">
        <v>7731</v>
      </c>
      <c r="HF472" s="4" t="s">
        <v>2148</v>
      </c>
      <c r="HG472" s="4" t="s">
        <v>1760</v>
      </c>
      <c r="IW472" s="8"/>
      <c r="JB472" s="8"/>
      <c r="JV472" s="7" t="s">
        <v>2150</v>
      </c>
      <c r="JX472" s="7" t="s">
        <v>322</v>
      </c>
      <c r="JY472" s="7" t="s">
        <v>354</v>
      </c>
      <c r="JZ472" s="7" t="s">
        <v>353</v>
      </c>
      <c r="KA472" s="7" t="s">
        <v>354</v>
      </c>
      <c r="KB472" s="7" t="s">
        <v>320</v>
      </c>
      <c r="KG472" s="4" t="s">
        <v>323</v>
      </c>
      <c r="KM472" s="4" t="s">
        <v>391</v>
      </c>
      <c r="KN472" s="4" t="s">
        <v>391</v>
      </c>
      <c r="KP472" s="5" t="s">
        <v>2151</v>
      </c>
      <c r="KQ472" s="5" t="s">
        <v>6757</v>
      </c>
      <c r="KS472" s="5" t="s">
        <v>2151</v>
      </c>
      <c r="KT472" s="5" t="s">
        <v>6758</v>
      </c>
    </row>
    <row r="473" spans="1:306" ht="120" x14ac:dyDescent="0.25">
      <c r="A473" s="5" t="s">
        <v>7546</v>
      </c>
      <c r="B473" s="4" t="s">
        <v>476</v>
      </c>
      <c r="C473" s="7" t="s">
        <v>1557</v>
      </c>
      <c r="D473" s="8" t="s">
        <v>1503</v>
      </c>
      <c r="E473" s="4">
        <v>333986</v>
      </c>
      <c r="G473" s="4" t="s">
        <v>427</v>
      </c>
      <c r="H473" s="6">
        <v>145.87700000000001</v>
      </c>
      <c r="I473" s="6">
        <v>-31.565000000000001</v>
      </c>
      <c r="J473" s="4" t="s">
        <v>1504</v>
      </c>
      <c r="K473" s="4" t="s">
        <v>298</v>
      </c>
      <c r="L473" s="4" t="s">
        <v>299</v>
      </c>
      <c r="M473" s="4" t="s">
        <v>428</v>
      </c>
      <c r="N473" s="4" t="s">
        <v>1757</v>
      </c>
      <c r="Q473" s="7"/>
      <c r="R473" s="7"/>
      <c r="Z473" s="4" t="s">
        <v>476</v>
      </c>
      <c r="AA473" s="7" t="s">
        <v>1557</v>
      </c>
      <c r="AB473" s="8" t="s">
        <v>1503</v>
      </c>
      <c r="AC473" s="4" t="s">
        <v>301</v>
      </c>
      <c r="AD473" s="4" t="s">
        <v>382</v>
      </c>
      <c r="AE473" s="7">
        <v>401.5</v>
      </c>
      <c r="AF473" s="7">
        <v>2</v>
      </c>
      <c r="AG473" s="9" t="s">
        <v>379</v>
      </c>
      <c r="AH473" s="9" t="s">
        <v>429</v>
      </c>
      <c r="AI473" s="9" t="s">
        <v>845</v>
      </c>
      <c r="AJ473" s="9" t="s">
        <v>431</v>
      </c>
      <c r="AK473" s="9" t="s">
        <v>432</v>
      </c>
      <c r="AM473" s="8">
        <v>4</v>
      </c>
      <c r="AN473" s="4" t="s">
        <v>301</v>
      </c>
      <c r="AO473" s="4" t="s">
        <v>382</v>
      </c>
      <c r="AP473" s="4" t="s">
        <v>424</v>
      </c>
      <c r="AQ473" s="7" t="s">
        <v>425</v>
      </c>
      <c r="AR473" s="8" t="s">
        <v>1756</v>
      </c>
      <c r="AS473" s="7">
        <v>384</v>
      </c>
      <c r="AT473" s="7">
        <v>2.8</v>
      </c>
      <c r="AU473" s="9" t="s">
        <v>334</v>
      </c>
      <c r="AV473" s="9" t="s">
        <v>429</v>
      </c>
      <c r="AW473" s="9" t="s">
        <v>845</v>
      </c>
      <c r="AX473" s="9" t="s">
        <v>431</v>
      </c>
      <c r="AY473" s="9" t="s">
        <v>432</v>
      </c>
      <c r="BA473" s="8">
        <v>4</v>
      </c>
      <c r="BB473" s="4" t="s">
        <v>381</v>
      </c>
      <c r="BC473" s="4" t="s">
        <v>375</v>
      </c>
      <c r="BD473" s="4" t="s">
        <v>383</v>
      </c>
      <c r="BE473" s="7" t="s">
        <v>384</v>
      </c>
      <c r="BF473" s="8" t="s">
        <v>827</v>
      </c>
      <c r="BG473" s="7">
        <v>0</v>
      </c>
      <c r="BH473" s="7">
        <v>0</v>
      </c>
      <c r="BI473" s="9" t="s">
        <v>303</v>
      </c>
      <c r="BJ473" s="9" t="s">
        <v>406</v>
      </c>
      <c r="BO473" s="8">
        <v>5</v>
      </c>
      <c r="DZ473" s="31"/>
      <c r="EH473" s="10">
        <f>0.048+0.004+11.2*1.63/100</f>
        <v>0.23455999999999999</v>
      </c>
      <c r="EI473" s="10">
        <v>5.0999999999999997E-2</v>
      </c>
      <c r="EJ473" s="10">
        <v>6.4000000000000001E-2</v>
      </c>
      <c r="EK473" s="10">
        <f>1.2*31.1/1000+11.2*7.21/1000</f>
        <v>0.11807199999999998</v>
      </c>
      <c r="EL473" s="6">
        <f>(1.1+0.079)*31.1+11.2*2.23</f>
        <v>61.642900000000004</v>
      </c>
      <c r="EY473" s="6"/>
      <c r="FA473" s="6"/>
      <c r="GP473" s="32"/>
      <c r="GY473" s="6" t="s">
        <v>338</v>
      </c>
      <c r="GZ473" s="6" t="s">
        <v>1528</v>
      </c>
      <c r="HB473" s="6" t="s">
        <v>7547</v>
      </c>
      <c r="HD473" s="4" t="s">
        <v>2147</v>
      </c>
      <c r="HE473" s="8">
        <v>7731</v>
      </c>
      <c r="HF473" s="4" t="s">
        <v>2148</v>
      </c>
      <c r="HG473" s="4" t="s">
        <v>1760</v>
      </c>
      <c r="HY473" s="9"/>
      <c r="IW473" s="8"/>
      <c r="JB473" s="8"/>
      <c r="JV473" s="7" t="s">
        <v>2150</v>
      </c>
      <c r="JX473" s="7" t="s">
        <v>322</v>
      </c>
      <c r="JY473" s="7" t="s">
        <v>354</v>
      </c>
      <c r="JZ473" s="7" t="s">
        <v>353</v>
      </c>
      <c r="KA473" s="7" t="s">
        <v>354</v>
      </c>
      <c r="KB473" s="7" t="s">
        <v>320</v>
      </c>
      <c r="KG473" s="4" t="s">
        <v>323</v>
      </c>
      <c r="KM473" s="4" t="s">
        <v>391</v>
      </c>
      <c r="KN473" s="4" t="s">
        <v>391</v>
      </c>
      <c r="KP473" s="5" t="s">
        <v>2151</v>
      </c>
      <c r="KQ473" s="5" t="s">
        <v>2152</v>
      </c>
      <c r="KR473" s="5" t="s">
        <v>7548</v>
      </c>
      <c r="KS473" s="5" t="s">
        <v>2151</v>
      </c>
      <c r="KT473" s="5" t="s">
        <v>7549</v>
      </c>
    </row>
    <row r="474" spans="1:306" ht="72" x14ac:dyDescent="0.2">
      <c r="A474" s="5" t="s">
        <v>8144</v>
      </c>
      <c r="B474" s="4" t="s">
        <v>476</v>
      </c>
      <c r="C474" s="7" t="s">
        <v>1557</v>
      </c>
      <c r="D474" s="8" t="s">
        <v>1503</v>
      </c>
      <c r="E474" s="44">
        <v>816354</v>
      </c>
      <c r="G474" s="4" t="s">
        <v>427</v>
      </c>
      <c r="H474" s="6">
        <f>146+1.47/11</f>
        <v>146.13363636363636</v>
      </c>
      <c r="I474" s="6">
        <f>-(32+1.35/11)</f>
        <v>-32.122727272727275</v>
      </c>
      <c r="K474" s="4" t="s">
        <v>298</v>
      </c>
      <c r="L474" s="4" t="s">
        <v>299</v>
      </c>
      <c r="M474" s="4" t="s">
        <v>428</v>
      </c>
      <c r="N474" s="4" t="s">
        <v>1757</v>
      </c>
      <c r="Q474" s="8"/>
      <c r="Z474" s="4" t="s">
        <v>476</v>
      </c>
      <c r="AA474" s="7" t="s">
        <v>1557</v>
      </c>
      <c r="AB474" s="8" t="s">
        <v>1503</v>
      </c>
      <c r="AC474" s="4" t="s">
        <v>301</v>
      </c>
      <c r="AD474" s="4" t="s">
        <v>375</v>
      </c>
      <c r="AE474" s="8">
        <v>402</v>
      </c>
      <c r="AG474" s="9" t="s">
        <v>379</v>
      </c>
      <c r="AH474" s="9" t="s">
        <v>1156</v>
      </c>
      <c r="AM474" s="8">
        <v>3</v>
      </c>
      <c r="AN474" s="4" t="s">
        <v>381</v>
      </c>
      <c r="AO474" s="4" t="s">
        <v>375</v>
      </c>
      <c r="AP474" s="4" t="s">
        <v>383</v>
      </c>
      <c r="AQ474" s="7" t="s">
        <v>384</v>
      </c>
      <c r="AR474" s="8" t="s">
        <v>827</v>
      </c>
      <c r="AS474" s="7">
        <v>0</v>
      </c>
      <c r="AT474" s="7">
        <v>0</v>
      </c>
      <c r="AU474" s="9" t="s">
        <v>303</v>
      </c>
      <c r="AV474" s="9" t="s">
        <v>406</v>
      </c>
      <c r="BA474" s="8">
        <v>5</v>
      </c>
      <c r="BP474" s="7">
        <v>4.3</v>
      </c>
      <c r="BR474" s="6">
        <v>1.92</v>
      </c>
      <c r="BS474" s="6">
        <v>0.08</v>
      </c>
      <c r="BT474" s="6">
        <v>0.02</v>
      </c>
      <c r="BU474" s="8">
        <v>6</v>
      </c>
      <c r="BV474" s="6">
        <v>0.03</v>
      </c>
      <c r="DZ474" s="31"/>
      <c r="EH474" s="10">
        <f>BP474*BR474/100</f>
        <v>8.2560000000000008E-2</v>
      </c>
      <c r="EI474" s="10">
        <f>BP474*BS474/100</f>
        <v>3.4399999999999999E-3</v>
      </c>
      <c r="EJ474" s="10">
        <f>BP474*BT474/100</f>
        <v>8.5999999999999998E-4</v>
      </c>
      <c r="EK474" s="10">
        <f>BP474*BU474/1000</f>
        <v>2.5799999999999997E-2</v>
      </c>
      <c r="EL474" s="6">
        <f>BP474*BV474</f>
        <v>0.129</v>
      </c>
      <c r="GP474" s="32"/>
      <c r="GY474" s="6" t="s">
        <v>338</v>
      </c>
      <c r="GZ474" s="6" t="s">
        <v>994</v>
      </c>
      <c r="HB474" s="6" t="s">
        <v>8145</v>
      </c>
      <c r="HD474" s="8" t="s">
        <v>4970</v>
      </c>
      <c r="HE474" s="8">
        <v>16866</v>
      </c>
      <c r="HF474" s="8" t="s">
        <v>8146</v>
      </c>
      <c r="HG474" s="9" t="s">
        <v>2149</v>
      </c>
      <c r="HH474" s="9" t="s">
        <v>8147</v>
      </c>
      <c r="HI474" s="8">
        <v>16867</v>
      </c>
      <c r="HJ474" s="9" t="s">
        <v>8148</v>
      </c>
      <c r="HK474" s="9" t="s">
        <v>2149</v>
      </c>
      <c r="IB474" s="9" t="s">
        <v>8147</v>
      </c>
      <c r="IC474" s="8">
        <v>16867</v>
      </c>
      <c r="ID474" s="9" t="s">
        <v>8148</v>
      </c>
      <c r="IE474" s="9" t="s">
        <v>2149</v>
      </c>
      <c r="IF474" s="8" t="s">
        <v>445</v>
      </c>
      <c r="JV474" s="7" t="s">
        <v>783</v>
      </c>
      <c r="JX474" s="7" t="s">
        <v>322</v>
      </c>
      <c r="JY474" s="7" t="s">
        <v>470</v>
      </c>
      <c r="JZ474" s="7" t="s">
        <v>320</v>
      </c>
      <c r="KP474" s="5" t="s">
        <v>4978</v>
      </c>
      <c r="KQ474" s="18" t="s">
        <v>8149</v>
      </c>
      <c r="KS474" s="5" t="s">
        <v>4978</v>
      </c>
      <c r="KT474" s="5" t="s">
        <v>8150</v>
      </c>
    </row>
    <row r="475" spans="1:306" ht="84" x14ac:dyDescent="0.25">
      <c r="A475" s="5" t="s">
        <v>1764</v>
      </c>
      <c r="B475" s="4" t="s">
        <v>476</v>
      </c>
      <c r="C475" s="7" t="s">
        <v>1557</v>
      </c>
      <c r="D475" s="8" t="s">
        <v>1558</v>
      </c>
      <c r="E475" s="4">
        <v>806636</v>
      </c>
      <c r="G475" s="4" t="s">
        <v>530</v>
      </c>
      <c r="H475" s="6">
        <v>129.13999999999999</v>
      </c>
      <c r="I475" s="6">
        <v>-20.14</v>
      </c>
      <c r="J475" s="4" t="s">
        <v>1765</v>
      </c>
      <c r="K475" s="4" t="s">
        <v>481</v>
      </c>
      <c r="L475" s="4" t="s">
        <v>863</v>
      </c>
      <c r="Q475" s="8"/>
      <c r="R475" s="8"/>
      <c r="Z475" s="4" t="s">
        <v>476</v>
      </c>
      <c r="AA475" s="7" t="s">
        <v>1557</v>
      </c>
      <c r="AB475" s="8" t="s">
        <v>1558</v>
      </c>
      <c r="AC475" s="4" t="s">
        <v>301</v>
      </c>
      <c r="AD475" s="4" t="s">
        <v>375</v>
      </c>
      <c r="AE475" s="8">
        <v>1788</v>
      </c>
      <c r="AF475" s="8">
        <v>8</v>
      </c>
      <c r="AG475" s="9" t="s">
        <v>379</v>
      </c>
      <c r="AH475" s="9" t="s">
        <v>335</v>
      </c>
      <c r="AI475" s="9" t="s">
        <v>504</v>
      </c>
      <c r="AJ475" s="9" t="s">
        <v>306</v>
      </c>
      <c r="AK475" s="9" t="s">
        <v>307</v>
      </c>
      <c r="AL475" s="9" t="s">
        <v>337</v>
      </c>
      <c r="AM475" s="8">
        <v>4</v>
      </c>
      <c r="AN475" s="4" t="s">
        <v>381</v>
      </c>
      <c r="AO475" s="4" t="s">
        <v>402</v>
      </c>
      <c r="AP475" s="4" t="s">
        <v>383</v>
      </c>
      <c r="AQ475" s="7" t="s">
        <v>384</v>
      </c>
      <c r="AR475" s="7" t="s">
        <v>433</v>
      </c>
      <c r="AS475" s="7">
        <v>0</v>
      </c>
      <c r="AT475" s="7">
        <v>0</v>
      </c>
      <c r="AU475" s="9" t="s">
        <v>303</v>
      </c>
      <c r="AV475" s="9" t="s">
        <v>406</v>
      </c>
      <c r="BA475" s="8">
        <v>5</v>
      </c>
      <c r="BP475" s="7">
        <v>9.1999999999999993</v>
      </c>
      <c r="BQ475" s="8"/>
      <c r="BV475" s="7">
        <v>1.2</v>
      </c>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c r="DU475" s="7"/>
      <c r="DV475" s="7"/>
      <c r="DW475" s="7"/>
      <c r="DX475" s="7"/>
      <c r="DY475" s="7"/>
      <c r="DZ475" s="31"/>
      <c r="EA475" s="7"/>
      <c r="EB475" s="7"/>
      <c r="EC475" s="7"/>
      <c r="ED475" s="7"/>
      <c r="EE475" s="7"/>
      <c r="EF475" s="7"/>
      <c r="EG475" s="7"/>
      <c r="EH475" s="7"/>
      <c r="EI475" s="7"/>
      <c r="EJ475" s="7"/>
      <c r="EK475" s="7"/>
      <c r="EL475" s="7">
        <f>BP475*BV475</f>
        <v>11.04</v>
      </c>
      <c r="GP475" s="32"/>
      <c r="GY475" s="6" t="s">
        <v>338</v>
      </c>
      <c r="GZ475" s="6" t="s">
        <v>436</v>
      </c>
      <c r="HC475" s="6" t="s">
        <v>1766</v>
      </c>
      <c r="HD475" s="8" t="s">
        <v>1767</v>
      </c>
      <c r="HF475" s="8" t="s">
        <v>1768</v>
      </c>
      <c r="HG475" s="8" t="s">
        <v>538</v>
      </c>
      <c r="HH475" s="9" t="s">
        <v>1769</v>
      </c>
      <c r="HI475" s="8">
        <v>35397</v>
      </c>
      <c r="HJ475" s="9" t="s">
        <v>1770</v>
      </c>
      <c r="HK475" s="9" t="s">
        <v>538</v>
      </c>
      <c r="IB475" s="8" t="s">
        <v>1767</v>
      </c>
      <c r="ID475" s="8" t="s">
        <v>1768</v>
      </c>
      <c r="IE475" s="8" t="s">
        <v>538</v>
      </c>
      <c r="IF475" s="8" t="s">
        <v>319</v>
      </c>
      <c r="IW475" s="8"/>
      <c r="JB475" s="8"/>
      <c r="JV475" s="7" t="s">
        <v>1771</v>
      </c>
      <c r="JW475" s="7" t="s">
        <v>1772</v>
      </c>
      <c r="JX475" s="7" t="s">
        <v>320</v>
      </c>
      <c r="KG475" s="4" t="s">
        <v>323</v>
      </c>
      <c r="KM475" s="4" t="s">
        <v>391</v>
      </c>
      <c r="KN475" s="4" t="s">
        <v>391</v>
      </c>
      <c r="KP475" s="5" t="s">
        <v>586</v>
      </c>
      <c r="KQ475" s="5" t="s">
        <v>1773</v>
      </c>
      <c r="KR475" s="5" t="s">
        <v>1774</v>
      </c>
      <c r="KS475" s="5" t="s">
        <v>1775</v>
      </c>
      <c r="KT475" s="5" t="s">
        <v>1776</v>
      </c>
    </row>
    <row r="476" spans="1:306" ht="36" x14ac:dyDescent="0.25">
      <c r="A476" s="5" t="s">
        <v>1916</v>
      </c>
      <c r="B476" s="4" t="s">
        <v>476</v>
      </c>
      <c r="C476" s="7" t="s">
        <v>1557</v>
      </c>
      <c r="D476" s="8" t="s">
        <v>1558</v>
      </c>
      <c r="E476" s="4">
        <v>574198</v>
      </c>
      <c r="G476" s="4" t="s">
        <v>330</v>
      </c>
      <c r="H476" s="6">
        <v>122.20180000000001</v>
      </c>
      <c r="I476" s="6">
        <v>-20.771999999999998</v>
      </c>
      <c r="J476" s="4" t="s">
        <v>1917</v>
      </c>
      <c r="K476" s="4" t="s">
        <v>1918</v>
      </c>
      <c r="L476" s="4" t="s">
        <v>580</v>
      </c>
      <c r="M476" s="4" t="s">
        <v>1919</v>
      </c>
      <c r="Q476" s="8"/>
      <c r="R476" s="8"/>
      <c r="S476" s="4"/>
      <c r="Z476" s="4" t="s">
        <v>476</v>
      </c>
      <c r="AA476" s="7" t="s">
        <v>1557</v>
      </c>
      <c r="AB476" s="8" t="s">
        <v>1558</v>
      </c>
      <c r="AC476" s="4" t="s">
        <v>301</v>
      </c>
      <c r="AD476" s="4" t="s">
        <v>302</v>
      </c>
      <c r="AE476" s="8">
        <v>637</v>
      </c>
      <c r="AF476" s="8"/>
      <c r="AG476" s="4" t="s">
        <v>379</v>
      </c>
      <c r="AH476" s="9" t="s">
        <v>1156</v>
      </c>
      <c r="AM476" s="8">
        <v>2</v>
      </c>
      <c r="BG476" s="8"/>
      <c r="BH476" s="8"/>
      <c r="BI476" s="4"/>
      <c r="BP476" s="7">
        <v>91.7</v>
      </c>
      <c r="BQ476" s="7"/>
      <c r="BR476" s="6">
        <v>0.11</v>
      </c>
      <c r="BU476" s="6">
        <v>0.46</v>
      </c>
      <c r="BV476" s="6">
        <v>0.72</v>
      </c>
      <c r="DE476" s="10"/>
      <c r="DZ476" s="31"/>
      <c r="EH476" s="10">
        <f>BP476*BR476/100</f>
        <v>0.10087</v>
      </c>
      <c r="EK476" s="10">
        <f>BP476*BU476/1000</f>
        <v>4.2182000000000004E-2</v>
      </c>
      <c r="EL476" s="6">
        <f>BP476*BV476</f>
        <v>66.024000000000001</v>
      </c>
      <c r="FA476" s="6"/>
      <c r="GP476" s="32"/>
      <c r="GY476" s="6" t="s">
        <v>338</v>
      </c>
      <c r="GZ476" s="6" t="s">
        <v>436</v>
      </c>
      <c r="HA476" s="6" t="s">
        <v>994</v>
      </c>
      <c r="HB476" s="6" t="s">
        <v>462</v>
      </c>
      <c r="HC476" s="6" t="s">
        <v>1920</v>
      </c>
      <c r="HD476" s="8" t="s">
        <v>1921</v>
      </c>
      <c r="HE476" s="8">
        <v>11133</v>
      </c>
      <c r="HF476" s="8" t="s">
        <v>1922</v>
      </c>
      <c r="HG476" s="9" t="s">
        <v>876</v>
      </c>
      <c r="IM476" s="9"/>
      <c r="IR476" s="9"/>
      <c r="JX476" s="7" t="s">
        <v>322</v>
      </c>
      <c r="JY476" s="7" t="s">
        <v>354</v>
      </c>
      <c r="JZ476" s="7" t="s">
        <v>320</v>
      </c>
      <c r="KG476" s="4" t="s">
        <v>323</v>
      </c>
      <c r="KM476" s="4" t="s">
        <v>391</v>
      </c>
      <c r="KN476" s="4" t="s">
        <v>391</v>
      </c>
      <c r="KP476" s="5" t="s">
        <v>358</v>
      </c>
      <c r="KQ476" s="5" t="s">
        <v>1923</v>
      </c>
      <c r="KS476" s="5" t="s">
        <v>1924</v>
      </c>
      <c r="KT476" s="5" t="s">
        <v>1925</v>
      </c>
    </row>
    <row r="477" spans="1:306" ht="120" x14ac:dyDescent="0.25">
      <c r="A477" s="5" t="s">
        <v>2190</v>
      </c>
      <c r="B477" s="4" t="s">
        <v>476</v>
      </c>
      <c r="C477" s="7" t="s">
        <v>1557</v>
      </c>
      <c r="D477" s="8" t="s">
        <v>1558</v>
      </c>
      <c r="E477" s="38">
        <v>859583</v>
      </c>
      <c r="F477" s="4">
        <v>1163598</v>
      </c>
      <c r="G477" s="4" t="s">
        <v>479</v>
      </c>
      <c r="H477" s="6">
        <v>143.95515800000001</v>
      </c>
      <c r="I477" s="6">
        <v>-19.11768</v>
      </c>
      <c r="K477" s="4" t="s">
        <v>481</v>
      </c>
      <c r="L477" s="4" t="s">
        <v>482</v>
      </c>
      <c r="Q477" s="7"/>
      <c r="R477" s="7"/>
      <c r="Z477" s="4" t="s">
        <v>476</v>
      </c>
      <c r="AA477" s="7" t="s">
        <v>1557</v>
      </c>
      <c r="AB477" s="8" t="s">
        <v>1558</v>
      </c>
      <c r="AC477" s="4" t="s">
        <v>301</v>
      </c>
      <c r="AD477" s="4" t="s">
        <v>375</v>
      </c>
      <c r="AE477" s="7">
        <v>336.6</v>
      </c>
      <c r="AF477" s="7">
        <v>7.7</v>
      </c>
      <c r="AG477" s="9" t="s">
        <v>379</v>
      </c>
      <c r="AH477" s="9" t="s">
        <v>429</v>
      </c>
      <c r="AI477" s="9" t="s">
        <v>430</v>
      </c>
      <c r="AJ477" s="9" t="s">
        <v>1238</v>
      </c>
      <c r="AM477" s="8">
        <v>3</v>
      </c>
      <c r="AN477" s="4" t="s">
        <v>381</v>
      </c>
      <c r="AO477" s="4" t="s">
        <v>375</v>
      </c>
      <c r="AP477" s="4" t="s">
        <v>383</v>
      </c>
      <c r="AQ477" s="7" t="s">
        <v>403</v>
      </c>
      <c r="AR477" s="8" t="s">
        <v>434</v>
      </c>
      <c r="AS477" s="7">
        <v>0</v>
      </c>
      <c r="AT477" s="7">
        <v>0</v>
      </c>
      <c r="AU477" s="9" t="s">
        <v>303</v>
      </c>
      <c r="AV477" s="9" t="s">
        <v>406</v>
      </c>
      <c r="BA477" s="8">
        <v>5</v>
      </c>
      <c r="DZ477" s="31"/>
      <c r="EL477" s="6">
        <v>2.7400000000000001E-2</v>
      </c>
      <c r="EY477" s="6"/>
      <c r="FA477" s="6"/>
      <c r="GP477" s="32"/>
      <c r="GY477" s="6" t="s">
        <v>309</v>
      </c>
      <c r="GZ477" s="6" t="s">
        <v>436</v>
      </c>
      <c r="HC477" s="6" t="s">
        <v>1766</v>
      </c>
      <c r="HD477" s="8" t="s">
        <v>2183</v>
      </c>
      <c r="HE477" s="8">
        <v>6018</v>
      </c>
      <c r="HF477" s="8" t="s">
        <v>2191</v>
      </c>
      <c r="HG477" s="9" t="s">
        <v>490</v>
      </c>
      <c r="HJ477" s="9" t="s">
        <v>2192</v>
      </c>
      <c r="HK477" s="9" t="s">
        <v>715</v>
      </c>
      <c r="HY477" s="9"/>
      <c r="IB477" s="8" t="s">
        <v>2193</v>
      </c>
      <c r="IC477" s="8">
        <v>877</v>
      </c>
      <c r="ID477" s="8" t="s">
        <v>2192</v>
      </c>
      <c r="IE477" s="9" t="s">
        <v>715</v>
      </c>
      <c r="IF477" s="8" t="s">
        <v>810</v>
      </c>
      <c r="IO477" s="8"/>
      <c r="IP477" s="8"/>
      <c r="IR477" s="9"/>
      <c r="JV477" s="7" t="s">
        <v>2194</v>
      </c>
      <c r="JX477" s="7" t="s">
        <v>320</v>
      </c>
      <c r="KG477" s="4" t="s">
        <v>323</v>
      </c>
      <c r="KP477" s="5" t="s">
        <v>495</v>
      </c>
      <c r="KQ477" s="5" t="s">
        <v>495</v>
      </c>
      <c r="KR477" s="5" t="s">
        <v>495</v>
      </c>
      <c r="KS477" s="5" t="s">
        <v>495</v>
      </c>
      <c r="KT477" s="5" t="s">
        <v>2195</v>
      </c>
    </row>
    <row r="478" spans="1:306" ht="84" x14ac:dyDescent="0.25">
      <c r="A478" s="5" t="s">
        <v>2523</v>
      </c>
      <c r="B478" s="4" t="s">
        <v>476</v>
      </c>
      <c r="C478" s="7" t="s">
        <v>1557</v>
      </c>
      <c r="D478" s="8" t="s">
        <v>1558</v>
      </c>
      <c r="E478" s="4">
        <v>334295</v>
      </c>
      <c r="G478" s="4" t="s">
        <v>479</v>
      </c>
      <c r="H478" s="6">
        <v>143.35409999999999</v>
      </c>
      <c r="I478" s="6">
        <v>-18.2895</v>
      </c>
      <c r="K478" s="4" t="s">
        <v>481</v>
      </c>
      <c r="L478" s="4" t="s">
        <v>482</v>
      </c>
      <c r="Q478" s="7"/>
      <c r="R478" s="7"/>
      <c r="Z478" s="4" t="s">
        <v>476</v>
      </c>
      <c r="AA478" s="7" t="s">
        <v>1557</v>
      </c>
      <c r="AB478" s="8" t="s">
        <v>1558</v>
      </c>
      <c r="AC478" s="4" t="s">
        <v>301</v>
      </c>
      <c r="AE478" s="7">
        <v>275</v>
      </c>
      <c r="AF478" s="7">
        <v>6.3</v>
      </c>
      <c r="AG478" s="9" t="s">
        <v>379</v>
      </c>
      <c r="AH478" s="9" t="s">
        <v>429</v>
      </c>
      <c r="AI478" s="9" t="s">
        <v>430</v>
      </c>
      <c r="AJ478" s="9" t="s">
        <v>1238</v>
      </c>
      <c r="AM478" s="8">
        <v>3</v>
      </c>
      <c r="AS478" s="7"/>
      <c r="AT478" s="7"/>
      <c r="DZ478" s="31"/>
      <c r="EL478" s="6">
        <v>1.9</v>
      </c>
      <c r="EY478" s="6"/>
      <c r="FA478" s="6"/>
      <c r="GP478" s="32"/>
      <c r="GY478" s="6" t="s">
        <v>309</v>
      </c>
      <c r="GZ478" s="6" t="s">
        <v>436</v>
      </c>
      <c r="HC478" s="6" t="s">
        <v>1766</v>
      </c>
      <c r="HD478" s="8" t="s">
        <v>485</v>
      </c>
      <c r="HE478" s="8">
        <v>6827</v>
      </c>
      <c r="HF478" s="8" t="s">
        <v>486</v>
      </c>
      <c r="HG478" s="9" t="s">
        <v>487</v>
      </c>
      <c r="HY478" s="9"/>
      <c r="IB478" s="8" t="s">
        <v>485</v>
      </c>
      <c r="IC478" s="8">
        <v>6827</v>
      </c>
      <c r="ID478" s="8" t="s">
        <v>486</v>
      </c>
      <c r="IE478" s="9" t="s">
        <v>487</v>
      </c>
      <c r="IF478" s="8" t="s">
        <v>445</v>
      </c>
      <c r="IO478" s="8"/>
      <c r="IP478" s="8"/>
      <c r="IR478" s="9"/>
      <c r="JV478" s="7" t="s">
        <v>2524</v>
      </c>
      <c r="JX478" s="7" t="s">
        <v>320</v>
      </c>
      <c r="KG478" s="4" t="s">
        <v>323</v>
      </c>
      <c r="KP478" s="5" t="s">
        <v>358</v>
      </c>
      <c r="KQ478" s="5" t="s">
        <v>495</v>
      </c>
      <c r="KR478" s="5" t="s">
        <v>495</v>
      </c>
      <c r="KS478" s="5" t="s">
        <v>495</v>
      </c>
      <c r="KT478" s="5" t="s">
        <v>2195</v>
      </c>
    </row>
    <row r="479" spans="1:306" ht="109.5" x14ac:dyDescent="0.2">
      <c r="A479" s="5" t="s">
        <v>2580</v>
      </c>
      <c r="B479" s="4" t="s">
        <v>383</v>
      </c>
      <c r="C479" s="7" t="s">
        <v>403</v>
      </c>
      <c r="D479" s="8" t="s">
        <v>434</v>
      </c>
      <c r="E479" s="44">
        <v>859589</v>
      </c>
      <c r="F479" s="4">
        <v>622514</v>
      </c>
      <c r="G479" s="4" t="s">
        <v>296</v>
      </c>
      <c r="H479" s="6">
        <v>147.07641000000001</v>
      </c>
      <c r="I479" s="6">
        <v>-43.160910000000001</v>
      </c>
      <c r="J479" s="4" t="s">
        <v>2580</v>
      </c>
      <c r="K479" s="4" t="s">
        <v>298</v>
      </c>
      <c r="L479" s="4" t="s">
        <v>400</v>
      </c>
      <c r="M479" s="4" t="s">
        <v>401</v>
      </c>
      <c r="Q479" s="8"/>
      <c r="Z479" s="4" t="s">
        <v>476</v>
      </c>
      <c r="AA479" s="7" t="s">
        <v>1557</v>
      </c>
      <c r="AB479" s="8" t="s">
        <v>1558</v>
      </c>
      <c r="AC479" s="4" t="s">
        <v>301</v>
      </c>
      <c r="AD479" s="4" t="s">
        <v>402</v>
      </c>
      <c r="AE479" s="8">
        <f>AVERAGE(97,100)</f>
        <v>98.5</v>
      </c>
      <c r="AG479" s="9" t="s">
        <v>379</v>
      </c>
      <c r="AH479" s="9" t="s">
        <v>483</v>
      </c>
      <c r="AI479" s="9" t="s">
        <v>2384</v>
      </c>
      <c r="AJ479" s="9" t="s">
        <v>1238</v>
      </c>
      <c r="AM479" s="8">
        <v>4</v>
      </c>
      <c r="AN479" s="4" t="s">
        <v>381</v>
      </c>
      <c r="AO479" s="4" t="s">
        <v>402</v>
      </c>
      <c r="AP479" s="4" t="s">
        <v>383</v>
      </c>
      <c r="AQ479" s="7" t="s">
        <v>384</v>
      </c>
      <c r="AR479" s="8" t="s">
        <v>433</v>
      </c>
      <c r="AS479" s="7">
        <v>0</v>
      </c>
      <c r="AT479" s="7">
        <v>0</v>
      </c>
      <c r="AU479" s="9" t="s">
        <v>379</v>
      </c>
      <c r="AV479" s="9" t="s">
        <v>406</v>
      </c>
      <c r="BA479" s="8">
        <v>5</v>
      </c>
      <c r="BB479" s="4" t="s">
        <v>381</v>
      </c>
      <c r="BC479" s="4" t="s">
        <v>375</v>
      </c>
      <c r="BD479" s="4" t="s">
        <v>383</v>
      </c>
      <c r="BE479" s="7" t="s">
        <v>403</v>
      </c>
      <c r="BF479" s="8" t="s">
        <v>434</v>
      </c>
      <c r="BG479" s="7">
        <v>0</v>
      </c>
      <c r="BH479" s="7">
        <v>0</v>
      </c>
      <c r="BI479" s="9" t="s">
        <v>379</v>
      </c>
      <c r="BJ479" s="9" t="s">
        <v>406</v>
      </c>
      <c r="BO479" s="8">
        <v>5</v>
      </c>
      <c r="DZ479" s="31"/>
      <c r="EL479" s="7">
        <v>0.1</v>
      </c>
      <c r="GP479" s="32"/>
      <c r="GY479" s="6" t="s">
        <v>309</v>
      </c>
      <c r="GZ479" s="6" t="s">
        <v>436</v>
      </c>
      <c r="HC479" s="6" t="s">
        <v>1766</v>
      </c>
      <c r="HD479" s="8" t="s">
        <v>2581</v>
      </c>
      <c r="HE479" s="8">
        <v>24047</v>
      </c>
      <c r="HF479" s="8" t="s">
        <v>2582</v>
      </c>
      <c r="HG479" s="9" t="s">
        <v>1463</v>
      </c>
      <c r="HH479" s="9" t="s">
        <v>2583</v>
      </c>
      <c r="HI479" s="8">
        <v>20535</v>
      </c>
      <c r="HJ479" s="9" t="s">
        <v>2584</v>
      </c>
      <c r="HK479" s="9" t="s">
        <v>766</v>
      </c>
      <c r="HL479" s="9" t="s">
        <v>2585</v>
      </c>
      <c r="HM479" s="8">
        <v>2985</v>
      </c>
      <c r="HN479" s="9" t="s">
        <v>2586</v>
      </c>
      <c r="HO479" s="9" t="s">
        <v>766</v>
      </c>
      <c r="HP479" s="9" t="s">
        <v>2587</v>
      </c>
      <c r="HQ479" s="8">
        <v>15465</v>
      </c>
      <c r="HR479" s="8" t="s">
        <v>2588</v>
      </c>
      <c r="HS479" s="9" t="s">
        <v>2589</v>
      </c>
      <c r="IB479" s="9" t="s">
        <v>2587</v>
      </c>
      <c r="IC479" s="8">
        <v>15465</v>
      </c>
      <c r="ID479" s="8" t="s">
        <v>2588</v>
      </c>
      <c r="IE479" s="9" t="s">
        <v>2589</v>
      </c>
      <c r="IF479" s="8" t="s">
        <v>319</v>
      </c>
      <c r="JV479" s="7" t="s">
        <v>2590</v>
      </c>
      <c r="JX479" s="7" t="s">
        <v>320</v>
      </c>
      <c r="JY479" s="7" t="s">
        <v>321</v>
      </c>
      <c r="JZ479" s="7" t="s">
        <v>322</v>
      </c>
      <c r="KA479" s="7" t="s">
        <v>321</v>
      </c>
      <c r="KB479" s="7" t="s">
        <v>353</v>
      </c>
      <c r="KC479" s="7" t="s">
        <v>321</v>
      </c>
      <c r="KD479" s="7" t="s">
        <v>355</v>
      </c>
      <c r="KG479" s="4" t="s">
        <v>323</v>
      </c>
      <c r="KP479" s="18" t="s">
        <v>2591</v>
      </c>
      <c r="KQ479" s="5" t="s">
        <v>2592</v>
      </c>
      <c r="KR479" s="5" t="s">
        <v>2593</v>
      </c>
      <c r="KS479" s="5" t="s">
        <v>2594</v>
      </c>
      <c r="KT479" s="5" t="s">
        <v>2595</v>
      </c>
    </row>
    <row r="480" spans="1:306" ht="84" x14ac:dyDescent="0.25">
      <c r="A480" s="5" t="s">
        <v>2613</v>
      </c>
      <c r="B480" s="4" t="s">
        <v>476</v>
      </c>
      <c r="C480" s="7" t="s">
        <v>1557</v>
      </c>
      <c r="D480" s="8" t="s">
        <v>1558</v>
      </c>
      <c r="E480" s="4">
        <v>333732</v>
      </c>
      <c r="G480" s="4" t="s">
        <v>427</v>
      </c>
      <c r="H480" s="6">
        <v>149.745993</v>
      </c>
      <c r="I480" s="6">
        <v>-35.539782000000002</v>
      </c>
      <c r="J480" s="4" t="s">
        <v>2614</v>
      </c>
      <c r="K480" s="4" t="s">
        <v>298</v>
      </c>
      <c r="L480" s="4" t="s">
        <v>299</v>
      </c>
      <c r="M480" s="4" t="s">
        <v>1359</v>
      </c>
      <c r="Q480" s="7"/>
      <c r="R480" s="7"/>
      <c r="Z480" s="4" t="s">
        <v>476</v>
      </c>
      <c r="AA480" s="7" t="s">
        <v>1557</v>
      </c>
      <c r="AB480" s="8" t="s">
        <v>1558</v>
      </c>
      <c r="AC480" s="4" t="s">
        <v>301</v>
      </c>
      <c r="AD480" s="4" t="s">
        <v>402</v>
      </c>
      <c r="AE480" s="7">
        <v>410.9</v>
      </c>
      <c r="AF480" s="7">
        <v>2</v>
      </c>
      <c r="AG480" s="9" t="s">
        <v>379</v>
      </c>
      <c r="AH480" s="9" t="s">
        <v>429</v>
      </c>
      <c r="AI480" s="9" t="s">
        <v>845</v>
      </c>
      <c r="AJ480" s="9" t="s">
        <v>431</v>
      </c>
      <c r="AK480" s="9" t="s">
        <v>432</v>
      </c>
      <c r="AM480" s="8">
        <v>4</v>
      </c>
      <c r="AN480" s="4" t="s">
        <v>381</v>
      </c>
      <c r="AO480" s="4" t="s">
        <v>402</v>
      </c>
      <c r="AP480" s="4" t="s">
        <v>383</v>
      </c>
      <c r="AQ480" s="7" t="s">
        <v>384</v>
      </c>
      <c r="AR480" s="8" t="s">
        <v>433</v>
      </c>
      <c r="AS480" s="7">
        <v>0</v>
      </c>
      <c r="AT480" s="7">
        <v>0</v>
      </c>
      <c r="AU480" s="9" t="s">
        <v>303</v>
      </c>
      <c r="AV480" s="9" t="s">
        <v>406</v>
      </c>
      <c r="BA480" s="8">
        <v>5</v>
      </c>
      <c r="BP480" s="7">
        <f>(2036*31.1/1000000)/14+0.170804+0.365243+0.370324+0.85</f>
        <v>1.7608938285714286</v>
      </c>
      <c r="BQ480" s="16"/>
      <c r="BR480" s="7"/>
      <c r="BV480" s="6">
        <f>(14*(2036*31.1/1000000)/14+2.93*0.170804+3.7*0.365243+3.72*0.370324+3.9*0.85)/((2036*31.1/1000000)/14+0.170804+0.365243+0.370324+0.85)</f>
        <v>3.7525145427766846</v>
      </c>
      <c r="DZ480" s="31"/>
      <c r="EL480" s="6">
        <f>BP480*BV480</f>
        <v>6.6077797</v>
      </c>
      <c r="EY480" s="6"/>
      <c r="FA480" s="6"/>
      <c r="GP480" s="32"/>
      <c r="GY480" s="6" t="s">
        <v>435</v>
      </c>
      <c r="GZ480" s="6" t="s">
        <v>436</v>
      </c>
      <c r="HC480" s="6" t="s">
        <v>1766</v>
      </c>
      <c r="HD480" s="8" t="s">
        <v>2615</v>
      </c>
      <c r="HE480" s="8">
        <v>2487</v>
      </c>
      <c r="HF480" s="8" t="s">
        <v>2616</v>
      </c>
      <c r="HG480" s="4" t="s">
        <v>782</v>
      </c>
      <c r="HH480" s="8"/>
      <c r="HY480" s="9"/>
      <c r="IB480" s="8" t="s">
        <v>2615</v>
      </c>
      <c r="IC480" s="8">
        <v>2487</v>
      </c>
      <c r="ID480" s="8" t="s">
        <v>2616</v>
      </c>
      <c r="IE480" s="8" t="s">
        <v>782</v>
      </c>
      <c r="IF480" s="8" t="s">
        <v>319</v>
      </c>
      <c r="IW480" s="8"/>
      <c r="JB480" s="8"/>
      <c r="JV480" s="7" t="s">
        <v>2617</v>
      </c>
      <c r="JW480" s="7" t="s">
        <v>2618</v>
      </c>
      <c r="JX480" s="7" t="s">
        <v>320</v>
      </c>
      <c r="JY480" s="7" t="s">
        <v>354</v>
      </c>
      <c r="JZ480" s="7" t="s">
        <v>322</v>
      </c>
      <c r="KA480" s="7" t="s">
        <v>354</v>
      </c>
      <c r="KB480" s="7" t="s">
        <v>353</v>
      </c>
      <c r="KG480" s="4" t="s">
        <v>323</v>
      </c>
      <c r="KP480" s="5" t="s">
        <v>358</v>
      </c>
      <c r="KQ480" s="5" t="s">
        <v>2619</v>
      </c>
      <c r="KR480" s="5" t="s">
        <v>2620</v>
      </c>
      <c r="KS480" s="5" t="s">
        <v>2621</v>
      </c>
      <c r="KT480" s="5" t="s">
        <v>2622</v>
      </c>
    </row>
    <row r="481" spans="1:306" ht="84" x14ac:dyDescent="0.2">
      <c r="A481" s="5" t="s">
        <v>3687</v>
      </c>
      <c r="B481" s="4" t="s">
        <v>476</v>
      </c>
      <c r="C481" s="7" t="s">
        <v>1557</v>
      </c>
      <c r="D481" s="8" t="s">
        <v>1558</v>
      </c>
      <c r="E481" s="44">
        <v>859606</v>
      </c>
      <c r="F481" s="4">
        <v>490662</v>
      </c>
      <c r="G481" s="4" t="s">
        <v>427</v>
      </c>
      <c r="H481" s="6">
        <v>149.733</v>
      </c>
      <c r="I481" s="6">
        <v>-35.567700000000002</v>
      </c>
      <c r="J481" s="4" t="s">
        <v>2614</v>
      </c>
      <c r="K481" s="4" t="s">
        <v>298</v>
      </c>
      <c r="L481" s="4" t="s">
        <v>299</v>
      </c>
      <c r="M481" s="4" t="s">
        <v>1359</v>
      </c>
      <c r="Q481" s="7"/>
      <c r="R481" s="7"/>
      <c r="Z481" s="4" t="s">
        <v>476</v>
      </c>
      <c r="AA481" s="7" t="s">
        <v>1557</v>
      </c>
      <c r="AB481" s="8" t="s">
        <v>1558</v>
      </c>
      <c r="AC481" s="4" t="s">
        <v>301</v>
      </c>
      <c r="AD481" s="4" t="s">
        <v>402</v>
      </c>
      <c r="AE481" s="7">
        <v>410.8</v>
      </c>
      <c r="AF481" s="7">
        <v>1.8</v>
      </c>
      <c r="AG481" s="9" t="s">
        <v>379</v>
      </c>
      <c r="AH481" s="9" t="s">
        <v>429</v>
      </c>
      <c r="AI481" s="9" t="s">
        <v>845</v>
      </c>
      <c r="AJ481" s="9" t="s">
        <v>431</v>
      </c>
      <c r="AK481" s="9" t="s">
        <v>432</v>
      </c>
      <c r="AM481" s="8">
        <v>4</v>
      </c>
      <c r="AS481" s="7"/>
      <c r="AT481" s="7"/>
      <c r="DZ481" s="31"/>
      <c r="EY481" s="6"/>
      <c r="FA481" s="6"/>
      <c r="GP481" s="32"/>
      <c r="GY481" s="6" t="s">
        <v>407</v>
      </c>
      <c r="HD481" s="8" t="s">
        <v>2615</v>
      </c>
      <c r="HE481" s="8">
        <v>2487</v>
      </c>
      <c r="HF481" s="8" t="s">
        <v>3688</v>
      </c>
      <c r="HG481" s="8" t="s">
        <v>782</v>
      </c>
      <c r="HH481" s="8"/>
      <c r="HY481" s="9"/>
      <c r="IB481" s="8" t="s">
        <v>2615</v>
      </c>
      <c r="IC481" s="8">
        <v>2487</v>
      </c>
      <c r="ID481" s="8" t="s">
        <v>3688</v>
      </c>
      <c r="IE481" s="8" t="s">
        <v>782</v>
      </c>
      <c r="IF481" s="8" t="s">
        <v>319</v>
      </c>
      <c r="IW481" s="8"/>
      <c r="JB481" s="8"/>
      <c r="JV481" s="7" t="s">
        <v>3689</v>
      </c>
      <c r="JX481" s="7" t="s">
        <v>320</v>
      </c>
      <c r="JY481" s="7" t="s">
        <v>321</v>
      </c>
      <c r="JZ481" s="7" t="s">
        <v>322</v>
      </c>
      <c r="KG481" s="4" t="s">
        <v>323</v>
      </c>
      <c r="KP481" s="5" t="s">
        <v>2620</v>
      </c>
      <c r="KQ481" s="5" t="s">
        <v>2620</v>
      </c>
      <c r="KR481" s="5" t="s">
        <v>2620</v>
      </c>
    </row>
    <row r="482" spans="1:306" ht="60" x14ac:dyDescent="0.2">
      <c r="A482" s="5" t="s">
        <v>3911</v>
      </c>
      <c r="B482" s="4" t="s">
        <v>476</v>
      </c>
      <c r="C482" s="7" t="s">
        <v>1557</v>
      </c>
      <c r="D482" s="8" t="s">
        <v>1558</v>
      </c>
      <c r="E482" s="44">
        <v>859611</v>
      </c>
      <c r="F482" s="4">
        <v>1276659</v>
      </c>
      <c r="G482" s="4" t="s">
        <v>330</v>
      </c>
      <c r="H482" s="6">
        <v>122.6519</v>
      </c>
      <c r="I482" s="6">
        <v>-21.7729</v>
      </c>
      <c r="J482" s="4" t="s">
        <v>3911</v>
      </c>
      <c r="K482" s="4" t="s">
        <v>1918</v>
      </c>
      <c r="L482" s="4" t="s">
        <v>580</v>
      </c>
      <c r="M482" s="4" t="s">
        <v>1919</v>
      </c>
      <c r="Q482" s="8"/>
      <c r="Z482" s="4" t="s">
        <v>476</v>
      </c>
      <c r="AA482" s="7" t="s">
        <v>1557</v>
      </c>
      <c r="AB482" s="8" t="s">
        <v>1558</v>
      </c>
      <c r="AC482" s="4" t="s">
        <v>301</v>
      </c>
      <c r="AD482" s="4" t="s">
        <v>302</v>
      </c>
      <c r="AE482" s="8">
        <v>640</v>
      </c>
      <c r="AG482" s="9" t="s">
        <v>379</v>
      </c>
      <c r="AH482" s="9" t="s">
        <v>1156</v>
      </c>
      <c r="AM482" s="8">
        <v>2</v>
      </c>
      <c r="BP482" s="7">
        <v>131</v>
      </c>
      <c r="BR482" s="6">
        <v>0.21</v>
      </c>
      <c r="BV482" s="7">
        <v>1.7</v>
      </c>
      <c r="DZ482" s="31"/>
      <c r="EH482" s="6">
        <f>BP482*BR482/100</f>
        <v>0.27509999999999996</v>
      </c>
      <c r="EL482" s="8">
        <f>BP482*BV482</f>
        <v>222.7</v>
      </c>
      <c r="GP482" s="32"/>
      <c r="GY482" s="6" t="s">
        <v>338</v>
      </c>
      <c r="GZ482" s="6" t="s">
        <v>436</v>
      </c>
      <c r="HA482" s="6" t="s">
        <v>994</v>
      </c>
      <c r="HC482" s="6" t="s">
        <v>1920</v>
      </c>
      <c r="HD482" s="8" t="s">
        <v>3912</v>
      </c>
      <c r="HE482" s="8">
        <v>31375</v>
      </c>
      <c r="HF482" s="8" t="s">
        <v>3913</v>
      </c>
      <c r="HG482" s="9" t="s">
        <v>876</v>
      </c>
      <c r="ID482" s="8" t="s">
        <v>3914</v>
      </c>
      <c r="IF482" s="8" t="s">
        <v>445</v>
      </c>
      <c r="II482" s="8" t="s">
        <v>658</v>
      </c>
      <c r="IK482" s="8" t="s">
        <v>350</v>
      </c>
      <c r="JV482" s="7" t="s">
        <v>3915</v>
      </c>
      <c r="JX482" s="7" t="s">
        <v>322</v>
      </c>
      <c r="JY482" s="7" t="s">
        <v>470</v>
      </c>
      <c r="JZ482" s="7" t="s">
        <v>320</v>
      </c>
      <c r="KP482" s="5" t="s">
        <v>3916</v>
      </c>
      <c r="KQ482" s="5" t="s">
        <v>3917</v>
      </c>
      <c r="KS482" s="5" t="s">
        <v>3918</v>
      </c>
      <c r="KT482" s="5" t="s">
        <v>3919</v>
      </c>
    </row>
    <row r="483" spans="1:306" ht="50.25" customHeight="1" x14ac:dyDescent="0.2">
      <c r="A483" s="5" t="s">
        <v>3948</v>
      </c>
      <c r="B483" s="4" t="s">
        <v>476</v>
      </c>
      <c r="C483" s="7" t="s">
        <v>1557</v>
      </c>
      <c r="D483" s="8" t="s">
        <v>1558</v>
      </c>
      <c r="E483" s="44">
        <v>817822</v>
      </c>
      <c r="G483" s="8" t="s">
        <v>330</v>
      </c>
      <c r="H483" s="6">
        <v>118.43</v>
      </c>
      <c r="I483" s="6">
        <v>-20.86</v>
      </c>
      <c r="J483" s="4" t="s">
        <v>3949</v>
      </c>
      <c r="K483" s="4" t="s">
        <v>331</v>
      </c>
      <c r="L483" s="4" t="s">
        <v>368</v>
      </c>
      <c r="M483" s="4" t="s">
        <v>2198</v>
      </c>
      <c r="Z483" s="4" t="s">
        <v>476</v>
      </c>
      <c r="AA483" s="7" t="s">
        <v>1557</v>
      </c>
      <c r="AB483" s="8" t="s">
        <v>1558</v>
      </c>
      <c r="AC483" s="4" t="s">
        <v>301</v>
      </c>
      <c r="AD483" s="4" t="s">
        <v>375</v>
      </c>
      <c r="AN483" s="4" t="s">
        <v>381</v>
      </c>
      <c r="AO483" s="4" t="s">
        <v>402</v>
      </c>
      <c r="AP483" s="4" t="s">
        <v>383</v>
      </c>
      <c r="AQ483" s="7" t="s">
        <v>384</v>
      </c>
      <c r="AR483" s="8" t="s">
        <v>433</v>
      </c>
      <c r="AS483" s="7">
        <v>0</v>
      </c>
      <c r="AT483" s="7">
        <v>0</v>
      </c>
      <c r="AU483" s="9" t="s">
        <v>303</v>
      </c>
      <c r="AV483" s="9" t="s">
        <v>406</v>
      </c>
      <c r="BA483" s="8">
        <v>5</v>
      </c>
      <c r="BP483" s="7">
        <v>254.5</v>
      </c>
      <c r="BV483" s="7">
        <v>1.3</v>
      </c>
      <c r="DZ483" s="31"/>
      <c r="EL483" s="8">
        <f>BP483*BV483</f>
        <v>330.85</v>
      </c>
      <c r="GP483" s="32"/>
      <c r="GY483" s="6" t="s">
        <v>338</v>
      </c>
      <c r="GZ483" s="6" t="s">
        <v>436</v>
      </c>
      <c r="HC483" s="6" t="s">
        <v>1766</v>
      </c>
      <c r="HF483" s="8" t="s">
        <v>2399</v>
      </c>
      <c r="HG483" s="9" t="s">
        <v>389</v>
      </c>
      <c r="ID483" s="8" t="s">
        <v>2399</v>
      </c>
      <c r="IE483" s="9" t="s">
        <v>389</v>
      </c>
      <c r="JV483" s="7" t="s">
        <v>563</v>
      </c>
      <c r="JX483" s="7" t="s">
        <v>320</v>
      </c>
      <c r="KP483" s="5" t="s">
        <v>3950</v>
      </c>
      <c r="KQ483" s="5" t="s">
        <v>3951</v>
      </c>
      <c r="KS483" s="5" t="s">
        <v>3952</v>
      </c>
      <c r="KT483" s="5" t="s">
        <v>3953</v>
      </c>
    </row>
    <row r="484" spans="1:306" ht="48" customHeight="1" x14ac:dyDescent="0.25">
      <c r="A484" s="5" t="s">
        <v>4208</v>
      </c>
      <c r="B484" s="4" t="s">
        <v>476</v>
      </c>
      <c r="C484" s="7" t="s">
        <v>1557</v>
      </c>
      <c r="D484" s="8" t="s">
        <v>1558</v>
      </c>
      <c r="E484" s="4">
        <v>792383</v>
      </c>
      <c r="G484" s="4" t="s">
        <v>479</v>
      </c>
      <c r="H484" s="6">
        <v>143.44499999999999</v>
      </c>
      <c r="I484" s="6">
        <v>-18.103000000000002</v>
      </c>
      <c r="K484" s="4" t="s">
        <v>481</v>
      </c>
      <c r="L484" s="4" t="s">
        <v>482</v>
      </c>
      <c r="Q484" s="7"/>
      <c r="R484" s="7"/>
      <c r="Z484" s="4" t="s">
        <v>476</v>
      </c>
      <c r="AA484" s="7" t="s">
        <v>1557</v>
      </c>
      <c r="AB484" s="8" t="s">
        <v>1558</v>
      </c>
      <c r="AC484" s="4" t="s">
        <v>301</v>
      </c>
      <c r="AD484" s="4" t="s">
        <v>375</v>
      </c>
      <c r="AE484" s="7">
        <v>278.39999999999998</v>
      </c>
      <c r="AF484" s="7">
        <v>6.4</v>
      </c>
      <c r="AG484" s="9" t="s">
        <v>379</v>
      </c>
      <c r="AH484" s="9" t="s">
        <v>429</v>
      </c>
      <c r="AI484" s="9" t="s">
        <v>430</v>
      </c>
      <c r="AJ484" s="9" t="s">
        <v>1238</v>
      </c>
      <c r="AM484" s="8">
        <v>3</v>
      </c>
      <c r="AN484" s="4" t="s">
        <v>381</v>
      </c>
      <c r="AO484" s="4" t="s">
        <v>402</v>
      </c>
      <c r="AP484" s="4" t="s">
        <v>383</v>
      </c>
      <c r="AQ484" s="7" t="s">
        <v>384</v>
      </c>
      <c r="AR484" s="8" t="s">
        <v>433</v>
      </c>
      <c r="AS484" s="7">
        <v>0</v>
      </c>
      <c r="AT484" s="7">
        <v>0</v>
      </c>
      <c r="AU484" s="9" t="s">
        <v>303</v>
      </c>
      <c r="AV484" s="9" t="s">
        <v>406</v>
      </c>
      <c r="BA484" s="8">
        <v>5</v>
      </c>
      <c r="DZ484" s="31"/>
      <c r="EL484" s="6">
        <f>0.105069+0.042698+0.059096</f>
        <v>0.20686299999999999</v>
      </c>
      <c r="EY484" s="6"/>
      <c r="FA484" s="6"/>
      <c r="GP484" s="32"/>
      <c r="GY484" s="6" t="s">
        <v>309</v>
      </c>
      <c r="GZ484" s="6" t="s">
        <v>436</v>
      </c>
      <c r="HC484" s="6" t="s">
        <v>1766</v>
      </c>
      <c r="HD484" s="8" t="s">
        <v>4209</v>
      </c>
      <c r="HE484" s="8">
        <v>24353</v>
      </c>
      <c r="HF484" s="8" t="s">
        <v>4210</v>
      </c>
      <c r="HG484" s="4" t="s">
        <v>490</v>
      </c>
      <c r="HH484" s="9" t="s">
        <v>4211</v>
      </c>
      <c r="HI484" s="8">
        <v>26728</v>
      </c>
      <c r="HJ484" s="9" t="s">
        <v>4212</v>
      </c>
      <c r="HK484" s="9" t="s">
        <v>715</v>
      </c>
      <c r="HY484" s="9"/>
      <c r="ID484" s="8" t="s">
        <v>4213</v>
      </c>
      <c r="IF484" s="8" t="s">
        <v>445</v>
      </c>
      <c r="IG484" s="8" t="s">
        <v>4211</v>
      </c>
      <c r="IH484" s="8">
        <v>26728</v>
      </c>
      <c r="II484" s="8" t="s">
        <v>4212</v>
      </c>
      <c r="IJ484" s="9" t="s">
        <v>715</v>
      </c>
      <c r="IK484" s="8" t="s">
        <v>445</v>
      </c>
      <c r="IN484" s="9" t="s">
        <v>4214</v>
      </c>
      <c r="IO484" s="8"/>
      <c r="IP484" s="8" t="s">
        <v>445</v>
      </c>
      <c r="IR484" s="9"/>
      <c r="JV484" s="7" t="s">
        <v>4215</v>
      </c>
      <c r="JX484" s="7" t="s">
        <v>320</v>
      </c>
      <c r="KG484" s="4" t="s">
        <v>323</v>
      </c>
      <c r="KP484" s="5" t="s">
        <v>495</v>
      </c>
      <c r="KQ484" s="5" t="s">
        <v>495</v>
      </c>
      <c r="KR484" s="5" t="s">
        <v>495</v>
      </c>
      <c r="KS484" s="5" t="s">
        <v>495</v>
      </c>
      <c r="KT484" s="5" t="s">
        <v>2195</v>
      </c>
    </row>
    <row r="485" spans="1:306" ht="192" x14ac:dyDescent="0.25">
      <c r="A485" s="5" t="s">
        <v>4571</v>
      </c>
      <c r="B485" s="4" t="s">
        <v>476</v>
      </c>
      <c r="C485" s="7" t="s">
        <v>1557</v>
      </c>
      <c r="D485" s="8" t="s">
        <v>1558</v>
      </c>
      <c r="E485" s="4">
        <v>336212</v>
      </c>
      <c r="G485" s="4" t="s">
        <v>479</v>
      </c>
      <c r="H485" s="6">
        <v>144.15110000000001</v>
      </c>
      <c r="I485" s="6">
        <v>-18.868500000000001</v>
      </c>
      <c r="J485" s="4" t="s">
        <v>4571</v>
      </c>
      <c r="K485" s="4" t="s">
        <v>481</v>
      </c>
      <c r="L485" s="4" t="s">
        <v>482</v>
      </c>
      <c r="M485" s="4" t="s">
        <v>4572</v>
      </c>
      <c r="Q485" s="7"/>
      <c r="R485" s="7"/>
      <c r="Z485" s="4" t="s">
        <v>476</v>
      </c>
      <c r="AA485" s="7" t="s">
        <v>1557</v>
      </c>
      <c r="AB485" s="8" t="s">
        <v>1558</v>
      </c>
      <c r="AC485" s="4" t="s">
        <v>301</v>
      </c>
      <c r="AD485" s="4" t="s">
        <v>375</v>
      </c>
      <c r="AE485" s="7">
        <v>339.7</v>
      </c>
      <c r="AF485" s="7"/>
      <c r="AG485" s="9" t="s">
        <v>303</v>
      </c>
      <c r="AH485" s="9" t="s">
        <v>304</v>
      </c>
      <c r="AI485" s="9" t="s">
        <v>598</v>
      </c>
      <c r="AJ485" s="9" t="s">
        <v>599</v>
      </c>
      <c r="AM485" s="8">
        <v>5</v>
      </c>
      <c r="AN485" s="4" t="s">
        <v>381</v>
      </c>
      <c r="AO485" s="4" t="s">
        <v>402</v>
      </c>
      <c r="AP485" s="4" t="s">
        <v>383</v>
      </c>
      <c r="AQ485" s="7" t="s">
        <v>384</v>
      </c>
      <c r="AR485" s="8" t="s">
        <v>433</v>
      </c>
      <c r="AS485" s="7">
        <v>0</v>
      </c>
      <c r="AT485" s="7">
        <v>0</v>
      </c>
      <c r="AU485" s="9" t="s">
        <v>303</v>
      </c>
      <c r="AV485" s="9" t="s">
        <v>406</v>
      </c>
      <c r="BA485" s="8">
        <v>5</v>
      </c>
      <c r="DZ485" s="31"/>
      <c r="EL485" s="6">
        <v>157.833</v>
      </c>
      <c r="EY485" s="6"/>
      <c r="FA485" s="6"/>
      <c r="GP485" s="32"/>
      <c r="GY485" s="6" t="s">
        <v>309</v>
      </c>
      <c r="GZ485" s="6" t="s">
        <v>436</v>
      </c>
      <c r="HC485" s="6" t="s">
        <v>1766</v>
      </c>
      <c r="HD485" s="8" t="s">
        <v>4573</v>
      </c>
      <c r="HE485" s="8">
        <v>35228</v>
      </c>
      <c r="HF485" s="8" t="s">
        <v>4574</v>
      </c>
      <c r="HG485" s="9" t="s">
        <v>715</v>
      </c>
      <c r="HH485" s="9" t="s">
        <v>2183</v>
      </c>
      <c r="HI485" s="8">
        <v>6018</v>
      </c>
      <c r="HJ485" s="9" t="s">
        <v>2191</v>
      </c>
      <c r="HK485" s="9" t="s">
        <v>490</v>
      </c>
      <c r="HL485" s="9" t="s">
        <v>4575</v>
      </c>
      <c r="HM485" s="8">
        <v>14458</v>
      </c>
      <c r="HN485" s="9" t="s">
        <v>4576</v>
      </c>
      <c r="HO485" s="9" t="s">
        <v>1507</v>
      </c>
      <c r="HP485" s="9" t="s">
        <v>4577</v>
      </c>
      <c r="HR485" s="9" t="s">
        <v>4578</v>
      </c>
      <c r="HS485" s="9" t="s">
        <v>715</v>
      </c>
      <c r="HY485" s="9"/>
      <c r="IB485" s="8" t="s">
        <v>4579</v>
      </c>
      <c r="IC485" s="8">
        <v>14458</v>
      </c>
      <c r="ID485" s="8" t="s">
        <v>4576</v>
      </c>
      <c r="IE485" s="8" t="s">
        <v>1507</v>
      </c>
      <c r="IF485" s="8" t="s">
        <v>445</v>
      </c>
      <c r="IG485" s="8" t="s">
        <v>4577</v>
      </c>
      <c r="II485" s="8" t="s">
        <v>4578</v>
      </c>
      <c r="IJ485" s="8" t="s">
        <v>715</v>
      </c>
      <c r="IK485" s="8" t="s">
        <v>445</v>
      </c>
      <c r="IL485" s="9" t="s">
        <v>4580</v>
      </c>
      <c r="IN485" s="9" t="s">
        <v>4581</v>
      </c>
      <c r="IO485" s="8" t="s">
        <v>715</v>
      </c>
      <c r="IP485" s="9" t="s">
        <v>350</v>
      </c>
      <c r="IR485" s="9"/>
      <c r="IS485" s="9" t="s">
        <v>4582</v>
      </c>
      <c r="IU485" s="9" t="s">
        <v>350</v>
      </c>
      <c r="JV485" s="7" t="s">
        <v>4583</v>
      </c>
      <c r="JX485" s="7" t="s">
        <v>320</v>
      </c>
      <c r="JY485" s="7" t="s">
        <v>354</v>
      </c>
      <c r="JZ485" s="7" t="s">
        <v>322</v>
      </c>
      <c r="KA485" s="7" t="s">
        <v>354</v>
      </c>
      <c r="KB485" s="7" t="s">
        <v>353</v>
      </c>
      <c r="KG485" s="4" t="s">
        <v>323</v>
      </c>
      <c r="KM485" s="4" t="s">
        <v>702</v>
      </c>
      <c r="KN485" s="4" t="s">
        <v>888</v>
      </c>
      <c r="KO485" s="4" t="s">
        <v>445</v>
      </c>
      <c r="KP485" s="5" t="s">
        <v>358</v>
      </c>
      <c r="KQ485" s="5" t="s">
        <v>4584</v>
      </c>
      <c r="KR485" s="5" t="s">
        <v>4585</v>
      </c>
      <c r="KS485" s="5" t="s">
        <v>495</v>
      </c>
      <c r="KT485" s="5" t="s">
        <v>4586</v>
      </c>
    </row>
    <row r="486" spans="1:306" ht="108" x14ac:dyDescent="0.25">
      <c r="A486" s="5" t="s">
        <v>4803</v>
      </c>
      <c r="B486" s="4" t="s">
        <v>476</v>
      </c>
      <c r="C486" s="7" t="s">
        <v>1557</v>
      </c>
      <c r="D486" s="8" t="s">
        <v>1558</v>
      </c>
      <c r="E486" s="4">
        <v>559016</v>
      </c>
      <c r="G486" s="4" t="s">
        <v>296</v>
      </c>
      <c r="H486" s="6">
        <v>145.612524041</v>
      </c>
      <c r="I486" s="6">
        <v>-41.765313415000001</v>
      </c>
      <c r="J486" s="4" t="s">
        <v>3265</v>
      </c>
      <c r="K486" s="4" t="s">
        <v>298</v>
      </c>
      <c r="L486" s="4" t="s">
        <v>400</v>
      </c>
      <c r="M486" s="4" t="s">
        <v>401</v>
      </c>
      <c r="Q486" s="8"/>
      <c r="R486" s="8"/>
      <c r="U486" s="4"/>
      <c r="V486" s="4"/>
      <c r="W486" s="4"/>
      <c r="X486" s="4"/>
      <c r="Z486" s="4" t="s">
        <v>476</v>
      </c>
      <c r="AA486" s="7" t="s">
        <v>1557</v>
      </c>
      <c r="AB486" s="8" t="s">
        <v>1558</v>
      </c>
      <c r="AC486" s="4" t="s">
        <v>301</v>
      </c>
      <c r="AD486" s="4" t="s">
        <v>302</v>
      </c>
      <c r="AE486" s="8">
        <v>361</v>
      </c>
      <c r="AF486" s="8">
        <v>3</v>
      </c>
      <c r="AG486" s="9" t="s">
        <v>379</v>
      </c>
      <c r="AH486" s="9" t="s">
        <v>483</v>
      </c>
      <c r="AI486" s="4" t="s">
        <v>373</v>
      </c>
      <c r="AJ486" s="4" t="s">
        <v>306</v>
      </c>
      <c r="AK486" s="4" t="s">
        <v>307</v>
      </c>
      <c r="AL486" s="4" t="s">
        <v>337</v>
      </c>
      <c r="AM486" s="8">
        <v>4</v>
      </c>
      <c r="BP486" s="7">
        <v>0.75</v>
      </c>
      <c r="BR486" s="6">
        <v>0.2</v>
      </c>
      <c r="BU486" s="8">
        <v>20</v>
      </c>
      <c r="BV486" s="7">
        <v>2.1</v>
      </c>
      <c r="CY486" s="7">
        <v>0.2</v>
      </c>
      <c r="DZ486" s="31"/>
      <c r="EH486" s="10">
        <f>BP486*BR486/100</f>
        <v>1.5000000000000002E-3</v>
      </c>
      <c r="EK486" s="10">
        <f>BP486*BU486/1000</f>
        <v>1.4999999999999999E-2</v>
      </c>
      <c r="EL486" s="6">
        <f>BP486*BV486</f>
        <v>1.5750000000000002</v>
      </c>
      <c r="EY486" s="6"/>
      <c r="FA486" s="6"/>
      <c r="FN486" s="6">
        <f>1000*BP486*CY486/100</f>
        <v>1.5</v>
      </c>
      <c r="GP486" s="32"/>
      <c r="GY486" s="6" t="s">
        <v>309</v>
      </c>
      <c r="GZ486" s="6" t="s">
        <v>4804</v>
      </c>
      <c r="HB486" s="6" t="s">
        <v>1988</v>
      </c>
      <c r="HC486" s="6" t="s">
        <v>1920</v>
      </c>
      <c r="HD486" s="8" t="s">
        <v>3266</v>
      </c>
      <c r="HE486" s="8">
        <v>6545</v>
      </c>
      <c r="HF486" s="8" t="s">
        <v>4805</v>
      </c>
      <c r="HG486" s="9" t="s">
        <v>2870</v>
      </c>
      <c r="HQ486" s="9"/>
      <c r="HY486" s="9"/>
      <c r="IB486" s="7" t="s">
        <v>3268</v>
      </c>
      <c r="IC486" s="8">
        <v>7688</v>
      </c>
      <c r="ID486" s="7" t="s">
        <v>3269</v>
      </c>
      <c r="IE486" s="7" t="s">
        <v>318</v>
      </c>
      <c r="IF486" s="7" t="s">
        <v>319</v>
      </c>
      <c r="IM486" s="9"/>
      <c r="IR486" s="9"/>
      <c r="JX486" s="7" t="s">
        <v>320</v>
      </c>
      <c r="JY486" s="7" t="s">
        <v>321</v>
      </c>
      <c r="JZ486" s="7" t="s">
        <v>322</v>
      </c>
      <c r="KG486" s="4" t="s">
        <v>323</v>
      </c>
      <c r="KP486" s="18" t="s">
        <v>324</v>
      </c>
      <c r="KQ486" s="5" t="s">
        <v>4806</v>
      </c>
      <c r="KR486" s="5" t="s">
        <v>4807</v>
      </c>
      <c r="KS486" s="5" t="s">
        <v>324</v>
      </c>
      <c r="KT486" s="5" t="s">
        <v>3272</v>
      </c>
    </row>
    <row r="487" spans="1:306" ht="36" x14ac:dyDescent="0.25">
      <c r="A487" s="5" t="s">
        <v>4944</v>
      </c>
      <c r="B487" s="4" t="s">
        <v>476</v>
      </c>
      <c r="C487" s="7" t="s">
        <v>1557</v>
      </c>
      <c r="D487" s="8" t="s">
        <v>1558</v>
      </c>
      <c r="E487" s="4">
        <v>557598</v>
      </c>
      <c r="G487" s="4" t="s">
        <v>330</v>
      </c>
      <c r="H487" s="6">
        <v>122.1966</v>
      </c>
      <c r="I487" s="6">
        <v>-20.788599999999999</v>
      </c>
      <c r="J487" s="4" t="s">
        <v>1917</v>
      </c>
      <c r="K487" s="4" t="s">
        <v>1918</v>
      </c>
      <c r="L487" s="4" t="s">
        <v>580</v>
      </c>
      <c r="M487" s="4" t="s">
        <v>1919</v>
      </c>
      <c r="Q487" s="8"/>
      <c r="R487" s="8"/>
      <c r="Z487" s="4" t="s">
        <v>476</v>
      </c>
      <c r="AA487" s="7" t="s">
        <v>1557</v>
      </c>
      <c r="AB487" s="8" t="s">
        <v>1558</v>
      </c>
      <c r="AC487" s="4" t="s">
        <v>301</v>
      </c>
      <c r="AD487" s="4" t="s">
        <v>302</v>
      </c>
      <c r="AE487" s="8">
        <v>637</v>
      </c>
      <c r="AF487" s="8">
        <v>5</v>
      </c>
      <c r="AG487" s="9" t="s">
        <v>379</v>
      </c>
      <c r="AH487" s="9" t="s">
        <v>335</v>
      </c>
      <c r="AI487" s="9" t="s">
        <v>2384</v>
      </c>
      <c r="AJ487" s="9" t="s">
        <v>431</v>
      </c>
      <c r="AK487" s="9" t="s">
        <v>1081</v>
      </c>
      <c r="AM487" s="8">
        <v>4</v>
      </c>
      <c r="AS487" s="8"/>
      <c r="AT487" s="8"/>
      <c r="BG487" s="8"/>
      <c r="BH487" s="8"/>
      <c r="BP487" s="7">
        <v>16.100000000000001</v>
      </c>
      <c r="BQ487" s="7"/>
      <c r="BR487" s="6">
        <v>0.36</v>
      </c>
      <c r="BU487" s="6">
        <v>0.99</v>
      </c>
      <c r="BV487" s="6">
        <v>0.66</v>
      </c>
      <c r="DZ487" s="31"/>
      <c r="EH487" s="10">
        <f>BP487*BR487/100</f>
        <v>5.7960000000000005E-2</v>
      </c>
      <c r="EK487" s="10">
        <f>BP487*BU487/1000</f>
        <v>1.5939000000000002E-2</v>
      </c>
      <c r="EL487" s="6">
        <f>BP487*BV487</f>
        <v>10.626000000000001</v>
      </c>
      <c r="FA487" s="6"/>
      <c r="GP487" s="32"/>
      <c r="GY487" s="6" t="s">
        <v>338</v>
      </c>
      <c r="GZ487" s="6" t="s">
        <v>1528</v>
      </c>
      <c r="HB487" s="6" t="s">
        <v>462</v>
      </c>
      <c r="HC487" s="6" t="s">
        <v>1920</v>
      </c>
      <c r="HD487" s="8" t="s">
        <v>4945</v>
      </c>
      <c r="HF487" s="8" t="s">
        <v>3899</v>
      </c>
      <c r="HG487" s="9" t="s">
        <v>876</v>
      </c>
      <c r="IB487" s="8" t="s">
        <v>4945</v>
      </c>
      <c r="ID487" s="8" t="s">
        <v>3899</v>
      </c>
      <c r="IE487" s="8" t="s">
        <v>876</v>
      </c>
      <c r="IF487" s="8" t="s">
        <v>445</v>
      </c>
      <c r="IM487" s="9"/>
      <c r="IR487" s="9"/>
      <c r="JV487" s="7" t="s">
        <v>4946</v>
      </c>
      <c r="JW487" s="7" t="s">
        <v>910</v>
      </c>
      <c r="JX487" s="7" t="s">
        <v>320</v>
      </c>
      <c r="JY487" s="7" t="s">
        <v>448</v>
      </c>
      <c r="JZ487" s="7" t="s">
        <v>322</v>
      </c>
      <c r="KG487" s="4" t="s">
        <v>323</v>
      </c>
      <c r="KM487" s="4" t="s">
        <v>521</v>
      </c>
      <c r="KN487" s="4" t="s">
        <v>521</v>
      </c>
      <c r="KP487" s="5" t="s">
        <v>358</v>
      </c>
      <c r="KQ487" s="5" t="s">
        <v>4947</v>
      </c>
      <c r="KR487" s="5" t="s">
        <v>3235</v>
      </c>
      <c r="KS487" s="5" t="s">
        <v>4948</v>
      </c>
      <c r="KT487" s="5" t="s">
        <v>4949</v>
      </c>
    </row>
    <row r="488" spans="1:306" ht="84" x14ac:dyDescent="0.2">
      <c r="A488" s="5" t="s">
        <v>2614</v>
      </c>
      <c r="B488" s="4" t="s">
        <v>383</v>
      </c>
      <c r="C488" s="7" t="s">
        <v>403</v>
      </c>
      <c r="D488" s="8" t="s">
        <v>434</v>
      </c>
      <c r="E488" s="44">
        <v>859616</v>
      </c>
      <c r="F488" s="4">
        <v>1279743</v>
      </c>
      <c r="G488" s="4" t="s">
        <v>427</v>
      </c>
      <c r="H488" s="6">
        <v>149.73818</v>
      </c>
      <c r="I488" s="6">
        <v>-35.565739999999998</v>
      </c>
      <c r="J488" s="4" t="s">
        <v>2614</v>
      </c>
      <c r="K488" s="4" t="s">
        <v>298</v>
      </c>
      <c r="L488" s="4" t="s">
        <v>299</v>
      </c>
      <c r="M488" s="4" t="s">
        <v>1359</v>
      </c>
      <c r="Q488" s="7"/>
      <c r="R488" s="7"/>
      <c r="Z488" s="4" t="s">
        <v>476</v>
      </c>
      <c r="AA488" s="7" t="s">
        <v>1557</v>
      </c>
      <c r="AB488" s="8" t="s">
        <v>1558</v>
      </c>
      <c r="AC488" s="4" t="s">
        <v>301</v>
      </c>
      <c r="AD488" s="4" t="s">
        <v>402</v>
      </c>
      <c r="AE488" s="7">
        <v>411</v>
      </c>
      <c r="AF488" s="7"/>
      <c r="AG488" s="9" t="s">
        <v>379</v>
      </c>
      <c r="AH488" s="9" t="s">
        <v>1156</v>
      </c>
      <c r="AM488" s="8">
        <v>4</v>
      </c>
      <c r="AN488" s="4" t="s">
        <v>381</v>
      </c>
      <c r="AO488" s="4" t="s">
        <v>375</v>
      </c>
      <c r="AP488" s="4" t="s">
        <v>383</v>
      </c>
      <c r="AQ488" s="7" t="s">
        <v>403</v>
      </c>
      <c r="AR488" s="8" t="s">
        <v>434</v>
      </c>
      <c r="AS488" s="7">
        <v>0</v>
      </c>
      <c r="AT488" s="7">
        <v>0</v>
      </c>
      <c r="AU488" s="9" t="s">
        <v>303</v>
      </c>
      <c r="AV488" s="9" t="s">
        <v>406</v>
      </c>
      <c r="BA488" s="8">
        <v>5</v>
      </c>
      <c r="DZ488" s="31"/>
      <c r="EL488" s="6">
        <f>1.25*31.1</f>
        <v>38.875</v>
      </c>
      <c r="EY488" s="6"/>
      <c r="FA488" s="6"/>
      <c r="GP488" s="32"/>
      <c r="GY488" s="31" t="s">
        <v>407</v>
      </c>
      <c r="GZ488" s="6" t="s">
        <v>436</v>
      </c>
      <c r="HC488" s="6" t="s">
        <v>1766</v>
      </c>
      <c r="HF488" s="8" t="s">
        <v>4956</v>
      </c>
      <c r="HG488" s="8"/>
      <c r="HH488" s="8" t="s">
        <v>2615</v>
      </c>
      <c r="HI488" s="8">
        <v>2487</v>
      </c>
      <c r="HJ488" s="8" t="s">
        <v>3688</v>
      </c>
      <c r="HK488" s="4" t="s">
        <v>782</v>
      </c>
      <c r="HY488" s="9"/>
      <c r="IB488" s="8" t="s">
        <v>2615</v>
      </c>
      <c r="IC488" s="8">
        <v>2487</v>
      </c>
      <c r="ID488" s="8" t="s">
        <v>3688</v>
      </c>
      <c r="IE488" s="8" t="s">
        <v>782</v>
      </c>
      <c r="IF488" s="8" t="s">
        <v>319</v>
      </c>
      <c r="IG488" s="8" t="s">
        <v>2615</v>
      </c>
      <c r="IH488" s="8">
        <v>2487</v>
      </c>
      <c r="II488" s="8" t="s">
        <v>3688</v>
      </c>
      <c r="IJ488" s="8" t="s">
        <v>782</v>
      </c>
      <c r="IK488" s="8" t="s">
        <v>445</v>
      </c>
      <c r="IW488" s="8"/>
      <c r="JB488" s="8"/>
      <c r="KG488" s="4" t="s">
        <v>323</v>
      </c>
      <c r="KP488" s="18" t="s">
        <v>4957</v>
      </c>
      <c r="KQ488" s="5" t="s">
        <v>4958</v>
      </c>
      <c r="KS488" s="5" t="s">
        <v>4958</v>
      </c>
      <c r="KT488" s="5" t="s">
        <v>4959</v>
      </c>
    </row>
    <row r="489" spans="1:306" ht="36" x14ac:dyDescent="0.25">
      <c r="A489" s="5" t="s">
        <v>5258</v>
      </c>
      <c r="B489" s="4" t="s">
        <v>476</v>
      </c>
      <c r="C489" s="7" t="s">
        <v>1557</v>
      </c>
      <c r="D489" s="8" t="s">
        <v>1558</v>
      </c>
      <c r="E489" s="4">
        <v>635758</v>
      </c>
      <c r="G489" s="4" t="s">
        <v>330</v>
      </c>
      <c r="H489" s="6">
        <v>122.24893</v>
      </c>
      <c r="I489" s="6">
        <v>-21.37801</v>
      </c>
      <c r="J489" s="4" t="s">
        <v>5259</v>
      </c>
      <c r="K489" s="4" t="s">
        <v>1918</v>
      </c>
      <c r="L489" s="4" t="s">
        <v>580</v>
      </c>
      <c r="M489" s="4" t="s">
        <v>1919</v>
      </c>
      <c r="Q489" s="8"/>
      <c r="R489" s="8"/>
      <c r="Z489" s="4" t="s">
        <v>476</v>
      </c>
      <c r="AA489" s="7" t="s">
        <v>1557</v>
      </c>
      <c r="AB489" s="8" t="s">
        <v>1558</v>
      </c>
      <c r="AC489" s="4" t="s">
        <v>301</v>
      </c>
      <c r="AD489" s="4" t="s">
        <v>302</v>
      </c>
      <c r="AE489" s="8">
        <v>645</v>
      </c>
      <c r="AF489" s="8"/>
      <c r="AG489" s="9" t="s">
        <v>379</v>
      </c>
      <c r="AH489" s="9" t="s">
        <v>1156</v>
      </c>
      <c r="AM489" s="8">
        <v>2</v>
      </c>
      <c r="AS489" s="8"/>
      <c r="AT489" s="8"/>
      <c r="BG489" s="8"/>
      <c r="BH489" s="8"/>
      <c r="BP489" s="7">
        <v>33.9</v>
      </c>
      <c r="BQ489" s="7"/>
      <c r="BR489" s="6">
        <v>0.19</v>
      </c>
      <c r="BU489" s="6">
        <v>0.54</v>
      </c>
      <c r="BV489" s="6">
        <v>1.6</v>
      </c>
      <c r="CK489" s="6">
        <v>0.03</v>
      </c>
      <c r="DZ489" s="31"/>
      <c r="EH489" s="10">
        <f>BP489*BR489/100</f>
        <v>6.4409999999999995E-2</v>
      </c>
      <c r="EK489" s="10">
        <f>BP489*BU489/1000</f>
        <v>1.8305999999999999E-2</v>
      </c>
      <c r="EL489" s="7">
        <f>BP489*BV489</f>
        <v>54.24</v>
      </c>
      <c r="EZ489" s="6">
        <f>1000*BP489*CK489/100</f>
        <v>10.17</v>
      </c>
      <c r="FA489" s="6"/>
      <c r="GP489" s="32"/>
      <c r="GY489" s="6" t="s">
        <v>338</v>
      </c>
      <c r="GZ489" s="6" t="s">
        <v>436</v>
      </c>
      <c r="HA489" s="6" t="s">
        <v>994</v>
      </c>
      <c r="HB489" s="6" t="s">
        <v>5260</v>
      </c>
      <c r="HC489" s="6" t="s">
        <v>1920</v>
      </c>
      <c r="HD489" s="8" t="s">
        <v>1921</v>
      </c>
      <c r="HE489" s="8">
        <v>11133</v>
      </c>
      <c r="HF489" s="8" t="s">
        <v>1922</v>
      </c>
      <c r="HG489" s="9" t="s">
        <v>876</v>
      </c>
      <c r="IM489" s="9"/>
      <c r="IR489" s="9"/>
      <c r="KM489" s="4" t="s">
        <v>391</v>
      </c>
      <c r="KN489" s="4" t="s">
        <v>391</v>
      </c>
      <c r="KP489" s="5" t="s">
        <v>5261</v>
      </c>
      <c r="KQ489" s="5" t="s">
        <v>5262</v>
      </c>
      <c r="KS489" s="5" t="s">
        <v>5263</v>
      </c>
      <c r="KT489" s="5" t="s">
        <v>5264</v>
      </c>
    </row>
    <row r="490" spans="1:306" ht="144" x14ac:dyDescent="0.25">
      <c r="A490" s="5" t="s">
        <v>5716</v>
      </c>
      <c r="B490" s="4" t="s">
        <v>476</v>
      </c>
      <c r="C490" s="7" t="s">
        <v>1557</v>
      </c>
      <c r="D490" s="8" t="s">
        <v>1558</v>
      </c>
      <c r="E490" s="4">
        <v>334167</v>
      </c>
      <c r="G490" s="4" t="s">
        <v>479</v>
      </c>
      <c r="H490" s="6">
        <v>146.27078900000001</v>
      </c>
      <c r="I490" s="6">
        <v>-20.289152999999999</v>
      </c>
      <c r="J490" s="4" t="s">
        <v>1047</v>
      </c>
      <c r="K490" s="4" t="s">
        <v>298</v>
      </c>
      <c r="L490" s="4" t="s">
        <v>760</v>
      </c>
      <c r="M490" s="4" t="s">
        <v>1047</v>
      </c>
      <c r="Q490" s="8"/>
      <c r="R490" s="8"/>
      <c r="Z490" s="4" t="s">
        <v>476</v>
      </c>
      <c r="AA490" s="7" t="s">
        <v>1557</v>
      </c>
      <c r="AB490" s="8" t="s">
        <v>1558</v>
      </c>
      <c r="AC490" s="4" t="s">
        <v>301</v>
      </c>
      <c r="AD490" s="4" t="s">
        <v>375</v>
      </c>
      <c r="AE490" s="8">
        <v>288</v>
      </c>
      <c r="AF490" s="8">
        <v>6</v>
      </c>
      <c r="AG490" s="9" t="s">
        <v>379</v>
      </c>
      <c r="AH490" s="9" t="s">
        <v>483</v>
      </c>
      <c r="AI490" s="9" t="s">
        <v>373</v>
      </c>
      <c r="AJ490" s="9" t="s">
        <v>306</v>
      </c>
      <c r="AK490" s="9" t="s">
        <v>307</v>
      </c>
      <c r="AL490" s="9" t="s">
        <v>337</v>
      </c>
      <c r="AM490" s="8">
        <v>4</v>
      </c>
      <c r="AN490" s="4" t="s">
        <v>381</v>
      </c>
      <c r="AO490" s="4" t="s">
        <v>382</v>
      </c>
      <c r="AP490" s="4" t="s">
        <v>383</v>
      </c>
      <c r="AQ490" s="7" t="s">
        <v>384</v>
      </c>
      <c r="AR490" s="8" t="s">
        <v>433</v>
      </c>
      <c r="AS490" s="7">
        <v>0</v>
      </c>
      <c r="AT490" s="7">
        <v>0</v>
      </c>
      <c r="AU490" s="9" t="s">
        <v>303</v>
      </c>
      <c r="AV490" s="9" t="s">
        <v>406</v>
      </c>
      <c r="BA490" s="8">
        <v>5</v>
      </c>
      <c r="DZ490" s="31"/>
      <c r="EK490" s="10">
        <f>2.3*31.1/1000</f>
        <v>7.1529999999999996E-2</v>
      </c>
      <c r="EL490" s="8">
        <f>(2.5+0.04)*31.1</f>
        <v>78.994</v>
      </c>
      <c r="EY490" s="6"/>
      <c r="FA490" s="6"/>
      <c r="GP490" s="32"/>
      <c r="GY490" s="6" t="s">
        <v>309</v>
      </c>
      <c r="GZ490" s="6" t="s">
        <v>436</v>
      </c>
      <c r="HB490" s="6" t="s">
        <v>462</v>
      </c>
      <c r="HC490" s="6" t="s">
        <v>1920</v>
      </c>
      <c r="HD490" s="8" t="s">
        <v>5717</v>
      </c>
      <c r="HE490" s="8">
        <v>12888</v>
      </c>
      <c r="HF490" s="8" t="s">
        <v>5718</v>
      </c>
      <c r="HG490" s="9" t="s">
        <v>493</v>
      </c>
      <c r="HH490" s="8" t="s">
        <v>5719</v>
      </c>
      <c r="HI490" s="8">
        <v>12888</v>
      </c>
      <c r="HJ490" s="8" t="s">
        <v>5720</v>
      </c>
      <c r="HK490" s="9" t="s">
        <v>493</v>
      </c>
      <c r="HL490" s="9" t="s">
        <v>5721</v>
      </c>
      <c r="HM490" s="8">
        <v>12888</v>
      </c>
      <c r="HN490" s="9" t="s">
        <v>5722</v>
      </c>
      <c r="HO490" s="9" t="s">
        <v>493</v>
      </c>
      <c r="HY490" s="9"/>
      <c r="IB490" s="8" t="s">
        <v>5723</v>
      </c>
      <c r="IC490" s="8">
        <v>25906</v>
      </c>
      <c r="ID490" s="8" t="s">
        <v>5724</v>
      </c>
      <c r="IE490" s="8" t="s">
        <v>466</v>
      </c>
      <c r="IF490" s="8" t="s">
        <v>445</v>
      </c>
      <c r="IG490" s="8" t="s">
        <v>5725</v>
      </c>
      <c r="II490" s="8" t="s">
        <v>2476</v>
      </c>
      <c r="IK490" s="8" t="s">
        <v>445</v>
      </c>
      <c r="IL490" s="8" t="s">
        <v>5726</v>
      </c>
      <c r="IN490" s="8" t="s">
        <v>2697</v>
      </c>
      <c r="IO490" s="8"/>
      <c r="IP490" s="8" t="s">
        <v>445</v>
      </c>
      <c r="IQ490" s="9" t="s">
        <v>5727</v>
      </c>
      <c r="IR490" s="9"/>
      <c r="IS490" s="9" t="s">
        <v>5728</v>
      </c>
      <c r="IT490" s="9" t="s">
        <v>493</v>
      </c>
      <c r="IU490" s="9" t="s">
        <v>445</v>
      </c>
      <c r="IV490" s="9" t="s">
        <v>5729</v>
      </c>
      <c r="IX490" s="9" t="s">
        <v>5730</v>
      </c>
      <c r="IY490" s="9" t="s">
        <v>493</v>
      </c>
      <c r="IZ490" s="9" t="s">
        <v>445</v>
      </c>
      <c r="JA490" s="9" t="s">
        <v>5731</v>
      </c>
      <c r="JC490" s="9" t="s">
        <v>5731</v>
      </c>
      <c r="JD490" s="9" t="s">
        <v>493</v>
      </c>
      <c r="JE490" s="9" t="s">
        <v>350</v>
      </c>
      <c r="JV490" s="7" t="s">
        <v>5732</v>
      </c>
      <c r="JX490" s="7" t="s">
        <v>320</v>
      </c>
      <c r="KG490" s="4" t="s">
        <v>1894</v>
      </c>
      <c r="KH490" s="4" t="s">
        <v>5437</v>
      </c>
      <c r="KM490" s="4" t="s">
        <v>391</v>
      </c>
      <c r="KN490" s="4" t="s">
        <v>391</v>
      </c>
      <c r="KO490" s="4" t="s">
        <v>445</v>
      </c>
      <c r="KP490" s="5" t="s">
        <v>358</v>
      </c>
      <c r="KQ490" s="5" t="s">
        <v>5733</v>
      </c>
      <c r="KR490" s="5" t="s">
        <v>5734</v>
      </c>
      <c r="KS490" s="5" t="s">
        <v>5735</v>
      </c>
      <c r="KT490" s="5" t="s">
        <v>5736</v>
      </c>
    </row>
    <row r="491" spans="1:306" ht="84" x14ac:dyDescent="0.25">
      <c r="A491" s="5" t="s">
        <v>5894</v>
      </c>
      <c r="B491" s="4" t="s">
        <v>476</v>
      </c>
      <c r="C491" s="7" t="s">
        <v>1557</v>
      </c>
      <c r="D491" s="8" t="s">
        <v>1558</v>
      </c>
      <c r="E491" s="4">
        <v>334724</v>
      </c>
      <c r="G491" s="4" t="s">
        <v>479</v>
      </c>
      <c r="H491" s="6">
        <v>151.76410000000001</v>
      </c>
      <c r="I491" s="6">
        <v>-25.2713</v>
      </c>
      <c r="K491" s="4" t="s">
        <v>298</v>
      </c>
      <c r="L491" s="4" t="s">
        <v>552</v>
      </c>
      <c r="Q491" s="8"/>
      <c r="Z491" s="4" t="s">
        <v>476</v>
      </c>
      <c r="AA491" s="7" t="s">
        <v>1557</v>
      </c>
      <c r="AB491" s="8" t="s">
        <v>1558</v>
      </c>
      <c r="AC491" s="4" t="s">
        <v>301</v>
      </c>
      <c r="AD491" s="4" t="s">
        <v>375</v>
      </c>
      <c r="AE491" s="8">
        <v>233</v>
      </c>
      <c r="AG491" s="9" t="s">
        <v>379</v>
      </c>
      <c r="AH491" s="9" t="s">
        <v>429</v>
      </c>
      <c r="AI491" s="9" t="s">
        <v>845</v>
      </c>
      <c r="AJ491" s="9" t="s">
        <v>1238</v>
      </c>
      <c r="AM491" s="8">
        <v>3</v>
      </c>
      <c r="AN491" s="4" t="s">
        <v>381</v>
      </c>
      <c r="AO491" s="4" t="s">
        <v>402</v>
      </c>
      <c r="AP491" s="4" t="s">
        <v>383</v>
      </c>
      <c r="AQ491" s="7" t="s">
        <v>384</v>
      </c>
      <c r="AR491" s="8" t="s">
        <v>433</v>
      </c>
      <c r="AS491" s="7">
        <v>0</v>
      </c>
      <c r="AT491" s="7">
        <v>0</v>
      </c>
      <c r="AU491" s="9" t="s">
        <v>303</v>
      </c>
      <c r="AV491" s="9" t="s">
        <v>406</v>
      </c>
      <c r="BA491" s="8">
        <v>5</v>
      </c>
      <c r="BP491" s="7">
        <v>95.23</v>
      </c>
      <c r="BV491" s="6">
        <v>0.87</v>
      </c>
      <c r="DZ491" s="31"/>
      <c r="EK491" s="6">
        <f>31.1*699428/1000000</f>
        <v>21.7522108</v>
      </c>
      <c r="EL491" s="7">
        <f>BP491*BV491</f>
        <v>82.850099999999998</v>
      </c>
      <c r="GP491" s="32"/>
      <c r="GY491" s="6" t="s">
        <v>435</v>
      </c>
      <c r="GZ491" s="6" t="s">
        <v>2504</v>
      </c>
      <c r="HC491" s="6" t="s">
        <v>5895</v>
      </c>
      <c r="HD491" s="8" t="s">
        <v>5896</v>
      </c>
      <c r="HE491" s="8">
        <v>27670</v>
      </c>
      <c r="HF491" s="8" t="s">
        <v>5897</v>
      </c>
      <c r="HG491" s="9" t="s">
        <v>5898</v>
      </c>
      <c r="HH491" s="9" t="s">
        <v>5899</v>
      </c>
      <c r="HJ491" s="9" t="s">
        <v>5900</v>
      </c>
      <c r="HK491" s="9" t="s">
        <v>5898</v>
      </c>
      <c r="IB491" s="8" t="s">
        <v>5896</v>
      </c>
      <c r="IC491" s="8">
        <v>27670</v>
      </c>
      <c r="ID491" s="8" t="s">
        <v>5897</v>
      </c>
      <c r="IE491" s="9" t="s">
        <v>5898</v>
      </c>
      <c r="IF491" s="8" t="s">
        <v>445</v>
      </c>
      <c r="IG491" s="9" t="s">
        <v>5899</v>
      </c>
      <c r="II491" s="9" t="s">
        <v>5900</v>
      </c>
      <c r="IJ491" s="9" t="s">
        <v>5898</v>
      </c>
      <c r="IK491" s="8" t="s">
        <v>445</v>
      </c>
      <c r="IN491" s="9" t="s">
        <v>2476</v>
      </c>
      <c r="IP491" s="9" t="s">
        <v>350</v>
      </c>
      <c r="IS491" s="9" t="s">
        <v>5662</v>
      </c>
      <c r="IU491" s="9" t="s">
        <v>350</v>
      </c>
      <c r="JV491" s="7" t="s">
        <v>5901</v>
      </c>
      <c r="JX491" s="7" t="s">
        <v>320</v>
      </c>
      <c r="KG491" s="4" t="s">
        <v>323</v>
      </c>
      <c r="KP491" s="5" t="s">
        <v>358</v>
      </c>
      <c r="KQ491" s="5" t="s">
        <v>5902</v>
      </c>
      <c r="KR491" s="5" t="s">
        <v>5903</v>
      </c>
      <c r="KS491" s="5" t="s">
        <v>5904</v>
      </c>
      <c r="KT491" s="5" t="s">
        <v>5905</v>
      </c>
    </row>
    <row r="492" spans="1:306" ht="36" x14ac:dyDescent="0.25">
      <c r="A492" s="5" t="s">
        <v>5924</v>
      </c>
      <c r="B492" s="4" t="s">
        <v>476</v>
      </c>
      <c r="C492" s="7" t="s">
        <v>1557</v>
      </c>
      <c r="D492" s="8" t="s">
        <v>1558</v>
      </c>
      <c r="G492" s="4" t="s">
        <v>479</v>
      </c>
      <c r="H492" s="6">
        <v>144.63909669</v>
      </c>
      <c r="I492" s="6">
        <v>-18.879129321699999</v>
      </c>
      <c r="J492" s="4" t="s">
        <v>5925</v>
      </c>
      <c r="K492" s="4" t="s">
        <v>298</v>
      </c>
      <c r="L492" s="4" t="s">
        <v>760</v>
      </c>
      <c r="M492" s="4" t="s">
        <v>1047</v>
      </c>
      <c r="Q492" s="7"/>
      <c r="R492" s="7"/>
      <c r="Z492" s="4" t="s">
        <v>476</v>
      </c>
      <c r="AA492" s="7" t="s">
        <v>1557</v>
      </c>
      <c r="AB492" s="8" t="s">
        <v>1558</v>
      </c>
      <c r="AC492" s="4" t="s">
        <v>301</v>
      </c>
      <c r="AD492" s="4" t="s">
        <v>375</v>
      </c>
      <c r="AE492" s="7">
        <v>318.17002204351661</v>
      </c>
      <c r="AF492" s="7">
        <v>1.5908501102175832</v>
      </c>
      <c r="AG492" s="9" t="s">
        <v>303</v>
      </c>
      <c r="AH492" s="9" t="s">
        <v>304</v>
      </c>
      <c r="AI492" s="9" t="s">
        <v>598</v>
      </c>
      <c r="AJ492" s="9" t="s">
        <v>599</v>
      </c>
      <c r="AK492" s="9" t="s">
        <v>600</v>
      </c>
      <c r="AM492" s="8">
        <v>5</v>
      </c>
      <c r="DZ492" s="31"/>
      <c r="GP492" s="32"/>
      <c r="GY492" s="6" t="s">
        <v>407</v>
      </c>
      <c r="HF492" s="8" t="s">
        <v>5926</v>
      </c>
      <c r="ID492" s="8" t="s">
        <v>5926</v>
      </c>
      <c r="IF492" s="8" t="s">
        <v>445</v>
      </c>
      <c r="II492" s="8" t="s">
        <v>5927</v>
      </c>
      <c r="JV492" s="7" t="s">
        <v>5928</v>
      </c>
      <c r="JX492" s="7" t="s">
        <v>320</v>
      </c>
      <c r="KG492" s="4" t="s">
        <v>323</v>
      </c>
      <c r="KP492" s="5" t="s">
        <v>768</v>
      </c>
      <c r="KQ492" s="18" t="s">
        <v>5929</v>
      </c>
      <c r="KR492" s="5" t="s">
        <v>768</v>
      </c>
    </row>
    <row r="493" spans="1:306" ht="72" x14ac:dyDescent="0.2">
      <c r="A493" s="5" t="s">
        <v>5950</v>
      </c>
      <c r="B493" s="4" t="s">
        <v>476</v>
      </c>
      <c r="C493" s="7" t="s">
        <v>1557</v>
      </c>
      <c r="D493" s="8" t="s">
        <v>1558</v>
      </c>
      <c r="E493" s="44">
        <v>859619</v>
      </c>
      <c r="F493" s="4">
        <v>1162798</v>
      </c>
      <c r="G493" s="4" t="s">
        <v>479</v>
      </c>
      <c r="H493" s="6">
        <v>143.43455299999999</v>
      </c>
      <c r="I493" s="6">
        <v>-18.253779999999999</v>
      </c>
      <c r="K493" s="4" t="s">
        <v>481</v>
      </c>
      <c r="L493" s="4" t="s">
        <v>482</v>
      </c>
      <c r="Q493" s="7"/>
      <c r="R493" s="7"/>
      <c r="Z493" s="4" t="s">
        <v>476</v>
      </c>
      <c r="AA493" s="7" t="s">
        <v>1557</v>
      </c>
      <c r="AB493" s="8" t="s">
        <v>1558</v>
      </c>
      <c r="AC493" s="4" t="s">
        <v>301</v>
      </c>
      <c r="AD493" s="4" t="s">
        <v>302</v>
      </c>
      <c r="AE493" s="7">
        <v>289.39999999999998</v>
      </c>
      <c r="AF493" s="7">
        <v>1.3</v>
      </c>
      <c r="AG493" s="9" t="s">
        <v>303</v>
      </c>
      <c r="AH493" s="9" t="s">
        <v>304</v>
      </c>
      <c r="AI493" s="9" t="s">
        <v>598</v>
      </c>
      <c r="AJ493" s="9" t="s">
        <v>599</v>
      </c>
      <c r="AK493" s="9" t="s">
        <v>600</v>
      </c>
      <c r="AM493" s="8">
        <v>5</v>
      </c>
      <c r="AS493" s="7"/>
      <c r="AT493" s="7"/>
      <c r="DZ493" s="31"/>
      <c r="EH493" s="17">
        <v>1.3999999999999999E-6</v>
      </c>
      <c r="EJ493" s="17">
        <v>6.4590000000000003E-4</v>
      </c>
      <c r="EK493" s="17">
        <v>9.3499999999999996E-4</v>
      </c>
      <c r="EL493" s="9">
        <v>3.0000000000000001E-3</v>
      </c>
      <c r="EY493" s="6"/>
      <c r="FA493" s="6"/>
      <c r="GP493" s="32"/>
      <c r="GY493" s="6" t="s">
        <v>309</v>
      </c>
      <c r="GZ493" s="6" t="s">
        <v>2547</v>
      </c>
      <c r="HB493" s="6" t="s">
        <v>1528</v>
      </c>
      <c r="HC493" s="6" t="s">
        <v>1920</v>
      </c>
      <c r="HD493" s="8" t="s">
        <v>5951</v>
      </c>
      <c r="HE493" s="8">
        <v>39612</v>
      </c>
      <c r="HF493" s="8" t="s">
        <v>3909</v>
      </c>
      <c r="HG493" s="9" t="s">
        <v>487</v>
      </c>
      <c r="HH493" s="9" t="s">
        <v>5952</v>
      </c>
      <c r="HI493" s="8">
        <v>26050</v>
      </c>
      <c r="HJ493" s="9" t="s">
        <v>5953</v>
      </c>
      <c r="HK493" s="9" t="s">
        <v>715</v>
      </c>
      <c r="HY493" s="9"/>
      <c r="IB493" s="8" t="s">
        <v>5951</v>
      </c>
      <c r="IC493" s="8">
        <v>39612</v>
      </c>
      <c r="ID493" s="8" t="s">
        <v>3909</v>
      </c>
      <c r="IE493" s="9" t="s">
        <v>487</v>
      </c>
      <c r="IF493" s="8" t="s">
        <v>445</v>
      </c>
      <c r="IG493" s="8" t="s">
        <v>5952</v>
      </c>
      <c r="IH493" s="8">
        <v>26050</v>
      </c>
      <c r="II493" s="8" t="s">
        <v>5953</v>
      </c>
      <c r="IJ493" s="8" t="s">
        <v>715</v>
      </c>
      <c r="IK493" s="8" t="s">
        <v>445</v>
      </c>
      <c r="IO493" s="8"/>
      <c r="IP493" s="8"/>
      <c r="IR493" s="9"/>
      <c r="JV493" s="7" t="s">
        <v>5954</v>
      </c>
      <c r="JX493" s="7" t="s">
        <v>320</v>
      </c>
      <c r="KG493" s="4" t="s">
        <v>323</v>
      </c>
      <c r="KP493" s="5" t="s">
        <v>495</v>
      </c>
      <c r="KQ493" s="5" t="s">
        <v>495</v>
      </c>
      <c r="KR493" s="5" t="s">
        <v>495</v>
      </c>
      <c r="KS493" s="5" t="s">
        <v>495</v>
      </c>
      <c r="KT493" s="5" t="s">
        <v>5955</v>
      </c>
    </row>
    <row r="494" spans="1:306" ht="84" x14ac:dyDescent="0.25">
      <c r="A494" s="5" t="s">
        <v>6005</v>
      </c>
      <c r="B494" s="4" t="s">
        <v>476</v>
      </c>
      <c r="C494" s="7" t="s">
        <v>1557</v>
      </c>
      <c r="D494" s="8" t="s">
        <v>1558</v>
      </c>
      <c r="E494" s="4">
        <v>334825</v>
      </c>
      <c r="G494" s="4" t="s">
        <v>479</v>
      </c>
      <c r="H494" s="6">
        <v>146.83199999999999</v>
      </c>
      <c r="I494" s="6">
        <v>-20.040400000000002</v>
      </c>
      <c r="J494" s="4" t="s">
        <v>6006</v>
      </c>
      <c r="K494" s="4" t="s">
        <v>298</v>
      </c>
      <c r="L494" s="4" t="s">
        <v>760</v>
      </c>
      <c r="M494" s="4" t="s">
        <v>1047</v>
      </c>
      <c r="Q494" s="8"/>
      <c r="R494" s="8"/>
      <c r="Z494" s="4" t="s">
        <v>476</v>
      </c>
      <c r="AA494" s="7" t="s">
        <v>1557</v>
      </c>
      <c r="AB494" s="8" t="s">
        <v>1558</v>
      </c>
      <c r="AC494" s="4" t="s">
        <v>301</v>
      </c>
      <c r="AE494" s="8">
        <v>303.89999999999998</v>
      </c>
      <c r="AF494" s="8">
        <v>3.8</v>
      </c>
      <c r="AG494" s="9" t="s">
        <v>379</v>
      </c>
      <c r="AH494" s="9" t="s">
        <v>483</v>
      </c>
      <c r="AI494" s="9" t="s">
        <v>373</v>
      </c>
      <c r="AJ494" s="9" t="s">
        <v>306</v>
      </c>
      <c r="AK494" s="9" t="s">
        <v>307</v>
      </c>
      <c r="AL494" s="9" t="s">
        <v>337</v>
      </c>
      <c r="AM494" s="8">
        <v>4</v>
      </c>
      <c r="DZ494" s="31"/>
      <c r="EL494" s="8">
        <v>34</v>
      </c>
      <c r="EY494" s="6"/>
      <c r="FA494" s="6"/>
      <c r="GP494" s="32"/>
      <c r="GY494" s="6" t="s">
        <v>338</v>
      </c>
      <c r="GZ494" s="6" t="s">
        <v>436</v>
      </c>
      <c r="HC494" s="6" t="s">
        <v>1766</v>
      </c>
      <c r="HD494" s="8" t="s">
        <v>6007</v>
      </c>
      <c r="HE494" s="8">
        <v>81998</v>
      </c>
      <c r="HF494" s="8" t="s">
        <v>6008</v>
      </c>
      <c r="HG494" s="9" t="s">
        <v>6009</v>
      </c>
      <c r="HH494" s="8" t="s">
        <v>6010</v>
      </c>
      <c r="HI494" s="8">
        <v>81998</v>
      </c>
      <c r="HJ494" s="8" t="s">
        <v>6011</v>
      </c>
      <c r="HK494" s="9" t="s">
        <v>6009</v>
      </c>
      <c r="HL494" s="8" t="s">
        <v>6012</v>
      </c>
      <c r="HM494" s="8">
        <v>81998</v>
      </c>
      <c r="HN494" s="8" t="s">
        <v>6013</v>
      </c>
      <c r="HO494" s="9" t="s">
        <v>6009</v>
      </c>
      <c r="HP494" s="9" t="s">
        <v>6014</v>
      </c>
      <c r="HQ494" s="8">
        <v>11840</v>
      </c>
      <c r="HR494" s="9" t="s">
        <v>6015</v>
      </c>
      <c r="HS494" s="9" t="s">
        <v>466</v>
      </c>
      <c r="HY494" s="9"/>
      <c r="IB494" s="8" t="s">
        <v>6014</v>
      </c>
      <c r="IC494" s="8">
        <v>11840</v>
      </c>
      <c r="ID494" s="8" t="s">
        <v>6015</v>
      </c>
      <c r="IE494" s="8" t="s">
        <v>466</v>
      </c>
      <c r="IF494" s="8" t="s">
        <v>445</v>
      </c>
      <c r="IG494" s="8" t="s">
        <v>6016</v>
      </c>
      <c r="II494" s="8" t="s">
        <v>6017</v>
      </c>
      <c r="IJ494" s="8" t="s">
        <v>6018</v>
      </c>
      <c r="IK494" s="8" t="s">
        <v>445</v>
      </c>
      <c r="IL494" s="8" t="s">
        <v>6019</v>
      </c>
      <c r="IM494" s="8">
        <v>81998</v>
      </c>
      <c r="IN494" s="8" t="s">
        <v>6020</v>
      </c>
      <c r="IO494" s="8" t="s">
        <v>6009</v>
      </c>
      <c r="IP494" s="8" t="s">
        <v>445</v>
      </c>
      <c r="IQ494" s="8" t="s">
        <v>6007</v>
      </c>
      <c r="IR494" s="8">
        <v>81998</v>
      </c>
      <c r="IS494" s="8" t="s">
        <v>6008</v>
      </c>
      <c r="IT494" s="8" t="s">
        <v>6009</v>
      </c>
      <c r="IU494" s="8" t="s">
        <v>445</v>
      </c>
      <c r="IV494" s="8" t="s">
        <v>6010</v>
      </c>
      <c r="IW494" s="8">
        <v>81998</v>
      </c>
      <c r="IX494" s="8" t="s">
        <v>6011</v>
      </c>
      <c r="IY494" s="9" t="s">
        <v>6009</v>
      </c>
      <c r="IZ494" s="9" t="s">
        <v>445</v>
      </c>
      <c r="JA494" s="8" t="s">
        <v>6021</v>
      </c>
      <c r="JB494" s="8">
        <v>81998</v>
      </c>
      <c r="JC494" s="8" t="s">
        <v>6022</v>
      </c>
      <c r="JD494" s="8" t="s">
        <v>6009</v>
      </c>
      <c r="JE494" s="8" t="s">
        <v>329</v>
      </c>
      <c r="JF494" s="8"/>
      <c r="JG494" s="8"/>
      <c r="JH494" s="8"/>
      <c r="JI494" s="8"/>
      <c r="JJ494" s="8"/>
      <c r="JK494" s="8"/>
      <c r="JL494" s="8"/>
      <c r="JM494" s="8"/>
      <c r="JN494" s="8"/>
      <c r="JO494" s="8"/>
      <c r="JP494" s="8"/>
      <c r="JQ494" s="8"/>
      <c r="JR494" s="8"/>
      <c r="JS494" s="8"/>
      <c r="JT494" s="8"/>
      <c r="JV494" s="7" t="s">
        <v>6023</v>
      </c>
      <c r="JX494" s="7" t="s">
        <v>320</v>
      </c>
      <c r="JY494" s="7" t="s">
        <v>354</v>
      </c>
      <c r="JZ494" s="7" t="s">
        <v>738</v>
      </c>
      <c r="KA494" s="7" t="s">
        <v>354</v>
      </c>
      <c r="KB494" s="7" t="s">
        <v>322</v>
      </c>
      <c r="KG494" s="4" t="s">
        <v>323</v>
      </c>
      <c r="KP494" s="5" t="s">
        <v>358</v>
      </c>
      <c r="KQ494" s="5" t="s">
        <v>6024</v>
      </c>
      <c r="KR494" s="5" t="s">
        <v>5734</v>
      </c>
      <c r="KS494" s="5" t="s">
        <v>6025</v>
      </c>
      <c r="KT494" s="5" t="s">
        <v>6026</v>
      </c>
    </row>
    <row r="495" spans="1:306" ht="84" x14ac:dyDescent="0.2">
      <c r="A495" s="5" t="s">
        <v>6111</v>
      </c>
      <c r="B495" s="4" t="s">
        <v>476</v>
      </c>
      <c r="C495" s="7" t="s">
        <v>1557</v>
      </c>
      <c r="D495" s="8" t="s">
        <v>1558</v>
      </c>
      <c r="E495" s="44">
        <v>859621</v>
      </c>
      <c r="F495" s="4">
        <v>440222</v>
      </c>
      <c r="G495" s="4" t="s">
        <v>773</v>
      </c>
      <c r="H495" s="6">
        <v>144.4853</v>
      </c>
      <c r="I495" s="6">
        <v>-36.960999999999999</v>
      </c>
      <c r="J495" s="4" t="s">
        <v>6112</v>
      </c>
      <c r="K495" s="4" t="s">
        <v>298</v>
      </c>
      <c r="L495" s="4" t="s">
        <v>299</v>
      </c>
      <c r="M495" s="4" t="s">
        <v>775</v>
      </c>
      <c r="N495" s="4" t="s">
        <v>2417</v>
      </c>
      <c r="Q495" s="7"/>
      <c r="R495" s="7"/>
      <c r="Z495" s="4" t="s">
        <v>476</v>
      </c>
      <c r="AA495" s="7" t="s">
        <v>1557</v>
      </c>
      <c r="AB495" s="8" t="s">
        <v>1558</v>
      </c>
      <c r="AC495" s="4" t="s">
        <v>301</v>
      </c>
      <c r="AD495" s="4" t="s">
        <v>302</v>
      </c>
      <c r="AE495" s="7">
        <v>370.3</v>
      </c>
      <c r="AF495" s="7">
        <v>1.3</v>
      </c>
      <c r="AG495" s="9" t="s">
        <v>303</v>
      </c>
      <c r="AH495" s="9" t="s">
        <v>304</v>
      </c>
      <c r="AI495" s="9" t="s">
        <v>598</v>
      </c>
      <c r="AJ495" s="9" t="s">
        <v>599</v>
      </c>
      <c r="AK495" s="9" t="s">
        <v>600</v>
      </c>
      <c r="AM495" s="8">
        <v>5</v>
      </c>
      <c r="CT495" s="9"/>
      <c r="DZ495" s="31"/>
      <c r="GP495" s="32"/>
      <c r="GY495" s="6" t="s">
        <v>407</v>
      </c>
      <c r="HD495" s="8" t="s">
        <v>2050</v>
      </c>
      <c r="HE495" s="8">
        <v>8069</v>
      </c>
      <c r="HF495" s="8" t="s">
        <v>2051</v>
      </c>
      <c r="HG495" s="9" t="s">
        <v>318</v>
      </c>
      <c r="IB495" s="8" t="s">
        <v>2050</v>
      </c>
      <c r="IC495" s="8">
        <v>8069</v>
      </c>
      <c r="ID495" s="8" t="s">
        <v>2051</v>
      </c>
      <c r="IE495" s="9" t="s">
        <v>318</v>
      </c>
      <c r="IF495" s="8" t="s">
        <v>319</v>
      </c>
      <c r="JV495" s="7" t="s">
        <v>6113</v>
      </c>
      <c r="JW495" s="7" t="s">
        <v>644</v>
      </c>
      <c r="JX495" s="7" t="s">
        <v>320</v>
      </c>
      <c r="JY495" s="7" t="s">
        <v>354</v>
      </c>
      <c r="JZ495" s="7" t="s">
        <v>322</v>
      </c>
      <c r="KP495" s="5" t="s">
        <v>768</v>
      </c>
      <c r="KQ495" s="5" t="s">
        <v>6114</v>
      </c>
      <c r="KR495" s="5" t="s">
        <v>6115</v>
      </c>
      <c r="KT495" s="5" t="s">
        <v>6116</v>
      </c>
    </row>
    <row r="496" spans="1:306" ht="36" x14ac:dyDescent="0.25">
      <c r="A496" s="5" t="s">
        <v>6006</v>
      </c>
      <c r="B496" s="4" t="s">
        <v>476</v>
      </c>
      <c r="C496" s="7" t="s">
        <v>1557</v>
      </c>
      <c r="D496" s="8" t="s">
        <v>1558</v>
      </c>
      <c r="E496" s="4">
        <v>336045</v>
      </c>
      <c r="G496" s="4" t="s">
        <v>479</v>
      </c>
      <c r="H496" s="6">
        <v>146.87889899999999</v>
      </c>
      <c r="I496" s="6">
        <v>-20.098465000000001</v>
      </c>
      <c r="J496" s="4" t="s">
        <v>6006</v>
      </c>
      <c r="K496" s="4" t="s">
        <v>298</v>
      </c>
      <c r="L496" s="4" t="s">
        <v>760</v>
      </c>
      <c r="M496" s="4" t="s">
        <v>1047</v>
      </c>
      <c r="Q496" s="7"/>
      <c r="R496" s="7"/>
      <c r="Z496" s="4" t="s">
        <v>476</v>
      </c>
      <c r="AA496" s="7" t="s">
        <v>1557</v>
      </c>
      <c r="AB496" s="8" t="s">
        <v>1558</v>
      </c>
      <c r="AC496" s="4" t="s">
        <v>301</v>
      </c>
      <c r="AD496" s="4" t="s">
        <v>375</v>
      </c>
      <c r="AE496" s="7">
        <v>310.8</v>
      </c>
      <c r="AF496" s="7">
        <v>1.6</v>
      </c>
      <c r="AG496" s="9" t="s">
        <v>379</v>
      </c>
      <c r="AH496" s="9" t="s">
        <v>429</v>
      </c>
      <c r="AI496" s="9" t="s">
        <v>430</v>
      </c>
      <c r="AJ496" s="9" t="s">
        <v>1238</v>
      </c>
      <c r="AM496" s="8">
        <v>4</v>
      </c>
      <c r="AN496" s="4" t="s">
        <v>381</v>
      </c>
      <c r="AO496" s="4" t="s">
        <v>382</v>
      </c>
      <c r="AP496" s="4" t="s">
        <v>383</v>
      </c>
      <c r="AQ496" s="7" t="s">
        <v>384</v>
      </c>
      <c r="AR496" s="8" t="s">
        <v>433</v>
      </c>
      <c r="AS496" s="7">
        <v>0</v>
      </c>
      <c r="AT496" s="7">
        <v>0</v>
      </c>
      <c r="AU496" s="9" t="s">
        <v>303</v>
      </c>
      <c r="AV496" s="9" t="s">
        <v>406</v>
      </c>
      <c r="BA496" s="8">
        <v>5</v>
      </c>
      <c r="BB496" s="4" t="s">
        <v>381</v>
      </c>
      <c r="BC496" s="4" t="s">
        <v>382</v>
      </c>
      <c r="BD496" s="4" t="s">
        <v>383</v>
      </c>
      <c r="BE496" s="7" t="s">
        <v>403</v>
      </c>
      <c r="BF496" s="8" t="s">
        <v>434</v>
      </c>
      <c r="BG496" s="7">
        <v>0</v>
      </c>
      <c r="BH496" s="7">
        <v>0</v>
      </c>
      <c r="BI496" s="9" t="s">
        <v>303</v>
      </c>
      <c r="BJ496" s="9" t="s">
        <v>406</v>
      </c>
      <c r="BO496" s="8">
        <v>5</v>
      </c>
      <c r="DZ496" s="31"/>
      <c r="EL496" s="8">
        <v>230</v>
      </c>
      <c r="EY496" s="6"/>
      <c r="FA496" s="6"/>
      <c r="GP496" s="32"/>
      <c r="GY496" s="6" t="s">
        <v>338</v>
      </c>
      <c r="GZ496" s="6" t="s">
        <v>436</v>
      </c>
      <c r="HC496" s="6" t="s">
        <v>1766</v>
      </c>
      <c r="HD496" s="8" t="s">
        <v>6820</v>
      </c>
      <c r="HE496" s="8">
        <v>34691</v>
      </c>
      <c r="HF496" s="8" t="s">
        <v>6821</v>
      </c>
      <c r="HG496" s="9" t="s">
        <v>1025</v>
      </c>
      <c r="HY496" s="9"/>
      <c r="IB496" s="8" t="s">
        <v>6820</v>
      </c>
      <c r="IC496" s="8">
        <v>34691</v>
      </c>
      <c r="ID496" s="8" t="s">
        <v>6821</v>
      </c>
      <c r="IE496" s="9" t="s">
        <v>1025</v>
      </c>
      <c r="IF496" s="8" t="s">
        <v>445</v>
      </c>
      <c r="IG496" s="8" t="s">
        <v>2038</v>
      </c>
      <c r="II496" s="8" t="s">
        <v>6822</v>
      </c>
      <c r="IJ496" s="8" t="s">
        <v>1025</v>
      </c>
      <c r="IK496" s="8" t="s">
        <v>445</v>
      </c>
      <c r="IN496" s="9" t="s">
        <v>5662</v>
      </c>
      <c r="IP496" s="9" t="s">
        <v>329</v>
      </c>
      <c r="IR496" s="9"/>
      <c r="JV496" s="7" t="s">
        <v>6823</v>
      </c>
      <c r="JX496" s="7" t="s">
        <v>320</v>
      </c>
      <c r="JY496" s="7" t="s">
        <v>354</v>
      </c>
      <c r="JZ496" s="7" t="s">
        <v>322</v>
      </c>
      <c r="KA496" s="7" t="s">
        <v>321</v>
      </c>
      <c r="KB496" s="7" t="s">
        <v>738</v>
      </c>
      <c r="KG496" s="4" t="s">
        <v>323</v>
      </c>
      <c r="KP496" s="5" t="s">
        <v>358</v>
      </c>
      <c r="KQ496" s="5" t="s">
        <v>6024</v>
      </c>
      <c r="KR496" s="5" t="s">
        <v>5734</v>
      </c>
      <c r="KS496" s="5" t="s">
        <v>6025</v>
      </c>
      <c r="KT496" s="5" t="s">
        <v>6824</v>
      </c>
    </row>
    <row r="497" spans="1:306" ht="96" x14ac:dyDescent="0.2">
      <c r="A497" s="5" t="s">
        <v>6926</v>
      </c>
      <c r="B497" s="4" t="s">
        <v>476</v>
      </c>
      <c r="C497" s="7" t="s">
        <v>1557</v>
      </c>
      <c r="D497" s="8" t="s">
        <v>1558</v>
      </c>
      <c r="E497" s="44">
        <v>859657</v>
      </c>
      <c r="G497" s="4" t="s">
        <v>479</v>
      </c>
      <c r="H497" s="6">
        <v>143.63</v>
      </c>
      <c r="I497" s="6">
        <v>-18.850000000000001</v>
      </c>
      <c r="K497" s="4" t="s">
        <v>481</v>
      </c>
      <c r="L497" s="4" t="s">
        <v>482</v>
      </c>
      <c r="Q497" s="7"/>
      <c r="R497" s="7"/>
      <c r="Z497" s="4" t="s">
        <v>476</v>
      </c>
      <c r="AA497" s="7" t="s">
        <v>1557</v>
      </c>
      <c r="AB497" s="8" t="s">
        <v>1558</v>
      </c>
      <c r="AC497" s="4" t="s">
        <v>301</v>
      </c>
      <c r="AE497" s="7">
        <v>276.8</v>
      </c>
      <c r="AF497" s="7">
        <v>6.4</v>
      </c>
      <c r="AG497" s="9" t="s">
        <v>379</v>
      </c>
      <c r="AH497" s="9" t="s">
        <v>429</v>
      </c>
      <c r="AI497" s="9" t="s">
        <v>430</v>
      </c>
      <c r="AJ497" s="9" t="s">
        <v>1238</v>
      </c>
      <c r="AM497" s="8">
        <v>3</v>
      </c>
      <c r="AS497" s="7"/>
      <c r="AT497" s="7"/>
      <c r="DZ497" s="31"/>
      <c r="EL497" s="6">
        <v>2.5999999999999999E-2</v>
      </c>
      <c r="EY497" s="6"/>
      <c r="FA497" s="6"/>
      <c r="GP497" s="32"/>
      <c r="GY497" s="6" t="s">
        <v>309</v>
      </c>
      <c r="GZ497" s="6" t="s">
        <v>436</v>
      </c>
      <c r="HC497" s="6" t="s">
        <v>1766</v>
      </c>
      <c r="HD497" s="8" t="s">
        <v>3467</v>
      </c>
      <c r="HE497" s="8">
        <v>26300</v>
      </c>
      <c r="HF497" s="8" t="s">
        <v>3468</v>
      </c>
      <c r="HG497" s="9" t="s">
        <v>490</v>
      </c>
      <c r="HJ497" s="9" t="s">
        <v>6927</v>
      </c>
      <c r="HN497" s="9" t="s">
        <v>6928</v>
      </c>
      <c r="HY497" s="9"/>
      <c r="ID497" s="9" t="s">
        <v>6927</v>
      </c>
      <c r="IE497" s="9"/>
      <c r="IF497" s="9" t="s">
        <v>445</v>
      </c>
      <c r="IH497" s="9"/>
      <c r="II497" s="9" t="s">
        <v>6928</v>
      </c>
      <c r="IJ497" s="8" t="s">
        <v>445</v>
      </c>
      <c r="IO497" s="8"/>
      <c r="IP497" s="8"/>
      <c r="IR497" s="9"/>
      <c r="JV497" s="7" t="s">
        <v>6929</v>
      </c>
      <c r="JX497" s="7" t="s">
        <v>320</v>
      </c>
      <c r="KG497" s="4" t="s">
        <v>323</v>
      </c>
      <c r="KP497" s="5" t="s">
        <v>495</v>
      </c>
      <c r="KQ497" s="5" t="s">
        <v>495</v>
      </c>
      <c r="KR497" s="5" t="s">
        <v>495</v>
      </c>
      <c r="KS497" s="5" t="s">
        <v>495</v>
      </c>
      <c r="KT497" s="5" t="s">
        <v>2195</v>
      </c>
    </row>
    <row r="498" spans="1:306" ht="132" x14ac:dyDescent="0.25">
      <c r="A498" s="5" t="s">
        <v>6944</v>
      </c>
      <c r="B498" s="4" t="s">
        <v>383</v>
      </c>
      <c r="C498" s="7" t="s">
        <v>403</v>
      </c>
      <c r="D498" s="8" t="s">
        <v>6330</v>
      </c>
      <c r="E498" s="4">
        <v>675898</v>
      </c>
      <c r="G498" s="4" t="s">
        <v>427</v>
      </c>
      <c r="H498" s="6">
        <v>151.46189061199999</v>
      </c>
      <c r="I498" s="6">
        <v>-30.570398841999999</v>
      </c>
      <c r="J498" s="4" t="s">
        <v>6945</v>
      </c>
      <c r="K498" s="4" t="s">
        <v>298</v>
      </c>
      <c r="L498" s="4" t="s">
        <v>552</v>
      </c>
      <c r="M498" s="4" t="s">
        <v>899</v>
      </c>
      <c r="Q498" s="7"/>
      <c r="R498" s="7"/>
      <c r="Z498" s="4" t="s">
        <v>476</v>
      </c>
      <c r="AA498" s="7" t="s">
        <v>1557</v>
      </c>
      <c r="AB498" s="8" t="s">
        <v>1558</v>
      </c>
      <c r="AC498" s="4" t="s">
        <v>301</v>
      </c>
      <c r="AD498" s="4" t="s">
        <v>402</v>
      </c>
      <c r="AE498" s="7">
        <v>250.5</v>
      </c>
      <c r="AF498" s="7">
        <v>0.85</v>
      </c>
      <c r="AG498" s="9" t="s">
        <v>379</v>
      </c>
      <c r="AH498" s="9" t="s">
        <v>429</v>
      </c>
      <c r="AI498" s="9" t="s">
        <v>845</v>
      </c>
      <c r="AJ498" s="9" t="s">
        <v>431</v>
      </c>
      <c r="AK498" s="9" t="s">
        <v>432</v>
      </c>
      <c r="AM498" s="8">
        <v>4</v>
      </c>
      <c r="AN498" s="4" t="s">
        <v>381</v>
      </c>
      <c r="AO498" s="4" t="s">
        <v>375</v>
      </c>
      <c r="AP498" s="4" t="s">
        <v>383</v>
      </c>
      <c r="AQ498" s="7" t="s">
        <v>403</v>
      </c>
      <c r="AR498" s="8" t="s">
        <v>6330</v>
      </c>
      <c r="AS498" s="8">
        <v>40</v>
      </c>
      <c r="AT498" s="7"/>
      <c r="AU498" s="9" t="s">
        <v>379</v>
      </c>
      <c r="AV498" s="9" t="s">
        <v>1156</v>
      </c>
      <c r="BA498" s="8">
        <v>3</v>
      </c>
      <c r="BB498" s="4" t="s">
        <v>381</v>
      </c>
      <c r="BC498" s="4" t="s">
        <v>382</v>
      </c>
      <c r="BD498" s="4" t="s">
        <v>383</v>
      </c>
      <c r="BE498" s="7" t="s">
        <v>403</v>
      </c>
      <c r="BF498" s="8" t="s">
        <v>434</v>
      </c>
      <c r="BG498" s="7">
        <v>0</v>
      </c>
      <c r="BH498" s="7">
        <v>0</v>
      </c>
      <c r="BI498" s="9" t="s">
        <v>303</v>
      </c>
      <c r="BJ498" s="9" t="s">
        <v>406</v>
      </c>
      <c r="BO498" s="8">
        <v>5</v>
      </c>
      <c r="BS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31"/>
      <c r="EA498" s="7"/>
      <c r="EB498" s="7"/>
      <c r="EC498" s="7"/>
      <c r="ED498" s="7"/>
      <c r="EE498" s="7"/>
      <c r="EF498" s="7"/>
      <c r="EG498" s="7"/>
      <c r="EL498" s="7">
        <v>4.3</v>
      </c>
      <c r="EY498" s="6"/>
      <c r="FA498" s="6"/>
      <c r="GP498" s="32"/>
      <c r="GY498" s="6" t="s">
        <v>309</v>
      </c>
      <c r="GZ498" s="6" t="s">
        <v>436</v>
      </c>
      <c r="HC498" s="6" t="s">
        <v>1766</v>
      </c>
      <c r="HD498" s="8" t="s">
        <v>6946</v>
      </c>
      <c r="HE498" s="8">
        <v>18971</v>
      </c>
      <c r="HF498" s="8" t="s">
        <v>6947</v>
      </c>
      <c r="HG498" s="9" t="s">
        <v>6948</v>
      </c>
      <c r="HH498" s="9" t="s">
        <v>3489</v>
      </c>
      <c r="HI498" s="8">
        <v>29113</v>
      </c>
      <c r="HJ498" s="9" t="s">
        <v>6949</v>
      </c>
      <c r="HK498" s="9" t="s">
        <v>3491</v>
      </c>
      <c r="HL498" s="9" t="s">
        <v>6950</v>
      </c>
      <c r="HM498" s="8">
        <v>9490</v>
      </c>
      <c r="HN498" s="8" t="s">
        <v>6951</v>
      </c>
      <c r="HO498" s="9" t="s">
        <v>3491</v>
      </c>
      <c r="HP498" s="9" t="s">
        <v>6952</v>
      </c>
      <c r="HQ498" s="8">
        <v>28301</v>
      </c>
      <c r="HR498" s="9" t="s">
        <v>6953</v>
      </c>
      <c r="HS498" s="9" t="s">
        <v>3650</v>
      </c>
      <c r="HV498" s="9" t="s">
        <v>1967</v>
      </c>
      <c r="HW498" s="9" t="s">
        <v>6336</v>
      </c>
      <c r="HY498" s="9"/>
      <c r="HZ498" s="8" t="s">
        <v>1967</v>
      </c>
      <c r="IA498" s="9" t="s">
        <v>412</v>
      </c>
      <c r="IB498" s="9" t="s">
        <v>3489</v>
      </c>
      <c r="IC498" s="8">
        <v>29113</v>
      </c>
      <c r="ID498" s="9" t="s">
        <v>6949</v>
      </c>
      <c r="IE498" s="9" t="s">
        <v>3491</v>
      </c>
      <c r="IF498" s="4" t="s">
        <v>445</v>
      </c>
      <c r="IG498" s="9" t="s">
        <v>6950</v>
      </c>
      <c r="IH498" s="8">
        <v>9490</v>
      </c>
      <c r="II498" s="8" t="s">
        <v>6951</v>
      </c>
      <c r="IJ498" s="9" t="s">
        <v>3491</v>
      </c>
      <c r="IK498" s="8" t="s">
        <v>445</v>
      </c>
      <c r="IL498" s="8" t="s">
        <v>6946</v>
      </c>
      <c r="IM498" s="8">
        <v>18971</v>
      </c>
      <c r="IN498" s="8" t="s">
        <v>6947</v>
      </c>
      <c r="IO498" s="9" t="s">
        <v>6948</v>
      </c>
      <c r="IP498" s="9" t="s">
        <v>319</v>
      </c>
      <c r="IW498" s="8"/>
      <c r="JB498" s="8"/>
      <c r="KP498" s="5" t="s">
        <v>6954</v>
      </c>
      <c r="KQ498" s="5" t="s">
        <v>6955</v>
      </c>
      <c r="KR498" s="5" t="s">
        <v>6956</v>
      </c>
      <c r="KS498" s="5" t="s">
        <v>6957</v>
      </c>
      <c r="KT498" s="5" t="s">
        <v>6958</v>
      </c>
    </row>
    <row r="499" spans="1:306" ht="84" x14ac:dyDescent="0.25">
      <c r="A499" s="5" t="s">
        <v>5259</v>
      </c>
      <c r="B499" s="4" t="s">
        <v>476</v>
      </c>
      <c r="C499" s="7" t="s">
        <v>1557</v>
      </c>
      <c r="D499" s="8" t="s">
        <v>1558</v>
      </c>
      <c r="E499" s="4">
        <v>335840</v>
      </c>
      <c r="G499" s="4" t="s">
        <v>330</v>
      </c>
      <c r="H499" s="6">
        <v>122.2109</v>
      </c>
      <c r="I499" s="6">
        <v>-21.7224</v>
      </c>
      <c r="J499" s="4" t="s">
        <v>5259</v>
      </c>
      <c r="K499" s="4" t="s">
        <v>1918</v>
      </c>
      <c r="L499" s="4" t="s">
        <v>580</v>
      </c>
      <c r="M499" s="4" t="s">
        <v>1919</v>
      </c>
      <c r="Q499" s="8"/>
      <c r="R499" s="8"/>
      <c r="Z499" s="4" t="s">
        <v>476</v>
      </c>
      <c r="AA499" s="7" t="s">
        <v>1557</v>
      </c>
      <c r="AB499" s="8" t="s">
        <v>1558</v>
      </c>
      <c r="AC499" s="4" t="s">
        <v>301</v>
      </c>
      <c r="AD499" s="4" t="s">
        <v>375</v>
      </c>
      <c r="AE499" s="8">
        <v>645</v>
      </c>
      <c r="AF499" s="8">
        <v>7</v>
      </c>
      <c r="AG499" s="9" t="s">
        <v>379</v>
      </c>
      <c r="AH499" s="9" t="s">
        <v>335</v>
      </c>
      <c r="AI499" s="9" t="s">
        <v>504</v>
      </c>
      <c r="AJ499" s="9" t="s">
        <v>306</v>
      </c>
      <c r="AK499" s="9" t="s">
        <v>307</v>
      </c>
      <c r="AL499" s="9" t="s">
        <v>1295</v>
      </c>
      <c r="AM499" s="8">
        <v>4</v>
      </c>
      <c r="AS499" s="8"/>
      <c r="AT499" s="8"/>
      <c r="BG499" s="8"/>
      <c r="BH499" s="8"/>
      <c r="DZ499" s="31"/>
      <c r="EH499" s="6">
        <v>0.75</v>
      </c>
      <c r="EL499" s="8">
        <v>701</v>
      </c>
      <c r="FA499" s="6"/>
      <c r="GP499" s="32"/>
      <c r="GY499" s="6" t="s">
        <v>435</v>
      </c>
      <c r="GZ499" s="6" t="s">
        <v>436</v>
      </c>
      <c r="HA499" s="6" t="s">
        <v>994</v>
      </c>
      <c r="HC499" s="6" t="s">
        <v>7508</v>
      </c>
      <c r="HD499" s="8" t="s">
        <v>1921</v>
      </c>
      <c r="HE499" s="8">
        <v>11133</v>
      </c>
      <c r="HF499" s="8" t="s">
        <v>1922</v>
      </c>
      <c r="HG499" s="9" t="s">
        <v>876</v>
      </c>
      <c r="IB499" s="8" t="s">
        <v>7509</v>
      </c>
      <c r="ID499" s="8" t="s">
        <v>7510</v>
      </c>
      <c r="IE499" s="8" t="s">
        <v>876</v>
      </c>
      <c r="IF499" s="8" t="s">
        <v>319</v>
      </c>
      <c r="IM499" s="9"/>
      <c r="IR499" s="9"/>
      <c r="JV499" s="7" t="s">
        <v>7511</v>
      </c>
      <c r="JW499" s="7" t="s">
        <v>2718</v>
      </c>
      <c r="JX499" s="7" t="s">
        <v>320</v>
      </c>
      <c r="KG499" s="4" t="s">
        <v>323</v>
      </c>
      <c r="KM499" s="4" t="s">
        <v>391</v>
      </c>
      <c r="KN499" s="4" t="s">
        <v>391</v>
      </c>
      <c r="KP499" s="5" t="s">
        <v>358</v>
      </c>
      <c r="KQ499" s="5" t="s">
        <v>7512</v>
      </c>
      <c r="KR499" s="5" t="s">
        <v>7513</v>
      </c>
      <c r="KS499" s="5" t="s">
        <v>7514</v>
      </c>
      <c r="KT499" s="5" t="s">
        <v>7515</v>
      </c>
    </row>
    <row r="500" spans="1:306" ht="120" x14ac:dyDescent="0.25">
      <c r="A500" s="5" t="s">
        <v>7590</v>
      </c>
      <c r="B500" s="4" t="s">
        <v>476</v>
      </c>
      <c r="C500" s="7" t="s">
        <v>1557</v>
      </c>
      <c r="D500" s="8" t="s">
        <v>1558</v>
      </c>
      <c r="E500" s="4">
        <v>337553</v>
      </c>
      <c r="G500" s="4" t="s">
        <v>427</v>
      </c>
      <c r="H500" s="6">
        <v>152.324217635</v>
      </c>
      <c r="I500" s="6">
        <v>-29.135402911</v>
      </c>
      <c r="J500" s="4" t="s">
        <v>7591</v>
      </c>
      <c r="K500" s="4" t="s">
        <v>298</v>
      </c>
      <c r="L500" s="4" t="s">
        <v>552</v>
      </c>
      <c r="M500" s="4" t="s">
        <v>899</v>
      </c>
      <c r="Q500" s="8"/>
      <c r="R500" s="7"/>
      <c r="S500" s="4"/>
      <c r="Z500" s="4" t="s">
        <v>476</v>
      </c>
      <c r="AA500" s="7" t="s">
        <v>1557</v>
      </c>
      <c r="AB500" s="8" t="s">
        <v>1558</v>
      </c>
      <c r="AC500" s="4" t="s">
        <v>301</v>
      </c>
      <c r="AD500" s="4" t="s">
        <v>375</v>
      </c>
      <c r="AE500" s="8">
        <v>249</v>
      </c>
      <c r="AF500" s="7"/>
      <c r="AG500" s="4" t="s">
        <v>303</v>
      </c>
      <c r="AH500" s="9" t="s">
        <v>304</v>
      </c>
      <c r="AI500" s="9" t="s">
        <v>598</v>
      </c>
      <c r="AJ500" s="9" t="s">
        <v>599</v>
      </c>
      <c r="AK500" s="9" t="s">
        <v>600</v>
      </c>
      <c r="AM500" s="8">
        <v>5</v>
      </c>
      <c r="AN500" s="4" t="s">
        <v>381</v>
      </c>
      <c r="AO500" s="4" t="s">
        <v>382</v>
      </c>
      <c r="AP500" s="4" t="s">
        <v>383</v>
      </c>
      <c r="AQ500" s="7" t="s">
        <v>384</v>
      </c>
      <c r="AR500" s="8" t="s">
        <v>433</v>
      </c>
      <c r="AS500" s="7">
        <v>0</v>
      </c>
      <c r="AT500" s="7">
        <v>0</v>
      </c>
      <c r="AU500" s="9" t="s">
        <v>303</v>
      </c>
      <c r="AV500" s="9" t="s">
        <v>406</v>
      </c>
      <c r="BA500" s="8">
        <v>5</v>
      </c>
      <c r="BB500" s="4" t="s">
        <v>381</v>
      </c>
      <c r="BC500" s="4" t="s">
        <v>382</v>
      </c>
      <c r="BD500" s="4" t="s">
        <v>383</v>
      </c>
      <c r="BE500" s="7" t="s">
        <v>403</v>
      </c>
      <c r="BF500" s="8" t="s">
        <v>434</v>
      </c>
      <c r="BG500" s="7">
        <v>0</v>
      </c>
      <c r="BH500" s="7">
        <v>0</v>
      </c>
      <c r="BI500" s="9" t="s">
        <v>303</v>
      </c>
      <c r="BJ500" s="9" t="s">
        <v>406</v>
      </c>
      <c r="BO500" s="8">
        <v>5</v>
      </c>
      <c r="DZ500" s="31"/>
      <c r="EL500" s="7">
        <f>100000*31.1/1000000+16.8*0.73</f>
        <v>15.373999999999999</v>
      </c>
      <c r="EY500" s="6"/>
      <c r="FA500" s="6"/>
      <c r="GP500" s="32"/>
      <c r="GY500" s="6" t="s">
        <v>309</v>
      </c>
      <c r="GZ500" s="6" t="s">
        <v>436</v>
      </c>
      <c r="HC500" s="6" t="s">
        <v>1766</v>
      </c>
      <c r="HD500" s="8" t="s">
        <v>7592</v>
      </c>
      <c r="HE500" s="8">
        <v>17242</v>
      </c>
      <c r="HF500" s="8" t="s">
        <v>7593</v>
      </c>
      <c r="HG500" s="9" t="s">
        <v>905</v>
      </c>
      <c r="HY500" s="9"/>
      <c r="IB500" s="8" t="s">
        <v>7594</v>
      </c>
      <c r="IC500" s="8">
        <v>38279</v>
      </c>
      <c r="ID500" s="8" t="s">
        <v>7595</v>
      </c>
      <c r="IE500" s="9" t="s">
        <v>905</v>
      </c>
      <c r="IF500" s="8" t="s">
        <v>445</v>
      </c>
      <c r="IG500" s="8" t="s">
        <v>7592</v>
      </c>
      <c r="IH500" s="8">
        <v>17242</v>
      </c>
      <c r="II500" s="8" t="s">
        <v>7593</v>
      </c>
      <c r="IJ500" s="9" t="s">
        <v>905</v>
      </c>
      <c r="IK500" s="8" t="s">
        <v>319</v>
      </c>
      <c r="IN500" s="9" t="s">
        <v>7596</v>
      </c>
      <c r="IP500" s="9" t="s">
        <v>319</v>
      </c>
      <c r="IW500" s="8"/>
      <c r="JB500" s="8"/>
      <c r="JV500" s="7" t="s">
        <v>7597</v>
      </c>
      <c r="JX500" s="7" t="s">
        <v>320</v>
      </c>
      <c r="KG500" s="4" t="s">
        <v>323</v>
      </c>
      <c r="KP500" s="5" t="s">
        <v>7598</v>
      </c>
      <c r="KQ500" s="5" t="s">
        <v>7599</v>
      </c>
      <c r="KR500" s="5" t="s">
        <v>7600</v>
      </c>
      <c r="KS500" s="5" t="s">
        <v>7601</v>
      </c>
      <c r="KT500" s="5" t="s">
        <v>7602</v>
      </c>
    </row>
    <row r="501" spans="1:306" ht="132" x14ac:dyDescent="0.25">
      <c r="A501" s="5" t="s">
        <v>8125</v>
      </c>
      <c r="B501" s="4" t="s">
        <v>476</v>
      </c>
      <c r="C501" s="7" t="s">
        <v>1557</v>
      </c>
      <c r="D501" s="8" t="s">
        <v>1558</v>
      </c>
      <c r="E501" s="4">
        <v>637082</v>
      </c>
      <c r="G501" s="4" t="s">
        <v>330</v>
      </c>
      <c r="H501" s="6">
        <v>121.743092842</v>
      </c>
      <c r="I501" s="6">
        <v>-20.725648818</v>
      </c>
      <c r="J501" s="4" t="s">
        <v>8125</v>
      </c>
      <c r="K501" s="4" t="s">
        <v>1918</v>
      </c>
      <c r="L501" s="4" t="s">
        <v>580</v>
      </c>
      <c r="M501" s="4" t="s">
        <v>1919</v>
      </c>
      <c r="Q501" s="7"/>
      <c r="R501" s="7"/>
      <c r="Z501" s="4" t="s">
        <v>476</v>
      </c>
      <c r="AA501" s="7" t="s">
        <v>1557</v>
      </c>
      <c r="AB501" s="8" t="s">
        <v>1558</v>
      </c>
      <c r="AC501" s="4" t="s">
        <v>301</v>
      </c>
      <c r="AD501" s="4" t="s">
        <v>375</v>
      </c>
      <c r="AE501" s="7">
        <v>658</v>
      </c>
      <c r="AF501" s="7">
        <v>3</v>
      </c>
      <c r="AG501" s="9" t="s">
        <v>303</v>
      </c>
      <c r="AH501" s="9" t="s">
        <v>304</v>
      </c>
      <c r="AI501" s="9" t="s">
        <v>598</v>
      </c>
      <c r="AJ501" s="9" t="s">
        <v>599</v>
      </c>
      <c r="AK501" s="9" t="s">
        <v>600</v>
      </c>
      <c r="AM501" s="8">
        <v>5</v>
      </c>
      <c r="AN501" s="4" t="s">
        <v>381</v>
      </c>
      <c r="AO501" s="4" t="s">
        <v>382</v>
      </c>
      <c r="AP501" s="4" t="s">
        <v>383</v>
      </c>
      <c r="AQ501" s="7" t="s">
        <v>384</v>
      </c>
      <c r="AR501" s="7" t="s">
        <v>433</v>
      </c>
      <c r="AS501" s="7">
        <v>0</v>
      </c>
      <c r="AT501" s="7">
        <v>0</v>
      </c>
      <c r="AU501" s="4" t="s">
        <v>303</v>
      </c>
      <c r="AV501" s="4" t="s">
        <v>406</v>
      </c>
      <c r="AW501" s="4"/>
      <c r="AX501" s="4"/>
      <c r="AY501" s="4"/>
      <c r="AZ501" s="4"/>
      <c r="BA501" s="8">
        <v>5</v>
      </c>
      <c r="BP501" s="7">
        <v>503</v>
      </c>
      <c r="BR501" s="6">
        <v>0.35</v>
      </c>
      <c r="BV501" s="6">
        <v>0.27</v>
      </c>
      <c r="DZ501" s="31"/>
      <c r="EH501" s="6">
        <f>BP501*BR501/100</f>
        <v>1.7604999999999997</v>
      </c>
      <c r="EL501" s="8">
        <f>BP501*BV501</f>
        <v>135.81</v>
      </c>
      <c r="GP501" s="32"/>
      <c r="GY501" s="6" t="s">
        <v>338</v>
      </c>
      <c r="GZ501" s="6" t="s">
        <v>1361</v>
      </c>
      <c r="HC501" s="6" t="s">
        <v>7508</v>
      </c>
      <c r="HD501" s="8" t="s">
        <v>8126</v>
      </c>
      <c r="HE501" s="8">
        <v>11133</v>
      </c>
      <c r="HF501" s="8" t="s">
        <v>8127</v>
      </c>
      <c r="HG501" s="9" t="s">
        <v>876</v>
      </c>
      <c r="IB501" s="8" t="s">
        <v>8128</v>
      </c>
      <c r="ID501" s="8" t="s">
        <v>8129</v>
      </c>
      <c r="IE501" s="8" t="s">
        <v>876</v>
      </c>
      <c r="IF501" s="8" t="s">
        <v>445</v>
      </c>
      <c r="IG501" s="8" t="s">
        <v>1841</v>
      </c>
      <c r="II501" s="8" t="s">
        <v>8130</v>
      </c>
      <c r="IJ501" s="8" t="s">
        <v>876</v>
      </c>
      <c r="IL501" s="9" t="s">
        <v>1841</v>
      </c>
      <c r="IN501" s="9" t="s">
        <v>8131</v>
      </c>
      <c r="IO501" s="9" t="s">
        <v>876</v>
      </c>
      <c r="IQ501" s="9" t="s">
        <v>8132</v>
      </c>
      <c r="IS501" s="9" t="s">
        <v>8133</v>
      </c>
      <c r="IU501" s="9" t="s">
        <v>350</v>
      </c>
      <c r="JV501" s="7" t="s">
        <v>8134</v>
      </c>
      <c r="JX501" s="7" t="s">
        <v>320</v>
      </c>
      <c r="JY501" s="7" t="s">
        <v>470</v>
      </c>
      <c r="JZ501" s="7" t="s">
        <v>322</v>
      </c>
      <c r="KG501" s="4" t="s">
        <v>323</v>
      </c>
      <c r="KM501" s="4" t="s">
        <v>521</v>
      </c>
      <c r="KN501" s="4" t="s">
        <v>522</v>
      </c>
      <c r="KP501" s="5" t="s">
        <v>8135</v>
      </c>
      <c r="KQ501" s="5" t="s">
        <v>8136</v>
      </c>
      <c r="KR501" s="5" t="s">
        <v>8135</v>
      </c>
      <c r="KS501" s="5" t="s">
        <v>8137</v>
      </c>
      <c r="KT501" s="5" t="s">
        <v>8138</v>
      </c>
    </row>
    <row r="502" spans="1:306" ht="84" x14ac:dyDescent="0.2">
      <c r="A502" s="11" t="s">
        <v>7242</v>
      </c>
      <c r="B502" s="4" t="s">
        <v>476</v>
      </c>
      <c r="C502" s="4" t="s">
        <v>1557</v>
      </c>
      <c r="D502" s="4"/>
      <c r="E502" s="44">
        <v>333437</v>
      </c>
      <c r="G502" s="4" t="s">
        <v>330</v>
      </c>
      <c r="H502" s="4">
        <v>127.98</v>
      </c>
      <c r="I502" s="4">
        <v>-16.420000000000002</v>
      </c>
      <c r="K502" s="4" t="s">
        <v>481</v>
      </c>
      <c r="L502" s="4" t="s">
        <v>872</v>
      </c>
      <c r="O502" s="4"/>
      <c r="Q502" s="4"/>
      <c r="R502" s="4"/>
      <c r="S502" s="4"/>
      <c r="T502" s="4"/>
      <c r="U502" s="4"/>
      <c r="V502" s="4"/>
      <c r="W502" s="4"/>
      <c r="X502" s="4"/>
      <c r="Y502" s="4"/>
      <c r="Z502" s="4" t="s">
        <v>476</v>
      </c>
      <c r="AA502" s="4" t="s">
        <v>1557</v>
      </c>
      <c r="AB502" s="4"/>
      <c r="AC502" s="4" t="s">
        <v>301</v>
      </c>
      <c r="AD502" s="4" t="s">
        <v>302</v>
      </c>
      <c r="AE502" s="4">
        <v>122</v>
      </c>
      <c r="AF502" s="4">
        <v>24</v>
      </c>
      <c r="AG502" s="4" t="s">
        <v>303</v>
      </c>
      <c r="AH502" s="4" t="s">
        <v>335</v>
      </c>
      <c r="AI502" s="4" t="s">
        <v>5112</v>
      </c>
      <c r="AJ502" s="4" t="s">
        <v>5057</v>
      </c>
      <c r="AK502" s="4" t="s">
        <v>1081</v>
      </c>
      <c r="AL502" s="4" t="s">
        <v>1295</v>
      </c>
      <c r="AM502" s="4">
        <v>4</v>
      </c>
      <c r="AQ502" s="4"/>
      <c r="AR502" s="4"/>
      <c r="AS502" s="4"/>
      <c r="AT502" s="4"/>
      <c r="AU502" s="4"/>
      <c r="AV502" s="4"/>
      <c r="AW502" s="4"/>
      <c r="AX502" s="4"/>
      <c r="AY502" s="4"/>
      <c r="AZ502" s="4"/>
      <c r="BA502" s="4"/>
      <c r="BE502" s="4"/>
      <c r="BF502" s="4"/>
      <c r="BG502" s="4"/>
      <c r="BH502" s="4"/>
      <c r="BI502" s="4"/>
      <c r="BJ502" s="4"/>
      <c r="BK502" s="4"/>
      <c r="BL502" s="4"/>
      <c r="BM502" s="4"/>
      <c r="BN502" s="4"/>
      <c r="BO502" s="4"/>
      <c r="BP502" s="7">
        <v>37.299999999999997</v>
      </c>
      <c r="BQ502" s="4"/>
      <c r="BR502" s="4"/>
      <c r="BS502" s="4"/>
      <c r="BT502" s="4"/>
      <c r="BU502" s="4"/>
      <c r="BV502" s="4"/>
      <c r="BW502" s="4"/>
      <c r="BX502" s="4"/>
      <c r="BY502" s="4">
        <v>9.1</v>
      </c>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31"/>
      <c r="EA502" s="4"/>
      <c r="EB502" s="4"/>
      <c r="EC502" s="4"/>
      <c r="ED502" s="4"/>
      <c r="EE502" s="4"/>
      <c r="EF502" s="4"/>
      <c r="EG502" s="4"/>
      <c r="EH502" s="4"/>
      <c r="EI502" s="4"/>
      <c r="EJ502" s="4"/>
      <c r="EK502" s="4"/>
      <c r="EL502" s="4"/>
      <c r="EM502" s="4"/>
      <c r="EN502" s="4"/>
      <c r="EO502" s="4">
        <v>3394.3</v>
      </c>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32"/>
      <c r="GQ502" s="4"/>
      <c r="GR502" s="4"/>
      <c r="GS502" s="4"/>
      <c r="GT502" s="4"/>
      <c r="GU502" s="4"/>
      <c r="GV502" s="4"/>
      <c r="GW502" s="4"/>
      <c r="GX502" s="4"/>
      <c r="GY502" s="4" t="s">
        <v>338</v>
      </c>
      <c r="GZ502" s="4" t="s">
        <v>7243</v>
      </c>
      <c r="HA502" s="4"/>
      <c r="HB502" s="4"/>
      <c r="HC502" s="4"/>
      <c r="HD502" s="4" t="s">
        <v>7244</v>
      </c>
      <c r="HE502" s="4">
        <v>17150</v>
      </c>
      <c r="HF502" s="4" t="s">
        <v>7245</v>
      </c>
      <c r="HG502" s="4" t="s">
        <v>7246</v>
      </c>
      <c r="HH502" s="4" t="s">
        <v>7247</v>
      </c>
      <c r="HI502" s="4">
        <v>32788</v>
      </c>
      <c r="HJ502" s="4" t="s">
        <v>7248</v>
      </c>
      <c r="HK502" s="4" t="s">
        <v>7249</v>
      </c>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4"/>
      <c r="JU502" s="4"/>
      <c r="JV502" s="4"/>
      <c r="JW502" s="4"/>
      <c r="JX502" s="4"/>
      <c r="JY502" s="4"/>
      <c r="JZ502" s="4"/>
      <c r="KA502" s="4"/>
      <c r="KB502" s="4"/>
      <c r="KC502" s="4"/>
      <c r="KD502" s="4"/>
      <c r="KE502" s="4"/>
      <c r="KF502" s="4"/>
      <c r="KP502" s="5" t="s">
        <v>7250</v>
      </c>
      <c r="KQ502" s="5" t="s">
        <v>7251</v>
      </c>
      <c r="KR502" s="5" t="s">
        <v>7252</v>
      </c>
      <c r="KS502" s="5" t="s">
        <v>7250</v>
      </c>
      <c r="KT502" s="5" t="s">
        <v>7253</v>
      </c>
    </row>
    <row r="503" spans="1:306" ht="132" x14ac:dyDescent="0.2">
      <c r="A503" s="33" t="s">
        <v>6735</v>
      </c>
      <c r="B503" s="4" t="s">
        <v>476</v>
      </c>
      <c r="C503" s="4" t="s">
        <v>3797</v>
      </c>
      <c r="D503" s="4" t="s">
        <v>3797</v>
      </c>
      <c r="E503" s="44">
        <v>467786</v>
      </c>
      <c r="F503" s="4" t="s">
        <v>2797</v>
      </c>
      <c r="G503" s="4" t="s">
        <v>593</v>
      </c>
      <c r="H503" s="6">
        <v>139.52690000000001</v>
      </c>
      <c r="I503" s="6">
        <v>-29.776199999999999</v>
      </c>
      <c r="K503" s="4" t="s">
        <v>595</v>
      </c>
      <c r="L503" s="4" t="s">
        <v>1422</v>
      </c>
      <c r="M503" s="4" t="s">
        <v>6736</v>
      </c>
      <c r="O503" s="4"/>
      <c r="Q503" s="4"/>
      <c r="R503" s="4"/>
      <c r="S503" s="4"/>
      <c r="T503" s="4"/>
      <c r="U503" s="4"/>
      <c r="V503" s="4"/>
      <c r="W503" s="4"/>
      <c r="X503" s="4"/>
      <c r="Y503" s="4"/>
      <c r="Z503" s="4" t="s">
        <v>476</v>
      </c>
      <c r="AA503" s="4" t="s">
        <v>3797</v>
      </c>
      <c r="AB503" s="4" t="s">
        <v>3797</v>
      </c>
      <c r="AC503" s="4" t="s">
        <v>301</v>
      </c>
      <c r="AD503" s="4" t="s">
        <v>1902</v>
      </c>
      <c r="AE503" s="4">
        <v>1552</v>
      </c>
      <c r="AF503" s="4">
        <v>8</v>
      </c>
      <c r="AG503" s="4" t="s">
        <v>379</v>
      </c>
      <c r="AH503" s="4" t="s">
        <v>483</v>
      </c>
      <c r="AI503" s="4" t="s">
        <v>373</v>
      </c>
      <c r="AJ503" s="4" t="s">
        <v>306</v>
      </c>
      <c r="AK503" s="4" t="s">
        <v>6049</v>
      </c>
      <c r="AL503" s="4" t="s">
        <v>337</v>
      </c>
      <c r="AM503" s="4">
        <v>4</v>
      </c>
      <c r="AN503" s="4" t="s">
        <v>2797</v>
      </c>
      <c r="AO503" s="4" t="s">
        <v>2797</v>
      </c>
      <c r="AQ503" s="4"/>
      <c r="AR503" s="4"/>
      <c r="AS503" s="4" t="s">
        <v>2797</v>
      </c>
      <c r="AT503" s="4" t="s">
        <v>2797</v>
      </c>
      <c r="AU503" s="4" t="s">
        <v>2797</v>
      </c>
      <c r="AV503" s="4" t="s">
        <v>2797</v>
      </c>
      <c r="AW503" s="4"/>
      <c r="AX503" s="4"/>
      <c r="AY503" s="4"/>
      <c r="AZ503" s="4"/>
      <c r="BA503" s="4" t="s">
        <v>2797</v>
      </c>
      <c r="BE503" s="4"/>
      <c r="BF503" s="4"/>
      <c r="BG503" s="4"/>
      <c r="BH503" s="4"/>
      <c r="BI503" s="4"/>
      <c r="BJ503" s="4"/>
      <c r="BK503" s="4"/>
      <c r="BL503" s="4"/>
      <c r="BM503" s="4"/>
      <c r="BN503" s="4"/>
      <c r="BO503" s="4"/>
      <c r="BP503" s="7">
        <v>0.17</v>
      </c>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v>1.1499999999999999</v>
      </c>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31"/>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v>1.98</v>
      </c>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32"/>
      <c r="GQ503" s="4"/>
      <c r="GR503" s="4"/>
      <c r="GS503" s="4"/>
      <c r="GT503" s="4"/>
      <c r="GU503" s="4"/>
      <c r="GV503" s="4"/>
      <c r="GW503" s="4"/>
      <c r="GX503" s="4"/>
      <c r="GY503" s="4" t="s">
        <v>309</v>
      </c>
      <c r="GZ503" s="4" t="s">
        <v>639</v>
      </c>
      <c r="HA503" s="4"/>
      <c r="HB503" s="4"/>
      <c r="HC503" s="4"/>
      <c r="HD503" s="4" t="s">
        <v>6737</v>
      </c>
      <c r="HE503" s="4">
        <v>24620</v>
      </c>
      <c r="HF503" s="4" t="s">
        <v>6738</v>
      </c>
      <c r="HG503" s="4" t="s">
        <v>487</v>
      </c>
      <c r="HH503" s="4"/>
      <c r="HI503" s="4"/>
      <c r="HJ503" s="4"/>
      <c r="HK503" s="4"/>
      <c r="HL503" s="4"/>
      <c r="HM503" s="4"/>
      <c r="HN503" s="4"/>
      <c r="HO503" s="4"/>
      <c r="HP503" s="4"/>
      <c r="HQ503" s="4"/>
      <c r="HR503" s="4"/>
      <c r="HS503" s="4"/>
      <c r="HT503" s="4"/>
      <c r="HU503" s="4"/>
      <c r="HV503" s="4"/>
      <c r="HW503" s="4"/>
      <c r="HX503" s="4"/>
      <c r="HY503" s="4"/>
      <c r="HZ503" s="4"/>
      <c r="IA503" s="4"/>
      <c r="IB503" s="4" t="s">
        <v>6737</v>
      </c>
      <c r="IC503" s="4">
        <v>24620</v>
      </c>
      <c r="ID503" s="4" t="s">
        <v>6738</v>
      </c>
      <c r="IE503" s="4" t="s">
        <v>487</v>
      </c>
      <c r="IF503" s="4" t="s">
        <v>445</v>
      </c>
      <c r="IG503" s="4" t="s">
        <v>6739</v>
      </c>
      <c r="IH503" s="4">
        <v>24622</v>
      </c>
      <c r="II503" s="4" t="s">
        <v>6740</v>
      </c>
      <c r="IJ503" s="4" t="s">
        <v>487</v>
      </c>
      <c r="IK503" s="4" t="s">
        <v>810</v>
      </c>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4"/>
      <c r="JU503" s="4"/>
      <c r="JV503" s="4"/>
      <c r="JW503" s="4"/>
      <c r="JX503" s="4" t="s">
        <v>322</v>
      </c>
      <c r="JY503" s="4"/>
      <c r="JZ503" s="4"/>
      <c r="KA503" s="4"/>
      <c r="KB503" s="4"/>
      <c r="KC503" s="4"/>
      <c r="KD503" s="4"/>
      <c r="KE503" s="4"/>
      <c r="KF503" s="4"/>
      <c r="KP503" s="5" t="s">
        <v>6741</v>
      </c>
      <c r="KQ503" s="5" t="s">
        <v>6742</v>
      </c>
      <c r="KR503" s="5" t="s">
        <v>6743</v>
      </c>
      <c r="KS503" s="5" t="s">
        <v>6741</v>
      </c>
      <c r="KT503" s="5" t="s">
        <v>6744</v>
      </c>
    </row>
    <row r="504" spans="1:306" ht="144" customHeight="1" x14ac:dyDescent="0.25">
      <c r="A504" s="5" t="s">
        <v>2299</v>
      </c>
      <c r="B504" s="4" t="s">
        <v>476</v>
      </c>
      <c r="C504" s="7" t="s">
        <v>964</v>
      </c>
      <c r="D504" s="8" t="s">
        <v>2300</v>
      </c>
      <c r="E504" s="4">
        <v>335133</v>
      </c>
      <c r="G504" s="4" t="s">
        <v>427</v>
      </c>
      <c r="H504" s="6">
        <v>151.02440000000001</v>
      </c>
      <c r="I504" s="6">
        <v>-29.954899999999999</v>
      </c>
      <c r="J504" s="4" t="s">
        <v>2301</v>
      </c>
      <c r="K504" s="4" t="s">
        <v>298</v>
      </c>
      <c r="L504" s="4" t="s">
        <v>552</v>
      </c>
      <c r="M504" s="4" t="s">
        <v>899</v>
      </c>
      <c r="Q504" s="7"/>
      <c r="R504" s="7"/>
      <c r="S504" s="7"/>
      <c r="T504" s="7"/>
      <c r="Z504" s="4" t="s">
        <v>476</v>
      </c>
      <c r="AA504" s="7" t="s">
        <v>964</v>
      </c>
      <c r="AB504" s="8" t="s">
        <v>2300</v>
      </c>
      <c r="AC504" s="4" t="s">
        <v>301</v>
      </c>
      <c r="AD504" s="4" t="s">
        <v>302</v>
      </c>
      <c r="AE504" s="7">
        <v>251.8</v>
      </c>
      <c r="AF504" s="7">
        <v>1.7</v>
      </c>
      <c r="AG504" s="7" t="s">
        <v>379</v>
      </c>
      <c r="AH504" s="7" t="s">
        <v>1071</v>
      </c>
      <c r="AI504" s="9" t="s">
        <v>373</v>
      </c>
      <c r="AJ504" s="9" t="s">
        <v>306</v>
      </c>
      <c r="AL504" s="9" t="s">
        <v>337</v>
      </c>
      <c r="AM504" s="8">
        <v>3</v>
      </c>
      <c r="AS504" s="7"/>
      <c r="AT504" s="7"/>
      <c r="BP504" s="7">
        <f>0.175+2.652+0.479</f>
        <v>3.306</v>
      </c>
      <c r="BR504" s="6">
        <f>(1.5*0.175+0.2*2.652+0.02*0.479)/(0.175+2.652+0.479)</f>
        <v>0.24273442226255296</v>
      </c>
      <c r="BS504" s="6">
        <f>(4*0.175+0.53*2.652+0.75*0.479)/(0.175+2.652+0.479)</f>
        <v>0.74555656382335145</v>
      </c>
      <c r="BT504" s="6">
        <f>(8*0.175+1.33*2.652+0.88*0.479)/(0.175+2.652+0.479)</f>
        <v>1.6178705384150032</v>
      </c>
      <c r="BU504" s="7">
        <f>(600*0.175+105.3*2.652+40.6*0.479)/(0.175+2.652+0.479)</f>
        <v>122.11222020568664</v>
      </c>
      <c r="BV504" s="7"/>
      <c r="BW504" s="7"/>
      <c r="BX504" s="7"/>
      <c r="BY504" s="7"/>
      <c r="BZ504" s="7"/>
      <c r="CA504" s="7"/>
      <c r="CB504" s="7"/>
      <c r="CC504" s="7"/>
      <c r="CD504" s="7"/>
      <c r="CE504" s="7"/>
      <c r="CF504" s="7"/>
      <c r="CG504" s="7"/>
      <c r="CH504" s="7"/>
      <c r="CI504" s="7"/>
      <c r="CJ504" s="7"/>
      <c r="CK504" s="7"/>
      <c r="CL504" s="7"/>
      <c r="CM504" s="7"/>
      <c r="CN504" s="7"/>
      <c r="CO504" s="7"/>
      <c r="CP504" s="7"/>
      <c r="CQ504" s="7"/>
      <c r="CR504" s="7"/>
      <c r="CS504" s="7"/>
      <c r="CT504" s="7"/>
      <c r="CU504" s="7"/>
      <c r="CV504" s="7"/>
      <c r="CW504" s="7"/>
      <c r="CX504" s="7">
        <f>(0*0.175+6.8*2.652+0*0.479)/(0.175+2.652+0.479)</f>
        <v>5.4548094373865696</v>
      </c>
      <c r="CY504" s="6">
        <f>(1.5*0.175+0.22*2.652+0.13*0.479)/(0.175+2.652+0.479)</f>
        <v>0.27471566848154871</v>
      </c>
      <c r="CZ504" s="7"/>
      <c r="DA504" s="7"/>
      <c r="DB504" s="7"/>
      <c r="DC504" s="7"/>
      <c r="DD504" s="7"/>
      <c r="DE504" s="7"/>
      <c r="DF504" s="7"/>
      <c r="DG504" s="7"/>
      <c r="DH504" s="7"/>
      <c r="DI504" s="7"/>
      <c r="DJ504" s="7"/>
      <c r="DK504" s="7"/>
      <c r="DL504" s="7"/>
      <c r="DM504" s="7"/>
      <c r="DN504" s="7"/>
      <c r="DO504" s="7"/>
      <c r="DP504" s="7"/>
      <c r="DQ504" s="7"/>
      <c r="DR504" s="7"/>
      <c r="DS504" s="7"/>
      <c r="DT504" s="7"/>
      <c r="DU504" s="7"/>
      <c r="DV504" s="7"/>
      <c r="DW504" s="7"/>
      <c r="DX504" s="7"/>
      <c r="DY504" s="7"/>
      <c r="DZ504" s="31"/>
      <c r="EA504" s="7"/>
      <c r="EB504" s="7"/>
      <c r="EC504" s="7"/>
      <c r="ED504" s="7"/>
      <c r="EE504" s="7"/>
      <c r="EF504" s="7"/>
      <c r="EG504" s="7"/>
      <c r="EY504" s="6"/>
      <c r="FA504" s="6"/>
      <c r="GP504" s="32"/>
      <c r="GY504" s="6" t="s">
        <v>338</v>
      </c>
      <c r="HD504" s="8" t="s">
        <v>2302</v>
      </c>
      <c r="HE504" s="8">
        <v>7218</v>
      </c>
      <c r="HF504" s="8" t="s">
        <v>2303</v>
      </c>
      <c r="HG504" s="9" t="s">
        <v>905</v>
      </c>
      <c r="HH504" s="9" t="s">
        <v>2304</v>
      </c>
      <c r="HI504" s="8">
        <v>38354</v>
      </c>
      <c r="HJ504" s="9" t="s">
        <v>2305</v>
      </c>
      <c r="HK504" s="9" t="s">
        <v>905</v>
      </c>
      <c r="HY504" s="9"/>
      <c r="IB504" s="8" t="s">
        <v>2302</v>
      </c>
      <c r="IC504" s="8">
        <v>7218</v>
      </c>
      <c r="ID504" s="8" t="s">
        <v>2303</v>
      </c>
      <c r="IE504" s="9" t="s">
        <v>905</v>
      </c>
      <c r="IF504" s="9" t="s">
        <v>319</v>
      </c>
      <c r="IG504" s="9" t="s">
        <v>2304</v>
      </c>
      <c r="IH504" s="8">
        <v>38354</v>
      </c>
      <c r="II504" s="9" t="s">
        <v>2305</v>
      </c>
      <c r="IJ504" s="9" t="s">
        <v>905</v>
      </c>
      <c r="IK504" s="9" t="s">
        <v>319</v>
      </c>
      <c r="IL504" s="8"/>
      <c r="IM504" s="9"/>
      <c r="IW504" s="8"/>
      <c r="JB504" s="8"/>
      <c r="JV504" s="7" t="s">
        <v>2306</v>
      </c>
      <c r="JW504" s="7" t="s">
        <v>644</v>
      </c>
      <c r="JX504" s="7" t="s">
        <v>320</v>
      </c>
      <c r="JY504" s="7" t="s">
        <v>354</v>
      </c>
      <c r="JZ504" s="7" t="s">
        <v>322</v>
      </c>
      <c r="KG504" s="4" t="s">
        <v>323</v>
      </c>
      <c r="KP504" s="5" t="s">
        <v>358</v>
      </c>
      <c r="KQ504" s="5" t="s">
        <v>2307</v>
      </c>
      <c r="KR504" s="5" t="s">
        <v>2308</v>
      </c>
      <c r="KS504" s="5" t="s">
        <v>2309</v>
      </c>
      <c r="KT504" s="5" t="s">
        <v>2310</v>
      </c>
    </row>
    <row r="505" spans="1:306" ht="132" x14ac:dyDescent="0.2">
      <c r="A505" s="14" t="s">
        <v>2863</v>
      </c>
      <c r="B505" s="29" t="s">
        <v>476</v>
      </c>
      <c r="C505" s="30" t="s">
        <v>964</v>
      </c>
      <c r="D505" s="26" t="s">
        <v>2300</v>
      </c>
      <c r="E505" s="44">
        <v>859594</v>
      </c>
      <c r="F505" s="29">
        <v>622199</v>
      </c>
      <c r="G505" s="29" t="s">
        <v>296</v>
      </c>
      <c r="H505" s="31">
        <v>145.43</v>
      </c>
      <c r="I505" s="31">
        <v>-41.87556</v>
      </c>
      <c r="J505" s="29" t="s">
        <v>2864</v>
      </c>
      <c r="K505" s="29" t="s">
        <v>298</v>
      </c>
      <c r="L505" s="29" t="s">
        <v>400</v>
      </c>
      <c r="M505" s="29" t="s">
        <v>401</v>
      </c>
      <c r="N505" s="29"/>
      <c r="O505" s="26"/>
      <c r="P505" s="29"/>
      <c r="Q505" s="26"/>
      <c r="R505" s="26"/>
      <c r="S505" s="27"/>
      <c r="T505" s="27"/>
      <c r="U505" s="27"/>
      <c r="V505" s="27"/>
      <c r="W505" s="27"/>
      <c r="X505" s="27"/>
      <c r="Y505" s="26"/>
      <c r="Z505" s="29" t="s">
        <v>476</v>
      </c>
      <c r="AA505" s="30" t="s">
        <v>964</v>
      </c>
      <c r="AB505" s="26" t="s">
        <v>2300</v>
      </c>
      <c r="AC505" s="29" t="s">
        <v>301</v>
      </c>
      <c r="AD505" s="29" t="s">
        <v>375</v>
      </c>
      <c r="AE505" s="26">
        <v>366</v>
      </c>
      <c r="AF505" s="26">
        <v>3</v>
      </c>
      <c r="AG505" s="27" t="s">
        <v>379</v>
      </c>
      <c r="AH505" s="27" t="s">
        <v>483</v>
      </c>
      <c r="AI505" s="27" t="s">
        <v>373</v>
      </c>
      <c r="AJ505" s="27" t="s">
        <v>306</v>
      </c>
      <c r="AK505" s="27" t="s">
        <v>307</v>
      </c>
      <c r="AL505" s="27" t="s">
        <v>308</v>
      </c>
      <c r="AM505" s="26">
        <v>4</v>
      </c>
      <c r="AN505" s="29" t="s">
        <v>381</v>
      </c>
      <c r="AO505" s="29" t="s">
        <v>382</v>
      </c>
      <c r="AP505" s="29" t="s">
        <v>383</v>
      </c>
      <c r="AQ505" s="30" t="s">
        <v>384</v>
      </c>
      <c r="AR505" s="26" t="s">
        <v>1048</v>
      </c>
      <c r="AS505" s="30">
        <v>0</v>
      </c>
      <c r="AT505" s="30">
        <v>0</v>
      </c>
      <c r="AU505" s="27" t="s">
        <v>303</v>
      </c>
      <c r="AV505" s="27" t="s">
        <v>406</v>
      </c>
      <c r="AW505" s="27"/>
      <c r="AX505" s="27"/>
      <c r="AY505" s="27"/>
      <c r="AZ505" s="27"/>
      <c r="BA505" s="26">
        <v>5</v>
      </c>
      <c r="BB505" s="29"/>
      <c r="BC505" s="29"/>
      <c r="BD505" s="29"/>
      <c r="BE505" s="30"/>
      <c r="BF505" s="26"/>
      <c r="BG505" s="27"/>
      <c r="BH505" s="27"/>
      <c r="BI505" s="27"/>
      <c r="BJ505" s="27"/>
      <c r="BK505" s="27"/>
      <c r="BL505" s="27"/>
      <c r="BM505" s="27"/>
      <c r="BN505" s="27"/>
      <c r="BO505" s="26"/>
      <c r="BP505" s="30"/>
      <c r="BQ505" s="30"/>
      <c r="BR505" s="31"/>
      <c r="BS505" s="30"/>
      <c r="BT505" s="30"/>
      <c r="BU505" s="26"/>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1"/>
      <c r="EA505" s="30"/>
      <c r="EB505" s="30"/>
      <c r="EC505" s="30"/>
      <c r="ED505" s="30"/>
      <c r="EE505" s="30"/>
      <c r="EF505" s="30"/>
      <c r="EG505" s="30"/>
      <c r="EH505" s="32"/>
      <c r="EI505" s="32">
        <f>0.00063+0.06*7/100</f>
        <v>4.8300000000000001E-3</v>
      </c>
      <c r="EJ505" s="32">
        <f>0.025+0.06*8/100</f>
        <v>2.98E-2</v>
      </c>
      <c r="EK505" s="27">
        <f>1.8*31.1/1000</f>
        <v>5.5980000000000002E-2</v>
      </c>
      <c r="EL505" s="31"/>
      <c r="EM505" s="31"/>
      <c r="EN505" s="31"/>
      <c r="EO505" s="31"/>
      <c r="EP505" s="31"/>
      <c r="EQ505" s="31"/>
      <c r="ER505" s="31"/>
      <c r="ES505" s="31"/>
      <c r="ET505" s="31"/>
      <c r="EU505" s="31"/>
      <c r="EV505" s="31"/>
      <c r="EW505" s="31"/>
      <c r="EX505" s="31"/>
      <c r="EY505" s="31"/>
      <c r="EZ505" s="31"/>
      <c r="FA505" s="31"/>
      <c r="FB505" s="31"/>
      <c r="FC505" s="31"/>
      <c r="FD505" s="31"/>
      <c r="FE505" s="31"/>
      <c r="FF505" s="31"/>
      <c r="FG505" s="31"/>
      <c r="FH505" s="31"/>
      <c r="FI505" s="31"/>
      <c r="FJ505" s="31"/>
      <c r="FK505" s="31"/>
      <c r="FL505" s="31"/>
      <c r="FM505" s="31"/>
      <c r="FN505" s="31"/>
      <c r="FO505" s="31"/>
      <c r="FP505" s="31"/>
      <c r="FQ505" s="31"/>
      <c r="FR505" s="31"/>
      <c r="FS505" s="31"/>
      <c r="FT505" s="31"/>
      <c r="FU505" s="31"/>
      <c r="FV505" s="31"/>
      <c r="FW505" s="31"/>
      <c r="FX505" s="31"/>
      <c r="FY505" s="31"/>
      <c r="FZ505" s="31"/>
      <c r="GA505" s="31"/>
      <c r="GB505" s="31"/>
      <c r="GC505" s="31"/>
      <c r="GD505" s="31"/>
      <c r="GE505" s="31"/>
      <c r="GF505" s="31"/>
      <c r="GG505" s="31"/>
      <c r="GH505" s="31"/>
      <c r="GI505" s="31"/>
      <c r="GJ505" s="31"/>
      <c r="GK505" s="31"/>
      <c r="GL505" s="31"/>
      <c r="GM505" s="31"/>
      <c r="GN505" s="31"/>
      <c r="GO505" s="31"/>
      <c r="GP505" s="32"/>
      <c r="GQ505" s="31"/>
      <c r="GR505" s="31"/>
      <c r="GS505" s="31"/>
      <c r="GT505" s="31"/>
      <c r="GU505" s="31"/>
      <c r="GV505" s="31"/>
      <c r="GW505" s="31"/>
      <c r="GX505" s="31"/>
      <c r="GY505" s="31" t="s">
        <v>309</v>
      </c>
      <c r="GZ505" s="31" t="s">
        <v>2547</v>
      </c>
      <c r="HA505" s="31"/>
      <c r="HB505" s="31" t="s">
        <v>1049</v>
      </c>
      <c r="HC505" s="31" t="s">
        <v>1021</v>
      </c>
      <c r="HD505" s="30" t="s">
        <v>2865</v>
      </c>
      <c r="HE505" s="26">
        <v>14603</v>
      </c>
      <c r="HF505" s="30" t="s">
        <v>2866</v>
      </c>
      <c r="HG505" s="30" t="s">
        <v>2867</v>
      </c>
      <c r="HH505" s="30" t="s">
        <v>2868</v>
      </c>
      <c r="HI505" s="26">
        <v>26529</v>
      </c>
      <c r="HJ505" s="30" t="s">
        <v>2869</v>
      </c>
      <c r="HK505" s="30" t="s">
        <v>2870</v>
      </c>
      <c r="HL505" s="30"/>
      <c r="HM505" s="26"/>
      <c r="HN505" s="30"/>
      <c r="HO505" s="30"/>
      <c r="HP505" s="30"/>
      <c r="HQ505" s="30"/>
      <c r="HR505" s="30"/>
      <c r="HS505" s="30"/>
      <c r="HT505" s="30"/>
      <c r="HU505" s="30"/>
      <c r="HV505" s="30"/>
      <c r="HW505" s="30"/>
      <c r="HX505" s="30"/>
      <c r="HY505" s="30"/>
      <c r="HZ505" s="30"/>
      <c r="IA505" s="30"/>
      <c r="IB505" s="26" t="s">
        <v>2871</v>
      </c>
      <c r="IC505" s="26">
        <v>33459</v>
      </c>
      <c r="ID505" s="26" t="s">
        <v>2872</v>
      </c>
      <c r="IE505" s="26" t="s">
        <v>318</v>
      </c>
      <c r="IF505" s="26" t="s">
        <v>319</v>
      </c>
      <c r="IG505" s="30"/>
      <c r="IH505" s="30"/>
      <c r="II505" s="30"/>
      <c r="IJ505" s="30"/>
      <c r="IK505" s="30"/>
      <c r="IL505" s="30"/>
      <c r="IM505" s="30"/>
      <c r="IN505" s="30"/>
      <c r="IO505" s="30"/>
      <c r="IP505" s="30"/>
      <c r="IQ505" s="30"/>
      <c r="IR505" s="30"/>
      <c r="IS505" s="30"/>
      <c r="IT505" s="30"/>
      <c r="IU505" s="30"/>
      <c r="IV505" s="30"/>
      <c r="IW505" s="30"/>
      <c r="IX505" s="30"/>
      <c r="IY505" s="30"/>
      <c r="IZ505" s="30"/>
      <c r="JA505" s="30"/>
      <c r="JB505" s="30"/>
      <c r="JC505" s="30"/>
      <c r="JD505" s="30"/>
      <c r="JE505" s="30"/>
      <c r="JF505" s="30"/>
      <c r="JG505" s="30"/>
      <c r="JH505" s="30"/>
      <c r="JI505" s="30"/>
      <c r="JJ505" s="30"/>
      <c r="JK505" s="30"/>
      <c r="JL505" s="30"/>
      <c r="JM505" s="30"/>
      <c r="JN505" s="30"/>
      <c r="JO505" s="30"/>
      <c r="JP505" s="30"/>
      <c r="JQ505" s="30"/>
      <c r="JR505" s="30"/>
      <c r="JS505" s="30"/>
      <c r="JT505" s="30"/>
      <c r="JU505" s="30"/>
      <c r="JV505" s="29"/>
      <c r="JW505" s="29"/>
      <c r="JX505" s="30" t="s">
        <v>320</v>
      </c>
      <c r="JY505" s="30"/>
      <c r="JZ505" s="30"/>
      <c r="KA505" s="29"/>
      <c r="KB505" s="29"/>
      <c r="KC505" s="29"/>
      <c r="KD505" s="29"/>
      <c r="KE505" s="29"/>
      <c r="KF505" s="29"/>
      <c r="KG505" s="29" t="s">
        <v>323</v>
      </c>
      <c r="KH505" s="30"/>
      <c r="KI505" s="30"/>
      <c r="KJ505" s="30"/>
      <c r="KK505" s="30"/>
      <c r="KL505" s="30"/>
      <c r="KM505" s="27"/>
      <c r="KN505" s="27"/>
      <c r="KO505" s="27"/>
      <c r="KP505" s="14" t="s">
        <v>2873</v>
      </c>
      <c r="KQ505" s="28" t="s">
        <v>2874</v>
      </c>
      <c r="KR505" s="28" t="s">
        <v>2875</v>
      </c>
      <c r="KS505" s="28" t="s">
        <v>324</v>
      </c>
      <c r="KT505" s="28" t="s">
        <v>2876</v>
      </c>
    </row>
    <row r="506" spans="1:306" ht="72" x14ac:dyDescent="0.2">
      <c r="A506" s="14" t="s">
        <v>2917</v>
      </c>
      <c r="B506" s="29" t="s">
        <v>476</v>
      </c>
      <c r="C506" s="30" t="s">
        <v>964</v>
      </c>
      <c r="D506" s="26" t="s">
        <v>2300</v>
      </c>
      <c r="E506" s="44">
        <v>859597</v>
      </c>
      <c r="F506" s="29">
        <v>622919</v>
      </c>
      <c r="G506" s="29" t="s">
        <v>296</v>
      </c>
      <c r="H506" s="31">
        <v>145.47085541999999</v>
      </c>
      <c r="I506" s="31">
        <v>-41.783599742</v>
      </c>
      <c r="J506" s="29" t="s">
        <v>2912</v>
      </c>
      <c r="K506" s="29" t="s">
        <v>298</v>
      </c>
      <c r="L506" s="29" t="s">
        <v>400</v>
      </c>
      <c r="M506" s="29" t="s">
        <v>401</v>
      </c>
      <c r="N506" s="29"/>
      <c r="O506" s="26"/>
      <c r="P506" s="29"/>
      <c r="Q506" s="30"/>
      <c r="R506" s="30"/>
      <c r="S506" s="29"/>
      <c r="T506" s="27"/>
      <c r="U506" s="29"/>
      <c r="V506" s="29"/>
      <c r="W506" s="29"/>
      <c r="X506" s="29"/>
      <c r="Y506" s="26"/>
      <c r="Z506" s="29" t="s">
        <v>476</v>
      </c>
      <c r="AA506" s="30" t="s">
        <v>964</v>
      </c>
      <c r="AB506" s="26" t="s">
        <v>2300</v>
      </c>
      <c r="AC506" s="29" t="s">
        <v>301</v>
      </c>
      <c r="AD506" s="29" t="s">
        <v>302</v>
      </c>
      <c r="AE506" s="30">
        <v>366</v>
      </c>
      <c r="AF506" s="30">
        <v>3</v>
      </c>
      <c r="AG506" s="29" t="s">
        <v>379</v>
      </c>
      <c r="AH506" s="27" t="s">
        <v>483</v>
      </c>
      <c r="AI506" s="29" t="s">
        <v>373</v>
      </c>
      <c r="AJ506" s="29" t="s">
        <v>306</v>
      </c>
      <c r="AK506" s="29" t="s">
        <v>307</v>
      </c>
      <c r="AL506" s="29" t="s">
        <v>308</v>
      </c>
      <c r="AM506" s="26">
        <v>4</v>
      </c>
      <c r="AN506" s="29"/>
      <c r="AO506" s="29"/>
      <c r="AP506" s="29"/>
      <c r="AQ506" s="30"/>
      <c r="AR506" s="26"/>
      <c r="AS506" s="27"/>
      <c r="AT506" s="27"/>
      <c r="AU506" s="27"/>
      <c r="AV506" s="27"/>
      <c r="AW506" s="27"/>
      <c r="AX506" s="27"/>
      <c r="AY506" s="27"/>
      <c r="AZ506" s="27"/>
      <c r="BA506" s="26"/>
      <c r="BB506" s="29"/>
      <c r="BC506" s="29"/>
      <c r="BD506" s="29"/>
      <c r="BE506" s="30"/>
      <c r="BF506" s="26"/>
      <c r="BG506" s="27"/>
      <c r="BH506" s="27"/>
      <c r="BI506" s="27"/>
      <c r="BJ506" s="27"/>
      <c r="BK506" s="27"/>
      <c r="BL506" s="27"/>
      <c r="BM506" s="27"/>
      <c r="BN506" s="27"/>
      <c r="BO506" s="26"/>
      <c r="BP506" s="30">
        <v>0.83</v>
      </c>
      <c r="BQ506" s="31"/>
      <c r="BR506" s="31">
        <v>0.61</v>
      </c>
      <c r="BS506" s="31">
        <v>2.2400000000000002</v>
      </c>
      <c r="BT506" s="31">
        <v>3.17</v>
      </c>
      <c r="BU506" s="26">
        <v>104</v>
      </c>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1"/>
      <c r="EA506" s="30"/>
      <c r="EB506" s="30"/>
      <c r="EC506" s="30"/>
      <c r="ED506" s="30"/>
      <c r="EE506" s="30"/>
      <c r="EF506" s="30"/>
      <c r="EG506" s="30"/>
      <c r="EH506" s="32">
        <f>BP506*BR506/100</f>
        <v>5.0629999999999998E-3</v>
      </c>
      <c r="EI506" s="32">
        <f>BP506*BS506/100</f>
        <v>1.8592000000000001E-2</v>
      </c>
      <c r="EJ506" s="32">
        <f>BP506*BT506/100</f>
        <v>2.6311000000000001E-2</v>
      </c>
      <c r="EK506" s="31">
        <f>BP506*BU506/1000</f>
        <v>8.6319999999999994E-2</v>
      </c>
      <c r="EL506" s="31"/>
      <c r="EM506" s="31"/>
      <c r="EN506" s="31"/>
      <c r="EO506" s="31"/>
      <c r="EP506" s="31"/>
      <c r="EQ506" s="31"/>
      <c r="ER506" s="31"/>
      <c r="ES506" s="31"/>
      <c r="ET506" s="31"/>
      <c r="EU506" s="31"/>
      <c r="EV506" s="31"/>
      <c r="EW506" s="31"/>
      <c r="EX506" s="31"/>
      <c r="EY506" s="31"/>
      <c r="EZ506" s="31"/>
      <c r="FA506" s="31"/>
      <c r="FB506" s="31"/>
      <c r="FC506" s="31"/>
      <c r="FD506" s="31"/>
      <c r="FE506" s="31"/>
      <c r="FF506" s="31"/>
      <c r="FG506" s="31"/>
      <c r="FH506" s="31"/>
      <c r="FI506" s="31"/>
      <c r="FJ506" s="31"/>
      <c r="FK506" s="31"/>
      <c r="FL506" s="31"/>
      <c r="FM506" s="31"/>
      <c r="FN506" s="31"/>
      <c r="FO506" s="31"/>
      <c r="FP506" s="31"/>
      <c r="FQ506" s="31"/>
      <c r="FR506" s="31"/>
      <c r="FS506" s="31"/>
      <c r="FT506" s="31"/>
      <c r="FU506" s="31"/>
      <c r="FV506" s="31"/>
      <c r="FW506" s="31"/>
      <c r="FX506" s="31"/>
      <c r="FY506" s="31"/>
      <c r="FZ506" s="31"/>
      <c r="GA506" s="31"/>
      <c r="GB506" s="31"/>
      <c r="GC506" s="31"/>
      <c r="GD506" s="31"/>
      <c r="GE506" s="31"/>
      <c r="GF506" s="31"/>
      <c r="GG506" s="31"/>
      <c r="GH506" s="31"/>
      <c r="GI506" s="31"/>
      <c r="GJ506" s="31"/>
      <c r="GK506" s="31"/>
      <c r="GL506" s="31"/>
      <c r="GM506" s="31"/>
      <c r="GN506" s="31"/>
      <c r="GO506" s="31"/>
      <c r="GP506" s="32"/>
      <c r="GQ506" s="31"/>
      <c r="GR506" s="31"/>
      <c r="GS506" s="31"/>
      <c r="GT506" s="31"/>
      <c r="GU506" s="31"/>
      <c r="GV506" s="31"/>
      <c r="GW506" s="31"/>
      <c r="GX506" s="31"/>
      <c r="GY506" s="31" t="s">
        <v>309</v>
      </c>
      <c r="GZ506" s="31" t="s">
        <v>2918</v>
      </c>
      <c r="HA506" s="31" t="s">
        <v>994</v>
      </c>
      <c r="HB506" s="31"/>
      <c r="HC506" s="31" t="s">
        <v>1021</v>
      </c>
      <c r="HD506" s="29"/>
      <c r="HE506" s="26"/>
      <c r="HF506" s="30" t="s">
        <v>2919</v>
      </c>
      <c r="HG506" s="30" t="s">
        <v>876</v>
      </c>
      <c r="HH506" s="30"/>
      <c r="HI506" s="26"/>
      <c r="HJ506" s="30"/>
      <c r="HK506" s="30"/>
      <c r="HL506" s="30"/>
      <c r="HM506" s="26"/>
      <c r="HN506" s="30"/>
      <c r="HO506" s="30"/>
      <c r="HP506" s="30"/>
      <c r="HQ506" s="30"/>
      <c r="HR506" s="30"/>
      <c r="HS506" s="30"/>
      <c r="HT506" s="30"/>
      <c r="HU506" s="30"/>
      <c r="HV506" s="30"/>
      <c r="HW506" s="30"/>
      <c r="HX506" s="30"/>
      <c r="HY506" s="30"/>
      <c r="HZ506" s="30"/>
      <c r="IA506" s="30"/>
      <c r="IB506" s="26" t="s">
        <v>2871</v>
      </c>
      <c r="IC506" s="26">
        <v>33459</v>
      </c>
      <c r="ID506" s="26" t="s">
        <v>2914</v>
      </c>
      <c r="IE506" s="26" t="s">
        <v>318</v>
      </c>
      <c r="IF506" s="26" t="s">
        <v>319</v>
      </c>
      <c r="IG506" s="30"/>
      <c r="IH506" s="30"/>
      <c r="II506" s="30"/>
      <c r="IJ506" s="30"/>
      <c r="IK506" s="30"/>
      <c r="IL506" s="30"/>
      <c r="IM506" s="30"/>
      <c r="IN506" s="30"/>
      <c r="IO506" s="30"/>
      <c r="IP506" s="30"/>
      <c r="IQ506" s="30"/>
      <c r="IR506" s="30"/>
      <c r="IS506" s="30"/>
      <c r="IT506" s="30"/>
      <c r="IU506" s="30"/>
      <c r="IV506" s="30"/>
      <c r="IW506" s="30"/>
      <c r="IX506" s="30"/>
      <c r="IY506" s="30"/>
      <c r="IZ506" s="30"/>
      <c r="JA506" s="30"/>
      <c r="JB506" s="30"/>
      <c r="JC506" s="30"/>
      <c r="JD506" s="30"/>
      <c r="JE506" s="30"/>
      <c r="JF506" s="30"/>
      <c r="JG506" s="30"/>
      <c r="JH506" s="30"/>
      <c r="JI506" s="30"/>
      <c r="JJ506" s="30"/>
      <c r="JK506" s="30"/>
      <c r="JL506" s="30"/>
      <c r="JM506" s="30"/>
      <c r="JN506" s="30"/>
      <c r="JO506" s="30"/>
      <c r="JP506" s="30"/>
      <c r="JQ506" s="30"/>
      <c r="JR506" s="30"/>
      <c r="JS506" s="30"/>
      <c r="JT506" s="30"/>
      <c r="JU506" s="30"/>
      <c r="JV506" s="29"/>
      <c r="JW506" s="29"/>
      <c r="JX506" s="29" t="s">
        <v>320</v>
      </c>
      <c r="JY506" s="29" t="s">
        <v>321</v>
      </c>
      <c r="JZ506" s="29" t="s">
        <v>322</v>
      </c>
      <c r="KA506" s="29" t="s">
        <v>321</v>
      </c>
      <c r="KB506" s="29" t="s">
        <v>738</v>
      </c>
      <c r="KC506" s="29"/>
      <c r="KD506" s="29"/>
      <c r="KE506" s="29"/>
      <c r="KF506" s="29"/>
      <c r="KG506" s="29" t="s">
        <v>323</v>
      </c>
      <c r="KH506" s="30"/>
      <c r="KI506" s="30"/>
      <c r="KJ506" s="30"/>
      <c r="KK506" s="30"/>
      <c r="KL506" s="30"/>
      <c r="KM506" s="27" t="s">
        <v>391</v>
      </c>
      <c r="KN506" s="27" t="s">
        <v>391</v>
      </c>
      <c r="KO506" s="27"/>
      <c r="KP506" s="14" t="s">
        <v>324</v>
      </c>
      <c r="KQ506" s="28" t="s">
        <v>2915</v>
      </c>
      <c r="KR506" s="28" t="s">
        <v>2875</v>
      </c>
      <c r="KS506" s="14" t="s">
        <v>324</v>
      </c>
      <c r="KT506" s="14" t="s">
        <v>2916</v>
      </c>
    </row>
    <row r="507" spans="1:306" ht="108" x14ac:dyDescent="0.25">
      <c r="A507" s="14" t="s">
        <v>3264</v>
      </c>
      <c r="B507" s="29" t="s">
        <v>476</v>
      </c>
      <c r="C507" s="30" t="s">
        <v>964</v>
      </c>
      <c r="D507" s="26" t="s">
        <v>2300</v>
      </c>
      <c r="E507" s="29">
        <v>336219</v>
      </c>
      <c r="F507" s="29"/>
      <c r="G507" s="29" t="s">
        <v>296</v>
      </c>
      <c r="H507" s="31">
        <v>145.628392991</v>
      </c>
      <c r="I507" s="31">
        <v>-41.785588988999997</v>
      </c>
      <c r="J507" s="29" t="s">
        <v>3265</v>
      </c>
      <c r="K507" s="29" t="s">
        <v>298</v>
      </c>
      <c r="L507" s="29" t="s">
        <v>400</v>
      </c>
      <c r="M507" s="29" t="s">
        <v>401</v>
      </c>
      <c r="N507" s="29"/>
      <c r="O507" s="26"/>
      <c r="P507" s="29"/>
      <c r="Q507" s="26"/>
      <c r="R507" s="26"/>
      <c r="S507" s="29"/>
      <c r="T507" s="27"/>
      <c r="U507" s="29"/>
      <c r="V507" s="29"/>
      <c r="W507" s="29"/>
      <c r="X507" s="29"/>
      <c r="Y507" s="26"/>
      <c r="Z507" s="29" t="s">
        <v>476</v>
      </c>
      <c r="AA507" s="30" t="s">
        <v>964</v>
      </c>
      <c r="AB507" s="26" t="s">
        <v>2300</v>
      </c>
      <c r="AC507" s="29" t="s">
        <v>301</v>
      </c>
      <c r="AD507" s="29" t="s">
        <v>302</v>
      </c>
      <c r="AE507" s="26">
        <v>361</v>
      </c>
      <c r="AF507" s="26">
        <v>3</v>
      </c>
      <c r="AG507" s="29" t="s">
        <v>379</v>
      </c>
      <c r="AH507" s="27" t="s">
        <v>483</v>
      </c>
      <c r="AI507" s="29" t="s">
        <v>373</v>
      </c>
      <c r="AJ507" s="29" t="s">
        <v>306</v>
      </c>
      <c r="AK507" s="29" t="s">
        <v>307</v>
      </c>
      <c r="AL507" s="29" t="s">
        <v>337</v>
      </c>
      <c r="AM507" s="26">
        <v>4</v>
      </c>
      <c r="AN507" s="29"/>
      <c r="AO507" s="29"/>
      <c r="AP507" s="29"/>
      <c r="AQ507" s="30"/>
      <c r="AR507" s="26"/>
      <c r="AS507" s="27"/>
      <c r="AT507" s="27"/>
      <c r="AU507" s="27"/>
      <c r="AV507" s="27"/>
      <c r="AW507" s="27"/>
      <c r="AX507" s="27"/>
      <c r="AY507" s="27"/>
      <c r="AZ507" s="27"/>
      <c r="BA507" s="26"/>
      <c r="BB507" s="29"/>
      <c r="BC507" s="29"/>
      <c r="BD507" s="29"/>
      <c r="BE507" s="30"/>
      <c r="BF507" s="26"/>
      <c r="BG507" s="27"/>
      <c r="BH507" s="27"/>
      <c r="BI507" s="27"/>
      <c r="BJ507" s="27"/>
      <c r="BK507" s="27"/>
      <c r="BL507" s="27"/>
      <c r="BM507" s="27"/>
      <c r="BN507" s="27"/>
      <c r="BO507" s="26"/>
      <c r="BP507" s="30">
        <f>0.731+0.177</f>
        <v>0.90799999999999992</v>
      </c>
      <c r="BQ507" s="27"/>
      <c r="BR507" s="30"/>
      <c r="BS507" s="30">
        <f>(0*0.731+4.1*0.177)/(0.731+0.177)</f>
        <v>0.79922907488986783</v>
      </c>
      <c r="BT507" s="30">
        <f>(0*0.731+4.1*0.177)/(0.731+0.177)</f>
        <v>0.79922907488986783</v>
      </c>
      <c r="BU507" s="26">
        <v>410.21035242290748</v>
      </c>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1"/>
      <c r="EA507" s="30"/>
      <c r="EB507" s="30"/>
      <c r="EC507" s="30"/>
      <c r="ED507" s="30"/>
      <c r="EE507" s="30"/>
      <c r="EF507" s="30"/>
      <c r="EG507" s="30"/>
      <c r="EH507" s="32"/>
      <c r="EI507" s="32">
        <f>BP507*BS507/100</f>
        <v>7.2569999999999987E-3</v>
      </c>
      <c r="EJ507" s="32">
        <f>BP507*BT507/100</f>
        <v>7.2569999999999987E-3</v>
      </c>
      <c r="EK507" s="31">
        <f>BP507*BU507/1000</f>
        <v>0.37247099999999994</v>
      </c>
      <c r="EL507" s="31"/>
      <c r="EM507" s="31"/>
      <c r="EN507" s="31"/>
      <c r="EO507" s="31"/>
      <c r="EP507" s="31"/>
      <c r="EQ507" s="31"/>
      <c r="ER507" s="31"/>
      <c r="ES507" s="31"/>
      <c r="ET507" s="31"/>
      <c r="EU507" s="31"/>
      <c r="EV507" s="31"/>
      <c r="EW507" s="31"/>
      <c r="EX507" s="31"/>
      <c r="EY507" s="31"/>
      <c r="EZ507" s="31"/>
      <c r="FA507" s="31"/>
      <c r="FB507" s="31"/>
      <c r="FC507" s="31"/>
      <c r="FD507" s="31"/>
      <c r="FE507" s="31"/>
      <c r="FF507" s="31"/>
      <c r="FG507" s="31"/>
      <c r="FH507" s="31"/>
      <c r="FI507" s="31"/>
      <c r="FJ507" s="31"/>
      <c r="FK507" s="31"/>
      <c r="FL507" s="31"/>
      <c r="FM507" s="31"/>
      <c r="FN507" s="31"/>
      <c r="FO507" s="31"/>
      <c r="FP507" s="31"/>
      <c r="FQ507" s="31"/>
      <c r="FR507" s="31"/>
      <c r="FS507" s="31"/>
      <c r="FT507" s="31"/>
      <c r="FU507" s="31"/>
      <c r="FV507" s="31"/>
      <c r="FW507" s="31"/>
      <c r="FX507" s="31"/>
      <c r="FY507" s="31"/>
      <c r="FZ507" s="31"/>
      <c r="GA507" s="31"/>
      <c r="GB507" s="31"/>
      <c r="GC507" s="31"/>
      <c r="GD507" s="31"/>
      <c r="GE507" s="31"/>
      <c r="GF507" s="31"/>
      <c r="GG507" s="31"/>
      <c r="GH507" s="31"/>
      <c r="GI507" s="31"/>
      <c r="GJ507" s="31"/>
      <c r="GK507" s="31"/>
      <c r="GL507" s="31"/>
      <c r="GM507" s="31"/>
      <c r="GN507" s="31"/>
      <c r="GO507" s="31"/>
      <c r="GP507" s="32"/>
      <c r="GQ507" s="31"/>
      <c r="GR507" s="31"/>
      <c r="GS507" s="31"/>
      <c r="GT507" s="31"/>
      <c r="GU507" s="31"/>
      <c r="GV507" s="31"/>
      <c r="GW507" s="31"/>
      <c r="GX507" s="31"/>
      <c r="GY507" s="31" t="s">
        <v>309</v>
      </c>
      <c r="GZ507" s="31" t="s">
        <v>462</v>
      </c>
      <c r="HA507" s="31"/>
      <c r="HB507" s="31" t="s">
        <v>461</v>
      </c>
      <c r="HC507" s="31" t="s">
        <v>1021</v>
      </c>
      <c r="HD507" s="30" t="s">
        <v>3266</v>
      </c>
      <c r="HE507" s="26">
        <v>6545</v>
      </c>
      <c r="HF507" s="30" t="s">
        <v>3267</v>
      </c>
      <c r="HG507" s="30" t="s">
        <v>2870</v>
      </c>
      <c r="HH507" s="30"/>
      <c r="HI507" s="26"/>
      <c r="HJ507" s="30"/>
      <c r="HK507" s="30"/>
      <c r="HL507" s="30"/>
      <c r="HM507" s="26"/>
      <c r="HN507" s="30"/>
      <c r="HO507" s="30"/>
      <c r="HP507" s="30"/>
      <c r="HQ507" s="30"/>
      <c r="HR507" s="30"/>
      <c r="HS507" s="30"/>
      <c r="HT507" s="30"/>
      <c r="HU507" s="30"/>
      <c r="HV507" s="30"/>
      <c r="HW507" s="30"/>
      <c r="HX507" s="30"/>
      <c r="HY507" s="30"/>
      <c r="HZ507" s="30"/>
      <c r="IA507" s="30"/>
      <c r="IB507" s="30" t="s">
        <v>3268</v>
      </c>
      <c r="IC507" s="26">
        <v>7688</v>
      </c>
      <c r="ID507" s="30" t="s">
        <v>3269</v>
      </c>
      <c r="IE507" s="30" t="s">
        <v>318</v>
      </c>
      <c r="IF507" s="30" t="s">
        <v>319</v>
      </c>
      <c r="IG507" s="30"/>
      <c r="IH507" s="30"/>
      <c r="II507" s="30"/>
      <c r="IJ507" s="30"/>
      <c r="IK507" s="30"/>
      <c r="IL507" s="30"/>
      <c r="IM507" s="30"/>
      <c r="IN507" s="30"/>
      <c r="IO507" s="30"/>
      <c r="IP507" s="30"/>
      <c r="IQ507" s="30"/>
      <c r="IR507" s="30"/>
      <c r="IS507" s="30"/>
      <c r="IT507" s="30"/>
      <c r="IU507" s="30"/>
      <c r="IV507" s="30"/>
      <c r="IW507" s="30"/>
      <c r="IX507" s="30"/>
      <c r="IY507" s="30"/>
      <c r="IZ507" s="30"/>
      <c r="JA507" s="30"/>
      <c r="JB507" s="30"/>
      <c r="JC507" s="30"/>
      <c r="JD507" s="30"/>
      <c r="JE507" s="30"/>
      <c r="JF507" s="30"/>
      <c r="JG507" s="30"/>
      <c r="JH507" s="30"/>
      <c r="JI507" s="30"/>
      <c r="JJ507" s="30"/>
      <c r="JK507" s="30"/>
      <c r="JL507" s="30"/>
      <c r="JM507" s="30"/>
      <c r="JN507" s="30"/>
      <c r="JO507" s="30"/>
      <c r="JP507" s="30"/>
      <c r="JQ507" s="30"/>
      <c r="JR507" s="30"/>
      <c r="JS507" s="30"/>
      <c r="JT507" s="30"/>
      <c r="JU507" s="30"/>
      <c r="JV507" s="29"/>
      <c r="JW507" s="29"/>
      <c r="JX507" s="29" t="s">
        <v>320</v>
      </c>
      <c r="JY507" s="29"/>
      <c r="JZ507" s="29"/>
      <c r="KA507" s="29"/>
      <c r="KB507" s="29"/>
      <c r="KC507" s="29"/>
      <c r="KD507" s="29"/>
      <c r="KE507" s="29"/>
      <c r="KF507" s="29"/>
      <c r="KG507" s="29" t="s">
        <v>356</v>
      </c>
      <c r="KH507" s="29" t="s">
        <v>1317</v>
      </c>
      <c r="KI507" s="30"/>
      <c r="KJ507" s="30"/>
      <c r="KK507" s="30"/>
      <c r="KL507" s="30"/>
      <c r="KM507" s="27" t="s">
        <v>391</v>
      </c>
      <c r="KN507" s="27" t="s">
        <v>391</v>
      </c>
      <c r="KO507" s="27"/>
      <c r="KP507" s="14" t="s">
        <v>324</v>
      </c>
      <c r="KQ507" s="28" t="s">
        <v>3270</v>
      </c>
      <c r="KR507" s="28" t="s">
        <v>3271</v>
      </c>
      <c r="KS507" s="14" t="s">
        <v>324</v>
      </c>
      <c r="KT507" s="14" t="s">
        <v>3272</v>
      </c>
    </row>
    <row r="508" spans="1:306" ht="72" x14ac:dyDescent="0.25">
      <c r="A508" s="14" t="s">
        <v>4938</v>
      </c>
      <c r="B508" s="29" t="s">
        <v>476</v>
      </c>
      <c r="C508" s="30" t="s">
        <v>964</v>
      </c>
      <c r="D508" s="26" t="s">
        <v>2300</v>
      </c>
      <c r="E508" s="29">
        <v>335751</v>
      </c>
      <c r="F508" s="29"/>
      <c r="G508" s="29" t="s">
        <v>296</v>
      </c>
      <c r="H508" s="31">
        <v>145.445565563</v>
      </c>
      <c r="I508" s="31">
        <v>-41.444556626000001</v>
      </c>
      <c r="J508" s="29" t="s">
        <v>4521</v>
      </c>
      <c r="K508" s="29" t="s">
        <v>298</v>
      </c>
      <c r="L508" s="29" t="s">
        <v>400</v>
      </c>
      <c r="M508" s="29" t="s">
        <v>401</v>
      </c>
      <c r="N508" s="29"/>
      <c r="O508" s="26"/>
      <c r="P508" s="29"/>
      <c r="Q508" s="30"/>
      <c r="R508" s="30"/>
      <c r="S508" s="29"/>
      <c r="T508" s="27"/>
      <c r="U508" s="29"/>
      <c r="V508" s="29"/>
      <c r="W508" s="29"/>
      <c r="X508" s="29"/>
      <c r="Y508" s="26"/>
      <c r="Z508" s="29" t="s">
        <v>476</v>
      </c>
      <c r="AA508" s="30" t="s">
        <v>964</v>
      </c>
      <c r="AB508" s="26" t="s">
        <v>2300</v>
      </c>
      <c r="AC508" s="29" t="s">
        <v>301</v>
      </c>
      <c r="AD508" s="29" t="s">
        <v>375</v>
      </c>
      <c r="AE508" s="30">
        <v>374</v>
      </c>
      <c r="AF508" s="30">
        <v>4</v>
      </c>
      <c r="AG508" s="29" t="s">
        <v>379</v>
      </c>
      <c r="AH508" s="27" t="s">
        <v>483</v>
      </c>
      <c r="AI508" s="29" t="s">
        <v>373</v>
      </c>
      <c r="AJ508" s="29" t="s">
        <v>306</v>
      </c>
      <c r="AK508" s="29" t="s">
        <v>307</v>
      </c>
      <c r="AL508" s="29" t="s">
        <v>308</v>
      </c>
      <c r="AM508" s="26">
        <v>4</v>
      </c>
      <c r="AN508" s="29" t="s">
        <v>381</v>
      </c>
      <c r="AO508" s="29" t="s">
        <v>402</v>
      </c>
      <c r="AP508" s="29" t="s">
        <v>383</v>
      </c>
      <c r="AQ508" s="30" t="s">
        <v>384</v>
      </c>
      <c r="AR508" s="26" t="s">
        <v>1048</v>
      </c>
      <c r="AS508" s="30">
        <v>0</v>
      </c>
      <c r="AT508" s="30">
        <v>0</v>
      </c>
      <c r="AU508" s="27" t="s">
        <v>303</v>
      </c>
      <c r="AV508" s="27" t="s">
        <v>406</v>
      </c>
      <c r="AW508" s="27"/>
      <c r="AX508" s="27"/>
      <c r="AY508" s="27"/>
      <c r="AZ508" s="27"/>
      <c r="BA508" s="26">
        <v>5</v>
      </c>
      <c r="BB508" s="29"/>
      <c r="BC508" s="29"/>
      <c r="BD508" s="29"/>
      <c r="BE508" s="30"/>
      <c r="BF508" s="26"/>
      <c r="BG508" s="27"/>
      <c r="BH508" s="27"/>
      <c r="BI508" s="27"/>
      <c r="BJ508" s="27"/>
      <c r="BK508" s="27"/>
      <c r="BL508" s="27"/>
      <c r="BM508" s="27"/>
      <c r="BN508" s="27"/>
      <c r="BO508" s="26"/>
      <c r="BP508" s="30">
        <v>0.63</v>
      </c>
      <c r="BQ508" s="31"/>
      <c r="BR508" s="30"/>
      <c r="BS508" s="30">
        <v>2.9</v>
      </c>
      <c r="BT508" s="30">
        <v>7.3</v>
      </c>
      <c r="BU508" s="26">
        <v>427</v>
      </c>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1"/>
      <c r="EA508" s="30"/>
      <c r="EB508" s="30"/>
      <c r="EC508" s="30"/>
      <c r="ED508" s="30"/>
      <c r="EE508" s="30"/>
      <c r="EF508" s="30"/>
      <c r="EG508" s="30"/>
      <c r="EH508" s="32"/>
      <c r="EI508" s="32">
        <f>BP508*BS508/100</f>
        <v>1.8269999999999998E-2</v>
      </c>
      <c r="EJ508" s="32">
        <f>BP508*BT508/100</f>
        <v>4.5990000000000003E-2</v>
      </c>
      <c r="EK508" s="31">
        <f>BP508*BU508/1000</f>
        <v>0.26900999999999997</v>
      </c>
      <c r="EL508" s="31"/>
      <c r="EM508" s="31"/>
      <c r="EN508" s="31"/>
      <c r="EO508" s="31"/>
      <c r="EP508" s="31"/>
      <c r="EQ508" s="31"/>
      <c r="ER508" s="31"/>
      <c r="ES508" s="31"/>
      <c r="ET508" s="31"/>
      <c r="EU508" s="31"/>
      <c r="EV508" s="31"/>
      <c r="EW508" s="31"/>
      <c r="EX508" s="31"/>
      <c r="EY508" s="31"/>
      <c r="EZ508" s="31"/>
      <c r="FA508" s="31"/>
      <c r="FB508" s="31"/>
      <c r="FC508" s="31"/>
      <c r="FD508" s="31"/>
      <c r="FE508" s="31"/>
      <c r="FF508" s="31"/>
      <c r="FG508" s="31"/>
      <c r="FH508" s="31"/>
      <c r="FI508" s="31"/>
      <c r="FJ508" s="31"/>
      <c r="FK508" s="31"/>
      <c r="FL508" s="31"/>
      <c r="FM508" s="31"/>
      <c r="FN508" s="31"/>
      <c r="FO508" s="31"/>
      <c r="FP508" s="31"/>
      <c r="FQ508" s="31"/>
      <c r="FR508" s="31"/>
      <c r="FS508" s="31"/>
      <c r="FT508" s="31"/>
      <c r="FU508" s="31"/>
      <c r="FV508" s="31"/>
      <c r="FW508" s="31"/>
      <c r="FX508" s="31"/>
      <c r="FY508" s="31"/>
      <c r="FZ508" s="31"/>
      <c r="GA508" s="31"/>
      <c r="GB508" s="31"/>
      <c r="GC508" s="31"/>
      <c r="GD508" s="31"/>
      <c r="GE508" s="31"/>
      <c r="GF508" s="31"/>
      <c r="GG508" s="31"/>
      <c r="GH508" s="31"/>
      <c r="GI508" s="31"/>
      <c r="GJ508" s="31"/>
      <c r="GK508" s="31"/>
      <c r="GL508" s="31"/>
      <c r="GM508" s="31"/>
      <c r="GN508" s="31"/>
      <c r="GO508" s="31"/>
      <c r="GP508" s="32"/>
      <c r="GQ508" s="31"/>
      <c r="GR508" s="31"/>
      <c r="GS508" s="31"/>
      <c r="GT508" s="31"/>
      <c r="GU508" s="31"/>
      <c r="GV508" s="31"/>
      <c r="GW508" s="31"/>
      <c r="GX508" s="31"/>
      <c r="GY508" s="31" t="s">
        <v>309</v>
      </c>
      <c r="GZ508" s="31" t="s">
        <v>3051</v>
      </c>
      <c r="HA508" s="31" t="s">
        <v>1049</v>
      </c>
      <c r="HB508" s="31"/>
      <c r="HC508" s="31" t="s">
        <v>1021</v>
      </c>
      <c r="HD508" s="29" t="s">
        <v>4939</v>
      </c>
      <c r="HE508" s="26">
        <v>5328</v>
      </c>
      <c r="HF508" s="30" t="s">
        <v>4940</v>
      </c>
      <c r="HG508" s="30" t="s">
        <v>695</v>
      </c>
      <c r="HH508" s="30"/>
      <c r="HI508" s="26"/>
      <c r="HJ508" s="30"/>
      <c r="HK508" s="30"/>
      <c r="HL508" s="30"/>
      <c r="HM508" s="26"/>
      <c r="HN508" s="30"/>
      <c r="HO508" s="30"/>
      <c r="HP508" s="30"/>
      <c r="HQ508" s="30"/>
      <c r="HR508" s="30"/>
      <c r="HS508" s="30"/>
      <c r="HT508" s="30"/>
      <c r="HU508" s="30"/>
      <c r="HV508" s="30"/>
      <c r="HW508" s="30"/>
      <c r="HX508" s="30"/>
      <c r="HY508" s="30"/>
      <c r="HZ508" s="30"/>
      <c r="IA508" s="30"/>
      <c r="IB508" s="30" t="s">
        <v>2213</v>
      </c>
      <c r="IC508" s="26">
        <v>11660</v>
      </c>
      <c r="ID508" s="30" t="s">
        <v>2214</v>
      </c>
      <c r="IE508" s="30" t="s">
        <v>318</v>
      </c>
      <c r="IF508" s="30" t="s">
        <v>319</v>
      </c>
      <c r="IG508" s="30"/>
      <c r="IH508" s="30"/>
      <c r="II508" s="30"/>
      <c r="IJ508" s="30"/>
      <c r="IK508" s="30"/>
      <c r="IL508" s="30"/>
      <c r="IM508" s="30"/>
      <c r="IN508" s="30"/>
      <c r="IO508" s="30"/>
      <c r="IP508" s="30"/>
      <c r="IQ508" s="30"/>
      <c r="IR508" s="30"/>
      <c r="IS508" s="30"/>
      <c r="IT508" s="30"/>
      <c r="IU508" s="30"/>
      <c r="IV508" s="30"/>
      <c r="IW508" s="30"/>
      <c r="IX508" s="30"/>
      <c r="IY508" s="30"/>
      <c r="IZ508" s="30"/>
      <c r="JA508" s="30"/>
      <c r="JB508" s="30"/>
      <c r="JC508" s="30"/>
      <c r="JD508" s="30"/>
      <c r="JE508" s="30"/>
      <c r="JF508" s="30"/>
      <c r="JG508" s="30"/>
      <c r="JH508" s="30"/>
      <c r="JI508" s="30"/>
      <c r="JJ508" s="30"/>
      <c r="JK508" s="30"/>
      <c r="JL508" s="30"/>
      <c r="JM508" s="30"/>
      <c r="JN508" s="30"/>
      <c r="JO508" s="30"/>
      <c r="JP508" s="30"/>
      <c r="JQ508" s="30"/>
      <c r="JR508" s="30"/>
      <c r="JS508" s="30"/>
      <c r="JT508" s="30"/>
      <c r="JU508" s="30"/>
      <c r="JV508" s="29" t="s">
        <v>4941</v>
      </c>
      <c r="JW508" s="29"/>
      <c r="JX508" s="29" t="s">
        <v>320</v>
      </c>
      <c r="JY508" s="29"/>
      <c r="JZ508" s="29"/>
      <c r="KA508" s="29"/>
      <c r="KB508" s="29"/>
      <c r="KC508" s="29"/>
      <c r="KD508" s="29"/>
      <c r="KE508" s="29"/>
      <c r="KF508" s="29"/>
      <c r="KG508" s="29" t="s">
        <v>323</v>
      </c>
      <c r="KH508" s="30"/>
      <c r="KI508" s="30"/>
      <c r="KJ508" s="30"/>
      <c r="KK508" s="30"/>
      <c r="KL508" s="30"/>
      <c r="KM508" s="27" t="s">
        <v>391</v>
      </c>
      <c r="KN508" s="27" t="s">
        <v>391</v>
      </c>
      <c r="KO508" s="27"/>
      <c r="KP508" s="14" t="s">
        <v>324</v>
      </c>
      <c r="KQ508" s="28" t="s">
        <v>4942</v>
      </c>
      <c r="KR508" s="28" t="s">
        <v>3271</v>
      </c>
      <c r="KS508" s="14" t="s">
        <v>324</v>
      </c>
      <c r="KT508" s="28" t="s">
        <v>4943</v>
      </c>
    </row>
    <row r="509" spans="1:306" ht="48" x14ac:dyDescent="0.25">
      <c r="A509" s="5" t="s">
        <v>5071</v>
      </c>
      <c r="B509" s="4" t="s">
        <v>476</v>
      </c>
      <c r="C509" s="7" t="s">
        <v>964</v>
      </c>
      <c r="D509" s="8" t="s">
        <v>2300</v>
      </c>
      <c r="E509" s="4">
        <v>803981</v>
      </c>
      <c r="G509" s="4" t="s">
        <v>530</v>
      </c>
      <c r="H509" s="6">
        <v>131.94999999999999</v>
      </c>
      <c r="I509" s="6">
        <v>-13.31</v>
      </c>
      <c r="J509" s="4" t="s">
        <v>3220</v>
      </c>
      <c r="K509" s="4" t="s">
        <v>481</v>
      </c>
      <c r="L509" s="4" t="s">
        <v>532</v>
      </c>
      <c r="Q509" s="8"/>
      <c r="R509" s="8"/>
      <c r="Z509" s="4" t="s">
        <v>476</v>
      </c>
      <c r="AA509" s="7" t="s">
        <v>964</v>
      </c>
      <c r="AB509" s="8" t="s">
        <v>2300</v>
      </c>
      <c r="AC509" s="4" t="s">
        <v>301</v>
      </c>
      <c r="AD509" s="4" t="s">
        <v>375</v>
      </c>
      <c r="AE509" s="8"/>
      <c r="AF509" s="8"/>
      <c r="AN509" s="4" t="s">
        <v>381</v>
      </c>
      <c r="AO509" s="4" t="s">
        <v>382</v>
      </c>
      <c r="AP509" s="4" t="s">
        <v>383</v>
      </c>
      <c r="AQ509" s="7" t="s">
        <v>384</v>
      </c>
      <c r="AR509" s="8" t="s">
        <v>1048</v>
      </c>
      <c r="AS509" s="7">
        <v>0</v>
      </c>
      <c r="AT509" s="7">
        <v>0</v>
      </c>
      <c r="AU509" s="9" t="s">
        <v>303</v>
      </c>
      <c r="AV509" s="9" t="s">
        <v>406</v>
      </c>
      <c r="BA509" s="8">
        <v>5</v>
      </c>
      <c r="BP509" s="7">
        <v>0.91</v>
      </c>
      <c r="BR509" s="7">
        <v>0.5</v>
      </c>
      <c r="BS509" s="7">
        <v>9.6999999999999993</v>
      </c>
      <c r="DZ509" s="31"/>
      <c r="EH509" s="10">
        <f>BP509*BR509/100</f>
        <v>4.5500000000000002E-3</v>
      </c>
      <c r="EI509" s="10">
        <f>BP509*BS509/100</f>
        <v>8.8270000000000001E-2</v>
      </c>
      <c r="GP509" s="32"/>
      <c r="GY509" s="6" t="s">
        <v>309</v>
      </c>
      <c r="GZ509" s="6" t="s">
        <v>1049</v>
      </c>
      <c r="HA509" s="6" t="s">
        <v>994</v>
      </c>
      <c r="HC509" s="6" t="s">
        <v>1021</v>
      </c>
      <c r="HD509" s="8" t="s">
        <v>5072</v>
      </c>
      <c r="HE509" s="8">
        <v>27851</v>
      </c>
      <c r="HF509" s="8" t="s">
        <v>5073</v>
      </c>
      <c r="HG509" s="4" t="s">
        <v>538</v>
      </c>
      <c r="IW509" s="8"/>
      <c r="JB509" s="8"/>
      <c r="JX509" s="7" t="s">
        <v>320</v>
      </c>
      <c r="KG509" s="4" t="s">
        <v>323</v>
      </c>
      <c r="KP509" s="5" t="s">
        <v>739</v>
      </c>
      <c r="KQ509" s="5" t="s">
        <v>739</v>
      </c>
      <c r="KS509" s="5" t="s">
        <v>739</v>
      </c>
      <c r="KT509" s="5" t="s">
        <v>5074</v>
      </c>
    </row>
    <row r="510" spans="1:306" ht="145.5" customHeight="1" x14ac:dyDescent="0.2">
      <c r="A510" s="14" t="s">
        <v>6770</v>
      </c>
      <c r="B510" s="29" t="s">
        <v>476</v>
      </c>
      <c r="C510" s="30" t="s">
        <v>964</v>
      </c>
      <c r="D510" s="26" t="s">
        <v>2300</v>
      </c>
      <c r="E510" s="44">
        <v>859625</v>
      </c>
      <c r="F510" s="29">
        <v>622951</v>
      </c>
      <c r="G510" s="29" t="s">
        <v>296</v>
      </c>
      <c r="H510" s="31">
        <v>145.38677072999999</v>
      </c>
      <c r="I510" s="31">
        <v>-42.036160352000003</v>
      </c>
      <c r="J510" s="29"/>
      <c r="K510" s="29" t="s">
        <v>298</v>
      </c>
      <c r="L510" s="29" t="s">
        <v>400</v>
      </c>
      <c r="M510" s="29" t="s">
        <v>401</v>
      </c>
      <c r="N510" s="29"/>
      <c r="O510" s="26"/>
      <c r="P510" s="29"/>
      <c r="Q510" s="26"/>
      <c r="R510" s="30"/>
      <c r="S510" s="29"/>
      <c r="T510" s="27"/>
      <c r="U510" s="29"/>
      <c r="V510" s="29"/>
      <c r="W510" s="29"/>
      <c r="X510" s="29"/>
      <c r="Y510" s="26"/>
      <c r="Z510" s="29" t="s">
        <v>476</v>
      </c>
      <c r="AA510" s="30" t="s">
        <v>964</v>
      </c>
      <c r="AB510" s="26" t="s">
        <v>2300</v>
      </c>
      <c r="AC510" s="29" t="s">
        <v>301</v>
      </c>
      <c r="AD510" s="29" t="s">
        <v>375</v>
      </c>
      <c r="AE510" s="26">
        <v>361</v>
      </c>
      <c r="AF510" s="30"/>
      <c r="AG510" s="29" t="s">
        <v>379</v>
      </c>
      <c r="AH510" s="27" t="s">
        <v>380</v>
      </c>
      <c r="AI510" s="29"/>
      <c r="AJ510" s="29"/>
      <c r="AK510" s="29"/>
      <c r="AL510" s="29"/>
      <c r="AM510" s="26">
        <v>3</v>
      </c>
      <c r="AN510" s="29" t="s">
        <v>381</v>
      </c>
      <c r="AO510" s="29" t="s">
        <v>402</v>
      </c>
      <c r="AP510" s="29" t="s">
        <v>383</v>
      </c>
      <c r="AQ510" s="30" t="s">
        <v>384</v>
      </c>
      <c r="AR510" s="26" t="s">
        <v>1048</v>
      </c>
      <c r="AS510" s="30">
        <v>0</v>
      </c>
      <c r="AT510" s="30">
        <v>0</v>
      </c>
      <c r="AU510" s="27" t="s">
        <v>303</v>
      </c>
      <c r="AV510" s="27" t="s">
        <v>406</v>
      </c>
      <c r="AW510" s="27"/>
      <c r="AX510" s="27"/>
      <c r="AY510" s="27"/>
      <c r="AZ510" s="27"/>
      <c r="BA510" s="26">
        <v>5</v>
      </c>
      <c r="BB510" s="29"/>
      <c r="BC510" s="29"/>
      <c r="BD510" s="29"/>
      <c r="BE510" s="30"/>
      <c r="BF510" s="26"/>
      <c r="BG510" s="27"/>
      <c r="BH510" s="27"/>
      <c r="BI510" s="27"/>
      <c r="BJ510" s="27"/>
      <c r="BK510" s="27"/>
      <c r="BL510" s="27"/>
      <c r="BM510" s="27"/>
      <c r="BN510" s="27"/>
      <c r="BO510" s="26"/>
      <c r="BP510" s="31">
        <f>(28300+344.5+423)/1000000</f>
        <v>2.90675E-2</v>
      </c>
      <c r="BQ510" s="30"/>
      <c r="BR510" s="31">
        <f>(0.32*28300+0*344.5+0*423)/(28300+344.5+423)</f>
        <v>0.31155070095467446</v>
      </c>
      <c r="BS510" s="31">
        <f>(8.76*28300+0*344.5+0*423)/(28300+344.5+423)</f>
        <v>8.528700438634214</v>
      </c>
      <c r="BT510" s="31">
        <f>(11.53*28300+40*344.5+56*423)/(28300+344.5+423)</f>
        <v>12.514560935752989</v>
      </c>
      <c r="BU510" s="26">
        <f>(52*28300+184*344.5+214*423)/(28300+344.5+423)</f>
        <v>55.921905908660875</v>
      </c>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1"/>
      <c r="EA510" s="30"/>
      <c r="EB510" s="30"/>
      <c r="EC510" s="30"/>
      <c r="ED510" s="30"/>
      <c r="EE510" s="30"/>
      <c r="EF510" s="30"/>
      <c r="EG510" s="30"/>
      <c r="EH510" s="37">
        <f>BP510*BR510/100</f>
        <v>9.056E-5</v>
      </c>
      <c r="EI510" s="32">
        <f>BP510*BS510/100</f>
        <v>2.4790800000000003E-3</v>
      </c>
      <c r="EJ510" s="32">
        <f>BP510*BT510/100</f>
        <v>3.63767E-3</v>
      </c>
      <c r="EK510" s="35">
        <f>BP510*BU510/1000</f>
        <v>1.6255099999999999E-3</v>
      </c>
      <c r="EL510" s="31"/>
      <c r="EM510" s="31"/>
      <c r="EN510" s="31"/>
      <c r="EO510" s="31"/>
      <c r="EP510" s="31"/>
      <c r="EQ510" s="31"/>
      <c r="ER510" s="31"/>
      <c r="ES510" s="31"/>
      <c r="ET510" s="31"/>
      <c r="EU510" s="31"/>
      <c r="EV510" s="31"/>
      <c r="EW510" s="31"/>
      <c r="EX510" s="31"/>
      <c r="EY510" s="31"/>
      <c r="EZ510" s="31"/>
      <c r="FA510" s="31"/>
      <c r="FB510" s="31"/>
      <c r="FC510" s="31"/>
      <c r="FD510" s="31"/>
      <c r="FE510" s="31"/>
      <c r="FF510" s="31"/>
      <c r="FG510" s="31"/>
      <c r="FH510" s="31"/>
      <c r="FI510" s="31"/>
      <c r="FJ510" s="31"/>
      <c r="FK510" s="31"/>
      <c r="FL510" s="31"/>
      <c r="FM510" s="31"/>
      <c r="FN510" s="31"/>
      <c r="FO510" s="31"/>
      <c r="FP510" s="31"/>
      <c r="FQ510" s="31"/>
      <c r="FR510" s="31"/>
      <c r="FS510" s="31"/>
      <c r="FT510" s="31"/>
      <c r="FU510" s="31"/>
      <c r="FV510" s="31"/>
      <c r="FW510" s="31"/>
      <c r="FX510" s="31"/>
      <c r="FY510" s="31"/>
      <c r="FZ510" s="31"/>
      <c r="GA510" s="31"/>
      <c r="GB510" s="31"/>
      <c r="GC510" s="31"/>
      <c r="GD510" s="31"/>
      <c r="GE510" s="31"/>
      <c r="GF510" s="31"/>
      <c r="GG510" s="31"/>
      <c r="GH510" s="31"/>
      <c r="GI510" s="31"/>
      <c r="GJ510" s="31"/>
      <c r="GK510" s="31"/>
      <c r="GL510" s="31"/>
      <c r="GM510" s="31"/>
      <c r="GN510" s="31"/>
      <c r="GO510" s="31"/>
      <c r="GP510" s="32"/>
      <c r="GQ510" s="31"/>
      <c r="GR510" s="31"/>
      <c r="GS510" s="31"/>
      <c r="GT510" s="31"/>
      <c r="GU510" s="31"/>
      <c r="GV510" s="31"/>
      <c r="GW510" s="31"/>
      <c r="GX510" s="31"/>
      <c r="GY510" s="31" t="s">
        <v>309</v>
      </c>
      <c r="GZ510" s="31" t="s">
        <v>1699</v>
      </c>
      <c r="HA510" s="31"/>
      <c r="HB510" s="31" t="s">
        <v>1119</v>
      </c>
      <c r="HC510" s="31" t="s">
        <v>1021</v>
      </c>
      <c r="HD510" s="30" t="s">
        <v>6771</v>
      </c>
      <c r="HE510" s="26">
        <v>1421</v>
      </c>
      <c r="HF510" s="30" t="s">
        <v>6772</v>
      </c>
      <c r="HG510" s="30" t="s">
        <v>782</v>
      </c>
      <c r="HH510" s="30"/>
      <c r="HI510" s="26"/>
      <c r="HJ510" s="30"/>
      <c r="HK510" s="30"/>
      <c r="HL510" s="30"/>
      <c r="HM510" s="26"/>
      <c r="HN510" s="30"/>
      <c r="HO510" s="30"/>
      <c r="HP510" s="30"/>
      <c r="HQ510" s="30"/>
      <c r="HR510" s="30"/>
      <c r="HS510" s="30"/>
      <c r="HT510" s="30"/>
      <c r="HU510" s="30"/>
      <c r="HV510" s="30"/>
      <c r="HW510" s="30"/>
      <c r="HX510" s="30"/>
      <c r="HY510" s="30"/>
      <c r="HZ510" s="30"/>
      <c r="IA510" s="30"/>
      <c r="IB510" s="30"/>
      <c r="IC510" s="26"/>
      <c r="ID510" s="30"/>
      <c r="IE510" s="30"/>
      <c r="IF510" s="30"/>
      <c r="IG510" s="30"/>
      <c r="IH510" s="30"/>
      <c r="II510" s="30"/>
      <c r="IJ510" s="30"/>
      <c r="IK510" s="30"/>
      <c r="IL510" s="30"/>
      <c r="IM510" s="30"/>
      <c r="IN510" s="30"/>
      <c r="IO510" s="30"/>
      <c r="IP510" s="30"/>
      <c r="IQ510" s="30"/>
      <c r="IR510" s="30"/>
      <c r="IS510" s="30"/>
      <c r="IT510" s="30"/>
      <c r="IU510" s="30"/>
      <c r="IV510" s="30"/>
      <c r="IW510" s="30"/>
      <c r="IX510" s="30"/>
      <c r="IY510" s="30"/>
      <c r="IZ510" s="30"/>
      <c r="JA510" s="30"/>
      <c r="JB510" s="30"/>
      <c r="JC510" s="30"/>
      <c r="JD510" s="30"/>
      <c r="JE510" s="30"/>
      <c r="JF510" s="30"/>
      <c r="JG510" s="30"/>
      <c r="JH510" s="30"/>
      <c r="JI510" s="30"/>
      <c r="JJ510" s="30"/>
      <c r="JK510" s="30"/>
      <c r="JL510" s="30"/>
      <c r="JM510" s="30"/>
      <c r="JN510" s="30"/>
      <c r="JO510" s="30"/>
      <c r="JP510" s="30"/>
      <c r="JQ510" s="30"/>
      <c r="JR510" s="30"/>
      <c r="JS510" s="30"/>
      <c r="JT510" s="30"/>
      <c r="JU510" s="30"/>
      <c r="JV510" s="29"/>
      <c r="JW510" s="29"/>
      <c r="JX510" s="30" t="s">
        <v>320</v>
      </c>
      <c r="JY510" s="30"/>
      <c r="JZ510" s="30"/>
      <c r="KA510" s="29"/>
      <c r="KB510" s="29"/>
      <c r="KC510" s="29"/>
      <c r="KD510" s="29"/>
      <c r="KE510" s="29"/>
      <c r="KF510" s="29"/>
      <c r="KG510" s="29" t="s">
        <v>323</v>
      </c>
      <c r="KH510" s="30"/>
      <c r="KI510" s="30"/>
      <c r="KJ510" s="30"/>
      <c r="KK510" s="30"/>
      <c r="KL510" s="30"/>
      <c r="KM510" s="27"/>
      <c r="KN510" s="27"/>
      <c r="KO510" s="27"/>
      <c r="KP510" s="14" t="s">
        <v>324</v>
      </c>
      <c r="KQ510" s="28" t="s">
        <v>6773</v>
      </c>
      <c r="KR510" s="28"/>
      <c r="KS510" s="14" t="s">
        <v>324</v>
      </c>
      <c r="KT510" s="28" t="s">
        <v>6774</v>
      </c>
    </row>
    <row r="511" spans="1:306" ht="132" x14ac:dyDescent="0.25">
      <c r="A511" s="5" t="s">
        <v>7008</v>
      </c>
      <c r="B511" s="4" t="s">
        <v>476</v>
      </c>
      <c r="C511" s="7" t="s">
        <v>964</v>
      </c>
      <c r="D511" s="8" t="s">
        <v>2300</v>
      </c>
      <c r="E511" s="4">
        <v>622847</v>
      </c>
      <c r="G511" s="4" t="s">
        <v>296</v>
      </c>
      <c r="H511" s="6">
        <v>146.15528126500001</v>
      </c>
      <c r="I511" s="6">
        <v>-41.486060145000003</v>
      </c>
      <c r="J511" s="4" t="s">
        <v>2780</v>
      </c>
      <c r="K511" s="4" t="s">
        <v>298</v>
      </c>
      <c r="L511" s="4" t="s">
        <v>400</v>
      </c>
      <c r="M511" s="4" t="s">
        <v>401</v>
      </c>
      <c r="Q511" s="8"/>
      <c r="R511" s="7"/>
      <c r="Z511" s="4" t="s">
        <v>476</v>
      </c>
      <c r="AA511" s="7" t="s">
        <v>964</v>
      </c>
      <c r="AB511" s="8" t="s">
        <v>2300</v>
      </c>
      <c r="AC511" s="4" t="s">
        <v>301</v>
      </c>
      <c r="AD511" s="4" t="s">
        <v>302</v>
      </c>
      <c r="AE511" s="8">
        <v>383</v>
      </c>
      <c r="AF511" s="7"/>
      <c r="AG511" s="9" t="s">
        <v>379</v>
      </c>
      <c r="AH511" s="9" t="s">
        <v>1156</v>
      </c>
      <c r="AM511" s="8">
        <v>3</v>
      </c>
      <c r="BP511" s="7">
        <v>5.7917999999999997E-2</v>
      </c>
      <c r="BT511" s="6">
        <f>100*EJ511/BP511</f>
        <v>8.1551503850271079</v>
      </c>
      <c r="BU511" s="8">
        <f>1000*EK511/BP511</f>
        <v>186.64708726130044</v>
      </c>
      <c r="BV511" s="6">
        <f>EL511/BP511</f>
        <v>0.54318173970095662</v>
      </c>
      <c r="CY511" s="7"/>
      <c r="DZ511" s="31"/>
      <c r="EJ511" s="10">
        <v>4.7232999999999997E-3</v>
      </c>
      <c r="EK511" s="10">
        <v>1.0810225999999999E-2</v>
      </c>
      <c r="EL511" s="9">
        <v>3.1460000000000002E-2</v>
      </c>
      <c r="EY511" s="6"/>
      <c r="FA511" s="6"/>
      <c r="FN511" s="7"/>
      <c r="GP511" s="32"/>
      <c r="GY511" s="6" t="s">
        <v>309</v>
      </c>
      <c r="GZ511" s="6" t="s">
        <v>2547</v>
      </c>
      <c r="HB511" s="6" t="s">
        <v>436</v>
      </c>
      <c r="HC511" s="6" t="s">
        <v>1021</v>
      </c>
      <c r="HD511" s="8" t="s">
        <v>2781</v>
      </c>
      <c r="HE511" s="8">
        <v>27837</v>
      </c>
      <c r="HF511" s="8" t="s">
        <v>2782</v>
      </c>
      <c r="HG511" s="9" t="s">
        <v>2783</v>
      </c>
      <c r="HQ511" s="9"/>
      <c r="HY511" s="9"/>
      <c r="IB511" s="8" t="s">
        <v>2784</v>
      </c>
      <c r="IC511" s="8">
        <v>5570</v>
      </c>
      <c r="ID511" s="8" t="s">
        <v>2785</v>
      </c>
      <c r="IE511" s="8" t="s">
        <v>2787</v>
      </c>
      <c r="IF511" s="8" t="s">
        <v>319</v>
      </c>
      <c r="IM511" s="9"/>
      <c r="IR511" s="9"/>
      <c r="JX511" s="7" t="s">
        <v>320</v>
      </c>
      <c r="KG511" s="4" t="s">
        <v>323</v>
      </c>
      <c r="KP511" s="5" t="s">
        <v>7009</v>
      </c>
      <c r="KQ511" s="5" t="s">
        <v>7010</v>
      </c>
      <c r="KR511" s="5" t="s">
        <v>768</v>
      </c>
      <c r="KS511" s="5" t="s">
        <v>7009</v>
      </c>
      <c r="KT511" s="5" t="s">
        <v>7011</v>
      </c>
    </row>
    <row r="512" spans="1:306" ht="37.5" x14ac:dyDescent="0.2">
      <c r="A512" s="5" t="s">
        <v>7835</v>
      </c>
      <c r="B512" s="4" t="s">
        <v>476</v>
      </c>
      <c r="C512" s="7" t="s">
        <v>964</v>
      </c>
      <c r="D512" s="8" t="s">
        <v>2300</v>
      </c>
      <c r="E512" s="44">
        <v>859632</v>
      </c>
      <c r="F512" s="4">
        <v>1173128</v>
      </c>
      <c r="G512" s="4" t="s">
        <v>479</v>
      </c>
      <c r="H512" s="6">
        <v>142.321653</v>
      </c>
      <c r="I512" s="6">
        <v>-17.891100000000002</v>
      </c>
      <c r="J512" s="4" t="s">
        <v>7836</v>
      </c>
      <c r="K512" s="4" t="s">
        <v>481</v>
      </c>
      <c r="L512" s="4" t="s">
        <v>482</v>
      </c>
      <c r="Q512" s="7"/>
      <c r="R512" s="7"/>
      <c r="Z512" s="4" t="s">
        <v>476</v>
      </c>
      <c r="AA512" s="7" t="s">
        <v>964</v>
      </c>
      <c r="AB512" s="8" t="s">
        <v>2300</v>
      </c>
      <c r="AE512" s="7">
        <f>AVERAGE(284.7,284.8)</f>
        <v>284.75</v>
      </c>
      <c r="AF512" s="7">
        <f>SQRT(1.2^2+1.4^2)/2</f>
        <v>0.92195444572928864</v>
      </c>
      <c r="AG512" s="9" t="s">
        <v>379</v>
      </c>
      <c r="AH512" s="9" t="s">
        <v>429</v>
      </c>
      <c r="AI512" s="9" t="s">
        <v>845</v>
      </c>
      <c r="AJ512" s="9" t="s">
        <v>431</v>
      </c>
      <c r="AK512" s="9" t="s">
        <v>432</v>
      </c>
      <c r="AM512" s="8">
        <v>4</v>
      </c>
      <c r="AS512" s="7"/>
      <c r="AT512" s="7"/>
      <c r="DZ512" s="31"/>
      <c r="EY512" s="6"/>
      <c r="FA512" s="6"/>
      <c r="GP512" s="32"/>
      <c r="GY512" s="6" t="s">
        <v>407</v>
      </c>
      <c r="HY512" s="9"/>
      <c r="IE512" s="9"/>
      <c r="IO512" s="8"/>
      <c r="IP512" s="8"/>
      <c r="IR512" s="9"/>
      <c r="JX512" s="7" t="s">
        <v>322</v>
      </c>
      <c r="JY512" s="7" t="s">
        <v>354</v>
      </c>
      <c r="JZ512" s="7" t="s">
        <v>320</v>
      </c>
      <c r="KG512" s="4" t="s">
        <v>323</v>
      </c>
      <c r="KP512" s="5" t="s">
        <v>768</v>
      </c>
      <c r="KQ512" s="5" t="s">
        <v>7837</v>
      </c>
      <c r="KR512" s="5" t="s">
        <v>768</v>
      </c>
      <c r="KT512" s="5" t="s">
        <v>7838</v>
      </c>
    </row>
    <row r="513" spans="1:306" ht="96" x14ac:dyDescent="0.2">
      <c r="A513" s="5" t="s">
        <v>7848</v>
      </c>
      <c r="B513" s="4" t="s">
        <v>476</v>
      </c>
      <c r="C513" s="7" t="s">
        <v>964</v>
      </c>
      <c r="D513" s="8" t="s">
        <v>2300</v>
      </c>
      <c r="E513" s="44">
        <v>859633</v>
      </c>
      <c r="F513" s="4">
        <v>466505</v>
      </c>
      <c r="G513" s="4" t="s">
        <v>427</v>
      </c>
      <c r="H513" s="6">
        <v>148.965</v>
      </c>
      <c r="I513" s="6">
        <v>-34.521799999999999</v>
      </c>
      <c r="J513" s="4" t="s">
        <v>7849</v>
      </c>
      <c r="K513" s="4" t="s">
        <v>298</v>
      </c>
      <c r="L513" s="4" t="s">
        <v>299</v>
      </c>
      <c r="M513" s="4" t="s">
        <v>1359</v>
      </c>
      <c r="Q513" s="8"/>
      <c r="R513" s="8"/>
      <c r="Z513" s="4" t="s">
        <v>476</v>
      </c>
      <c r="AA513" s="7" t="s">
        <v>964</v>
      </c>
      <c r="AB513" s="8" t="s">
        <v>2300</v>
      </c>
      <c r="AC513" s="4" t="s">
        <v>301</v>
      </c>
      <c r="AD513" s="4" t="s">
        <v>375</v>
      </c>
      <c r="AE513" s="8">
        <v>431</v>
      </c>
      <c r="AF513" s="8">
        <v>5</v>
      </c>
      <c r="AG513" s="9" t="s">
        <v>379</v>
      </c>
      <c r="AH513" s="9" t="s">
        <v>483</v>
      </c>
      <c r="AI513" s="9" t="s">
        <v>373</v>
      </c>
      <c r="AJ513" s="9" t="s">
        <v>306</v>
      </c>
      <c r="AK513" s="9" t="s">
        <v>307</v>
      </c>
      <c r="AL513" s="9" t="s">
        <v>337</v>
      </c>
      <c r="AM513" s="8">
        <v>3</v>
      </c>
      <c r="AN513" s="4" t="s">
        <v>381</v>
      </c>
      <c r="AO513" s="4" t="s">
        <v>382</v>
      </c>
      <c r="AP513" s="4" t="s">
        <v>383</v>
      </c>
      <c r="AQ513" s="7" t="s">
        <v>384</v>
      </c>
      <c r="AR513" s="8" t="s">
        <v>1048</v>
      </c>
      <c r="AS513" s="7">
        <v>0</v>
      </c>
      <c r="AT513" s="7">
        <v>0</v>
      </c>
      <c r="AU513" s="9" t="s">
        <v>303</v>
      </c>
      <c r="AV513" s="9" t="s">
        <v>406</v>
      </c>
      <c r="BA513" s="8">
        <v>5</v>
      </c>
      <c r="BP513" s="9">
        <v>3.0500000000000002E-3</v>
      </c>
      <c r="BT513" s="8">
        <v>30</v>
      </c>
      <c r="BU513" s="8">
        <v>920</v>
      </c>
      <c r="DZ513" s="31"/>
      <c r="EJ513" s="16">
        <f>BP513*BT513/100</f>
        <v>9.1500000000000012E-4</v>
      </c>
      <c r="EK513" s="16">
        <f>BP513*BU513/1000</f>
        <v>2.8059999999999999E-3</v>
      </c>
      <c r="EY513" s="6"/>
      <c r="FA513" s="6"/>
      <c r="GP513" s="32"/>
      <c r="GY513" s="6" t="s">
        <v>309</v>
      </c>
      <c r="GZ513" s="6" t="s">
        <v>2547</v>
      </c>
      <c r="HC513" s="6" t="s">
        <v>1021</v>
      </c>
      <c r="HD513" s="8" t="s">
        <v>6618</v>
      </c>
      <c r="HE513" s="8">
        <v>69898</v>
      </c>
      <c r="HF513" s="8" t="s">
        <v>6619</v>
      </c>
      <c r="HG513" s="9" t="s">
        <v>466</v>
      </c>
      <c r="HY513" s="9"/>
      <c r="IB513" s="8" t="s">
        <v>7850</v>
      </c>
      <c r="IC513" s="8">
        <v>16485</v>
      </c>
      <c r="ID513" s="8" t="s">
        <v>7851</v>
      </c>
      <c r="IE513" s="8" t="s">
        <v>444</v>
      </c>
      <c r="IF513" s="8" t="s">
        <v>319</v>
      </c>
      <c r="IW513" s="8"/>
      <c r="JB513" s="8"/>
      <c r="JV513" s="7" t="s">
        <v>2289</v>
      </c>
      <c r="JX513" s="7" t="s">
        <v>320</v>
      </c>
      <c r="JY513" s="7" t="s">
        <v>354</v>
      </c>
      <c r="JZ513" s="7" t="s">
        <v>738</v>
      </c>
      <c r="KA513" s="7" t="s">
        <v>354</v>
      </c>
      <c r="KB513" s="7" t="s">
        <v>322</v>
      </c>
      <c r="KC513" s="7" t="s">
        <v>354</v>
      </c>
      <c r="KD513" s="7" t="s">
        <v>355</v>
      </c>
      <c r="KG513" s="4" t="s">
        <v>356</v>
      </c>
      <c r="KH513" s="4" t="s">
        <v>1317</v>
      </c>
      <c r="KP513" s="5" t="s">
        <v>2553</v>
      </c>
      <c r="KQ513" s="5" t="s">
        <v>7852</v>
      </c>
      <c r="KR513" s="5" t="s">
        <v>5147</v>
      </c>
      <c r="KS513" s="5" t="s">
        <v>7853</v>
      </c>
      <c r="KT513" s="5" t="s">
        <v>7854</v>
      </c>
    </row>
    <row r="514" spans="1:306" ht="132" x14ac:dyDescent="0.25">
      <c r="A514" s="5" t="s">
        <v>8374</v>
      </c>
      <c r="B514" s="4" t="s">
        <v>476</v>
      </c>
      <c r="C514" s="7" t="s">
        <v>964</v>
      </c>
      <c r="D514" s="8" t="s">
        <v>2300</v>
      </c>
      <c r="E514" s="4">
        <v>335560</v>
      </c>
      <c r="G514" s="4" t="s">
        <v>296</v>
      </c>
      <c r="H514" s="6">
        <v>145.32269376100001</v>
      </c>
      <c r="I514" s="6">
        <v>-41.876955539999997</v>
      </c>
      <c r="J514" s="4" t="s">
        <v>966</v>
      </c>
      <c r="K514" s="4" t="s">
        <v>298</v>
      </c>
      <c r="L514" s="4" t="s">
        <v>400</v>
      </c>
      <c r="M514" s="4" t="s">
        <v>401</v>
      </c>
      <c r="Q514" s="7"/>
      <c r="R514" s="7"/>
      <c r="S514" s="4"/>
      <c r="U514" s="4"/>
      <c r="V514" s="4"/>
      <c r="W514" s="4"/>
      <c r="X514" s="4"/>
      <c r="Z514" s="4" t="s">
        <v>476</v>
      </c>
      <c r="AA514" s="7" t="s">
        <v>964</v>
      </c>
      <c r="AB514" s="8" t="s">
        <v>2300</v>
      </c>
      <c r="AC514" s="4" t="s">
        <v>301</v>
      </c>
      <c r="AD514" s="4" t="s">
        <v>375</v>
      </c>
      <c r="AE514" s="7">
        <v>360.9</v>
      </c>
      <c r="AF514" s="7">
        <v>1.9</v>
      </c>
      <c r="AG514" s="4" t="s">
        <v>379</v>
      </c>
      <c r="AH514" s="9" t="s">
        <v>483</v>
      </c>
      <c r="AI514" s="4" t="s">
        <v>373</v>
      </c>
      <c r="AJ514" s="4" t="s">
        <v>306</v>
      </c>
      <c r="AK514" s="4" t="s">
        <v>307</v>
      </c>
      <c r="AL514" s="4" t="s">
        <v>337</v>
      </c>
      <c r="AM514" s="8">
        <v>4</v>
      </c>
      <c r="BQ514" s="7"/>
      <c r="BR514" s="7"/>
      <c r="BS514" s="7"/>
      <c r="BT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s="7"/>
      <c r="CW514" s="7"/>
      <c r="CX514" s="7"/>
      <c r="CY514" s="7"/>
      <c r="CZ514" s="7"/>
      <c r="DA514" s="7"/>
      <c r="DB514" s="7"/>
      <c r="DC514" s="7"/>
      <c r="DD514" s="7"/>
      <c r="DE514" s="7"/>
      <c r="DF514" s="7"/>
      <c r="DG514" s="7"/>
      <c r="DH514" s="7"/>
      <c r="DI514" s="7"/>
      <c r="DJ514" s="7"/>
      <c r="DK514" s="7"/>
      <c r="DL514" s="7"/>
      <c r="DM514" s="7"/>
      <c r="DN514" s="7"/>
      <c r="DO514" s="7"/>
      <c r="DP514" s="7"/>
      <c r="DQ514" s="7"/>
      <c r="DR514" s="7"/>
      <c r="DS514" s="7"/>
      <c r="DT514" s="7"/>
      <c r="DU514" s="7"/>
      <c r="DV514" s="7"/>
      <c r="DW514" s="7"/>
      <c r="DX514" s="7"/>
      <c r="DY514" s="7"/>
      <c r="DZ514" s="31"/>
      <c r="EA514" s="7"/>
      <c r="EB514" s="7"/>
      <c r="EC514" s="7"/>
      <c r="ED514" s="7"/>
      <c r="EE514" s="7"/>
      <c r="EF514" s="7"/>
      <c r="EG514" s="7"/>
      <c r="EI514" s="10">
        <f>0.00264+0.007334*14.8/100+0.0013579*14.5/100+0.98881*5.46/100+0.00507*4.1/100+0.01271*4.3/100+5.7*4.6/100</f>
        <v>0.32086575350000002</v>
      </c>
      <c r="EJ514" s="10">
        <f>0.194816-0.01541+0.007334*3.6/100+0.0013579*2.4/100+0.98881*1.93/100+0.00507*3.2/100+0.01271*1.7/100+3.3*4.6/100</f>
        <v>0.35096495659999999</v>
      </c>
      <c r="EK514" s="10">
        <f>((26585000-561907)*31.1/1000000+0.007334*62+0.0013579*45+0.98881*42+0.00507*40+0.01271*24+4.6*35)/1000</f>
        <v>1.0128718658000002</v>
      </c>
      <c r="EY514" s="6"/>
      <c r="FA514" s="6"/>
      <c r="GP514" s="32"/>
      <c r="GY514" s="6" t="s">
        <v>309</v>
      </c>
      <c r="GZ514" s="6" t="s">
        <v>7547</v>
      </c>
      <c r="HC514" s="6" t="s">
        <v>1021</v>
      </c>
      <c r="HD514" s="7" t="s">
        <v>2865</v>
      </c>
      <c r="HE514" s="8">
        <v>14603</v>
      </c>
      <c r="HF514" s="7" t="s">
        <v>2866</v>
      </c>
      <c r="HG514" s="7" t="s">
        <v>2867</v>
      </c>
      <c r="HH514" s="7" t="s">
        <v>6761</v>
      </c>
      <c r="HJ514" s="7" t="s">
        <v>6762</v>
      </c>
      <c r="HK514" s="7" t="s">
        <v>4612</v>
      </c>
      <c r="HL514" s="7" t="s">
        <v>5741</v>
      </c>
      <c r="HM514" s="8">
        <v>4898</v>
      </c>
      <c r="HN514" s="7" t="s">
        <v>6763</v>
      </c>
      <c r="HO514" s="7" t="s">
        <v>4612</v>
      </c>
      <c r="HP514" s="7"/>
      <c r="HQ514" s="7"/>
      <c r="HR514" s="7"/>
      <c r="HS514" s="7"/>
      <c r="HT514" s="7"/>
      <c r="HU514" s="7"/>
      <c r="HV514" s="7"/>
      <c r="HW514" s="7"/>
      <c r="HX514" s="7"/>
      <c r="HY514" s="7"/>
      <c r="HZ514" s="7"/>
      <c r="IA514" s="7"/>
      <c r="IB514" s="8" t="s">
        <v>971</v>
      </c>
      <c r="IC514" s="8">
        <v>75564</v>
      </c>
      <c r="ID514" s="8" t="s">
        <v>972</v>
      </c>
      <c r="IE514" s="8" t="s">
        <v>318</v>
      </c>
      <c r="IF514" s="8" t="s">
        <v>319</v>
      </c>
      <c r="IG514" s="7"/>
      <c r="IH514" s="7"/>
      <c r="II514" s="7"/>
      <c r="IJ514" s="7"/>
      <c r="IK514" s="7"/>
      <c r="IL514" s="7"/>
      <c r="IM514" s="7"/>
      <c r="IN514" s="7"/>
      <c r="IO514" s="7"/>
      <c r="IP514" s="7"/>
      <c r="IQ514" s="7"/>
      <c r="IR514" s="7"/>
      <c r="IS514" s="7"/>
      <c r="IT514" s="7"/>
      <c r="IU514" s="7"/>
      <c r="IV514" s="7"/>
      <c r="IW514" s="7"/>
      <c r="IX514" s="7"/>
      <c r="IY514" s="7"/>
      <c r="IZ514" s="7"/>
      <c r="JA514" s="7"/>
      <c r="JB514" s="7"/>
      <c r="JC514" s="7"/>
      <c r="JD514" s="7"/>
      <c r="JE514" s="7"/>
      <c r="JF514" s="7"/>
      <c r="JG514" s="7"/>
      <c r="JH514" s="7"/>
      <c r="JI514" s="7"/>
      <c r="JJ514" s="7"/>
      <c r="JK514" s="7"/>
      <c r="JL514" s="7"/>
      <c r="JM514" s="7"/>
      <c r="JN514" s="7"/>
      <c r="JO514" s="7"/>
      <c r="JP514" s="7"/>
      <c r="JQ514" s="7"/>
      <c r="JR514" s="7"/>
      <c r="JS514" s="7"/>
      <c r="JT514" s="7"/>
      <c r="JV514" s="4" t="s">
        <v>8375</v>
      </c>
      <c r="JW514" s="4"/>
      <c r="JX514" s="7" t="s">
        <v>320</v>
      </c>
      <c r="JY514" s="7" t="s">
        <v>448</v>
      </c>
      <c r="JZ514" s="7" t="s">
        <v>322</v>
      </c>
      <c r="KA514" s="4"/>
      <c r="KB514" s="4"/>
      <c r="KC514" s="4"/>
      <c r="KD514" s="4"/>
      <c r="KE514" s="4"/>
      <c r="KF514" s="4"/>
      <c r="KG514" s="4" t="s">
        <v>323</v>
      </c>
      <c r="KH514" s="7"/>
      <c r="KI514" s="7"/>
      <c r="KJ514" s="7"/>
      <c r="KK514" s="7"/>
      <c r="KL514" s="7"/>
      <c r="KM514" s="9" t="s">
        <v>391</v>
      </c>
      <c r="KN514" s="9" t="s">
        <v>391</v>
      </c>
      <c r="KO514" s="9"/>
      <c r="KP514" s="5" t="s">
        <v>324</v>
      </c>
      <c r="KQ514" s="15" t="s">
        <v>8376</v>
      </c>
      <c r="KR514" s="5" t="s">
        <v>975</v>
      </c>
      <c r="KS514" s="15" t="s">
        <v>8377</v>
      </c>
      <c r="KT514" s="15" t="s">
        <v>8378</v>
      </c>
    </row>
    <row r="515" spans="1:306" ht="120" x14ac:dyDescent="0.25">
      <c r="A515" s="5" t="s">
        <v>963</v>
      </c>
      <c r="B515" s="4" t="s">
        <v>476</v>
      </c>
      <c r="C515" s="7" t="s">
        <v>964</v>
      </c>
      <c r="D515" s="8" t="s">
        <v>965</v>
      </c>
      <c r="E515" s="4">
        <v>334692</v>
      </c>
      <c r="G515" s="4" t="s">
        <v>296</v>
      </c>
      <c r="H515" s="6">
        <v>145.24711425699999</v>
      </c>
      <c r="I515" s="6">
        <v>-41.921758971000003</v>
      </c>
      <c r="J515" s="4" t="s">
        <v>966</v>
      </c>
      <c r="K515" s="4" t="s">
        <v>298</v>
      </c>
      <c r="L515" s="4" t="s">
        <v>400</v>
      </c>
      <c r="M515" s="4" t="s">
        <v>401</v>
      </c>
      <c r="Q515" s="8"/>
      <c r="R515" s="7"/>
      <c r="Z515" s="4" t="s">
        <v>476</v>
      </c>
      <c r="AA515" s="7" t="s">
        <v>964</v>
      </c>
      <c r="AB515" s="8" t="s">
        <v>965</v>
      </c>
      <c r="AC515" s="4" t="s">
        <v>301</v>
      </c>
      <c r="AD515" s="4" t="s">
        <v>302</v>
      </c>
      <c r="AE515" s="8">
        <v>360.9</v>
      </c>
      <c r="AF515" s="7">
        <v>1.9</v>
      </c>
      <c r="AG515" s="9" t="s">
        <v>379</v>
      </c>
      <c r="AH515" s="9" t="s">
        <v>483</v>
      </c>
      <c r="AI515" s="9" t="s">
        <v>373</v>
      </c>
      <c r="AJ515" s="9" t="s">
        <v>306</v>
      </c>
      <c r="AK515" s="9" t="s">
        <v>307</v>
      </c>
      <c r="AL515" s="9" t="s">
        <v>337</v>
      </c>
      <c r="AM515" s="8">
        <v>4</v>
      </c>
      <c r="BP515" s="7">
        <f>0.464+29.3</f>
        <v>29.763999999999999</v>
      </c>
      <c r="CK515" s="6">
        <v>2.29E-2</v>
      </c>
      <c r="CL515" s="7">
        <f>(0.97*0.464+0.9*29.3)/(0.464+29.3)</f>
        <v>0.90109125117591726</v>
      </c>
      <c r="CN515" s="6">
        <v>0.32100000000000001</v>
      </c>
      <c r="DZ515" s="31"/>
      <c r="EY515" s="6"/>
      <c r="EZ515" s="6">
        <f>BP515*CK515/100*1000</f>
        <v>6.8159559999999999</v>
      </c>
      <c r="FA515" s="6">
        <f>BP515*CL515/100</f>
        <v>0.26820080000000002</v>
      </c>
      <c r="FC515" s="6">
        <f>BP515*CN515/100*1000</f>
        <v>95.542439999999999</v>
      </c>
      <c r="GP515" s="32"/>
      <c r="GY515" s="6" t="s">
        <v>435</v>
      </c>
      <c r="GZ515" s="6" t="s">
        <v>928</v>
      </c>
      <c r="HB515" s="40" t="s">
        <v>967</v>
      </c>
      <c r="HC515" s="40"/>
      <c r="HD515" s="8" t="s">
        <v>968</v>
      </c>
      <c r="HE515" s="8">
        <v>30500</v>
      </c>
      <c r="HF515" s="8" t="s">
        <v>969</v>
      </c>
      <c r="HG515" s="9" t="s">
        <v>970</v>
      </c>
      <c r="HQ515" s="9"/>
      <c r="HY515" s="9"/>
      <c r="IB515" s="8" t="s">
        <v>968</v>
      </c>
      <c r="IC515" s="8">
        <v>30500</v>
      </c>
      <c r="ID515" s="8" t="s">
        <v>969</v>
      </c>
      <c r="IE515" s="9" t="s">
        <v>970</v>
      </c>
      <c r="IF515" s="8" t="s">
        <v>445</v>
      </c>
      <c r="IG515" s="8" t="s">
        <v>971</v>
      </c>
      <c r="IH515" s="8">
        <v>75564</v>
      </c>
      <c r="II515" s="8" t="s">
        <v>972</v>
      </c>
      <c r="IJ515" s="8" t="s">
        <v>318</v>
      </c>
      <c r="IK515" s="8" t="s">
        <v>319</v>
      </c>
      <c r="IM515" s="9"/>
      <c r="IR515" s="9"/>
      <c r="JV515" s="7" t="s">
        <v>973</v>
      </c>
      <c r="JX515" s="7" t="s">
        <v>322</v>
      </c>
      <c r="KG515" s="4" t="s">
        <v>323</v>
      </c>
      <c r="KP515" s="5" t="s">
        <v>324</v>
      </c>
      <c r="KQ515" s="5" t="s">
        <v>974</v>
      </c>
      <c r="KR515" s="5" t="s">
        <v>975</v>
      </c>
      <c r="KS515" s="5" t="s">
        <v>976</v>
      </c>
      <c r="KT515" s="5" t="s">
        <v>977</v>
      </c>
    </row>
    <row r="516" spans="1:306" ht="156" x14ac:dyDescent="0.25">
      <c r="A516" s="5" t="s">
        <v>4033</v>
      </c>
      <c r="B516" s="4" t="s">
        <v>424</v>
      </c>
      <c r="C516" s="7" t="s">
        <v>425</v>
      </c>
      <c r="D516" s="7" t="s">
        <v>4034</v>
      </c>
      <c r="E516" s="4">
        <v>336724</v>
      </c>
      <c r="G516" s="4" t="s">
        <v>427</v>
      </c>
      <c r="H516" s="6">
        <v>151.90246681299999</v>
      </c>
      <c r="I516" s="6">
        <v>-30.576943792000002</v>
      </c>
      <c r="J516" s="4" t="s">
        <v>4035</v>
      </c>
      <c r="K516" s="4" t="s">
        <v>298</v>
      </c>
      <c r="L516" s="4" t="s">
        <v>552</v>
      </c>
      <c r="O516" s="7"/>
      <c r="Q516" s="8"/>
      <c r="R516" s="8"/>
      <c r="Z516" s="4" t="s">
        <v>424</v>
      </c>
      <c r="AA516" s="7" t="s">
        <v>425</v>
      </c>
      <c r="AB516" s="7" t="s">
        <v>4034</v>
      </c>
      <c r="AC516" s="4" t="s">
        <v>301</v>
      </c>
      <c r="AD516" s="4" t="s">
        <v>375</v>
      </c>
      <c r="AE516" s="8">
        <v>257</v>
      </c>
      <c r="AF516" s="8">
        <v>5</v>
      </c>
      <c r="AG516" s="9" t="s">
        <v>379</v>
      </c>
      <c r="AH516" s="9" t="s">
        <v>483</v>
      </c>
      <c r="AI516" s="9" t="s">
        <v>873</v>
      </c>
      <c r="AJ516" s="9" t="s">
        <v>1238</v>
      </c>
      <c r="AM516" s="8">
        <v>2</v>
      </c>
      <c r="AN516" s="4" t="s">
        <v>381</v>
      </c>
      <c r="AO516" s="4" t="s">
        <v>402</v>
      </c>
      <c r="AP516" s="4" t="s">
        <v>383</v>
      </c>
      <c r="AQ516" s="7" t="s">
        <v>384</v>
      </c>
      <c r="AR516" s="8" t="s">
        <v>4036</v>
      </c>
      <c r="AS516" s="7">
        <v>0</v>
      </c>
      <c r="AT516" s="7">
        <v>0</v>
      </c>
      <c r="AU516" s="9" t="s">
        <v>303</v>
      </c>
      <c r="AV516" s="9" t="s">
        <v>406</v>
      </c>
      <c r="BA516" s="8">
        <v>5</v>
      </c>
      <c r="DZ516" s="31"/>
      <c r="EL516" s="6">
        <f>0.73*31.1+2.8*5.1+3.95*4.7</f>
        <v>55.548000000000002</v>
      </c>
      <c r="EY516" s="6"/>
      <c r="FA516" s="6"/>
      <c r="FO516" s="6">
        <f>50+1000*(2.8*1.7+3.95*1.3)/100</f>
        <v>148.94999999999999</v>
      </c>
      <c r="FT516" s="7">
        <f>2*0.8052</f>
        <v>1.6104000000000001</v>
      </c>
      <c r="GP516" s="32"/>
      <c r="GY516" s="31" t="s">
        <v>407</v>
      </c>
      <c r="GZ516" s="6" t="s">
        <v>2418</v>
      </c>
      <c r="HB516" s="6" t="s">
        <v>916</v>
      </c>
      <c r="HD516" s="8" t="s">
        <v>4037</v>
      </c>
      <c r="HE516" s="8">
        <v>7295</v>
      </c>
      <c r="HF516" s="8" t="s">
        <v>4038</v>
      </c>
      <c r="HG516" s="9" t="s">
        <v>4039</v>
      </c>
      <c r="HH516" s="8" t="s">
        <v>4040</v>
      </c>
      <c r="HI516" s="8">
        <v>76953</v>
      </c>
      <c r="HJ516" s="8" t="s">
        <v>4041</v>
      </c>
      <c r="HK516" s="8" t="s">
        <v>493</v>
      </c>
      <c r="HL516" s="8" t="s">
        <v>4042</v>
      </c>
      <c r="HM516" s="8">
        <v>913</v>
      </c>
      <c r="HN516" s="8" t="s">
        <v>4043</v>
      </c>
      <c r="HO516" s="8" t="s">
        <v>766</v>
      </c>
      <c r="HP516" s="8"/>
      <c r="HY516" s="9"/>
      <c r="IB516" s="8" t="s">
        <v>4040</v>
      </c>
      <c r="IC516" s="8">
        <v>76953</v>
      </c>
      <c r="ID516" s="8" t="s">
        <v>4041</v>
      </c>
      <c r="IE516" s="8" t="s">
        <v>493</v>
      </c>
      <c r="IF516" s="8" t="s">
        <v>445</v>
      </c>
      <c r="IG516" s="8" t="s">
        <v>4042</v>
      </c>
      <c r="IH516" s="8">
        <v>913</v>
      </c>
      <c r="II516" s="8" t="s">
        <v>4043</v>
      </c>
      <c r="IJ516" s="8" t="s">
        <v>766</v>
      </c>
      <c r="IK516" s="8" t="s">
        <v>445</v>
      </c>
      <c r="IN516" s="9" t="s">
        <v>4044</v>
      </c>
      <c r="IP516" s="9" t="s">
        <v>329</v>
      </c>
      <c r="IS516" s="9" t="s">
        <v>4045</v>
      </c>
      <c r="IT516" s="9" t="s">
        <v>3491</v>
      </c>
      <c r="IU516" s="9" t="s">
        <v>319</v>
      </c>
      <c r="IW516" s="8"/>
      <c r="JB516" s="8"/>
      <c r="JV516" s="7" t="s">
        <v>4046</v>
      </c>
      <c r="JX516" s="7" t="s">
        <v>320</v>
      </c>
      <c r="JY516" s="7" t="s">
        <v>448</v>
      </c>
      <c r="JZ516" s="7" t="s">
        <v>322</v>
      </c>
      <c r="KA516" s="7" t="s">
        <v>321</v>
      </c>
      <c r="KB516" s="7" t="s">
        <v>355</v>
      </c>
      <c r="KC516" s="7" t="s">
        <v>321</v>
      </c>
      <c r="KD516" s="7" t="s">
        <v>738</v>
      </c>
      <c r="KG516" s="4" t="s">
        <v>323</v>
      </c>
      <c r="KM516" s="4" t="s">
        <v>391</v>
      </c>
      <c r="KN516" s="4" t="s">
        <v>391</v>
      </c>
      <c r="KP516" s="5" t="s">
        <v>4047</v>
      </c>
      <c r="KQ516" s="5" t="s">
        <v>4048</v>
      </c>
      <c r="KR516" s="5" t="s">
        <v>4049</v>
      </c>
      <c r="KS516" s="5" t="s">
        <v>4050</v>
      </c>
      <c r="KT516" s="14" t="s">
        <v>4051</v>
      </c>
    </row>
    <row r="517" spans="1:306" ht="60" x14ac:dyDescent="0.25">
      <c r="A517" s="5" t="s">
        <v>8070</v>
      </c>
      <c r="B517" s="4" t="s">
        <v>424</v>
      </c>
      <c r="C517" s="4" t="s">
        <v>425</v>
      </c>
      <c r="D517" s="7" t="s">
        <v>4034</v>
      </c>
      <c r="E517" s="4">
        <v>333704</v>
      </c>
      <c r="G517" s="4" t="s">
        <v>427</v>
      </c>
      <c r="H517" s="6">
        <v>152.72030000000001</v>
      </c>
      <c r="I517" s="6">
        <v>-30.2256</v>
      </c>
      <c r="K517" s="4" t="s">
        <v>298</v>
      </c>
      <c r="L517" s="4" t="s">
        <v>552</v>
      </c>
      <c r="M517" s="4" t="s">
        <v>8071</v>
      </c>
      <c r="O517" s="7"/>
      <c r="Q517" s="8"/>
      <c r="R517" s="8"/>
      <c r="Z517" s="4" t="s">
        <v>424</v>
      </c>
      <c r="AA517" s="4" t="s">
        <v>425</v>
      </c>
      <c r="AB517" s="7" t="s">
        <v>4034</v>
      </c>
      <c r="AC517" s="4" t="s">
        <v>301</v>
      </c>
      <c r="AD517" s="4" t="s">
        <v>375</v>
      </c>
      <c r="AE517" s="8">
        <v>257</v>
      </c>
      <c r="AF517" s="8"/>
      <c r="AG517" s="9" t="s">
        <v>379</v>
      </c>
      <c r="AH517" s="9" t="s">
        <v>380</v>
      </c>
      <c r="AM517" s="8">
        <v>3</v>
      </c>
      <c r="AN517" s="4" t="s">
        <v>381</v>
      </c>
      <c r="AO517" s="4" t="s">
        <v>402</v>
      </c>
      <c r="AP517" s="4" t="s">
        <v>383</v>
      </c>
      <c r="AQ517" s="7" t="s">
        <v>384</v>
      </c>
      <c r="AR517" s="8" t="s">
        <v>4036</v>
      </c>
      <c r="AS517" s="7">
        <v>0</v>
      </c>
      <c r="AT517" s="7">
        <v>0</v>
      </c>
      <c r="AU517" s="9" t="s">
        <v>303</v>
      </c>
      <c r="AV517" s="9" t="s">
        <v>406</v>
      </c>
      <c r="BA517" s="8">
        <v>5</v>
      </c>
      <c r="BP517" s="7">
        <f>(610000+6+6100+16500)/1000000</f>
        <v>0.632606</v>
      </c>
      <c r="CZ517" s="6">
        <f>(2.56*610000+46*6+4.4*6100+1.82*16500)/(610000+6+6100+16500)</f>
        <v>2.5588533779319196</v>
      </c>
      <c r="DZ517" s="31"/>
      <c r="EY517" s="6"/>
      <c r="FA517" s="6"/>
      <c r="FO517" s="6">
        <f>1000*BP517*CZ517/100</f>
        <v>16.187459999999998</v>
      </c>
      <c r="GP517" s="32"/>
      <c r="GY517" s="6" t="s">
        <v>435</v>
      </c>
      <c r="GZ517" s="6" t="s">
        <v>5351</v>
      </c>
      <c r="HD517" s="8" t="s">
        <v>8072</v>
      </c>
      <c r="HE517" s="8">
        <v>28402</v>
      </c>
      <c r="HF517" s="8" t="s">
        <v>8073</v>
      </c>
      <c r="HG517" s="9" t="s">
        <v>1133</v>
      </c>
      <c r="HH517" s="8"/>
      <c r="HJ517" s="8"/>
      <c r="HK517" s="8"/>
      <c r="IB517" s="8" t="s">
        <v>8074</v>
      </c>
      <c r="IC517" s="8">
        <v>24937</v>
      </c>
      <c r="ID517" s="8" t="s">
        <v>8075</v>
      </c>
      <c r="IE517" s="9" t="s">
        <v>493</v>
      </c>
      <c r="IW517" s="8"/>
      <c r="JB517" s="8"/>
      <c r="JV517" s="7" t="s">
        <v>8076</v>
      </c>
      <c r="JX517" s="7" t="s">
        <v>320</v>
      </c>
      <c r="KG517" s="4" t="s">
        <v>323</v>
      </c>
      <c r="KP517" s="5" t="s">
        <v>358</v>
      </c>
      <c r="KQ517" s="5" t="s">
        <v>8077</v>
      </c>
      <c r="KS517" s="5" t="s">
        <v>8078</v>
      </c>
      <c r="KT517" s="5" t="s">
        <v>8079</v>
      </c>
    </row>
    <row r="518" spans="1:306" ht="84" x14ac:dyDescent="0.25">
      <c r="A518" s="5" t="s">
        <v>423</v>
      </c>
      <c r="B518" s="4" t="s">
        <v>424</v>
      </c>
      <c r="C518" s="7" t="s">
        <v>425</v>
      </c>
      <c r="D518" s="7" t="s">
        <v>426</v>
      </c>
      <c r="E518" s="4">
        <v>335094</v>
      </c>
      <c r="G518" s="4" t="s">
        <v>427</v>
      </c>
      <c r="H518" s="6">
        <v>148.066673167</v>
      </c>
      <c r="I518" s="6">
        <v>-35.292440204000002</v>
      </c>
      <c r="J518" s="4" t="s">
        <v>423</v>
      </c>
      <c r="K518" s="4" t="s">
        <v>298</v>
      </c>
      <c r="L518" s="4" t="s">
        <v>299</v>
      </c>
      <c r="M518" s="4" t="s">
        <v>428</v>
      </c>
      <c r="O518" s="7"/>
      <c r="Q518" s="7"/>
      <c r="R518" s="7"/>
      <c r="Z518" s="4" t="s">
        <v>424</v>
      </c>
      <c r="AA518" s="7" t="s">
        <v>425</v>
      </c>
      <c r="AB518" s="7" t="s">
        <v>426</v>
      </c>
      <c r="AC518" s="4" t="s">
        <v>301</v>
      </c>
      <c r="AD518" s="4" t="s">
        <v>382</v>
      </c>
      <c r="AE518" s="7">
        <v>395.7</v>
      </c>
      <c r="AF518" s="7">
        <v>0.3</v>
      </c>
      <c r="AG518" s="9" t="s">
        <v>379</v>
      </c>
      <c r="AH518" s="9" t="s">
        <v>429</v>
      </c>
      <c r="AI518" s="9" t="s">
        <v>430</v>
      </c>
      <c r="AJ518" s="9" t="s">
        <v>431</v>
      </c>
      <c r="AK518" s="9" t="s">
        <v>432</v>
      </c>
      <c r="AM518" s="8">
        <v>3</v>
      </c>
      <c r="AN518" s="4" t="s">
        <v>381</v>
      </c>
      <c r="AO518" s="4" t="s">
        <v>382</v>
      </c>
      <c r="AP518" s="4" t="s">
        <v>383</v>
      </c>
      <c r="AQ518" s="7" t="s">
        <v>384</v>
      </c>
      <c r="AR518" s="8" t="s">
        <v>433</v>
      </c>
      <c r="AS518" s="7">
        <v>0</v>
      </c>
      <c r="AT518" s="7">
        <v>0</v>
      </c>
      <c r="AU518" s="9" t="s">
        <v>303</v>
      </c>
      <c r="AV518" s="9" t="s">
        <v>406</v>
      </c>
      <c r="BA518" s="8">
        <v>5</v>
      </c>
      <c r="BB518" s="4" t="s">
        <v>381</v>
      </c>
      <c r="BC518" s="4" t="s">
        <v>382</v>
      </c>
      <c r="BD518" s="4" t="s">
        <v>383</v>
      </c>
      <c r="BE518" s="7" t="s">
        <v>403</v>
      </c>
      <c r="BF518" s="8" t="s">
        <v>434</v>
      </c>
      <c r="BG518" s="7">
        <v>0</v>
      </c>
      <c r="BH518" s="7">
        <v>0</v>
      </c>
      <c r="BI518" s="9" t="s">
        <v>303</v>
      </c>
      <c r="BJ518" s="9" t="s">
        <v>406</v>
      </c>
      <c r="BO518" s="8">
        <v>5</v>
      </c>
      <c r="DZ518" s="31"/>
      <c r="EL518" s="6">
        <f>11.759+13.14+0.664*3.77+0.533*2.62+0.103*5.03+0.27*2.1</f>
        <v>29.883830000000003</v>
      </c>
      <c r="EY518" s="6"/>
      <c r="FA518" s="6"/>
      <c r="GP518" s="32"/>
      <c r="GY518" s="6" t="s">
        <v>435</v>
      </c>
      <c r="GZ518" s="6" t="s">
        <v>436</v>
      </c>
      <c r="HC518" s="6" t="s">
        <v>437</v>
      </c>
      <c r="HD518" s="8" t="s">
        <v>438</v>
      </c>
      <c r="HE518" s="8">
        <v>20423</v>
      </c>
      <c r="HF518" s="8" t="s">
        <v>439</v>
      </c>
      <c r="HG518" s="8" t="s">
        <v>440</v>
      </c>
      <c r="HH518" s="8"/>
      <c r="HJ518" s="8" t="s">
        <v>441</v>
      </c>
      <c r="HK518" s="8" t="s">
        <v>440</v>
      </c>
      <c r="HL518" s="8" t="s">
        <v>442</v>
      </c>
      <c r="HM518" s="8">
        <v>23347</v>
      </c>
      <c r="HN518" s="8" t="s">
        <v>443</v>
      </c>
      <c r="HO518" s="8" t="s">
        <v>444</v>
      </c>
      <c r="HY518" s="9"/>
      <c r="IB518" s="8" t="s">
        <v>438</v>
      </c>
      <c r="IC518" s="8">
        <v>20423</v>
      </c>
      <c r="ID518" s="8" t="s">
        <v>439</v>
      </c>
      <c r="IE518" s="8" t="s">
        <v>440</v>
      </c>
      <c r="IF518" s="8" t="s">
        <v>445</v>
      </c>
      <c r="II518" s="8" t="s">
        <v>441</v>
      </c>
      <c r="IJ518" s="8" t="s">
        <v>440</v>
      </c>
      <c r="IK518" s="8" t="s">
        <v>445</v>
      </c>
      <c r="IL518" s="8" t="s">
        <v>442</v>
      </c>
      <c r="IM518" s="8">
        <v>23347</v>
      </c>
      <c r="IN518" s="8" t="s">
        <v>443</v>
      </c>
      <c r="IO518" s="8" t="s">
        <v>444</v>
      </c>
      <c r="IP518" s="8" t="s">
        <v>445</v>
      </c>
      <c r="IS518" s="9" t="s">
        <v>446</v>
      </c>
      <c r="IU518" s="9" t="s">
        <v>329</v>
      </c>
      <c r="IW518" s="8"/>
      <c r="JB518" s="8"/>
      <c r="JV518" s="7" t="s">
        <v>447</v>
      </c>
      <c r="JX518" s="7" t="s">
        <v>320</v>
      </c>
      <c r="JY518" s="7" t="s">
        <v>448</v>
      </c>
      <c r="JZ518" s="7" t="s">
        <v>322</v>
      </c>
      <c r="KG518" s="4" t="s">
        <v>323</v>
      </c>
      <c r="KP518" s="5" t="s">
        <v>449</v>
      </c>
      <c r="KQ518" s="5" t="s">
        <v>450</v>
      </c>
      <c r="KR518" s="5" t="s">
        <v>451</v>
      </c>
      <c r="KS518" s="5" t="s">
        <v>452</v>
      </c>
      <c r="KT518" s="5" t="s">
        <v>453</v>
      </c>
    </row>
    <row r="519" spans="1:306" ht="36" x14ac:dyDescent="0.25">
      <c r="A519" s="5" t="s">
        <v>568</v>
      </c>
      <c r="B519" s="4" t="s">
        <v>424</v>
      </c>
      <c r="C519" s="7" t="s">
        <v>425</v>
      </c>
      <c r="D519" s="8" t="s">
        <v>426</v>
      </c>
      <c r="E519" s="4">
        <v>637304</v>
      </c>
      <c r="G519" s="4" t="s">
        <v>330</v>
      </c>
      <c r="H519" s="6">
        <v>123.6264</v>
      </c>
      <c r="I519" s="6">
        <v>-28.085429999999999</v>
      </c>
      <c r="J519" s="4" t="s">
        <v>569</v>
      </c>
      <c r="K519" s="4" t="s">
        <v>331</v>
      </c>
      <c r="L519" s="4" t="s">
        <v>500</v>
      </c>
      <c r="M519" s="4" t="s">
        <v>501</v>
      </c>
      <c r="N519" s="4" t="s">
        <v>570</v>
      </c>
      <c r="Q519" s="8"/>
      <c r="Z519" s="4" t="s">
        <v>424</v>
      </c>
      <c r="AA519" s="7" t="s">
        <v>425</v>
      </c>
      <c r="AB519" s="8" t="s">
        <v>426</v>
      </c>
      <c r="AC519" s="4" t="s">
        <v>301</v>
      </c>
      <c r="AD519" s="4" t="s">
        <v>375</v>
      </c>
      <c r="AE519" s="8">
        <v>2620</v>
      </c>
      <c r="AG519" s="9" t="s">
        <v>379</v>
      </c>
      <c r="AH519" s="9" t="s">
        <v>380</v>
      </c>
      <c r="AM519" s="8">
        <v>2</v>
      </c>
      <c r="AN519" s="4" t="s">
        <v>381</v>
      </c>
      <c r="AO519" s="4" t="s">
        <v>382</v>
      </c>
      <c r="AP519" s="4" t="s">
        <v>383</v>
      </c>
      <c r="AQ519" s="7" t="s">
        <v>384</v>
      </c>
      <c r="AR519" s="8" t="s">
        <v>433</v>
      </c>
      <c r="AS519" s="7">
        <v>0</v>
      </c>
      <c r="AT519" s="7">
        <v>0</v>
      </c>
      <c r="AU519" s="4" t="s">
        <v>303</v>
      </c>
      <c r="AV519" s="4" t="s">
        <v>406</v>
      </c>
      <c r="AW519" s="4"/>
      <c r="AX519" s="4"/>
      <c r="AY519" s="4"/>
      <c r="AZ519" s="4"/>
      <c r="BA519" s="8">
        <v>5</v>
      </c>
      <c r="BG519" s="8"/>
      <c r="BP519" s="7">
        <v>1.76</v>
      </c>
      <c r="BV519" s="6">
        <v>1.67</v>
      </c>
      <c r="DZ519" s="31"/>
      <c r="EL519" s="6">
        <f>BP519*BV519</f>
        <v>2.9392</v>
      </c>
      <c r="GP519" s="32"/>
      <c r="GY519" s="6" t="s">
        <v>338</v>
      </c>
      <c r="GZ519" s="6" t="s">
        <v>436</v>
      </c>
      <c r="HC519" s="6" t="s">
        <v>437</v>
      </c>
      <c r="HF519" s="8" t="s">
        <v>571</v>
      </c>
      <c r="HG519" s="9" t="s">
        <v>507</v>
      </c>
      <c r="ID519" s="8" t="s">
        <v>571</v>
      </c>
      <c r="IE519" s="9" t="s">
        <v>507</v>
      </c>
      <c r="IF519" s="9" t="s">
        <v>445</v>
      </c>
      <c r="IR519" s="9"/>
      <c r="KM519" s="4" t="s">
        <v>391</v>
      </c>
      <c r="KN519" s="4" t="s">
        <v>391</v>
      </c>
      <c r="KP519" s="5" t="s">
        <v>358</v>
      </c>
      <c r="KQ519" s="5" t="s">
        <v>572</v>
      </c>
      <c r="KR519" s="5" t="s">
        <v>573</v>
      </c>
      <c r="KS519" s="5" t="s">
        <v>574</v>
      </c>
      <c r="KT519" s="5" t="s">
        <v>575</v>
      </c>
    </row>
    <row r="520" spans="1:306" ht="60" x14ac:dyDescent="0.25">
      <c r="A520" s="5" t="s">
        <v>674</v>
      </c>
      <c r="B520" s="4" t="s">
        <v>424</v>
      </c>
      <c r="C520" s="7" t="s">
        <v>425</v>
      </c>
      <c r="D520" s="8" t="s">
        <v>426</v>
      </c>
      <c r="E520" s="4">
        <v>551389</v>
      </c>
      <c r="G520" s="4" t="s">
        <v>330</v>
      </c>
      <c r="H520" s="6">
        <v>118.67659999999999</v>
      </c>
      <c r="I520" s="6">
        <v>-26.227799999999998</v>
      </c>
      <c r="J520" s="4" t="s">
        <v>675</v>
      </c>
      <c r="K520" s="4" t="s">
        <v>331</v>
      </c>
      <c r="L520" s="4" t="s">
        <v>500</v>
      </c>
      <c r="M520" s="4" t="s">
        <v>676</v>
      </c>
      <c r="N520" s="4" t="s">
        <v>677</v>
      </c>
      <c r="Q520" s="8"/>
      <c r="Z520" s="4" t="s">
        <v>424</v>
      </c>
      <c r="AA520" s="7" t="s">
        <v>425</v>
      </c>
      <c r="AB520" s="8" t="s">
        <v>426</v>
      </c>
      <c r="AC520" s="4" t="s">
        <v>301</v>
      </c>
      <c r="AD520" s="4" t="s">
        <v>375</v>
      </c>
      <c r="AE520" s="8">
        <v>2638</v>
      </c>
      <c r="AG520" s="9" t="s">
        <v>379</v>
      </c>
      <c r="AH520" s="9" t="s">
        <v>380</v>
      </c>
      <c r="AM520" s="8">
        <v>2</v>
      </c>
      <c r="AN520" s="4" t="s">
        <v>381</v>
      </c>
      <c r="AO520" s="4" t="s">
        <v>382</v>
      </c>
      <c r="AP520" s="4" t="s">
        <v>383</v>
      </c>
      <c r="AQ520" s="7" t="s">
        <v>384</v>
      </c>
      <c r="AR520" s="7" t="s">
        <v>433</v>
      </c>
      <c r="AS520" s="7">
        <v>0</v>
      </c>
      <c r="AT520" s="7">
        <v>0</v>
      </c>
      <c r="AU520" s="4" t="s">
        <v>303</v>
      </c>
      <c r="AV520" s="4" t="s">
        <v>406</v>
      </c>
      <c r="AW520" s="4"/>
      <c r="AX520" s="4"/>
      <c r="AY520" s="4"/>
      <c r="AZ520" s="4"/>
      <c r="BA520" s="8">
        <v>5</v>
      </c>
      <c r="BG520" s="8"/>
      <c r="BP520" s="7">
        <v>3.11</v>
      </c>
      <c r="BV520" s="6">
        <v>8.1999999999999993</v>
      </c>
      <c r="DZ520" s="31"/>
      <c r="EL520" s="8">
        <f>BP520*BV520</f>
        <v>25.501999999999995</v>
      </c>
      <c r="GP520" s="32"/>
      <c r="GY520" s="6" t="s">
        <v>338</v>
      </c>
      <c r="GZ520" s="6" t="s">
        <v>436</v>
      </c>
      <c r="HC520" s="6" t="s">
        <v>437</v>
      </c>
      <c r="HD520" s="8" t="s">
        <v>678</v>
      </c>
      <c r="HE520" s="8">
        <v>23622</v>
      </c>
      <c r="HF520" s="8" t="s">
        <v>679</v>
      </c>
      <c r="HG520" s="9" t="s">
        <v>507</v>
      </c>
      <c r="IB520" s="8" t="s">
        <v>678</v>
      </c>
      <c r="IC520" s="8">
        <v>23622</v>
      </c>
      <c r="ID520" s="8" t="s">
        <v>680</v>
      </c>
      <c r="IE520" s="8" t="s">
        <v>507</v>
      </c>
      <c r="IF520" s="9" t="s">
        <v>445</v>
      </c>
      <c r="IR520" s="9"/>
      <c r="JV520" s="7" t="s">
        <v>681</v>
      </c>
      <c r="JX520" s="7" t="s">
        <v>320</v>
      </c>
      <c r="KG520" s="4" t="s">
        <v>323</v>
      </c>
      <c r="KM520" s="4" t="s">
        <v>391</v>
      </c>
      <c r="KN520" s="4" t="s">
        <v>391</v>
      </c>
      <c r="KP520" s="5" t="s">
        <v>358</v>
      </c>
      <c r="KQ520" s="5" t="s">
        <v>682</v>
      </c>
      <c r="KS520" s="5" t="s">
        <v>683</v>
      </c>
      <c r="KT520" s="5" t="s">
        <v>684</v>
      </c>
    </row>
    <row r="521" spans="1:306" ht="84" x14ac:dyDescent="0.25">
      <c r="A521" s="5" t="s">
        <v>772</v>
      </c>
      <c r="B521" s="4" t="s">
        <v>383</v>
      </c>
      <c r="C521" s="7" t="s">
        <v>403</v>
      </c>
      <c r="D521" s="8" t="s">
        <v>434</v>
      </c>
      <c r="E521" s="38">
        <v>859577</v>
      </c>
      <c r="F521" s="4">
        <v>439456</v>
      </c>
      <c r="G521" s="4" t="s">
        <v>773</v>
      </c>
      <c r="H521" s="6">
        <v>142.91667200000001</v>
      </c>
      <c r="I521" s="6">
        <v>-37.283332999999999</v>
      </c>
      <c r="J521" s="4" t="s">
        <v>774</v>
      </c>
      <c r="K521" s="4" t="s">
        <v>298</v>
      </c>
      <c r="L521" s="4" t="s">
        <v>299</v>
      </c>
      <c r="M521" s="4" t="s">
        <v>775</v>
      </c>
      <c r="N521" s="4" t="s">
        <v>776</v>
      </c>
      <c r="Q521" s="8"/>
      <c r="R521" s="8"/>
      <c r="Z521" s="4" t="s">
        <v>424</v>
      </c>
      <c r="AA521" s="7" t="s">
        <v>425</v>
      </c>
      <c r="AB521" s="8" t="s">
        <v>426</v>
      </c>
      <c r="AC521" s="4" t="s">
        <v>301</v>
      </c>
      <c r="AD521" s="4" t="s">
        <v>402</v>
      </c>
      <c r="AE521" s="8">
        <v>445</v>
      </c>
      <c r="AF521" s="8"/>
      <c r="AG521" s="9" t="s">
        <v>379</v>
      </c>
      <c r="AH521" s="9" t="s">
        <v>380</v>
      </c>
      <c r="AM521" s="8">
        <v>3</v>
      </c>
      <c r="AN521" s="4" t="s">
        <v>381</v>
      </c>
      <c r="AO521" s="4" t="s">
        <v>382</v>
      </c>
      <c r="AP521" s="4" t="s">
        <v>383</v>
      </c>
      <c r="AQ521" s="7" t="s">
        <v>403</v>
      </c>
      <c r="AR521" s="8" t="s">
        <v>777</v>
      </c>
      <c r="AS521" s="7"/>
      <c r="AT521" s="7"/>
      <c r="BB521" s="4" t="s">
        <v>381</v>
      </c>
      <c r="BC521" s="4" t="s">
        <v>375</v>
      </c>
      <c r="BD521" s="4" t="s">
        <v>383</v>
      </c>
      <c r="BE521" s="7" t="s">
        <v>403</v>
      </c>
      <c r="BF521" s="8" t="s">
        <v>434</v>
      </c>
      <c r="BG521" s="7">
        <v>0</v>
      </c>
      <c r="BH521" s="7">
        <v>0</v>
      </c>
      <c r="BI521" s="9" t="s">
        <v>303</v>
      </c>
      <c r="BJ521" s="9" t="s">
        <v>406</v>
      </c>
      <c r="BO521" s="8">
        <v>5</v>
      </c>
      <c r="BQ521" s="7"/>
      <c r="BR521" s="7"/>
      <c r="BS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c r="DU521" s="7"/>
      <c r="DV521" s="7"/>
      <c r="DW521" s="7"/>
      <c r="DX521" s="7"/>
      <c r="DY521" s="7"/>
      <c r="DZ521" s="31"/>
      <c r="EA521" s="7"/>
      <c r="EB521" s="7"/>
      <c r="EC521" s="7"/>
      <c r="ED521" s="7"/>
      <c r="EE521" s="7"/>
      <c r="EF521" s="7"/>
      <c r="EG521" s="7"/>
      <c r="EL521" s="8">
        <v>20</v>
      </c>
      <c r="EY521" s="6"/>
      <c r="FA521" s="6"/>
      <c r="GP521" s="32"/>
      <c r="GY521" s="6" t="s">
        <v>309</v>
      </c>
      <c r="GZ521" s="6" t="s">
        <v>436</v>
      </c>
      <c r="HC521" s="6" t="s">
        <v>437</v>
      </c>
      <c r="HD521" s="4" t="s">
        <v>778</v>
      </c>
      <c r="HE521" s="4">
        <v>37578</v>
      </c>
      <c r="HF521" s="4" t="s">
        <v>779</v>
      </c>
      <c r="HG521" s="9" t="s">
        <v>698</v>
      </c>
      <c r="HQ521" s="9"/>
      <c r="HY521" s="9"/>
      <c r="IB521" s="4" t="s">
        <v>778</v>
      </c>
      <c r="IC521" s="4">
        <v>37578</v>
      </c>
      <c r="ID521" s="4" t="s">
        <v>779</v>
      </c>
      <c r="IE521" s="9" t="s">
        <v>698</v>
      </c>
      <c r="IF521" s="8" t="s">
        <v>445</v>
      </c>
      <c r="IG521" s="8" t="s">
        <v>780</v>
      </c>
      <c r="IH521" s="8">
        <v>17308</v>
      </c>
      <c r="II521" s="8" t="s">
        <v>781</v>
      </c>
      <c r="IJ521" s="8" t="s">
        <v>782</v>
      </c>
      <c r="IK521" s="8" t="s">
        <v>350</v>
      </c>
      <c r="JV521" s="7" t="s">
        <v>783</v>
      </c>
      <c r="JX521" s="7" t="s">
        <v>320</v>
      </c>
      <c r="KP521" s="18" t="s">
        <v>784</v>
      </c>
      <c r="KQ521" s="5" t="s">
        <v>785</v>
      </c>
      <c r="KS521" s="5" t="s">
        <v>786</v>
      </c>
      <c r="KT521" s="5" t="s">
        <v>787</v>
      </c>
    </row>
    <row r="522" spans="1:306" ht="36" x14ac:dyDescent="0.25">
      <c r="A522" s="5" t="s">
        <v>858</v>
      </c>
      <c r="B522" s="4" t="s">
        <v>424</v>
      </c>
      <c r="C522" s="7" t="s">
        <v>425</v>
      </c>
      <c r="D522" s="8" t="s">
        <v>426</v>
      </c>
      <c r="E522" s="4">
        <v>637304</v>
      </c>
      <c r="G522" s="4" t="s">
        <v>330</v>
      </c>
      <c r="H522" s="6">
        <v>123.6264</v>
      </c>
      <c r="I522" s="6">
        <v>-28.085429999999999</v>
      </c>
      <c r="J522" s="4" t="s">
        <v>569</v>
      </c>
      <c r="K522" s="4" t="s">
        <v>331</v>
      </c>
      <c r="L522" s="4" t="s">
        <v>500</v>
      </c>
      <c r="M522" s="4" t="s">
        <v>501</v>
      </c>
      <c r="N522" s="4" t="s">
        <v>570</v>
      </c>
      <c r="Q522" s="8"/>
      <c r="Z522" s="4" t="s">
        <v>424</v>
      </c>
      <c r="AA522" s="7" t="s">
        <v>425</v>
      </c>
      <c r="AB522" s="8" t="s">
        <v>426</v>
      </c>
      <c r="AC522" s="4" t="s">
        <v>301</v>
      </c>
      <c r="AD522" s="4" t="s">
        <v>375</v>
      </c>
      <c r="AE522" s="8">
        <v>2620</v>
      </c>
      <c r="AG522" s="9" t="s">
        <v>379</v>
      </c>
      <c r="AH522" s="9" t="s">
        <v>380</v>
      </c>
      <c r="AM522" s="8">
        <v>2</v>
      </c>
      <c r="AN522" s="4" t="s">
        <v>381</v>
      </c>
      <c r="AO522" s="4" t="s">
        <v>382</v>
      </c>
      <c r="AP522" s="4" t="s">
        <v>383</v>
      </c>
      <c r="AQ522" s="7" t="s">
        <v>384</v>
      </c>
      <c r="AR522" s="8" t="s">
        <v>433</v>
      </c>
      <c r="AS522" s="7">
        <v>0</v>
      </c>
      <c r="AT522" s="7">
        <v>0</v>
      </c>
      <c r="AU522" s="4" t="s">
        <v>303</v>
      </c>
      <c r="AV522" s="4" t="s">
        <v>406</v>
      </c>
      <c r="AW522" s="4"/>
      <c r="AX522" s="4"/>
      <c r="AY522" s="4"/>
      <c r="AZ522" s="4"/>
      <c r="BA522" s="8">
        <v>5</v>
      </c>
      <c r="BG522" s="8"/>
      <c r="BP522" s="7">
        <v>3.86</v>
      </c>
      <c r="BV522" s="6">
        <v>1.2</v>
      </c>
      <c r="DZ522" s="31"/>
      <c r="EL522" s="6">
        <f>BP522*BV522</f>
        <v>4.6319999999999997</v>
      </c>
      <c r="GP522" s="32"/>
      <c r="GY522" s="6" t="s">
        <v>338</v>
      </c>
      <c r="GZ522" s="6" t="s">
        <v>436</v>
      </c>
      <c r="HC522" s="6" t="s">
        <v>437</v>
      </c>
      <c r="HF522" s="8" t="s">
        <v>571</v>
      </c>
      <c r="HG522" s="9" t="s">
        <v>507</v>
      </c>
      <c r="IR522" s="9"/>
      <c r="KM522" s="4" t="s">
        <v>391</v>
      </c>
      <c r="KN522" s="4" t="s">
        <v>391</v>
      </c>
      <c r="KP522" s="5" t="s">
        <v>358</v>
      </c>
      <c r="KQ522" s="5" t="s">
        <v>572</v>
      </c>
      <c r="KR522" s="5" t="s">
        <v>573</v>
      </c>
      <c r="KS522" s="5" t="s">
        <v>574</v>
      </c>
      <c r="KT522" s="5" t="s">
        <v>575</v>
      </c>
    </row>
    <row r="523" spans="1:306" ht="96" x14ac:dyDescent="0.25">
      <c r="A523" s="5" t="s">
        <v>880</v>
      </c>
      <c r="B523" s="4" t="s">
        <v>383</v>
      </c>
      <c r="C523" s="7" t="s">
        <v>384</v>
      </c>
      <c r="D523" s="7" t="s">
        <v>433</v>
      </c>
      <c r="E523" s="38">
        <v>859638</v>
      </c>
      <c r="G523" s="4" t="s">
        <v>530</v>
      </c>
      <c r="H523" s="6">
        <v>134.71324999999999</v>
      </c>
      <c r="I523" s="6">
        <v>-16.88165</v>
      </c>
      <c r="J523" s="4" t="s">
        <v>881</v>
      </c>
      <c r="K523" s="4" t="s">
        <v>481</v>
      </c>
      <c r="L523" s="4" t="s">
        <v>580</v>
      </c>
      <c r="M523" s="4" t="s">
        <v>581</v>
      </c>
      <c r="Q523" s="8"/>
      <c r="R523" s="8"/>
      <c r="Z523" s="4" t="s">
        <v>424</v>
      </c>
      <c r="AA523" s="7" t="s">
        <v>425</v>
      </c>
      <c r="AB523" s="8" t="s">
        <v>426</v>
      </c>
      <c r="AC523" s="4" t="s">
        <v>301</v>
      </c>
      <c r="AD523" s="4" t="s">
        <v>402</v>
      </c>
      <c r="AE523" s="8">
        <v>322</v>
      </c>
      <c r="AF523" s="8"/>
      <c r="AG523" s="9" t="s">
        <v>379</v>
      </c>
      <c r="AH523" s="9" t="s">
        <v>429</v>
      </c>
      <c r="AI523" s="9" t="s">
        <v>845</v>
      </c>
      <c r="AJ523" s="9" t="s">
        <v>431</v>
      </c>
      <c r="AK523" s="9" t="s">
        <v>432</v>
      </c>
      <c r="AM523" s="8">
        <v>3</v>
      </c>
      <c r="AN523" s="4" t="s">
        <v>381</v>
      </c>
      <c r="AO523" s="4" t="s">
        <v>375</v>
      </c>
      <c r="AP523" s="4" t="s">
        <v>383</v>
      </c>
      <c r="AQ523" s="7" t="s">
        <v>384</v>
      </c>
      <c r="AR523" s="7" t="s">
        <v>433</v>
      </c>
      <c r="AS523" s="7">
        <v>0</v>
      </c>
      <c r="AT523" s="7">
        <v>0</v>
      </c>
      <c r="AU523" s="9" t="s">
        <v>303</v>
      </c>
      <c r="AV523" s="9" t="s">
        <v>406</v>
      </c>
      <c r="BA523" s="8">
        <v>5</v>
      </c>
      <c r="BB523" s="4" t="s">
        <v>381</v>
      </c>
      <c r="BC523" s="4" t="s">
        <v>402</v>
      </c>
      <c r="BD523" s="4" t="s">
        <v>383</v>
      </c>
      <c r="BE523" s="7" t="s">
        <v>403</v>
      </c>
      <c r="BF523" s="8" t="s">
        <v>434</v>
      </c>
      <c r="BG523" s="7">
        <v>0</v>
      </c>
      <c r="BH523" s="7">
        <v>0</v>
      </c>
      <c r="BI523" s="9" t="s">
        <v>303</v>
      </c>
      <c r="BJ523" s="9" t="s">
        <v>406</v>
      </c>
      <c r="BO523" s="8">
        <v>5</v>
      </c>
      <c r="DZ523" s="31"/>
      <c r="EL523" s="6">
        <v>9.3340000000000006E-2</v>
      </c>
      <c r="EY523" s="6"/>
      <c r="FA523" s="6"/>
      <c r="GP523" s="32"/>
      <c r="GY523" s="6" t="s">
        <v>309</v>
      </c>
      <c r="GZ523" s="6" t="s">
        <v>436</v>
      </c>
      <c r="HC523" s="6" t="s">
        <v>437</v>
      </c>
      <c r="HD523" s="9" t="s">
        <v>882</v>
      </c>
      <c r="HE523" s="8">
        <v>24166</v>
      </c>
      <c r="HF523" s="8" t="s">
        <v>883</v>
      </c>
      <c r="HG523" s="9" t="s">
        <v>538</v>
      </c>
      <c r="HH523" s="9" t="s">
        <v>884</v>
      </c>
      <c r="HI523" s="8">
        <v>26477</v>
      </c>
      <c r="HJ523" s="9" t="s">
        <v>885</v>
      </c>
      <c r="HK523" s="9" t="s">
        <v>538</v>
      </c>
      <c r="HL523" s="9" t="s">
        <v>886</v>
      </c>
      <c r="HM523" s="8">
        <v>3844</v>
      </c>
      <c r="HN523" s="9" t="s">
        <v>887</v>
      </c>
      <c r="HO523" s="9" t="s">
        <v>538</v>
      </c>
      <c r="HY523" s="9"/>
      <c r="IB523" s="8" t="s">
        <v>882</v>
      </c>
      <c r="IC523" s="8">
        <v>24166</v>
      </c>
      <c r="ID523" s="8" t="s">
        <v>883</v>
      </c>
      <c r="IE523" s="8" t="s">
        <v>538</v>
      </c>
      <c r="IF523" s="8" t="s">
        <v>445</v>
      </c>
      <c r="IW523" s="8"/>
      <c r="JB523" s="8"/>
      <c r="JX523" s="7" t="s">
        <v>320</v>
      </c>
      <c r="KG523" s="4" t="s">
        <v>323</v>
      </c>
      <c r="KM523" s="4" t="s">
        <v>888</v>
      </c>
      <c r="KN523" s="4" t="s">
        <v>888</v>
      </c>
      <c r="KP523" s="18" t="s">
        <v>889</v>
      </c>
      <c r="KQ523" s="5" t="s">
        <v>890</v>
      </c>
      <c r="KR523" s="5" t="s">
        <v>891</v>
      </c>
      <c r="KS523" s="5" t="s">
        <v>892</v>
      </c>
      <c r="KT523" s="5" t="s">
        <v>893</v>
      </c>
    </row>
    <row r="524" spans="1:306" ht="36" x14ac:dyDescent="0.25">
      <c r="A524" s="5" t="s">
        <v>894</v>
      </c>
      <c r="B524" s="4" t="s">
        <v>424</v>
      </c>
      <c r="C524" s="7" t="s">
        <v>425</v>
      </c>
      <c r="D524" s="8" t="s">
        <v>426</v>
      </c>
      <c r="E524" s="4">
        <v>335358</v>
      </c>
      <c r="G524" s="4" t="s">
        <v>330</v>
      </c>
      <c r="H524" s="6">
        <v>123.658</v>
      </c>
      <c r="I524" s="6">
        <v>-28.1572</v>
      </c>
      <c r="J524" s="4" t="s">
        <v>569</v>
      </c>
      <c r="K524" s="4" t="s">
        <v>331</v>
      </c>
      <c r="L524" s="4" t="s">
        <v>500</v>
      </c>
      <c r="M524" s="4" t="s">
        <v>501</v>
      </c>
      <c r="N524" s="4" t="s">
        <v>570</v>
      </c>
      <c r="Q524" s="8"/>
      <c r="Z524" s="4" t="s">
        <v>424</v>
      </c>
      <c r="AA524" s="7" t="s">
        <v>425</v>
      </c>
      <c r="AB524" s="8" t="s">
        <v>426</v>
      </c>
      <c r="AC524" s="4" t="s">
        <v>301</v>
      </c>
      <c r="AD524" s="4" t="s">
        <v>375</v>
      </c>
      <c r="AE524" s="8">
        <v>2620</v>
      </c>
      <c r="AG524" s="9" t="s">
        <v>379</v>
      </c>
      <c r="AH524" s="9" t="s">
        <v>380</v>
      </c>
      <c r="AM524" s="8">
        <v>2</v>
      </c>
      <c r="AN524" s="4" t="s">
        <v>381</v>
      </c>
      <c r="AO524" s="4" t="s">
        <v>382</v>
      </c>
      <c r="AP524" s="4" t="s">
        <v>383</v>
      </c>
      <c r="AQ524" s="7" t="s">
        <v>384</v>
      </c>
      <c r="AR524" s="8" t="s">
        <v>433</v>
      </c>
      <c r="AS524" s="7">
        <v>0</v>
      </c>
      <c r="AT524" s="7">
        <v>0</v>
      </c>
      <c r="AU524" s="4" t="s">
        <v>303</v>
      </c>
      <c r="AV524" s="4" t="s">
        <v>406</v>
      </c>
      <c r="AW524" s="4"/>
      <c r="AX524" s="4"/>
      <c r="AY524" s="4"/>
      <c r="AZ524" s="4"/>
      <c r="BA524" s="8">
        <v>5</v>
      </c>
      <c r="BG524" s="8"/>
      <c r="BP524" s="7">
        <v>4.3099999999999996</v>
      </c>
      <c r="BV524" s="6">
        <v>1.67</v>
      </c>
      <c r="DZ524" s="31"/>
      <c r="EL524" s="6">
        <f>BP524*BV524</f>
        <v>7.1976999999999993</v>
      </c>
      <c r="GP524" s="32"/>
      <c r="GY524" s="6" t="s">
        <v>338</v>
      </c>
      <c r="GZ524" s="6" t="s">
        <v>436</v>
      </c>
      <c r="HC524" s="6" t="s">
        <v>437</v>
      </c>
      <c r="HF524" s="8" t="s">
        <v>571</v>
      </c>
      <c r="HG524" s="9" t="s">
        <v>507</v>
      </c>
      <c r="ID524" s="8" t="s">
        <v>571</v>
      </c>
      <c r="IE524" s="9" t="s">
        <v>507</v>
      </c>
      <c r="IF524" s="9" t="s">
        <v>445</v>
      </c>
      <c r="IR524" s="9"/>
      <c r="KM524" s="4" t="s">
        <v>391</v>
      </c>
      <c r="KN524" s="4" t="s">
        <v>391</v>
      </c>
      <c r="KP524" s="5" t="s">
        <v>358</v>
      </c>
      <c r="KQ524" s="5" t="s">
        <v>572</v>
      </c>
      <c r="KR524" s="5" t="s">
        <v>573</v>
      </c>
      <c r="KS524" s="5" t="s">
        <v>574</v>
      </c>
      <c r="KT524" s="5" t="s">
        <v>575</v>
      </c>
    </row>
    <row r="525" spans="1:306" ht="132" x14ac:dyDescent="0.25">
      <c r="A525" s="5" t="s">
        <v>978</v>
      </c>
      <c r="B525" s="4" t="s">
        <v>383</v>
      </c>
      <c r="C525" s="7" t="s">
        <v>403</v>
      </c>
      <c r="D525" s="8" t="s">
        <v>777</v>
      </c>
      <c r="E525" s="4">
        <v>335875</v>
      </c>
      <c r="G525" s="4" t="s">
        <v>773</v>
      </c>
      <c r="H525" s="6">
        <v>143.42028300000001</v>
      </c>
      <c r="I525" s="6">
        <v>-37.190629000000001</v>
      </c>
      <c r="J525" s="4" t="s">
        <v>979</v>
      </c>
      <c r="K525" s="4" t="s">
        <v>298</v>
      </c>
      <c r="L525" s="4" t="s">
        <v>299</v>
      </c>
      <c r="M525" s="4" t="s">
        <v>775</v>
      </c>
      <c r="N525" s="4" t="s">
        <v>776</v>
      </c>
      <c r="Q525" s="8"/>
      <c r="R525" s="8"/>
      <c r="Z525" s="4" t="s">
        <v>424</v>
      </c>
      <c r="AA525" s="7" t="s">
        <v>425</v>
      </c>
      <c r="AB525" s="8" t="s">
        <v>426</v>
      </c>
      <c r="AC525" s="4" t="s">
        <v>301</v>
      </c>
      <c r="AD525" s="4" t="s">
        <v>402</v>
      </c>
      <c r="AE525" s="8">
        <v>445</v>
      </c>
      <c r="AF525" s="8"/>
      <c r="AG525" s="9" t="s">
        <v>379</v>
      </c>
      <c r="AH525" s="9" t="s">
        <v>380</v>
      </c>
      <c r="AM525" s="8">
        <v>3</v>
      </c>
      <c r="AN525" s="4" t="s">
        <v>381</v>
      </c>
      <c r="AO525" s="4" t="s">
        <v>375</v>
      </c>
      <c r="AP525" s="4" t="s">
        <v>383</v>
      </c>
      <c r="AQ525" s="7" t="s">
        <v>403</v>
      </c>
      <c r="AR525" s="8" t="s">
        <v>777</v>
      </c>
      <c r="AS525" s="7"/>
      <c r="AT525" s="7"/>
      <c r="BB525" s="4" t="s">
        <v>381</v>
      </c>
      <c r="BC525" s="4" t="s">
        <v>382</v>
      </c>
      <c r="BD525" s="4" t="s">
        <v>383</v>
      </c>
      <c r="BE525" s="7" t="s">
        <v>403</v>
      </c>
      <c r="BF525" s="8" t="s">
        <v>434</v>
      </c>
      <c r="BG525" s="7">
        <v>0</v>
      </c>
      <c r="BH525" s="7">
        <v>0</v>
      </c>
      <c r="BI525" s="9" t="s">
        <v>303</v>
      </c>
      <c r="BJ525" s="9" t="s">
        <v>406</v>
      </c>
      <c r="BO525" s="8">
        <v>5</v>
      </c>
      <c r="BQ525" s="7"/>
      <c r="BR525" s="7"/>
      <c r="BS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c r="CW525" s="7"/>
      <c r="CX525" s="7"/>
      <c r="CY525" s="7"/>
      <c r="CZ525" s="7"/>
      <c r="DA525" s="7"/>
      <c r="DB525" s="7"/>
      <c r="DC525" s="7"/>
      <c r="DD525" s="7"/>
      <c r="DE525" s="7"/>
      <c r="DF525" s="7"/>
      <c r="DG525" s="7"/>
      <c r="DH525" s="7"/>
      <c r="DI525" s="7"/>
      <c r="DJ525" s="7"/>
      <c r="DK525" s="7"/>
      <c r="DL525" s="7"/>
      <c r="DM525" s="7"/>
      <c r="DN525" s="7"/>
      <c r="DO525" s="7"/>
      <c r="DP525" s="7"/>
      <c r="DQ525" s="7"/>
      <c r="DR525" s="7"/>
      <c r="DS525" s="7"/>
      <c r="DT525" s="7"/>
      <c r="DU525" s="7"/>
      <c r="DV525" s="7"/>
      <c r="DW525" s="7"/>
      <c r="DX525" s="7"/>
      <c r="DY525" s="7"/>
      <c r="DZ525" s="31"/>
      <c r="EA525" s="7"/>
      <c r="EB525" s="7"/>
      <c r="EC525" s="7"/>
      <c r="ED525" s="7"/>
      <c r="EE525" s="7"/>
      <c r="EF525" s="7"/>
      <c r="EG525" s="7"/>
      <c r="EL525" s="8">
        <v>23</v>
      </c>
      <c r="EY525" s="6"/>
      <c r="FA525" s="6"/>
      <c r="GP525" s="32"/>
      <c r="GY525" s="6" t="s">
        <v>309</v>
      </c>
      <c r="GZ525" s="6" t="s">
        <v>436</v>
      </c>
      <c r="HC525" s="6" t="s">
        <v>437</v>
      </c>
      <c r="HD525" s="4" t="s">
        <v>980</v>
      </c>
      <c r="HE525" s="4">
        <v>21209</v>
      </c>
      <c r="HF525" s="4" t="s">
        <v>981</v>
      </c>
      <c r="HG525" s="9" t="s">
        <v>698</v>
      </c>
      <c r="HQ525" s="9"/>
      <c r="HY525" s="9"/>
      <c r="IB525" s="8" t="s">
        <v>982</v>
      </c>
      <c r="IC525" s="8">
        <v>25332</v>
      </c>
      <c r="ID525" s="8" t="s">
        <v>983</v>
      </c>
      <c r="IE525" s="8" t="s">
        <v>984</v>
      </c>
      <c r="IF525" s="8" t="s">
        <v>350</v>
      </c>
      <c r="JX525" s="7" t="s">
        <v>322</v>
      </c>
      <c r="JY525" s="7" t="s">
        <v>321</v>
      </c>
      <c r="JZ525" s="7" t="s">
        <v>320</v>
      </c>
      <c r="KP525" s="18" t="s">
        <v>985</v>
      </c>
      <c r="KQ525" s="5" t="s">
        <v>986</v>
      </c>
      <c r="KS525" s="5" t="s">
        <v>786</v>
      </c>
      <c r="KT525" s="5" t="s">
        <v>987</v>
      </c>
    </row>
    <row r="526" spans="1:306" ht="132" x14ac:dyDescent="0.25">
      <c r="A526" s="5" t="s">
        <v>1091</v>
      </c>
      <c r="B526" s="4" t="s">
        <v>383</v>
      </c>
      <c r="C526" s="7" t="s">
        <v>403</v>
      </c>
      <c r="D526" s="8" t="s">
        <v>434</v>
      </c>
      <c r="E526" s="4">
        <v>333682</v>
      </c>
      <c r="G526" s="4" t="s">
        <v>773</v>
      </c>
      <c r="H526" s="6">
        <f>143+51/60+38/3600</f>
        <v>143.86055555555555</v>
      </c>
      <c r="I526" s="6">
        <f>-(37+33/60+44/3600)</f>
        <v>-37.562222222222218</v>
      </c>
      <c r="J526" s="4" t="s">
        <v>1092</v>
      </c>
      <c r="K526" s="4" t="s">
        <v>298</v>
      </c>
      <c r="L526" s="4" t="s">
        <v>299</v>
      </c>
      <c r="M526" s="4" t="s">
        <v>775</v>
      </c>
      <c r="N526" s="4" t="s">
        <v>1093</v>
      </c>
      <c r="Q526" s="8"/>
      <c r="R526" s="8"/>
      <c r="Z526" s="4" t="s">
        <v>424</v>
      </c>
      <c r="AA526" s="7" t="s">
        <v>425</v>
      </c>
      <c r="AB526" s="8" t="s">
        <v>426</v>
      </c>
      <c r="AC526" s="4" t="s">
        <v>301</v>
      </c>
      <c r="AD526" s="4" t="s">
        <v>382</v>
      </c>
      <c r="AE526" s="8">
        <v>442</v>
      </c>
      <c r="AF526" s="8">
        <v>7</v>
      </c>
      <c r="AG526" s="9" t="s">
        <v>379</v>
      </c>
      <c r="AH526" s="9" t="s">
        <v>429</v>
      </c>
      <c r="AI526" s="9" t="s">
        <v>1094</v>
      </c>
      <c r="AJ526" s="9" t="s">
        <v>431</v>
      </c>
      <c r="AK526" s="9" t="s">
        <v>432</v>
      </c>
      <c r="AM526" s="8">
        <v>4</v>
      </c>
      <c r="AN526" s="4" t="s">
        <v>301</v>
      </c>
      <c r="AO526" s="4" t="s">
        <v>402</v>
      </c>
      <c r="AP526" s="4" t="s">
        <v>424</v>
      </c>
      <c r="AQ526" s="7" t="s">
        <v>425</v>
      </c>
      <c r="AR526" s="8" t="s">
        <v>426</v>
      </c>
      <c r="AS526" s="8">
        <v>366</v>
      </c>
      <c r="AT526" s="8">
        <v>4</v>
      </c>
      <c r="AU526" s="9" t="s">
        <v>379</v>
      </c>
      <c r="AV526" s="9" t="s">
        <v>429</v>
      </c>
      <c r="AW526" s="9" t="s">
        <v>430</v>
      </c>
      <c r="AX526" s="9" t="s">
        <v>431</v>
      </c>
      <c r="AY526" s="9" t="s">
        <v>432</v>
      </c>
      <c r="BA526" s="8">
        <v>4</v>
      </c>
      <c r="BB526" s="4" t="s">
        <v>381</v>
      </c>
      <c r="BC526" s="4" t="s">
        <v>375</v>
      </c>
      <c r="BD526" s="4" t="s">
        <v>383</v>
      </c>
      <c r="BE526" s="7" t="s">
        <v>403</v>
      </c>
      <c r="BF526" s="8" t="s">
        <v>434</v>
      </c>
      <c r="BG526" s="7">
        <v>0</v>
      </c>
      <c r="BH526" s="7">
        <v>0</v>
      </c>
      <c r="BI526" s="9" t="s">
        <v>303</v>
      </c>
      <c r="BJ526" s="9" t="s">
        <v>406</v>
      </c>
      <c r="BO526" s="8">
        <v>5</v>
      </c>
      <c r="BQ526" s="7"/>
      <c r="BR526" s="7"/>
      <c r="BS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s="7"/>
      <c r="CW526" s="7"/>
      <c r="CX526" s="7"/>
      <c r="CY526" s="7"/>
      <c r="CZ526" s="7"/>
      <c r="DA526" s="7"/>
      <c r="DB526" s="7"/>
      <c r="DC526" s="7"/>
      <c r="DD526" s="7"/>
      <c r="DE526" s="7"/>
      <c r="DF526" s="7"/>
      <c r="DG526" s="7"/>
      <c r="DH526" s="7"/>
      <c r="DI526" s="7"/>
      <c r="DJ526" s="7"/>
      <c r="DK526" s="7"/>
      <c r="DL526" s="7"/>
      <c r="DM526" s="7"/>
      <c r="DN526" s="7"/>
      <c r="DO526" s="7"/>
      <c r="DP526" s="7"/>
      <c r="DQ526" s="7"/>
      <c r="DR526" s="7"/>
      <c r="DS526" s="7"/>
      <c r="DT526" s="7"/>
      <c r="DU526" s="7"/>
      <c r="DV526" s="7"/>
      <c r="DW526" s="7"/>
      <c r="DX526" s="7"/>
      <c r="DY526" s="7"/>
      <c r="DZ526" s="31"/>
      <c r="EA526" s="7"/>
      <c r="EB526" s="7"/>
      <c r="EC526" s="7"/>
      <c r="ED526" s="7"/>
      <c r="EE526" s="7"/>
      <c r="EF526" s="7"/>
      <c r="EG526" s="7"/>
      <c r="EL526" s="8">
        <f>408+419146*31.1/1000000+6*3.84</f>
        <v>444.07544060000004</v>
      </c>
      <c r="EY526" s="6"/>
      <c r="FA526" s="6"/>
      <c r="GP526" s="32"/>
      <c r="GY526" s="6" t="s">
        <v>435</v>
      </c>
      <c r="GZ526" s="6" t="s">
        <v>436</v>
      </c>
      <c r="HC526" s="6" t="s">
        <v>437</v>
      </c>
      <c r="HD526" s="4" t="s">
        <v>1095</v>
      </c>
      <c r="HE526" s="4">
        <v>36202</v>
      </c>
      <c r="HF526" s="4" t="s">
        <v>1096</v>
      </c>
      <c r="HG526" s="9" t="s">
        <v>466</v>
      </c>
      <c r="HQ526" s="9"/>
      <c r="HY526" s="9"/>
      <c r="IB526" s="8" t="s">
        <v>1097</v>
      </c>
      <c r="IC526" s="8">
        <v>30232</v>
      </c>
      <c r="ID526" s="8" t="s">
        <v>1098</v>
      </c>
      <c r="IE526" s="8" t="s">
        <v>318</v>
      </c>
      <c r="IF526" s="8" t="s">
        <v>350</v>
      </c>
      <c r="JV526" s="7" t="s">
        <v>1099</v>
      </c>
      <c r="JX526" s="7" t="s">
        <v>320</v>
      </c>
      <c r="JY526" s="7" t="s">
        <v>354</v>
      </c>
      <c r="JZ526" s="7" t="s">
        <v>322</v>
      </c>
      <c r="KG526" s="4" t="s">
        <v>323</v>
      </c>
      <c r="KM526" s="4" t="s">
        <v>391</v>
      </c>
      <c r="KN526" s="4" t="s">
        <v>391</v>
      </c>
      <c r="KP526" s="18" t="s">
        <v>1100</v>
      </c>
      <c r="KQ526" s="5" t="s">
        <v>1101</v>
      </c>
      <c r="KR526" s="5" t="s">
        <v>1102</v>
      </c>
      <c r="KS526" s="5" t="s">
        <v>1103</v>
      </c>
      <c r="KT526" s="5" t="s">
        <v>1104</v>
      </c>
    </row>
    <row r="527" spans="1:306" ht="84" x14ac:dyDescent="0.25">
      <c r="A527" s="5" t="s">
        <v>1116</v>
      </c>
      <c r="B527" s="4" t="s">
        <v>424</v>
      </c>
      <c r="C527" s="7" t="s">
        <v>425</v>
      </c>
      <c r="D527" s="8" t="s">
        <v>426</v>
      </c>
      <c r="E527" s="4">
        <v>335645</v>
      </c>
      <c r="G527" s="4" t="s">
        <v>330</v>
      </c>
      <c r="H527" s="6">
        <v>120.21169999999999</v>
      </c>
      <c r="I527" s="6">
        <v>-20.930700000000002</v>
      </c>
      <c r="J527" s="4" t="s">
        <v>1117</v>
      </c>
      <c r="K527" s="4" t="s">
        <v>331</v>
      </c>
      <c r="L527" s="4" t="s">
        <v>368</v>
      </c>
      <c r="M527" s="4" t="s">
        <v>369</v>
      </c>
      <c r="Q527" s="8"/>
      <c r="R527" s="7"/>
      <c r="S527" s="4"/>
      <c r="T527" s="4"/>
      <c r="U527" s="4"/>
      <c r="V527" s="4"/>
      <c r="W527" s="4"/>
      <c r="Z527" s="4" t="s">
        <v>424</v>
      </c>
      <c r="AA527" s="7" t="s">
        <v>425</v>
      </c>
      <c r="AB527" s="8" t="s">
        <v>426</v>
      </c>
      <c r="AC527" s="4" t="s">
        <v>301</v>
      </c>
      <c r="AD527" s="4" t="s">
        <v>375</v>
      </c>
      <c r="AE527" s="8">
        <v>3420</v>
      </c>
      <c r="AF527" s="7"/>
      <c r="AG527" s="4" t="s">
        <v>303</v>
      </c>
      <c r="AH527" s="4" t="s">
        <v>304</v>
      </c>
      <c r="AI527" s="4" t="s">
        <v>1118</v>
      </c>
      <c r="AJ527" s="4" t="s">
        <v>1080</v>
      </c>
      <c r="AK527" s="4" t="s">
        <v>600</v>
      </c>
      <c r="AM527" s="8">
        <v>2</v>
      </c>
      <c r="AN527" s="4" t="s">
        <v>381</v>
      </c>
      <c r="AO527" s="4" t="s">
        <v>382</v>
      </c>
      <c r="AP527" s="4" t="s">
        <v>383</v>
      </c>
      <c r="AQ527" s="7" t="s">
        <v>384</v>
      </c>
      <c r="AR527" s="7" t="s">
        <v>433</v>
      </c>
      <c r="AS527" s="7">
        <v>0</v>
      </c>
      <c r="AT527" s="7">
        <v>0</v>
      </c>
      <c r="AU527" s="4" t="s">
        <v>303</v>
      </c>
      <c r="AV527" s="4" t="s">
        <v>406</v>
      </c>
      <c r="AW527" s="4"/>
      <c r="AX527" s="4"/>
      <c r="AY527" s="4"/>
      <c r="AZ527" s="4"/>
      <c r="BA527" s="8">
        <v>5</v>
      </c>
      <c r="BG527" s="8"/>
      <c r="BH527" s="7"/>
      <c r="BI527" s="4"/>
      <c r="BJ527" s="4"/>
      <c r="BK527" s="4"/>
      <c r="BL527" s="4"/>
      <c r="BM527" s="4"/>
      <c r="DZ527" s="31"/>
      <c r="EH527" s="10">
        <v>1.3519999999999999E-3</v>
      </c>
      <c r="EK527" s="10">
        <v>9.4070000000000001E-2</v>
      </c>
      <c r="EL527" s="6">
        <f>7.05+14.165</f>
        <v>21.215</v>
      </c>
      <c r="FA527" s="6"/>
      <c r="GP527" s="32"/>
      <c r="GY527" s="6" t="s">
        <v>309</v>
      </c>
      <c r="GZ527" s="6" t="s">
        <v>436</v>
      </c>
      <c r="HB527" s="6" t="s">
        <v>1119</v>
      </c>
      <c r="HC527" s="6" t="s">
        <v>1120</v>
      </c>
      <c r="HD527" s="8" t="s">
        <v>1121</v>
      </c>
      <c r="HE527" s="8">
        <v>16559</v>
      </c>
      <c r="HF527" s="8" t="s">
        <v>1122</v>
      </c>
      <c r="HG527" s="9" t="s">
        <v>792</v>
      </c>
      <c r="IB527" s="8" t="s">
        <v>1121</v>
      </c>
      <c r="IC527" s="8">
        <v>16559</v>
      </c>
      <c r="ID527" s="8" t="s">
        <v>1122</v>
      </c>
      <c r="IE527" s="9" t="s">
        <v>792</v>
      </c>
      <c r="IF527" s="8" t="s">
        <v>445</v>
      </c>
      <c r="IM527" s="9"/>
      <c r="IR527" s="9"/>
      <c r="JV527" s="7" t="s">
        <v>1123</v>
      </c>
      <c r="JX527" s="7" t="s">
        <v>320</v>
      </c>
      <c r="KG527" s="4" t="s">
        <v>323</v>
      </c>
      <c r="KM527" s="4" t="s">
        <v>391</v>
      </c>
      <c r="KN527" s="4" t="s">
        <v>391</v>
      </c>
      <c r="KP527" s="5" t="s">
        <v>358</v>
      </c>
      <c r="KQ527" s="5" t="s">
        <v>1124</v>
      </c>
      <c r="KR527" s="5" t="s">
        <v>1125</v>
      </c>
      <c r="KS527" s="5" t="s">
        <v>1126</v>
      </c>
      <c r="KT527" s="5" t="s">
        <v>1127</v>
      </c>
    </row>
    <row r="528" spans="1:306" ht="24" x14ac:dyDescent="0.25">
      <c r="A528" s="5" t="s">
        <v>1165</v>
      </c>
      <c r="B528" s="4" t="s">
        <v>424</v>
      </c>
      <c r="C528" s="7" t="s">
        <v>425</v>
      </c>
      <c r="D528" s="8" t="s">
        <v>426</v>
      </c>
      <c r="E528" s="4">
        <v>601698</v>
      </c>
      <c r="G528" s="4" t="s">
        <v>593</v>
      </c>
      <c r="H528" s="6">
        <v>135.451482478</v>
      </c>
      <c r="I528" s="6">
        <v>-32.843699913000002</v>
      </c>
      <c r="J528" s="4" t="s">
        <v>1165</v>
      </c>
      <c r="K528" s="4" t="s">
        <v>595</v>
      </c>
      <c r="L528" s="4" t="s">
        <v>596</v>
      </c>
      <c r="M528" s="4" t="s">
        <v>1166</v>
      </c>
      <c r="Q528" s="8"/>
      <c r="R528" s="8"/>
      <c r="Z528" s="4" t="s">
        <v>424</v>
      </c>
      <c r="AA528" s="7" t="s">
        <v>425</v>
      </c>
      <c r="AB528" s="8" t="s">
        <v>426</v>
      </c>
      <c r="AC528" s="4" t="s">
        <v>301</v>
      </c>
      <c r="AD528" s="4" t="s">
        <v>375</v>
      </c>
      <c r="AE528" s="8">
        <v>1580</v>
      </c>
      <c r="AF528" s="8">
        <v>10</v>
      </c>
      <c r="AG528" s="9" t="s">
        <v>379</v>
      </c>
      <c r="AH528" s="9" t="s">
        <v>429</v>
      </c>
      <c r="AI528" s="9" t="s">
        <v>430</v>
      </c>
      <c r="AJ528" s="9" t="s">
        <v>431</v>
      </c>
      <c r="AK528" s="9" t="s">
        <v>432</v>
      </c>
      <c r="AM528" s="8">
        <v>3</v>
      </c>
      <c r="AN528" s="4" t="s">
        <v>381</v>
      </c>
      <c r="AO528" s="4" t="s">
        <v>382</v>
      </c>
      <c r="AP528" s="4" t="s">
        <v>383</v>
      </c>
      <c r="AQ528" s="7" t="s">
        <v>384</v>
      </c>
      <c r="AR528" s="8" t="s">
        <v>433</v>
      </c>
      <c r="AS528" s="7">
        <v>0</v>
      </c>
      <c r="AT528" s="7">
        <v>0</v>
      </c>
      <c r="AU528" s="9" t="s">
        <v>303</v>
      </c>
      <c r="AV528" s="9" t="s">
        <v>406</v>
      </c>
      <c r="BA528" s="8">
        <v>5</v>
      </c>
      <c r="BP528" s="7">
        <v>2.11</v>
      </c>
      <c r="BV528" s="7">
        <v>1.6</v>
      </c>
      <c r="DZ528" s="31"/>
      <c r="EB528" s="10"/>
      <c r="EL528" s="7">
        <f>BP528*BV528</f>
        <v>3.3759999999999999</v>
      </c>
      <c r="EY528" s="6"/>
      <c r="FA528" s="6"/>
      <c r="GP528" s="32"/>
      <c r="GY528" s="6" t="s">
        <v>338</v>
      </c>
      <c r="GZ528" s="6" t="s">
        <v>436</v>
      </c>
      <c r="HC528" s="6" t="s">
        <v>437</v>
      </c>
      <c r="HD528" s="8" t="s">
        <v>1167</v>
      </c>
      <c r="HE528" s="8">
        <v>35382</v>
      </c>
      <c r="HF528" s="8" t="s">
        <v>1168</v>
      </c>
      <c r="HG528" s="8" t="s">
        <v>538</v>
      </c>
      <c r="HH528" s="8" t="s">
        <v>1169</v>
      </c>
      <c r="HJ528" s="9" t="s">
        <v>1170</v>
      </c>
      <c r="HK528" s="9" t="s">
        <v>538</v>
      </c>
      <c r="HL528" s="9" t="s">
        <v>1171</v>
      </c>
      <c r="HN528" s="9" t="s">
        <v>1172</v>
      </c>
      <c r="HO528" s="9" t="s">
        <v>538</v>
      </c>
      <c r="HP528" s="8" t="s">
        <v>1173</v>
      </c>
      <c r="HQ528" s="8">
        <v>35382</v>
      </c>
      <c r="HR528" s="8" t="s">
        <v>1174</v>
      </c>
      <c r="HS528" s="8" t="s">
        <v>538</v>
      </c>
      <c r="HT528" s="9" t="s">
        <v>1175</v>
      </c>
      <c r="HV528" s="9" t="s">
        <v>528</v>
      </c>
      <c r="HY528" s="9"/>
      <c r="IB528" s="8" t="s">
        <v>1167</v>
      </c>
      <c r="IC528" s="8">
        <v>35382</v>
      </c>
      <c r="ID528" s="8" t="s">
        <v>1168</v>
      </c>
      <c r="IE528" s="8" t="s">
        <v>538</v>
      </c>
      <c r="IF528" s="8" t="s">
        <v>445</v>
      </c>
      <c r="IG528" s="8" t="s">
        <v>1173</v>
      </c>
      <c r="IH528" s="8">
        <v>35382</v>
      </c>
      <c r="II528" s="8" t="s">
        <v>1174</v>
      </c>
      <c r="IJ528" s="8" t="s">
        <v>538</v>
      </c>
      <c r="IK528" s="8" t="s">
        <v>445</v>
      </c>
      <c r="IL528" s="9" t="s">
        <v>1175</v>
      </c>
      <c r="IM528" s="9"/>
      <c r="IN528" s="9" t="s">
        <v>528</v>
      </c>
      <c r="JV528" s="7" t="s">
        <v>1176</v>
      </c>
      <c r="JX528" s="7" t="s">
        <v>320</v>
      </c>
      <c r="KG528" s="4" t="s">
        <v>323</v>
      </c>
      <c r="KP528" s="5" t="s">
        <v>1177</v>
      </c>
      <c r="KQ528" s="5" t="s">
        <v>1178</v>
      </c>
      <c r="KR528" s="5" t="s">
        <v>1178</v>
      </c>
      <c r="KS528" s="5" t="s">
        <v>1177</v>
      </c>
      <c r="KT528" s="5" t="s">
        <v>1179</v>
      </c>
    </row>
    <row r="529" spans="1:306" ht="183.75" customHeight="1" x14ac:dyDescent="0.25">
      <c r="A529" s="5" t="s">
        <v>1180</v>
      </c>
      <c r="B529" s="4" t="s">
        <v>383</v>
      </c>
      <c r="C529" s="7" t="s">
        <v>403</v>
      </c>
      <c r="D529" s="8" t="s">
        <v>434</v>
      </c>
      <c r="E529" s="4">
        <v>335381</v>
      </c>
      <c r="G529" s="4" t="s">
        <v>593</v>
      </c>
      <c r="H529" s="6">
        <v>138.83750000000001</v>
      </c>
      <c r="I529" s="6">
        <v>-34.642899999999997</v>
      </c>
      <c r="J529" s="4" t="s">
        <v>1180</v>
      </c>
      <c r="K529" s="4" t="s">
        <v>298</v>
      </c>
      <c r="L529" s="4" t="s">
        <v>689</v>
      </c>
      <c r="Q529" s="8"/>
      <c r="Z529" s="4" t="s">
        <v>424</v>
      </c>
      <c r="AA529" s="7" t="s">
        <v>425</v>
      </c>
      <c r="AB529" s="8" t="s">
        <v>426</v>
      </c>
      <c r="AC529" s="4" t="s">
        <v>301</v>
      </c>
      <c r="AD529" s="4" t="s">
        <v>402</v>
      </c>
      <c r="AE529" s="8">
        <v>471</v>
      </c>
      <c r="AG529" s="9" t="s">
        <v>379</v>
      </c>
      <c r="AH529" s="9" t="s">
        <v>380</v>
      </c>
      <c r="AM529" s="8">
        <v>3</v>
      </c>
      <c r="AN529" s="4" t="s">
        <v>381</v>
      </c>
      <c r="AO529" s="4" t="s">
        <v>375</v>
      </c>
      <c r="AP529" s="4" t="s">
        <v>383</v>
      </c>
      <c r="AQ529" s="7" t="s">
        <v>403</v>
      </c>
      <c r="AR529" s="8" t="s">
        <v>434</v>
      </c>
      <c r="AS529" s="7">
        <v>0</v>
      </c>
      <c r="AT529" s="7">
        <v>0</v>
      </c>
      <c r="AU529" s="9" t="s">
        <v>303</v>
      </c>
      <c r="AV529" s="9" t="s">
        <v>406</v>
      </c>
      <c r="BA529" s="8">
        <v>5</v>
      </c>
      <c r="DZ529" s="31"/>
      <c r="EB529" s="10"/>
      <c r="EL529" s="6">
        <v>3.11</v>
      </c>
      <c r="GP529" s="32"/>
      <c r="GY529" s="6" t="s">
        <v>309</v>
      </c>
      <c r="GZ529" s="6" t="s">
        <v>436</v>
      </c>
      <c r="HC529" s="6" t="s">
        <v>437</v>
      </c>
      <c r="HD529" s="8" t="s">
        <v>1181</v>
      </c>
      <c r="HE529" s="8">
        <v>1138</v>
      </c>
      <c r="HF529" s="8" t="s">
        <v>1182</v>
      </c>
      <c r="HG529" s="9" t="s">
        <v>538</v>
      </c>
      <c r="KP529" s="5" t="s">
        <v>358</v>
      </c>
      <c r="KQ529" s="18" t="s">
        <v>1183</v>
      </c>
      <c r="KS529" s="18" t="s">
        <v>1183</v>
      </c>
      <c r="KT529" s="5" t="s">
        <v>1184</v>
      </c>
    </row>
    <row r="530" spans="1:306" ht="120" x14ac:dyDescent="0.25">
      <c r="A530" s="5" t="s">
        <v>1197</v>
      </c>
      <c r="B530" s="4" t="s">
        <v>424</v>
      </c>
      <c r="C530" s="7" t="s">
        <v>425</v>
      </c>
      <c r="D530" s="8" t="s">
        <v>426</v>
      </c>
      <c r="E530" s="4">
        <v>655519</v>
      </c>
      <c r="G530" s="4" t="s">
        <v>427</v>
      </c>
      <c r="H530" s="6">
        <v>146.23490000000001</v>
      </c>
      <c r="I530" s="6">
        <v>-31.7608</v>
      </c>
      <c r="K530" s="4" t="s">
        <v>298</v>
      </c>
      <c r="L530" s="4" t="s">
        <v>299</v>
      </c>
      <c r="M530" s="4" t="s">
        <v>428</v>
      </c>
      <c r="N530" s="4" t="s">
        <v>990</v>
      </c>
      <c r="Q530" s="7"/>
      <c r="R530" s="7"/>
      <c r="Z530" s="4" t="s">
        <v>424</v>
      </c>
      <c r="AA530" s="7" t="s">
        <v>425</v>
      </c>
      <c r="AB530" s="8" t="s">
        <v>426</v>
      </c>
      <c r="AC530" s="4" t="s">
        <v>301</v>
      </c>
      <c r="AD530" s="4" t="s">
        <v>382</v>
      </c>
      <c r="AE530" s="7"/>
      <c r="AF530" s="7"/>
      <c r="AN530" s="4" t="s">
        <v>381</v>
      </c>
      <c r="AO530" s="4" t="s">
        <v>382</v>
      </c>
      <c r="AP530" s="4" t="s">
        <v>383</v>
      </c>
      <c r="AQ530" s="7" t="s">
        <v>384</v>
      </c>
      <c r="AR530" s="8" t="s">
        <v>433</v>
      </c>
      <c r="AS530" s="7">
        <v>0</v>
      </c>
      <c r="AT530" s="7">
        <v>0</v>
      </c>
      <c r="AU530" s="9" t="s">
        <v>303</v>
      </c>
      <c r="AV530" s="9" t="s">
        <v>406</v>
      </c>
      <c r="BA530" s="8">
        <v>5</v>
      </c>
      <c r="BG530" s="7"/>
      <c r="BH530" s="7"/>
      <c r="DZ530" s="31"/>
      <c r="EY530" s="6"/>
      <c r="FA530" s="6"/>
      <c r="GP530" s="32"/>
      <c r="GY530" s="6" t="s">
        <v>407</v>
      </c>
      <c r="HD530" s="4" t="s">
        <v>1198</v>
      </c>
      <c r="HE530" s="8">
        <v>27158</v>
      </c>
      <c r="HF530" s="8" t="s">
        <v>1199</v>
      </c>
      <c r="HG530" s="9" t="s">
        <v>1200</v>
      </c>
      <c r="HY530" s="9"/>
      <c r="IW530" s="8"/>
      <c r="JB530" s="8"/>
      <c r="JV530" s="7" t="s">
        <v>1201</v>
      </c>
      <c r="JX530" s="7" t="s">
        <v>320</v>
      </c>
      <c r="KP530" s="5" t="s">
        <v>1202</v>
      </c>
      <c r="KQ530" s="5" t="s">
        <v>1202</v>
      </c>
      <c r="KT530" s="5" t="s">
        <v>1203</v>
      </c>
    </row>
    <row r="531" spans="1:306" ht="144" x14ac:dyDescent="0.25">
      <c r="A531" s="5" t="s">
        <v>1217</v>
      </c>
      <c r="B531" s="4" t="s">
        <v>383</v>
      </c>
      <c r="C531" s="8" t="s">
        <v>403</v>
      </c>
      <c r="D531" s="8" t="s">
        <v>777</v>
      </c>
      <c r="E531" s="4">
        <v>334013</v>
      </c>
      <c r="G531" s="4" t="s">
        <v>773</v>
      </c>
      <c r="H531" s="6">
        <f>143+23/60+0/3600</f>
        <v>143.38333333333333</v>
      </c>
      <c r="I531" s="6">
        <f>-(37+25/60+45/3600)</f>
        <v>-37.429166666666667</v>
      </c>
      <c r="J531" s="4" t="s">
        <v>1218</v>
      </c>
      <c r="K531" s="4" t="s">
        <v>298</v>
      </c>
      <c r="L531" s="4" t="s">
        <v>299</v>
      </c>
      <c r="M531" s="4" t="s">
        <v>775</v>
      </c>
      <c r="N531" s="4" t="s">
        <v>776</v>
      </c>
      <c r="Q531" s="8"/>
      <c r="Z531" s="4" t="s">
        <v>424</v>
      </c>
      <c r="AA531" s="7" t="s">
        <v>425</v>
      </c>
      <c r="AB531" s="8" t="s">
        <v>426</v>
      </c>
      <c r="AC531" s="4" t="s">
        <v>301</v>
      </c>
      <c r="AD531" s="4" t="s">
        <v>402</v>
      </c>
      <c r="AE531" s="8">
        <v>445</v>
      </c>
      <c r="AG531" s="9" t="s">
        <v>379</v>
      </c>
      <c r="AH531" s="9" t="s">
        <v>380</v>
      </c>
      <c r="AM531" s="8">
        <v>3</v>
      </c>
      <c r="AN531" s="4" t="s">
        <v>381</v>
      </c>
      <c r="AO531" s="4" t="s">
        <v>382</v>
      </c>
      <c r="AP531" s="4" t="s">
        <v>383</v>
      </c>
      <c r="AQ531" s="8" t="s">
        <v>403</v>
      </c>
      <c r="AR531" s="8" t="s">
        <v>777</v>
      </c>
      <c r="AS531" s="8"/>
      <c r="AT531" s="8"/>
      <c r="BB531" s="4" t="s">
        <v>381</v>
      </c>
      <c r="BC531" s="4" t="s">
        <v>382</v>
      </c>
      <c r="BD531" s="4" t="s">
        <v>383</v>
      </c>
      <c r="BE531" s="7" t="s">
        <v>403</v>
      </c>
      <c r="BF531" s="8" t="s">
        <v>434</v>
      </c>
      <c r="BG531" s="7">
        <v>0</v>
      </c>
      <c r="BH531" s="7">
        <v>0</v>
      </c>
      <c r="BI531" s="9" t="s">
        <v>303</v>
      </c>
      <c r="BJ531" s="9" t="s">
        <v>406</v>
      </c>
      <c r="BO531" s="8">
        <v>5</v>
      </c>
      <c r="BQ531" s="7"/>
      <c r="BR531" s="7"/>
      <c r="BS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c r="CW531" s="7"/>
      <c r="CX531" s="7"/>
      <c r="CY531" s="7"/>
      <c r="CZ531" s="7"/>
      <c r="DA531" s="7"/>
      <c r="DB531" s="7"/>
      <c r="DC531" s="7"/>
      <c r="DD531" s="7"/>
      <c r="DE531" s="7"/>
      <c r="DF531" s="7"/>
      <c r="DG531" s="7"/>
      <c r="DH531" s="7"/>
      <c r="DI531" s="7"/>
      <c r="DJ531" s="7"/>
      <c r="DK531" s="7"/>
      <c r="DL531" s="7"/>
      <c r="DM531" s="7"/>
      <c r="DN531" s="7"/>
      <c r="DO531" s="7"/>
      <c r="DP531" s="7"/>
      <c r="DQ531" s="7"/>
      <c r="DR531" s="7"/>
      <c r="DS531" s="7"/>
      <c r="DT531" s="7"/>
      <c r="DU531" s="7"/>
      <c r="DV531" s="7"/>
      <c r="DW531" s="7"/>
      <c r="DX531" s="7"/>
      <c r="DY531" s="7"/>
      <c r="DZ531" s="31"/>
      <c r="EA531" s="7"/>
      <c r="EB531" s="7"/>
      <c r="EC531" s="7"/>
      <c r="ED531" s="7"/>
      <c r="EE531" s="7"/>
      <c r="EF531" s="7"/>
      <c r="EG531" s="7"/>
      <c r="EL531" s="8">
        <v>10</v>
      </c>
      <c r="EY531" s="6"/>
      <c r="FA531" s="6"/>
      <c r="GP531" s="32"/>
      <c r="GY531" s="6" t="s">
        <v>309</v>
      </c>
      <c r="GZ531" s="6" t="s">
        <v>436</v>
      </c>
      <c r="HC531" s="6" t="s">
        <v>437</v>
      </c>
      <c r="HD531" s="4" t="s">
        <v>980</v>
      </c>
      <c r="HE531" s="4">
        <v>21209</v>
      </c>
      <c r="HF531" s="4" t="s">
        <v>1219</v>
      </c>
      <c r="HG531" s="9" t="s">
        <v>698</v>
      </c>
      <c r="HH531" s="4" t="s">
        <v>1220</v>
      </c>
      <c r="HI531" s="4">
        <v>22711</v>
      </c>
      <c r="HJ531" s="4" t="s">
        <v>1221</v>
      </c>
      <c r="HK531" s="9" t="s">
        <v>698</v>
      </c>
      <c r="HQ531" s="9"/>
      <c r="HY531" s="9"/>
      <c r="KP531" s="18" t="s">
        <v>1222</v>
      </c>
      <c r="KQ531" s="5" t="s">
        <v>1223</v>
      </c>
      <c r="KS531" s="5" t="s">
        <v>786</v>
      </c>
      <c r="KT531" s="5" t="s">
        <v>1224</v>
      </c>
    </row>
    <row r="532" spans="1:306" ht="84" x14ac:dyDescent="0.25">
      <c r="A532" s="5" t="s">
        <v>1270</v>
      </c>
      <c r="B532" s="4" t="s">
        <v>424</v>
      </c>
      <c r="C532" s="7" t="s">
        <v>425</v>
      </c>
      <c r="D532" s="8" t="s">
        <v>426</v>
      </c>
      <c r="E532" s="4">
        <v>336104</v>
      </c>
      <c r="G532" s="4" t="s">
        <v>773</v>
      </c>
      <c r="H532" s="6">
        <f>144+17/60+1/3600</f>
        <v>144.2836111111111</v>
      </c>
      <c r="I532" s="6">
        <f>-(36+45/60+31/3600)</f>
        <v>-36.758611111111108</v>
      </c>
      <c r="J532" s="4" t="s">
        <v>1093</v>
      </c>
      <c r="K532" s="4" t="s">
        <v>298</v>
      </c>
      <c r="L532" s="4" t="s">
        <v>299</v>
      </c>
      <c r="M532" s="4" t="s">
        <v>775</v>
      </c>
      <c r="N532" s="4" t="s">
        <v>1093</v>
      </c>
      <c r="Q532" s="8"/>
      <c r="R532" s="8"/>
      <c r="Z532" s="4" t="s">
        <v>424</v>
      </c>
      <c r="AA532" s="7" t="s">
        <v>425</v>
      </c>
      <c r="AB532" s="8" t="s">
        <v>426</v>
      </c>
      <c r="AC532" s="4" t="s">
        <v>301</v>
      </c>
      <c r="AD532" s="4" t="s">
        <v>375</v>
      </c>
      <c r="AE532" s="8">
        <v>447</v>
      </c>
      <c r="AF532" s="8">
        <v>5</v>
      </c>
      <c r="AG532" s="9" t="s">
        <v>379</v>
      </c>
      <c r="AH532" s="9" t="s">
        <v>429</v>
      </c>
      <c r="AI532" s="9" t="s">
        <v>1094</v>
      </c>
      <c r="AJ532" s="9" t="s">
        <v>431</v>
      </c>
      <c r="AK532" s="9" t="s">
        <v>432</v>
      </c>
      <c r="AM532" s="8">
        <v>4</v>
      </c>
      <c r="AN532" s="4" t="s">
        <v>381</v>
      </c>
      <c r="AO532" s="4" t="s">
        <v>382</v>
      </c>
      <c r="AP532" s="4" t="s">
        <v>383</v>
      </c>
      <c r="AQ532" s="7" t="s">
        <v>403</v>
      </c>
      <c r="AR532" s="8" t="s">
        <v>434</v>
      </c>
      <c r="AS532" s="7">
        <v>0</v>
      </c>
      <c r="AT532" s="7">
        <v>0</v>
      </c>
      <c r="AU532" s="9" t="s">
        <v>303</v>
      </c>
      <c r="AV532" s="9" t="s">
        <v>406</v>
      </c>
      <c r="BA532" s="8">
        <v>5</v>
      </c>
      <c r="BQ532" s="7"/>
      <c r="BR532" s="7"/>
      <c r="BS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CV532" s="7"/>
      <c r="CW532" s="7"/>
      <c r="CX532" s="7"/>
      <c r="CY532" s="7"/>
      <c r="CZ532" s="7"/>
      <c r="DA532" s="7"/>
      <c r="DB532" s="7"/>
      <c r="DC532" s="7"/>
      <c r="DD532" s="7"/>
      <c r="DE532" s="7"/>
      <c r="DF532" s="7"/>
      <c r="DG532" s="7"/>
      <c r="DH532" s="7"/>
      <c r="DI532" s="7"/>
      <c r="DJ532" s="7"/>
      <c r="DK532" s="7"/>
      <c r="DL532" s="7"/>
      <c r="DM532" s="7"/>
      <c r="DN532" s="7"/>
      <c r="DO532" s="7"/>
      <c r="DP532" s="7"/>
      <c r="DQ532" s="7"/>
      <c r="DR532" s="7"/>
      <c r="DS532" s="7"/>
      <c r="DT532" s="7"/>
      <c r="DU532" s="7"/>
      <c r="DV532" s="7"/>
      <c r="DW532" s="7"/>
      <c r="DX532" s="7"/>
      <c r="DY532" s="7"/>
      <c r="DZ532" s="31"/>
      <c r="EA532" s="7"/>
      <c r="EB532" s="7"/>
      <c r="EC532" s="7"/>
      <c r="ED532" s="7"/>
      <c r="EE532" s="7"/>
      <c r="EF532" s="7"/>
      <c r="EG532" s="7"/>
      <c r="EL532" s="8">
        <f>697+3.77</f>
        <v>700.77</v>
      </c>
      <c r="EY532" s="6"/>
      <c r="FA532" s="6"/>
      <c r="GP532" s="32"/>
      <c r="GY532" s="6" t="s">
        <v>309</v>
      </c>
      <c r="GZ532" s="6" t="s">
        <v>436</v>
      </c>
      <c r="HC532" s="6" t="s">
        <v>437</v>
      </c>
      <c r="HD532" s="4" t="s">
        <v>1095</v>
      </c>
      <c r="HE532" s="4">
        <v>36202</v>
      </c>
      <c r="HF532" s="4" t="s">
        <v>1096</v>
      </c>
      <c r="HG532" s="9" t="s">
        <v>466</v>
      </c>
      <c r="HQ532" s="9"/>
      <c r="HY532" s="9"/>
      <c r="JV532" s="7" t="s">
        <v>563</v>
      </c>
      <c r="JX532" s="7" t="s">
        <v>320</v>
      </c>
      <c r="JY532" s="7" t="s">
        <v>448</v>
      </c>
      <c r="JZ532" s="7" t="s">
        <v>322</v>
      </c>
      <c r="KG532" s="4" t="s">
        <v>323</v>
      </c>
      <c r="KP532" s="18" t="s">
        <v>1271</v>
      </c>
      <c r="KQ532" s="5" t="s">
        <v>1272</v>
      </c>
      <c r="KR532" s="5" t="s">
        <v>1273</v>
      </c>
      <c r="KS532" s="5" t="s">
        <v>1274</v>
      </c>
      <c r="KT532" s="5" t="s">
        <v>1275</v>
      </c>
    </row>
    <row r="533" spans="1:306" ht="60" x14ac:dyDescent="0.25">
      <c r="A533" s="5" t="s">
        <v>1322</v>
      </c>
      <c r="B533" s="4" t="s">
        <v>424</v>
      </c>
      <c r="C533" s="7" t="s">
        <v>425</v>
      </c>
      <c r="D533" s="8" t="s">
        <v>426</v>
      </c>
      <c r="E533" s="38">
        <v>859579</v>
      </c>
      <c r="F533" s="4">
        <v>433649</v>
      </c>
      <c r="G533" s="4" t="s">
        <v>773</v>
      </c>
      <c r="H533" s="6">
        <v>143.68216000000001</v>
      </c>
      <c r="I533" s="6">
        <v>-37.793599999999998</v>
      </c>
      <c r="J533" s="4" t="s">
        <v>1323</v>
      </c>
      <c r="K533" s="4" t="s">
        <v>298</v>
      </c>
      <c r="L533" s="4" t="s">
        <v>299</v>
      </c>
      <c r="M533" s="4" t="s">
        <v>775</v>
      </c>
      <c r="N533" s="4" t="s">
        <v>1093</v>
      </c>
      <c r="Q533" s="8"/>
      <c r="R533" s="8"/>
      <c r="Z533" s="4" t="s">
        <v>424</v>
      </c>
      <c r="AA533" s="7" t="s">
        <v>425</v>
      </c>
      <c r="AB533" s="8" t="s">
        <v>426</v>
      </c>
      <c r="AC533" s="4" t="s">
        <v>301</v>
      </c>
      <c r="AD533" s="4" t="s">
        <v>375</v>
      </c>
      <c r="AE533" s="8">
        <v>445</v>
      </c>
      <c r="AF533" s="8"/>
      <c r="AG533" s="9" t="s">
        <v>379</v>
      </c>
      <c r="AH533" s="9" t="s">
        <v>380</v>
      </c>
      <c r="AM533" s="8">
        <v>3</v>
      </c>
      <c r="AN533" s="4" t="s">
        <v>381</v>
      </c>
      <c r="AO533" s="4" t="s">
        <v>382</v>
      </c>
      <c r="AP533" s="4" t="s">
        <v>383</v>
      </c>
      <c r="AQ533" s="7" t="s">
        <v>403</v>
      </c>
      <c r="AR533" s="8" t="s">
        <v>777</v>
      </c>
      <c r="AS533" s="7"/>
      <c r="AT533" s="7"/>
      <c r="BE533" s="4"/>
      <c r="BF533" s="4"/>
      <c r="BG533" s="4"/>
      <c r="BH533" s="4"/>
      <c r="BI533" s="4"/>
      <c r="BJ533" s="4"/>
      <c r="BK533" s="4"/>
      <c r="BL533" s="4"/>
      <c r="BM533" s="4"/>
      <c r="BN533" s="4"/>
      <c r="BO533" s="4"/>
      <c r="BQ533" s="7"/>
      <c r="BR533" s="7"/>
      <c r="BS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c r="CW533" s="7"/>
      <c r="CX533" s="7"/>
      <c r="CY533" s="7"/>
      <c r="CZ533" s="7"/>
      <c r="DA533" s="7"/>
      <c r="DB533" s="7"/>
      <c r="DC533" s="7"/>
      <c r="DD533" s="7"/>
      <c r="DE533" s="7"/>
      <c r="DF533" s="7"/>
      <c r="DG533" s="7"/>
      <c r="DH533" s="7"/>
      <c r="DI533" s="7"/>
      <c r="DJ533" s="7"/>
      <c r="DK533" s="7"/>
      <c r="DL533" s="7"/>
      <c r="DM533" s="7"/>
      <c r="DN533" s="7"/>
      <c r="DO533" s="7"/>
      <c r="DP533" s="7"/>
      <c r="DQ533" s="7"/>
      <c r="DR533" s="7"/>
      <c r="DS533" s="7"/>
      <c r="DT533" s="7"/>
      <c r="DU533" s="7"/>
      <c r="DV533" s="7"/>
      <c r="DW533" s="7"/>
      <c r="DX533" s="7"/>
      <c r="DY533" s="7"/>
      <c r="DZ533" s="31"/>
      <c r="EA533" s="7"/>
      <c r="EB533" s="7"/>
      <c r="EC533" s="7"/>
      <c r="ED533" s="7"/>
      <c r="EE533" s="7"/>
      <c r="EF533" s="7"/>
      <c r="EG533" s="7"/>
      <c r="EL533" s="8">
        <v>30</v>
      </c>
      <c r="EY533" s="6"/>
      <c r="FA533" s="6"/>
      <c r="GP533" s="32"/>
      <c r="GY533" s="6" t="s">
        <v>309</v>
      </c>
      <c r="GZ533" s="6" t="s">
        <v>436</v>
      </c>
      <c r="HC533" s="6" t="s">
        <v>437</v>
      </c>
      <c r="HD533" s="4" t="s">
        <v>1095</v>
      </c>
      <c r="HE533" s="4">
        <v>36202</v>
      </c>
      <c r="HF533" s="4" t="s">
        <v>1096</v>
      </c>
      <c r="HG533" s="9" t="s">
        <v>466</v>
      </c>
      <c r="HQ533" s="9"/>
      <c r="HY533" s="9"/>
      <c r="KP533" s="18" t="s">
        <v>1324</v>
      </c>
      <c r="KQ533" s="5" t="s">
        <v>786</v>
      </c>
      <c r="KS533" s="5" t="s">
        <v>786</v>
      </c>
      <c r="KT533" s="5" t="s">
        <v>1325</v>
      </c>
    </row>
    <row r="534" spans="1:306" ht="180" x14ac:dyDescent="0.25">
      <c r="A534" s="5" t="s">
        <v>1347</v>
      </c>
      <c r="B534" s="4" t="s">
        <v>424</v>
      </c>
      <c r="C534" s="7" t="s">
        <v>425</v>
      </c>
      <c r="D534" s="8" t="s">
        <v>426</v>
      </c>
      <c r="E534" s="4">
        <v>333578</v>
      </c>
      <c r="G534" s="4" t="s">
        <v>330</v>
      </c>
      <c r="H534" s="6">
        <v>117.6542</v>
      </c>
      <c r="I534" s="6">
        <v>-27.320900000000002</v>
      </c>
      <c r="J534" s="4" t="s">
        <v>1347</v>
      </c>
      <c r="K534" s="4" t="s">
        <v>331</v>
      </c>
      <c r="L534" s="4" t="s">
        <v>500</v>
      </c>
      <c r="M534" s="4" t="s">
        <v>676</v>
      </c>
      <c r="N534" s="4" t="s">
        <v>677</v>
      </c>
      <c r="Q534" s="8"/>
      <c r="R534" s="8"/>
      <c r="Z534" s="4" t="s">
        <v>424</v>
      </c>
      <c r="AA534" s="7" t="s">
        <v>425</v>
      </c>
      <c r="AB534" s="8" t="s">
        <v>426</v>
      </c>
      <c r="AC534" s="4" t="s">
        <v>301</v>
      </c>
      <c r="AD534" s="4" t="s">
        <v>375</v>
      </c>
      <c r="AE534" s="8">
        <v>2635</v>
      </c>
      <c r="AF534" s="8">
        <v>10</v>
      </c>
      <c r="AG534" s="9" t="s">
        <v>379</v>
      </c>
      <c r="AH534" s="9" t="s">
        <v>335</v>
      </c>
      <c r="AI534" s="9" t="s">
        <v>598</v>
      </c>
      <c r="AJ534" s="9" t="s">
        <v>599</v>
      </c>
      <c r="AK534" s="9" t="s">
        <v>600</v>
      </c>
      <c r="AM534" s="8">
        <v>2</v>
      </c>
      <c r="AN534" s="4" t="s">
        <v>381</v>
      </c>
      <c r="AO534" s="4" t="s">
        <v>382</v>
      </c>
      <c r="AP534" s="4" t="s">
        <v>383</v>
      </c>
      <c r="AQ534" s="7" t="s">
        <v>384</v>
      </c>
      <c r="AR534" s="7" t="s">
        <v>433</v>
      </c>
      <c r="AS534" s="7">
        <v>0</v>
      </c>
      <c r="AT534" s="7">
        <v>0</v>
      </c>
      <c r="AU534" s="4" t="s">
        <v>303</v>
      </c>
      <c r="AV534" s="4" t="s">
        <v>406</v>
      </c>
      <c r="AW534" s="4"/>
      <c r="AX534" s="4"/>
      <c r="AY534" s="4"/>
      <c r="AZ534" s="4"/>
      <c r="BA534" s="8">
        <v>5</v>
      </c>
      <c r="BG534" s="8"/>
      <c r="BH534" s="8"/>
      <c r="BQ534" s="7"/>
      <c r="BV534" s="7"/>
      <c r="DZ534" s="31"/>
      <c r="EL534" s="7">
        <v>157.12</v>
      </c>
      <c r="GP534" s="32"/>
      <c r="GY534" s="6" t="s">
        <v>338</v>
      </c>
      <c r="GZ534" s="6" t="s">
        <v>436</v>
      </c>
      <c r="HC534" s="6" t="s">
        <v>437</v>
      </c>
      <c r="HD534" s="8" t="s">
        <v>1348</v>
      </c>
      <c r="HE534" s="8">
        <v>23604</v>
      </c>
      <c r="HF534" s="8" t="s">
        <v>1349</v>
      </c>
      <c r="HG534" s="9" t="s">
        <v>389</v>
      </c>
      <c r="IB534" s="8" t="s">
        <v>1348</v>
      </c>
      <c r="IC534" s="8">
        <v>23604</v>
      </c>
      <c r="ID534" s="8" t="s">
        <v>1350</v>
      </c>
      <c r="IE534" s="9" t="s">
        <v>389</v>
      </c>
      <c r="IF534" s="9" t="s">
        <v>445</v>
      </c>
      <c r="II534" s="8" t="s">
        <v>1351</v>
      </c>
      <c r="IJ534" s="8" t="s">
        <v>507</v>
      </c>
      <c r="IN534" s="9" t="s">
        <v>514</v>
      </c>
      <c r="IO534" s="9" t="s">
        <v>507</v>
      </c>
      <c r="IR534" s="9"/>
      <c r="JV534" s="7" t="s">
        <v>1352</v>
      </c>
      <c r="JX534" s="7" t="s">
        <v>320</v>
      </c>
      <c r="JY534" s="7" t="s">
        <v>470</v>
      </c>
      <c r="JZ534" s="7" t="s">
        <v>322</v>
      </c>
      <c r="KG534" s="4" t="s">
        <v>323</v>
      </c>
      <c r="KM534" s="4" t="s">
        <v>1192</v>
      </c>
      <c r="KN534" s="4" t="s">
        <v>1192</v>
      </c>
      <c r="KP534" s="5" t="s">
        <v>358</v>
      </c>
      <c r="KQ534" s="5" t="s">
        <v>1353</v>
      </c>
      <c r="KR534" s="5" t="s">
        <v>1354</v>
      </c>
      <c r="KS534" s="5" t="s">
        <v>1355</v>
      </c>
      <c r="KT534" s="5" t="s">
        <v>1356</v>
      </c>
    </row>
    <row r="535" spans="1:306" ht="24" x14ac:dyDescent="0.25">
      <c r="A535" s="5" t="s">
        <v>1444</v>
      </c>
      <c r="B535" s="4" t="s">
        <v>424</v>
      </c>
      <c r="C535" s="7" t="s">
        <v>425</v>
      </c>
      <c r="D535" s="8" t="s">
        <v>426</v>
      </c>
      <c r="E535" s="4">
        <v>333516</v>
      </c>
      <c r="G535" s="4" t="s">
        <v>330</v>
      </c>
      <c r="H535" s="6">
        <v>121.402095</v>
      </c>
      <c r="I535" s="6">
        <v>-30.837423000000001</v>
      </c>
      <c r="K535" s="4" t="s">
        <v>331</v>
      </c>
      <c r="L535" s="4" t="s">
        <v>500</v>
      </c>
      <c r="M535" s="4" t="s">
        <v>501</v>
      </c>
      <c r="N535" s="4" t="s">
        <v>1061</v>
      </c>
      <c r="Q535" s="8"/>
      <c r="Z535" s="4" t="s">
        <v>424</v>
      </c>
      <c r="AA535" s="7" t="s">
        <v>425</v>
      </c>
      <c r="AB535" s="8" t="s">
        <v>426</v>
      </c>
      <c r="AC535" s="4" t="s">
        <v>301</v>
      </c>
      <c r="AD535" s="4" t="s">
        <v>375</v>
      </c>
      <c r="AE535" s="8">
        <v>2642</v>
      </c>
      <c r="AG535" s="9" t="s">
        <v>379</v>
      </c>
      <c r="AH535" s="9" t="s">
        <v>380</v>
      </c>
      <c r="AM535" s="8">
        <v>2</v>
      </c>
      <c r="AN535" s="4" t="s">
        <v>381</v>
      </c>
      <c r="AO535" s="4" t="s">
        <v>382</v>
      </c>
      <c r="AP535" s="4" t="s">
        <v>383</v>
      </c>
      <c r="AQ535" s="7" t="s">
        <v>384</v>
      </c>
      <c r="AR535" s="7" t="s">
        <v>433</v>
      </c>
      <c r="AS535" s="7">
        <v>0</v>
      </c>
      <c r="AT535" s="7">
        <v>0</v>
      </c>
      <c r="AU535" s="4" t="s">
        <v>303</v>
      </c>
      <c r="AV535" s="4" t="s">
        <v>406</v>
      </c>
      <c r="AW535" s="4"/>
      <c r="AX535" s="4"/>
      <c r="AY535" s="4"/>
      <c r="AZ535" s="4"/>
      <c r="BA535" s="8">
        <v>5</v>
      </c>
      <c r="BG535" s="8"/>
      <c r="BP535" s="7">
        <f>1.815087+19.3+2.6</f>
        <v>23.715087</v>
      </c>
      <c r="BQ535" s="7"/>
      <c r="BV535" s="7">
        <f>(2.3*1.815087+1.4*19.3+1.9*2.6)/(1.815087+19.3+2.6)</f>
        <v>1.5237009292860699</v>
      </c>
      <c r="DZ535" s="31"/>
      <c r="EL535" s="7">
        <v>36.134700099999996</v>
      </c>
      <c r="GP535" s="32"/>
      <c r="GY535" s="6" t="s">
        <v>309</v>
      </c>
      <c r="GZ535" s="6" t="s">
        <v>436</v>
      </c>
      <c r="HC535" s="6" t="s">
        <v>437</v>
      </c>
      <c r="HD535" s="8" t="s">
        <v>1445</v>
      </c>
      <c r="HE535" s="8">
        <v>28372</v>
      </c>
      <c r="HF535" s="8" t="s">
        <v>1446</v>
      </c>
      <c r="HG535" s="9" t="s">
        <v>507</v>
      </c>
      <c r="HJ535" s="9" t="s">
        <v>1447</v>
      </c>
      <c r="HK535" s="9" t="s">
        <v>507</v>
      </c>
      <c r="IB535" s="8" t="s">
        <v>1445</v>
      </c>
      <c r="IC535" s="8">
        <v>28372</v>
      </c>
      <c r="ID535" s="8" t="s">
        <v>1446</v>
      </c>
      <c r="IE535" s="9" t="s">
        <v>507</v>
      </c>
      <c r="IF535" s="9" t="s">
        <v>445</v>
      </c>
      <c r="IH535" s="9"/>
      <c r="II535" s="9" t="s">
        <v>1447</v>
      </c>
      <c r="IJ535" s="9" t="s">
        <v>507</v>
      </c>
      <c r="IK535" s="9" t="s">
        <v>445</v>
      </c>
      <c r="IR535" s="9"/>
      <c r="JV535" s="7" t="s">
        <v>1448</v>
      </c>
      <c r="JX535" s="7" t="s">
        <v>320</v>
      </c>
      <c r="JY535" s="7" t="s">
        <v>448</v>
      </c>
      <c r="JZ535" s="7" t="s">
        <v>353</v>
      </c>
      <c r="KG535" s="4" t="s">
        <v>323</v>
      </c>
      <c r="KM535" s="4" t="s">
        <v>391</v>
      </c>
      <c r="KN535" s="4" t="s">
        <v>391</v>
      </c>
      <c r="KP535" s="5" t="s">
        <v>358</v>
      </c>
      <c r="KQ535" s="5" t="s">
        <v>1449</v>
      </c>
      <c r="KR535" s="5" t="s">
        <v>1450</v>
      </c>
      <c r="KS535" s="5" t="s">
        <v>1449</v>
      </c>
      <c r="KT535" s="5" t="s">
        <v>1451</v>
      </c>
    </row>
    <row r="536" spans="1:306" ht="84" x14ac:dyDescent="0.25">
      <c r="A536" s="5" t="s">
        <v>1452</v>
      </c>
      <c r="B536" s="4" t="s">
        <v>424</v>
      </c>
      <c r="C536" s="7" t="s">
        <v>425</v>
      </c>
      <c r="D536" s="8" t="s">
        <v>426</v>
      </c>
      <c r="E536" s="4">
        <v>694657</v>
      </c>
      <c r="G536" s="4" t="s">
        <v>593</v>
      </c>
      <c r="H536" s="6">
        <v>138.97611000000001</v>
      </c>
      <c r="I536" s="6">
        <v>-34.796390000000002</v>
      </c>
      <c r="J536" s="4" t="s">
        <v>1453</v>
      </c>
      <c r="K536" s="4" t="s">
        <v>298</v>
      </c>
      <c r="L536" s="4" t="s">
        <v>689</v>
      </c>
      <c r="Q536" s="8"/>
      <c r="Z536" s="4" t="s">
        <v>424</v>
      </c>
      <c r="AA536" s="7" t="s">
        <v>425</v>
      </c>
      <c r="AB536" s="8" t="s">
        <v>426</v>
      </c>
      <c r="AC536" s="4" t="s">
        <v>301</v>
      </c>
      <c r="AD536" s="4" t="s">
        <v>375</v>
      </c>
      <c r="AE536" s="8">
        <v>471</v>
      </c>
      <c r="AG536" s="9" t="s">
        <v>379</v>
      </c>
      <c r="AH536" s="9" t="s">
        <v>380</v>
      </c>
      <c r="AM536" s="8">
        <v>3</v>
      </c>
      <c r="AN536" s="4" t="s">
        <v>381</v>
      </c>
      <c r="AO536" s="4" t="s">
        <v>382</v>
      </c>
      <c r="AP536" s="4" t="s">
        <v>383</v>
      </c>
      <c r="AQ536" s="7" t="s">
        <v>403</v>
      </c>
      <c r="AR536" s="8" t="s">
        <v>434</v>
      </c>
      <c r="AS536" s="7">
        <v>0</v>
      </c>
      <c r="AT536" s="7">
        <v>0</v>
      </c>
      <c r="AU536" s="9" t="s">
        <v>303</v>
      </c>
      <c r="AV536" s="9" t="s">
        <v>406</v>
      </c>
      <c r="BA536" s="8">
        <v>5</v>
      </c>
      <c r="DZ536" s="31"/>
      <c r="EB536" s="10"/>
      <c r="EL536" s="6">
        <v>0.622</v>
      </c>
      <c r="GP536" s="32"/>
      <c r="GY536" s="6" t="s">
        <v>309</v>
      </c>
      <c r="GZ536" s="6" t="s">
        <v>436</v>
      </c>
      <c r="HC536" s="6" t="s">
        <v>437</v>
      </c>
      <c r="HD536" s="8" t="s">
        <v>1454</v>
      </c>
      <c r="HE536" s="8">
        <v>3106</v>
      </c>
      <c r="HF536" s="8" t="s">
        <v>1455</v>
      </c>
      <c r="HG536" s="9" t="s">
        <v>876</v>
      </c>
      <c r="HH536" s="9" t="s">
        <v>1456</v>
      </c>
      <c r="HI536" s="8">
        <v>28634</v>
      </c>
      <c r="HJ536" s="9" t="s">
        <v>1457</v>
      </c>
      <c r="HK536" s="9" t="s">
        <v>698</v>
      </c>
      <c r="KP536" s="18" t="s">
        <v>1458</v>
      </c>
      <c r="KQ536" s="18" t="s">
        <v>1183</v>
      </c>
      <c r="KS536" s="18" t="s">
        <v>1183</v>
      </c>
      <c r="KT536" s="5" t="s">
        <v>1459</v>
      </c>
    </row>
    <row r="537" spans="1:306" ht="60" x14ac:dyDescent="0.25">
      <c r="A537" s="5" t="s">
        <v>1485</v>
      </c>
      <c r="B537" s="4" t="s">
        <v>424</v>
      </c>
      <c r="C537" s="7" t="s">
        <v>425</v>
      </c>
      <c r="D537" s="8" t="s">
        <v>426</v>
      </c>
      <c r="E537" s="4">
        <v>538301</v>
      </c>
      <c r="G537" s="4" t="s">
        <v>330</v>
      </c>
      <c r="H537" s="6">
        <v>117.8028</v>
      </c>
      <c r="I537" s="6">
        <v>-27.383099999999999</v>
      </c>
      <c r="J537" s="4" t="s">
        <v>1486</v>
      </c>
      <c r="K537" s="4" t="s">
        <v>331</v>
      </c>
      <c r="L537" s="4" t="s">
        <v>500</v>
      </c>
      <c r="M537" s="4" t="s">
        <v>676</v>
      </c>
      <c r="N537" s="4" t="s">
        <v>677</v>
      </c>
      <c r="Q537" s="8"/>
      <c r="Z537" s="4" t="s">
        <v>424</v>
      </c>
      <c r="AA537" s="7" t="s">
        <v>425</v>
      </c>
      <c r="AB537" s="8" t="s">
        <v>426</v>
      </c>
      <c r="AC537" s="4" t="s">
        <v>301</v>
      </c>
      <c r="AD537" s="4" t="s">
        <v>375</v>
      </c>
      <c r="AE537" s="8">
        <v>2638</v>
      </c>
      <c r="AG537" s="9" t="s">
        <v>379</v>
      </c>
      <c r="AH537" s="9" t="s">
        <v>380</v>
      </c>
      <c r="AM537" s="8">
        <v>2</v>
      </c>
      <c r="AN537" s="4" t="s">
        <v>381</v>
      </c>
      <c r="AO537" s="4" t="s">
        <v>382</v>
      </c>
      <c r="AP537" s="4" t="s">
        <v>383</v>
      </c>
      <c r="AQ537" s="7" t="s">
        <v>384</v>
      </c>
      <c r="AR537" s="7" t="s">
        <v>433</v>
      </c>
      <c r="AS537" s="7">
        <v>0</v>
      </c>
      <c r="AT537" s="7">
        <v>0</v>
      </c>
      <c r="AU537" s="4" t="s">
        <v>303</v>
      </c>
      <c r="AV537" s="4" t="s">
        <v>406</v>
      </c>
      <c r="AW537" s="4"/>
      <c r="AX537" s="4"/>
      <c r="AY537" s="4"/>
      <c r="AZ537" s="4"/>
      <c r="BA537" s="8">
        <v>5</v>
      </c>
      <c r="BG537" s="8"/>
      <c r="BP537" s="7">
        <f>4.522725+0.265241+0.818151</f>
        <v>5.6061170000000002</v>
      </c>
      <c r="BQ537" s="7"/>
      <c r="BV537" s="7">
        <f>((4.522725*2.54)+(0.265241*2.3)+(0.818151*2.02))/BP537</f>
        <v>2.4527566620532539</v>
      </c>
      <c r="DZ537" s="31"/>
      <c r="EL537" s="7">
        <f>BV537*BP537</f>
        <v>13.750440820000003</v>
      </c>
      <c r="GP537" s="32"/>
      <c r="GY537" s="6" t="s">
        <v>338</v>
      </c>
      <c r="GZ537" s="6" t="s">
        <v>436</v>
      </c>
      <c r="HC537" s="6" t="s">
        <v>437</v>
      </c>
      <c r="HF537" s="8" t="s">
        <v>1487</v>
      </c>
      <c r="HG537" s="9" t="s">
        <v>507</v>
      </c>
      <c r="ID537" s="8" t="s">
        <v>1264</v>
      </c>
      <c r="IE537" s="9" t="s">
        <v>507</v>
      </c>
      <c r="IF537" s="9"/>
      <c r="IG537" s="8" t="s">
        <v>1488</v>
      </c>
      <c r="IH537" s="8">
        <v>23604</v>
      </c>
      <c r="II537" s="8" t="s">
        <v>1489</v>
      </c>
      <c r="IJ537" s="9" t="s">
        <v>389</v>
      </c>
      <c r="IK537" s="9" t="s">
        <v>445</v>
      </c>
      <c r="IR537" s="9"/>
      <c r="JV537" s="7" t="s">
        <v>1490</v>
      </c>
      <c r="JW537" s="7" t="s">
        <v>1491</v>
      </c>
      <c r="JX537" s="7" t="s">
        <v>320</v>
      </c>
      <c r="JY537" s="7" t="s">
        <v>448</v>
      </c>
      <c r="JZ537" s="7" t="s">
        <v>322</v>
      </c>
      <c r="KG537" s="4" t="s">
        <v>323</v>
      </c>
      <c r="KM537" s="4" t="s">
        <v>836</v>
      </c>
      <c r="KN537" s="4" t="s">
        <v>836</v>
      </c>
      <c r="KP537" s="5" t="s">
        <v>358</v>
      </c>
      <c r="KQ537" s="5" t="s">
        <v>1492</v>
      </c>
      <c r="KR537" s="5" t="s">
        <v>1493</v>
      </c>
      <c r="KS537" s="5" t="s">
        <v>1494</v>
      </c>
      <c r="KT537" s="5" t="s">
        <v>1495</v>
      </c>
    </row>
    <row r="538" spans="1:306" ht="60" x14ac:dyDescent="0.25">
      <c r="A538" s="5" t="s">
        <v>1518</v>
      </c>
      <c r="B538" s="4" t="s">
        <v>424</v>
      </c>
      <c r="C538" s="7" t="s">
        <v>425</v>
      </c>
      <c r="D538" s="8" t="s">
        <v>426</v>
      </c>
      <c r="E538" s="4">
        <v>335290</v>
      </c>
      <c r="G538" s="4" t="s">
        <v>330</v>
      </c>
      <c r="H538" s="6">
        <v>118.4251</v>
      </c>
      <c r="I538" s="6">
        <v>-26.716200000000001</v>
      </c>
      <c r="J538" s="4" t="s">
        <v>1519</v>
      </c>
      <c r="K538" s="4" t="s">
        <v>331</v>
      </c>
      <c r="L538" s="4" t="s">
        <v>500</v>
      </c>
      <c r="M538" s="4" t="s">
        <v>676</v>
      </c>
      <c r="N538" s="4" t="s">
        <v>677</v>
      </c>
      <c r="Q538" s="8"/>
      <c r="Z538" s="4" t="s">
        <v>424</v>
      </c>
      <c r="AA538" s="7" t="s">
        <v>425</v>
      </c>
      <c r="AB538" s="8" t="s">
        <v>426</v>
      </c>
      <c r="AC538" s="4" t="s">
        <v>301</v>
      </c>
      <c r="AD538" s="4" t="s">
        <v>375</v>
      </c>
      <c r="AE538" s="8">
        <v>2638</v>
      </c>
      <c r="AG538" s="9" t="s">
        <v>379</v>
      </c>
      <c r="AH538" s="9" t="s">
        <v>380</v>
      </c>
      <c r="AM538" s="8">
        <v>2</v>
      </c>
      <c r="AN538" s="4" t="s">
        <v>381</v>
      </c>
      <c r="AO538" s="4" t="s">
        <v>382</v>
      </c>
      <c r="AP538" s="4" t="s">
        <v>383</v>
      </c>
      <c r="AQ538" s="7" t="s">
        <v>384</v>
      </c>
      <c r="AR538" s="7" t="s">
        <v>433</v>
      </c>
      <c r="AS538" s="7">
        <v>0</v>
      </c>
      <c r="AT538" s="7">
        <v>0</v>
      </c>
      <c r="AU538" s="4" t="s">
        <v>303</v>
      </c>
      <c r="AV538" s="4" t="s">
        <v>406</v>
      </c>
      <c r="AW538" s="4"/>
      <c r="AX538" s="4"/>
      <c r="AY538" s="4"/>
      <c r="AZ538" s="4"/>
      <c r="BA538" s="8">
        <v>5</v>
      </c>
      <c r="BG538" s="8"/>
      <c r="BP538" s="7">
        <v>18.399999999999999</v>
      </c>
      <c r="BQ538" s="7"/>
      <c r="BV538" s="7">
        <v>1.5</v>
      </c>
      <c r="DZ538" s="31"/>
      <c r="EL538" s="7">
        <f>BP538*BV538</f>
        <v>27.599999999999998</v>
      </c>
      <c r="GP538" s="32"/>
      <c r="GY538" s="6" t="s">
        <v>338</v>
      </c>
      <c r="GZ538" s="6" t="s">
        <v>436</v>
      </c>
      <c r="HC538" s="6" t="s">
        <v>437</v>
      </c>
      <c r="HD538" s="8" t="s">
        <v>1488</v>
      </c>
      <c r="HE538" s="8">
        <v>23604</v>
      </c>
      <c r="HF538" s="8" t="s">
        <v>1520</v>
      </c>
      <c r="HG538" s="9" t="s">
        <v>389</v>
      </c>
      <c r="IB538" s="8" t="s">
        <v>1488</v>
      </c>
      <c r="IC538" s="8">
        <v>23604</v>
      </c>
      <c r="ID538" s="8" t="s">
        <v>1520</v>
      </c>
      <c r="IE538" s="9" t="s">
        <v>389</v>
      </c>
      <c r="IF538" s="9" t="s">
        <v>445</v>
      </c>
      <c r="II538" s="8" t="s">
        <v>1521</v>
      </c>
      <c r="IJ538" s="8" t="s">
        <v>507</v>
      </c>
      <c r="IR538" s="9"/>
      <c r="JV538" s="7" t="s">
        <v>1522</v>
      </c>
      <c r="JX538" s="7" t="s">
        <v>320</v>
      </c>
      <c r="KG538" s="4" t="s">
        <v>356</v>
      </c>
      <c r="KH538" s="4" t="s">
        <v>1317</v>
      </c>
      <c r="KM538" s="4" t="s">
        <v>836</v>
      </c>
      <c r="KN538" s="4" t="s">
        <v>836</v>
      </c>
      <c r="KP538" s="5" t="s">
        <v>358</v>
      </c>
      <c r="KQ538" s="5" t="s">
        <v>1523</v>
      </c>
      <c r="KS538" s="5" t="s">
        <v>1493</v>
      </c>
      <c r="KT538" s="5" t="s">
        <v>1524</v>
      </c>
    </row>
    <row r="539" spans="1:306" ht="120" x14ac:dyDescent="0.25">
      <c r="A539" s="5" t="s">
        <v>1543</v>
      </c>
      <c r="B539" s="4" t="s">
        <v>424</v>
      </c>
      <c r="C539" s="7" t="s">
        <v>425</v>
      </c>
      <c r="D539" s="8" t="s">
        <v>426</v>
      </c>
      <c r="E539" s="4">
        <v>335545</v>
      </c>
      <c r="G539" s="4" t="s">
        <v>427</v>
      </c>
      <c r="H539" s="6">
        <v>148.99299999999999</v>
      </c>
      <c r="I539" s="6">
        <v>-32.4497</v>
      </c>
      <c r="J539" s="4" t="s">
        <v>1544</v>
      </c>
      <c r="K539" s="4" t="s">
        <v>298</v>
      </c>
      <c r="L539" s="4" t="s">
        <v>299</v>
      </c>
      <c r="M539" s="4" t="s">
        <v>1359</v>
      </c>
      <c r="N539" s="4" t="s">
        <v>1545</v>
      </c>
      <c r="Q539" s="8"/>
      <c r="R539" s="7"/>
      <c r="Z539" s="4" t="s">
        <v>424</v>
      </c>
      <c r="AA539" s="7" t="s">
        <v>425</v>
      </c>
      <c r="AB539" s="8" t="s">
        <v>426</v>
      </c>
      <c r="AC539" s="4" t="s">
        <v>301</v>
      </c>
      <c r="AD539" s="4" t="s">
        <v>302</v>
      </c>
      <c r="AE539" s="8">
        <v>343</v>
      </c>
      <c r="AF539" s="7"/>
      <c r="AG539" s="9" t="s">
        <v>379</v>
      </c>
      <c r="AH539" s="9" t="s">
        <v>380</v>
      </c>
      <c r="AM539" s="8">
        <v>2</v>
      </c>
      <c r="AN539" s="4" t="s">
        <v>381</v>
      </c>
      <c r="AO539" s="4" t="s">
        <v>402</v>
      </c>
      <c r="AP539" s="4" t="s">
        <v>383</v>
      </c>
      <c r="AQ539" s="7" t="s">
        <v>403</v>
      </c>
      <c r="AR539" s="8" t="s">
        <v>434</v>
      </c>
      <c r="AS539" s="7">
        <v>0</v>
      </c>
      <c r="AT539" s="7">
        <v>0</v>
      </c>
      <c r="AU539" s="9" t="s">
        <v>303</v>
      </c>
      <c r="AV539" s="9" t="s">
        <v>406</v>
      </c>
      <c r="BA539" s="8">
        <v>5</v>
      </c>
      <c r="CQ539" s="8"/>
      <c r="CS539" s="8"/>
      <c r="DC539" s="8"/>
      <c r="DD539" s="8"/>
      <c r="DZ539" s="31"/>
      <c r="EL539" s="6">
        <v>5.98</v>
      </c>
      <c r="GP539" s="32"/>
      <c r="GY539" s="6" t="s">
        <v>309</v>
      </c>
      <c r="GZ539" s="6" t="s">
        <v>436</v>
      </c>
      <c r="HC539" s="6" t="s">
        <v>437</v>
      </c>
      <c r="HD539" s="8" t="s">
        <v>1546</v>
      </c>
      <c r="HE539" s="8">
        <v>14461</v>
      </c>
      <c r="HF539" s="8" t="s">
        <v>1547</v>
      </c>
      <c r="HG539" s="9" t="s">
        <v>1548</v>
      </c>
      <c r="IB539" s="8" t="s">
        <v>1546</v>
      </c>
      <c r="IC539" s="8">
        <v>14461</v>
      </c>
      <c r="ID539" s="8" t="s">
        <v>1549</v>
      </c>
      <c r="IE539" s="9" t="s">
        <v>1550</v>
      </c>
      <c r="IF539" s="9" t="s">
        <v>445</v>
      </c>
      <c r="IH539" s="9"/>
      <c r="II539" s="9"/>
      <c r="IJ539" s="9"/>
      <c r="IM539" s="9"/>
      <c r="IW539" s="8"/>
      <c r="JB539" s="8"/>
      <c r="JV539" s="7" t="s">
        <v>1551</v>
      </c>
      <c r="JX539" s="7" t="s">
        <v>320</v>
      </c>
      <c r="JY539" s="7" t="s">
        <v>448</v>
      </c>
      <c r="JZ539" s="7" t="s">
        <v>353</v>
      </c>
      <c r="KG539" s="4" t="s">
        <v>323</v>
      </c>
      <c r="KM539" s="4" t="s">
        <v>391</v>
      </c>
      <c r="KN539" s="4" t="s">
        <v>391</v>
      </c>
      <c r="KP539" s="5" t="s">
        <v>358</v>
      </c>
      <c r="KQ539" s="5" t="s">
        <v>1552</v>
      </c>
      <c r="KS539" s="5" t="s">
        <v>1552</v>
      </c>
      <c r="KT539" s="5" t="s">
        <v>1553</v>
      </c>
    </row>
    <row r="540" spans="1:306" ht="96" x14ac:dyDescent="0.25">
      <c r="A540" s="5" t="s">
        <v>1573</v>
      </c>
      <c r="B540" s="4" t="s">
        <v>424</v>
      </c>
      <c r="C540" s="7" t="s">
        <v>425</v>
      </c>
      <c r="D540" s="8" t="s">
        <v>426</v>
      </c>
      <c r="E540" s="4">
        <v>334142</v>
      </c>
      <c r="G540" s="4" t="s">
        <v>530</v>
      </c>
      <c r="H540" s="6">
        <v>131.2345</v>
      </c>
      <c r="I540" s="6">
        <v>-13.3241</v>
      </c>
      <c r="J540" s="4" t="s">
        <v>532</v>
      </c>
      <c r="K540" s="4" t="s">
        <v>481</v>
      </c>
      <c r="L540" s="4" t="s">
        <v>532</v>
      </c>
      <c r="Q540" s="8"/>
      <c r="R540" s="8"/>
      <c r="Z540" s="4" t="s">
        <v>424</v>
      </c>
      <c r="AA540" s="7" t="s">
        <v>425</v>
      </c>
      <c r="AB540" s="8" t="s">
        <v>426</v>
      </c>
      <c r="AC540" s="4" t="s">
        <v>301</v>
      </c>
      <c r="AD540" s="4" t="s">
        <v>375</v>
      </c>
      <c r="AE540" s="8">
        <v>1810</v>
      </c>
      <c r="AF540" s="8"/>
      <c r="AG540" s="9" t="s">
        <v>379</v>
      </c>
      <c r="AH540" s="9" t="s">
        <v>380</v>
      </c>
      <c r="AM540" s="8">
        <v>3</v>
      </c>
      <c r="AN540" s="4" t="s">
        <v>381</v>
      </c>
      <c r="AO540" s="4" t="s">
        <v>382</v>
      </c>
      <c r="AP540" s="4" t="s">
        <v>383</v>
      </c>
      <c r="AQ540" s="7" t="s">
        <v>384</v>
      </c>
      <c r="AR540" s="7" t="s">
        <v>433</v>
      </c>
      <c r="AS540" s="7">
        <v>0</v>
      </c>
      <c r="AT540" s="7">
        <v>0</v>
      </c>
      <c r="AU540" s="9" t="s">
        <v>303</v>
      </c>
      <c r="AV540" s="9" t="s">
        <v>406</v>
      </c>
      <c r="BA540" s="8">
        <v>5</v>
      </c>
      <c r="BP540" s="7">
        <v>0.77500000000000002</v>
      </c>
      <c r="BR540" s="9"/>
      <c r="BS540" s="9"/>
      <c r="BT540" s="9"/>
      <c r="BU540" s="9"/>
      <c r="BV540" s="7">
        <v>2.4</v>
      </c>
      <c r="DZ540" s="31"/>
      <c r="EL540" s="7">
        <f>BP540*BV540</f>
        <v>1.8599999999999999</v>
      </c>
      <c r="GP540" s="32"/>
      <c r="GY540" s="6" t="s">
        <v>338</v>
      </c>
      <c r="GZ540" s="6" t="s">
        <v>436</v>
      </c>
      <c r="HC540" s="6" t="s">
        <v>437</v>
      </c>
      <c r="HD540" s="8" t="s">
        <v>1574</v>
      </c>
      <c r="HE540" s="8">
        <v>27310</v>
      </c>
      <c r="HF540" s="8" t="s">
        <v>1575</v>
      </c>
      <c r="HG540" s="9" t="s">
        <v>538</v>
      </c>
      <c r="IB540" s="8" t="s">
        <v>1576</v>
      </c>
      <c r="IC540" s="8">
        <v>30778</v>
      </c>
      <c r="ID540" s="8" t="s">
        <v>1577</v>
      </c>
      <c r="IE540" s="8" t="s">
        <v>538</v>
      </c>
      <c r="IF540" s="8" t="s">
        <v>1578</v>
      </c>
      <c r="IW540" s="8"/>
      <c r="JB540" s="8"/>
      <c r="KM540" s="4" t="s">
        <v>836</v>
      </c>
      <c r="KN540" s="4" t="s">
        <v>836</v>
      </c>
      <c r="KP540" s="5" t="s">
        <v>358</v>
      </c>
      <c r="KQ540" s="5" t="s">
        <v>1579</v>
      </c>
      <c r="KS540" s="5" t="s">
        <v>1580</v>
      </c>
      <c r="KT540" s="5" t="s">
        <v>1581</v>
      </c>
    </row>
    <row r="541" spans="1:306" ht="120" x14ac:dyDescent="0.25">
      <c r="A541" s="5" t="s">
        <v>1639</v>
      </c>
      <c r="B541" s="4" t="s">
        <v>424</v>
      </c>
      <c r="C541" s="7" t="s">
        <v>425</v>
      </c>
      <c r="D541" s="8" t="s">
        <v>426</v>
      </c>
      <c r="E541" s="4">
        <v>334256</v>
      </c>
      <c r="G541" s="4" t="s">
        <v>530</v>
      </c>
      <c r="H541" s="6">
        <v>131.31950000000001</v>
      </c>
      <c r="I541" s="6">
        <v>-13.440300000000001</v>
      </c>
      <c r="J541" s="4" t="s">
        <v>1639</v>
      </c>
      <c r="K541" s="4" t="s">
        <v>481</v>
      </c>
      <c r="L541" s="4" t="s">
        <v>532</v>
      </c>
      <c r="Q541" s="8"/>
      <c r="R541" s="8"/>
      <c r="Z541" s="4" t="s">
        <v>424</v>
      </c>
      <c r="AA541" s="7" t="s">
        <v>425</v>
      </c>
      <c r="AB541" s="8" t="s">
        <v>426</v>
      </c>
      <c r="AC541" s="4" t="s">
        <v>301</v>
      </c>
      <c r="AD541" s="4" t="s">
        <v>375</v>
      </c>
      <c r="AE541" s="8">
        <v>1810</v>
      </c>
      <c r="AF541" s="8"/>
      <c r="AG541" s="9" t="s">
        <v>379</v>
      </c>
      <c r="AH541" s="9" t="s">
        <v>380</v>
      </c>
      <c r="AM541" s="8">
        <v>3</v>
      </c>
      <c r="AN541" s="4" t="s">
        <v>381</v>
      </c>
      <c r="AO541" s="4" t="s">
        <v>382</v>
      </c>
      <c r="AP541" s="4" t="s">
        <v>383</v>
      </c>
      <c r="AQ541" s="7" t="s">
        <v>384</v>
      </c>
      <c r="AR541" s="7" t="s">
        <v>433</v>
      </c>
      <c r="AS541" s="7">
        <v>0</v>
      </c>
      <c r="AT541" s="7">
        <v>0</v>
      </c>
      <c r="AU541" s="9" t="s">
        <v>303</v>
      </c>
      <c r="AV541" s="9" t="s">
        <v>406</v>
      </c>
      <c r="BA541" s="8">
        <v>5</v>
      </c>
      <c r="BP541" s="7">
        <v>1.038</v>
      </c>
      <c r="BQ541" s="9"/>
      <c r="BV541" s="7">
        <v>1.6</v>
      </c>
      <c r="DZ541" s="31"/>
      <c r="EL541" s="7">
        <f>BP541*BV541</f>
        <v>1.6608000000000001</v>
      </c>
      <c r="GP541" s="32"/>
      <c r="GY541" s="6" t="s">
        <v>309</v>
      </c>
      <c r="GZ541" s="6" t="s">
        <v>436</v>
      </c>
      <c r="HC541" s="6" t="s">
        <v>437</v>
      </c>
      <c r="HD541" s="9" t="s">
        <v>1640</v>
      </c>
      <c r="HE541" s="8">
        <v>25130</v>
      </c>
      <c r="HF541" s="9" t="s">
        <v>1641</v>
      </c>
      <c r="HG541" s="9" t="s">
        <v>538</v>
      </c>
      <c r="HJ541" s="9" t="s">
        <v>658</v>
      </c>
      <c r="HK541" s="9" t="s">
        <v>538</v>
      </c>
      <c r="IB541" s="9"/>
      <c r="ID541" s="9" t="s">
        <v>658</v>
      </c>
      <c r="IE541" s="9" t="s">
        <v>538</v>
      </c>
      <c r="IF541" s="8" t="s">
        <v>445</v>
      </c>
      <c r="IG541" s="8" t="s">
        <v>1576</v>
      </c>
      <c r="IH541" s="8">
        <v>30778</v>
      </c>
      <c r="II541" s="8" t="s">
        <v>1577</v>
      </c>
      <c r="IJ541" s="8" t="s">
        <v>538</v>
      </c>
      <c r="IK541" s="8" t="s">
        <v>1578</v>
      </c>
      <c r="IW541" s="8"/>
      <c r="JB541" s="8"/>
      <c r="JV541" s="7" t="s">
        <v>1642</v>
      </c>
      <c r="JX541" s="7" t="s">
        <v>320</v>
      </c>
      <c r="KG541" s="4" t="s">
        <v>323</v>
      </c>
      <c r="KM541" s="4" t="s">
        <v>836</v>
      </c>
      <c r="KN541" s="4" t="s">
        <v>836</v>
      </c>
      <c r="KP541" s="5" t="s">
        <v>358</v>
      </c>
      <c r="KQ541" s="5" t="s">
        <v>1643</v>
      </c>
      <c r="KS541" s="5" t="s">
        <v>1643</v>
      </c>
      <c r="KT541" s="5" t="s">
        <v>1644</v>
      </c>
    </row>
    <row r="542" spans="1:306" ht="60" x14ac:dyDescent="0.25">
      <c r="A542" s="5" t="s">
        <v>1671</v>
      </c>
      <c r="B542" s="4" t="s">
        <v>424</v>
      </c>
      <c r="C542" s="7" t="s">
        <v>425</v>
      </c>
      <c r="D542" s="8" t="s">
        <v>426</v>
      </c>
      <c r="E542" s="4">
        <v>335821</v>
      </c>
      <c r="G542" s="4" t="s">
        <v>330</v>
      </c>
      <c r="H542" s="6">
        <v>127.82429999999999</v>
      </c>
      <c r="I542" s="6">
        <v>-18.345600000000001</v>
      </c>
      <c r="J542" s="4" t="s">
        <v>1672</v>
      </c>
      <c r="K542" s="4" t="s">
        <v>481</v>
      </c>
      <c r="L542" s="4" t="s">
        <v>863</v>
      </c>
      <c r="Q542" s="8"/>
      <c r="R542" s="8"/>
      <c r="Z542" s="4" t="s">
        <v>424</v>
      </c>
      <c r="AA542" s="7" t="s">
        <v>425</v>
      </c>
      <c r="AB542" s="8" t="s">
        <v>426</v>
      </c>
      <c r="AC542" s="4" t="s">
        <v>301</v>
      </c>
      <c r="AD542" s="4" t="s">
        <v>375</v>
      </c>
      <c r="AE542" s="8">
        <v>1838</v>
      </c>
      <c r="AF542" s="8">
        <v>5</v>
      </c>
      <c r="AG542" s="9" t="s">
        <v>379</v>
      </c>
      <c r="AH542" s="9" t="s">
        <v>429</v>
      </c>
      <c r="AI542" s="9" t="s">
        <v>845</v>
      </c>
      <c r="AJ542" s="9" t="s">
        <v>431</v>
      </c>
      <c r="AK542" s="9" t="s">
        <v>432</v>
      </c>
      <c r="AM542" s="8">
        <v>4</v>
      </c>
      <c r="AN542" s="4" t="s">
        <v>381</v>
      </c>
      <c r="AO542" s="4" t="s">
        <v>382</v>
      </c>
      <c r="AP542" s="4" t="s">
        <v>383</v>
      </c>
      <c r="AQ542" s="7" t="s">
        <v>384</v>
      </c>
      <c r="AR542" s="8" t="s">
        <v>433</v>
      </c>
      <c r="AS542" s="7">
        <v>0</v>
      </c>
      <c r="AT542" s="7">
        <v>0</v>
      </c>
      <c r="AU542" s="4" t="s">
        <v>303</v>
      </c>
      <c r="AV542" s="4" t="s">
        <v>406</v>
      </c>
      <c r="AW542" s="4"/>
      <c r="AX542" s="4"/>
      <c r="AY542" s="4"/>
      <c r="AZ542" s="4"/>
      <c r="BA542" s="8">
        <v>5</v>
      </c>
      <c r="BG542" s="8"/>
      <c r="BH542" s="8"/>
      <c r="DZ542" s="31"/>
      <c r="EL542" s="7">
        <f>3.3049+5.6*2</f>
        <v>14.504899999999999</v>
      </c>
      <c r="GP542" s="32"/>
      <c r="GY542" s="6" t="s">
        <v>435</v>
      </c>
      <c r="GZ542" s="6" t="s">
        <v>436</v>
      </c>
      <c r="HC542" s="6" t="s">
        <v>437</v>
      </c>
      <c r="HD542" s="8" t="s">
        <v>1673</v>
      </c>
      <c r="HE542" s="8">
        <v>23447</v>
      </c>
      <c r="HF542" s="8" t="s">
        <v>1674</v>
      </c>
      <c r="HG542" s="9" t="s">
        <v>538</v>
      </c>
      <c r="IB542" s="8" t="s">
        <v>1673</v>
      </c>
      <c r="IC542" s="8">
        <v>23447</v>
      </c>
      <c r="ID542" s="8" t="s">
        <v>1674</v>
      </c>
      <c r="IE542" s="9" t="s">
        <v>538</v>
      </c>
      <c r="IF542" s="8" t="s">
        <v>445</v>
      </c>
      <c r="JV542" s="7" t="s">
        <v>1675</v>
      </c>
      <c r="JX542" s="7" t="s">
        <v>320</v>
      </c>
      <c r="JY542" s="7" t="s">
        <v>448</v>
      </c>
      <c r="JZ542" s="7" t="s">
        <v>322</v>
      </c>
      <c r="KG542" s="4" t="s">
        <v>323</v>
      </c>
      <c r="KM542" s="4" t="s">
        <v>391</v>
      </c>
      <c r="KN542" s="4" t="s">
        <v>391</v>
      </c>
      <c r="KP542" s="5" t="s">
        <v>358</v>
      </c>
      <c r="KQ542" s="5" t="s">
        <v>1676</v>
      </c>
      <c r="KR542" s="5" t="s">
        <v>1677</v>
      </c>
      <c r="KS542" s="5" t="s">
        <v>1678</v>
      </c>
      <c r="KT542" s="5" t="s">
        <v>1679</v>
      </c>
    </row>
    <row r="543" spans="1:306" ht="120" x14ac:dyDescent="0.25">
      <c r="A543" s="5" t="s">
        <v>1680</v>
      </c>
      <c r="B543" s="4" t="s">
        <v>424</v>
      </c>
      <c r="C543" s="7" t="s">
        <v>425</v>
      </c>
      <c r="D543" s="8" t="s">
        <v>426</v>
      </c>
      <c r="E543" s="4">
        <v>334267</v>
      </c>
      <c r="G543" s="4" t="s">
        <v>530</v>
      </c>
      <c r="H543" s="6">
        <v>131.43790000000001</v>
      </c>
      <c r="I543" s="6">
        <v>-13.4765</v>
      </c>
      <c r="J543" s="4" t="s">
        <v>1681</v>
      </c>
      <c r="K543" s="4" t="s">
        <v>481</v>
      </c>
      <c r="L543" s="4" t="s">
        <v>532</v>
      </c>
      <c r="Q543" s="8"/>
      <c r="R543" s="8"/>
      <c r="Z543" s="4" t="s">
        <v>424</v>
      </c>
      <c r="AA543" s="7" t="s">
        <v>425</v>
      </c>
      <c r="AB543" s="8" t="s">
        <v>426</v>
      </c>
      <c r="AC543" s="4" t="s">
        <v>301</v>
      </c>
      <c r="AD543" s="4" t="s">
        <v>375</v>
      </c>
      <c r="AE543" s="8">
        <v>1810</v>
      </c>
      <c r="AF543" s="8"/>
      <c r="AG543" s="9" t="s">
        <v>379</v>
      </c>
      <c r="AH543" s="9" t="s">
        <v>380</v>
      </c>
      <c r="AM543" s="8">
        <v>3</v>
      </c>
      <c r="AN543" s="4" t="s">
        <v>381</v>
      </c>
      <c r="AO543" s="4" t="s">
        <v>382</v>
      </c>
      <c r="AP543" s="4" t="s">
        <v>383</v>
      </c>
      <c r="AQ543" s="7" t="s">
        <v>384</v>
      </c>
      <c r="AR543" s="7" t="s">
        <v>433</v>
      </c>
      <c r="AS543" s="7">
        <v>0</v>
      </c>
      <c r="AT543" s="7">
        <v>0</v>
      </c>
      <c r="AU543" s="9" t="s">
        <v>303</v>
      </c>
      <c r="AV543" s="9" t="s">
        <v>406</v>
      </c>
      <c r="BA543" s="8">
        <v>5</v>
      </c>
      <c r="BQ543" s="7"/>
      <c r="BV543" s="7"/>
      <c r="DZ543" s="31"/>
      <c r="EL543" s="7">
        <f>1.028+0.82+8.4+2.6+1.84</f>
        <v>14.688000000000001</v>
      </c>
      <c r="GP543" s="32"/>
      <c r="GY543" s="6" t="s">
        <v>435</v>
      </c>
      <c r="GZ543" s="6" t="s">
        <v>436</v>
      </c>
      <c r="HC543" s="6" t="s">
        <v>437</v>
      </c>
      <c r="HD543" s="9" t="s">
        <v>1640</v>
      </c>
      <c r="HE543" s="8">
        <v>25130</v>
      </c>
      <c r="HF543" s="8" t="s">
        <v>1641</v>
      </c>
      <c r="HG543" s="9" t="s">
        <v>538</v>
      </c>
      <c r="HH543" s="9" t="s">
        <v>1682</v>
      </c>
      <c r="HI543" s="8">
        <v>27961</v>
      </c>
      <c r="HJ543" s="9" t="s">
        <v>1683</v>
      </c>
      <c r="HK543" s="9" t="s">
        <v>538</v>
      </c>
      <c r="HL543" s="9" t="s">
        <v>536</v>
      </c>
      <c r="HM543" s="8">
        <v>3134</v>
      </c>
      <c r="HN543" s="9" t="s">
        <v>537</v>
      </c>
      <c r="HO543" s="9" t="s">
        <v>538</v>
      </c>
      <c r="IB543" s="9" t="s">
        <v>1682</v>
      </c>
      <c r="IC543" s="8">
        <v>27961</v>
      </c>
      <c r="ID543" s="9" t="s">
        <v>1683</v>
      </c>
      <c r="IE543" s="8" t="s">
        <v>538</v>
      </c>
      <c r="IF543" s="8" t="s">
        <v>445</v>
      </c>
      <c r="IG543" s="8" t="s">
        <v>1684</v>
      </c>
      <c r="IH543" s="8">
        <v>26441</v>
      </c>
      <c r="II543" s="8" t="s">
        <v>1685</v>
      </c>
      <c r="IJ543" s="8" t="s">
        <v>538</v>
      </c>
      <c r="IK543" s="8" t="s">
        <v>1578</v>
      </c>
      <c r="IW543" s="8"/>
      <c r="JB543" s="8"/>
      <c r="JV543" s="7" t="s">
        <v>1686</v>
      </c>
      <c r="JW543" s="7" t="s">
        <v>783</v>
      </c>
      <c r="JX543" s="7" t="s">
        <v>320</v>
      </c>
      <c r="JY543" s="7" t="s">
        <v>354</v>
      </c>
      <c r="JZ543" s="7" t="s">
        <v>322</v>
      </c>
      <c r="KG543" s="4" t="s">
        <v>323</v>
      </c>
      <c r="KM543" s="4" t="s">
        <v>836</v>
      </c>
      <c r="KN543" s="4" t="s">
        <v>836</v>
      </c>
      <c r="KP543" s="5" t="s">
        <v>358</v>
      </c>
      <c r="KQ543" s="5" t="s">
        <v>1579</v>
      </c>
      <c r="KS543" s="5" t="s">
        <v>1687</v>
      </c>
      <c r="KT543" s="5" t="s">
        <v>1688</v>
      </c>
    </row>
    <row r="544" spans="1:306" ht="60" x14ac:dyDescent="0.25">
      <c r="A544" s="5" t="s">
        <v>1710</v>
      </c>
      <c r="B544" s="4" t="s">
        <v>424</v>
      </c>
      <c r="C544" s="7" t="s">
        <v>425</v>
      </c>
      <c r="D544" s="8" t="s">
        <v>426</v>
      </c>
      <c r="E544" s="4">
        <v>333546</v>
      </c>
      <c r="G544" s="4" t="s">
        <v>330</v>
      </c>
      <c r="H544" s="6">
        <v>121.0125</v>
      </c>
      <c r="I544" s="6">
        <v>-27.377800000000001</v>
      </c>
      <c r="J544" s="4" t="s">
        <v>1711</v>
      </c>
      <c r="K544" s="4" t="s">
        <v>331</v>
      </c>
      <c r="L544" s="4" t="s">
        <v>500</v>
      </c>
      <c r="M544" s="4" t="s">
        <v>501</v>
      </c>
      <c r="N544" s="4" t="s">
        <v>1061</v>
      </c>
      <c r="Q544" s="8"/>
      <c r="R544" s="8"/>
      <c r="Z544" s="4" t="s">
        <v>424</v>
      </c>
      <c r="AA544" s="7" t="s">
        <v>425</v>
      </c>
      <c r="AB544" s="8" t="s">
        <v>426</v>
      </c>
      <c r="AC544" s="4" t="s">
        <v>301</v>
      </c>
      <c r="AD544" s="4" t="s">
        <v>375</v>
      </c>
      <c r="AE544" s="8">
        <v>2631</v>
      </c>
      <c r="AF544" s="8">
        <v>9</v>
      </c>
      <c r="AG544" s="9" t="s">
        <v>379</v>
      </c>
      <c r="AH544" s="9" t="s">
        <v>335</v>
      </c>
      <c r="AI544" s="9" t="s">
        <v>336</v>
      </c>
      <c r="AJ544" s="9" t="s">
        <v>306</v>
      </c>
      <c r="AK544" s="9" t="s">
        <v>307</v>
      </c>
      <c r="AL544" s="9" t="s">
        <v>337</v>
      </c>
      <c r="AM544" s="8">
        <v>4</v>
      </c>
      <c r="AN544" s="4" t="s">
        <v>381</v>
      </c>
      <c r="AO544" s="4" t="s">
        <v>382</v>
      </c>
      <c r="AP544" s="4" t="s">
        <v>383</v>
      </c>
      <c r="AQ544" s="7" t="s">
        <v>384</v>
      </c>
      <c r="AR544" s="7" t="s">
        <v>433</v>
      </c>
      <c r="AS544" s="7">
        <v>0</v>
      </c>
      <c r="AT544" s="7">
        <v>0</v>
      </c>
      <c r="AU544" s="4" t="s">
        <v>303</v>
      </c>
      <c r="AV544" s="4" t="s">
        <v>406</v>
      </c>
      <c r="AW544" s="4"/>
      <c r="AX544" s="4"/>
      <c r="AY544" s="4"/>
      <c r="AZ544" s="4"/>
      <c r="BA544" s="8">
        <v>5</v>
      </c>
      <c r="BG544" s="8"/>
      <c r="BH544" s="8"/>
      <c r="DZ544" s="31"/>
      <c r="EL544" s="8">
        <v>210</v>
      </c>
      <c r="FA544" s="6"/>
      <c r="GP544" s="32"/>
      <c r="GY544" s="6" t="s">
        <v>338</v>
      </c>
      <c r="GZ544" s="6" t="s">
        <v>436</v>
      </c>
      <c r="HC544" s="6" t="s">
        <v>437</v>
      </c>
      <c r="HD544" s="8" t="s">
        <v>1712</v>
      </c>
      <c r="HF544" s="8" t="s">
        <v>1712</v>
      </c>
      <c r="HG544" s="9" t="s">
        <v>507</v>
      </c>
      <c r="IB544" s="8" t="s">
        <v>1712</v>
      </c>
      <c r="ID544" s="8" t="s">
        <v>1712</v>
      </c>
      <c r="IE544" s="9" t="s">
        <v>507</v>
      </c>
      <c r="IF544" s="9" t="s">
        <v>445</v>
      </c>
      <c r="IM544" s="9"/>
      <c r="IR544" s="9"/>
      <c r="JU544" s="7" t="s">
        <v>1713</v>
      </c>
      <c r="JV544" s="7" t="s">
        <v>1714</v>
      </c>
      <c r="JX544" s="4" t="s">
        <v>320</v>
      </c>
      <c r="JY544" s="4" t="s">
        <v>470</v>
      </c>
      <c r="JZ544" s="4" t="s">
        <v>322</v>
      </c>
      <c r="KG544" s="4" t="s">
        <v>323</v>
      </c>
      <c r="KM544" s="4" t="s">
        <v>521</v>
      </c>
      <c r="KN544" s="4" t="s">
        <v>521</v>
      </c>
      <c r="KP544" s="5" t="s">
        <v>358</v>
      </c>
      <c r="KQ544" s="5" t="s">
        <v>1715</v>
      </c>
      <c r="KR544" s="5" t="s">
        <v>1716</v>
      </c>
      <c r="KS544" s="5" t="s">
        <v>1717</v>
      </c>
      <c r="KT544" s="5" t="s">
        <v>1718</v>
      </c>
    </row>
    <row r="545" spans="1:306" ht="48" x14ac:dyDescent="0.25">
      <c r="A545" s="5" t="s">
        <v>1801</v>
      </c>
      <c r="B545" s="4" t="s">
        <v>424</v>
      </c>
      <c r="C545" s="7" t="s">
        <v>425</v>
      </c>
      <c r="D545" s="8" t="s">
        <v>426</v>
      </c>
      <c r="E545" s="4">
        <v>336138</v>
      </c>
      <c r="G545" s="4" t="s">
        <v>330</v>
      </c>
      <c r="H545" s="6">
        <v>120.9002</v>
      </c>
      <c r="I545" s="6">
        <v>-31.0212</v>
      </c>
      <c r="J545" s="4" t="s">
        <v>1802</v>
      </c>
      <c r="K545" s="4" t="s">
        <v>331</v>
      </c>
      <c r="L545" s="4" t="s">
        <v>500</v>
      </c>
      <c r="M545" s="4" t="s">
        <v>501</v>
      </c>
      <c r="N545" s="4" t="s">
        <v>1061</v>
      </c>
      <c r="Q545" s="8"/>
      <c r="Z545" s="4" t="s">
        <v>424</v>
      </c>
      <c r="AA545" s="7" t="s">
        <v>425</v>
      </c>
      <c r="AB545" s="8" t="s">
        <v>426</v>
      </c>
      <c r="AC545" s="4" t="s">
        <v>301</v>
      </c>
      <c r="AD545" s="4" t="s">
        <v>375</v>
      </c>
      <c r="AE545" s="8">
        <v>2650</v>
      </c>
      <c r="AG545" s="9" t="s">
        <v>379</v>
      </c>
      <c r="AH545" s="9" t="s">
        <v>380</v>
      </c>
      <c r="AM545" s="8">
        <v>2</v>
      </c>
      <c r="AN545" s="4" t="s">
        <v>381</v>
      </c>
      <c r="AO545" s="4" t="s">
        <v>382</v>
      </c>
      <c r="AP545" s="4" t="s">
        <v>383</v>
      </c>
      <c r="AQ545" s="7" t="s">
        <v>384</v>
      </c>
      <c r="AR545" s="8" t="s">
        <v>433</v>
      </c>
      <c r="AS545" s="8">
        <v>0</v>
      </c>
      <c r="AT545" s="9">
        <v>0</v>
      </c>
      <c r="AU545" s="9" t="s">
        <v>303</v>
      </c>
      <c r="AV545" s="9" t="s">
        <v>406</v>
      </c>
      <c r="AW545" s="4"/>
      <c r="AX545" s="4"/>
      <c r="AY545" s="4"/>
      <c r="AZ545" s="4"/>
      <c r="BA545" s="8">
        <v>5</v>
      </c>
      <c r="BG545" s="8"/>
      <c r="BP545" s="7">
        <f>95.4+3.74+2.64</f>
        <v>101.78</v>
      </c>
      <c r="BV545" s="6">
        <f>((99.14*1.05)+(3.74*1.14)+(2.64*1.14))/BP545</f>
        <v>1.0942247985851838</v>
      </c>
      <c r="DZ545" s="31"/>
      <c r="EL545" s="7">
        <f>BP545*BV545</f>
        <v>111.37020000000001</v>
      </c>
      <c r="GP545" s="32"/>
      <c r="GY545" s="6" t="s">
        <v>338</v>
      </c>
      <c r="GZ545" s="6" t="s">
        <v>436</v>
      </c>
      <c r="HC545" s="6" t="s">
        <v>437</v>
      </c>
      <c r="HD545" s="8" t="s">
        <v>1803</v>
      </c>
      <c r="HF545" s="8" t="s">
        <v>1804</v>
      </c>
      <c r="HG545" s="9" t="s">
        <v>507</v>
      </c>
      <c r="IB545" s="8" t="s">
        <v>1803</v>
      </c>
      <c r="ID545" s="8" t="s">
        <v>1805</v>
      </c>
      <c r="IE545" s="9" t="s">
        <v>507</v>
      </c>
      <c r="IF545" s="9" t="s">
        <v>445</v>
      </c>
      <c r="IR545" s="9"/>
      <c r="JV545" s="7" t="s">
        <v>1806</v>
      </c>
      <c r="JX545" s="7" t="s">
        <v>320</v>
      </c>
      <c r="JY545" s="7" t="s">
        <v>354</v>
      </c>
      <c r="JZ545" s="7" t="s">
        <v>322</v>
      </c>
      <c r="KG545" s="4" t="s">
        <v>323</v>
      </c>
      <c r="KM545" s="4" t="s">
        <v>702</v>
      </c>
      <c r="KN545" s="4" t="s">
        <v>702</v>
      </c>
      <c r="KP545" s="5" t="s">
        <v>358</v>
      </c>
      <c r="KQ545" s="5" t="s">
        <v>1807</v>
      </c>
      <c r="KS545" s="5" t="s">
        <v>1808</v>
      </c>
      <c r="KT545" s="5" t="s">
        <v>1809</v>
      </c>
    </row>
    <row r="546" spans="1:306" ht="48" x14ac:dyDescent="0.25">
      <c r="A546" s="5" t="s">
        <v>1810</v>
      </c>
      <c r="B546" s="4" t="s">
        <v>424</v>
      </c>
      <c r="C546" s="7" t="s">
        <v>425</v>
      </c>
      <c r="D546" s="8" t="s">
        <v>426</v>
      </c>
      <c r="E546" s="4">
        <v>334420</v>
      </c>
      <c r="G546" s="4" t="s">
        <v>330</v>
      </c>
      <c r="H546" s="6">
        <v>119.12260000000001</v>
      </c>
      <c r="I546" s="6">
        <v>-30.976800000000001</v>
      </c>
      <c r="J546" s="4" t="s">
        <v>1811</v>
      </c>
      <c r="K546" s="4" t="s">
        <v>331</v>
      </c>
      <c r="L546" s="4" t="s">
        <v>500</v>
      </c>
      <c r="M546" s="4" t="s">
        <v>676</v>
      </c>
      <c r="N546" s="4" t="s">
        <v>1811</v>
      </c>
      <c r="Q546" s="8"/>
      <c r="Z546" s="4" t="s">
        <v>424</v>
      </c>
      <c r="AA546" s="7" t="s">
        <v>425</v>
      </c>
      <c r="AB546" s="8" t="s">
        <v>426</v>
      </c>
      <c r="AC546" s="4" t="s">
        <v>301</v>
      </c>
      <c r="AD546" s="4" t="s">
        <v>375</v>
      </c>
      <c r="AE546" s="8">
        <v>2636</v>
      </c>
      <c r="AG546" s="9" t="s">
        <v>379</v>
      </c>
      <c r="AH546" s="9" t="s">
        <v>1156</v>
      </c>
      <c r="AM546" s="8">
        <v>2</v>
      </c>
      <c r="AN546" s="4" t="s">
        <v>381</v>
      </c>
      <c r="AO546" s="4" t="s">
        <v>382</v>
      </c>
      <c r="AP546" s="4" t="s">
        <v>383</v>
      </c>
      <c r="AQ546" s="7" t="s">
        <v>384</v>
      </c>
      <c r="AR546" s="8" t="s">
        <v>433</v>
      </c>
      <c r="AS546" s="8">
        <v>0</v>
      </c>
      <c r="AT546" s="9">
        <v>0</v>
      </c>
      <c r="AU546" s="9" t="s">
        <v>303</v>
      </c>
      <c r="AV546" s="9" t="s">
        <v>406</v>
      </c>
      <c r="AW546" s="4"/>
      <c r="AX546" s="4"/>
      <c r="AY546" s="4"/>
      <c r="AZ546" s="4"/>
      <c r="BA546" s="8">
        <v>5</v>
      </c>
      <c r="BG546" s="8"/>
      <c r="DZ546" s="31"/>
      <c r="EL546" s="7">
        <v>47.161700000000003</v>
      </c>
      <c r="GP546" s="32"/>
      <c r="GY546" s="6" t="s">
        <v>338</v>
      </c>
      <c r="GZ546" s="6" t="s">
        <v>436</v>
      </c>
      <c r="HC546" s="6" t="s">
        <v>437</v>
      </c>
      <c r="HD546" s="8" t="s">
        <v>1812</v>
      </c>
      <c r="HF546" s="8" t="s">
        <v>1813</v>
      </c>
      <c r="HG546" s="8" t="s">
        <v>507</v>
      </c>
      <c r="HH546" s="8" t="s">
        <v>1812</v>
      </c>
      <c r="HJ546" s="8" t="s">
        <v>1814</v>
      </c>
      <c r="HK546" s="8" t="s">
        <v>507</v>
      </c>
      <c r="IB546" s="8" t="s">
        <v>1812</v>
      </c>
      <c r="ID546" s="8" t="s">
        <v>1815</v>
      </c>
      <c r="IE546" s="8" t="s">
        <v>507</v>
      </c>
      <c r="IF546" s="9" t="s">
        <v>445</v>
      </c>
      <c r="IR546" s="9"/>
      <c r="JV546" s="7" t="s">
        <v>1816</v>
      </c>
      <c r="JW546" s="7" t="s">
        <v>1491</v>
      </c>
      <c r="JX546" s="7" t="s">
        <v>320</v>
      </c>
      <c r="JY546" s="7" t="s">
        <v>470</v>
      </c>
      <c r="JZ546" s="7" t="s">
        <v>322</v>
      </c>
      <c r="KG546" s="4" t="s">
        <v>323</v>
      </c>
      <c r="KM546" s="4" t="s">
        <v>522</v>
      </c>
      <c r="KN546" s="4" t="s">
        <v>522</v>
      </c>
      <c r="KP546" s="5" t="s">
        <v>358</v>
      </c>
      <c r="KQ546" s="5" t="s">
        <v>1817</v>
      </c>
      <c r="KS546" s="5" t="s">
        <v>1817</v>
      </c>
      <c r="KT546" s="5" t="s">
        <v>1818</v>
      </c>
    </row>
    <row r="547" spans="1:306" ht="67.5" customHeight="1" x14ac:dyDescent="0.25">
      <c r="A547" s="5" t="s">
        <v>2021</v>
      </c>
      <c r="B547" s="4" t="s">
        <v>424</v>
      </c>
      <c r="C547" s="7" t="s">
        <v>425</v>
      </c>
      <c r="D547" s="8" t="s">
        <v>426</v>
      </c>
      <c r="E547" s="4">
        <v>597590</v>
      </c>
      <c r="G547" s="4" t="s">
        <v>330</v>
      </c>
      <c r="H547" s="6">
        <v>122.35</v>
      </c>
      <c r="I547" s="6">
        <v>-30.12</v>
      </c>
      <c r="J547" s="4" t="s">
        <v>2022</v>
      </c>
      <c r="K547" s="4" t="s">
        <v>331</v>
      </c>
      <c r="L547" s="4" t="s">
        <v>500</v>
      </c>
      <c r="M547" s="4" t="s">
        <v>501</v>
      </c>
      <c r="N547" s="4" t="s">
        <v>625</v>
      </c>
      <c r="Q547" s="8"/>
      <c r="Z547" s="4" t="s">
        <v>424</v>
      </c>
      <c r="AA547" s="7" t="s">
        <v>425</v>
      </c>
      <c r="AB547" s="8" t="s">
        <v>426</v>
      </c>
      <c r="AC547" s="4" t="s">
        <v>301</v>
      </c>
      <c r="AD547" s="4" t="s">
        <v>375</v>
      </c>
      <c r="AE547" s="8">
        <v>2650</v>
      </c>
      <c r="AG547" s="9" t="s">
        <v>379</v>
      </c>
      <c r="AH547" s="9" t="s">
        <v>380</v>
      </c>
      <c r="AM547" s="8">
        <v>2</v>
      </c>
      <c r="AN547" s="4" t="s">
        <v>381</v>
      </c>
      <c r="AO547" s="4" t="s">
        <v>382</v>
      </c>
      <c r="AP547" s="4" t="s">
        <v>383</v>
      </c>
      <c r="AQ547" s="7" t="s">
        <v>384</v>
      </c>
      <c r="AR547" s="7" t="s">
        <v>433</v>
      </c>
      <c r="AS547" s="7">
        <v>0</v>
      </c>
      <c r="AT547" s="7">
        <v>0</v>
      </c>
      <c r="AU547" s="4" t="s">
        <v>303</v>
      </c>
      <c r="AV547" s="4" t="s">
        <v>406</v>
      </c>
      <c r="AW547" s="4"/>
      <c r="AX547" s="4"/>
      <c r="AY547" s="4"/>
      <c r="AZ547" s="4"/>
      <c r="BA547" s="8">
        <v>5</v>
      </c>
      <c r="BG547" s="8"/>
      <c r="BP547" s="7">
        <v>109.145</v>
      </c>
      <c r="BV547" s="6">
        <v>2.13</v>
      </c>
      <c r="DZ547" s="31"/>
      <c r="EL547" s="8">
        <v>232.92</v>
      </c>
      <c r="GP547" s="32"/>
      <c r="GY547" s="6" t="s">
        <v>338</v>
      </c>
      <c r="GZ547" s="6" t="s">
        <v>436</v>
      </c>
      <c r="HC547" s="6" t="s">
        <v>437</v>
      </c>
      <c r="HD547" s="8" t="s">
        <v>2023</v>
      </c>
      <c r="HF547" s="8" t="s">
        <v>2024</v>
      </c>
      <c r="HG547" s="9" t="s">
        <v>507</v>
      </c>
      <c r="HJ547" s="9" t="s">
        <v>2025</v>
      </c>
      <c r="HK547" s="9" t="s">
        <v>507</v>
      </c>
      <c r="ID547" s="9" t="s">
        <v>2025</v>
      </c>
      <c r="IE547" s="9" t="s">
        <v>507</v>
      </c>
      <c r="IF547" s="9"/>
      <c r="IR547" s="9"/>
      <c r="JU547" s="7" t="s">
        <v>2026</v>
      </c>
      <c r="JV547" s="7" t="s">
        <v>2027</v>
      </c>
      <c r="JX547" s="7" t="s">
        <v>320</v>
      </c>
      <c r="JY547" s="7" t="s">
        <v>448</v>
      </c>
      <c r="JZ547" s="7" t="s">
        <v>322</v>
      </c>
      <c r="KG547" s="4" t="s">
        <v>323</v>
      </c>
      <c r="KM547" s="4" t="s">
        <v>391</v>
      </c>
      <c r="KN547" s="4" t="s">
        <v>391</v>
      </c>
      <c r="KP547" s="5" t="s">
        <v>358</v>
      </c>
      <c r="KQ547" s="5" t="s">
        <v>2028</v>
      </c>
      <c r="KS547" s="5" t="s">
        <v>2029</v>
      </c>
      <c r="KT547" s="5" t="s">
        <v>2030</v>
      </c>
    </row>
    <row r="548" spans="1:306" ht="84" x14ac:dyDescent="0.25">
      <c r="A548" s="5" t="s">
        <v>2048</v>
      </c>
      <c r="B548" s="4" t="s">
        <v>424</v>
      </c>
      <c r="C548" s="7" t="s">
        <v>425</v>
      </c>
      <c r="D548" s="8" t="s">
        <v>426</v>
      </c>
      <c r="E548" s="4">
        <v>455911</v>
      </c>
      <c r="G548" s="4" t="s">
        <v>773</v>
      </c>
      <c r="H548" s="6">
        <v>144.25219000000001</v>
      </c>
      <c r="I548" s="6">
        <v>-37.094610000000003</v>
      </c>
      <c r="J548" s="4" t="s">
        <v>2049</v>
      </c>
      <c r="K548" s="4" t="s">
        <v>298</v>
      </c>
      <c r="L548" s="4" t="s">
        <v>299</v>
      </c>
      <c r="M548" s="4" t="s">
        <v>775</v>
      </c>
      <c r="N548" s="4" t="s">
        <v>1093</v>
      </c>
      <c r="Q548" s="8"/>
      <c r="R548" s="8"/>
      <c r="Z548" s="4" t="s">
        <v>424</v>
      </c>
      <c r="AA548" s="7" t="s">
        <v>425</v>
      </c>
      <c r="AB548" s="8" t="s">
        <v>426</v>
      </c>
      <c r="AC548" s="4" t="s">
        <v>301</v>
      </c>
      <c r="AD548" s="4" t="s">
        <v>382</v>
      </c>
      <c r="AE548" s="8">
        <v>444</v>
      </c>
      <c r="AF548" s="8">
        <v>7</v>
      </c>
      <c r="AG548" s="9" t="s">
        <v>379</v>
      </c>
      <c r="AH548" s="9" t="s">
        <v>429</v>
      </c>
      <c r="AI548" s="9" t="s">
        <v>430</v>
      </c>
      <c r="AJ548" s="9" t="s">
        <v>431</v>
      </c>
      <c r="AK548" s="9" t="s">
        <v>432</v>
      </c>
      <c r="AM548" s="8">
        <v>4</v>
      </c>
      <c r="AN548" s="4" t="s">
        <v>381</v>
      </c>
      <c r="AO548" s="4" t="s">
        <v>375</v>
      </c>
      <c r="AP548" s="4" t="s">
        <v>383</v>
      </c>
      <c r="AQ548" s="7" t="s">
        <v>403</v>
      </c>
      <c r="AR548" s="8" t="s">
        <v>777</v>
      </c>
      <c r="AS548" s="7"/>
      <c r="AT548" s="7"/>
      <c r="BA548" s="8">
        <v>5</v>
      </c>
      <c r="BB548" s="4" t="s">
        <v>381</v>
      </c>
      <c r="BC548" s="4" t="s">
        <v>375</v>
      </c>
      <c r="BD548" s="4" t="s">
        <v>383</v>
      </c>
      <c r="BE548" s="7" t="s">
        <v>403</v>
      </c>
      <c r="BF548" s="8" t="s">
        <v>434</v>
      </c>
      <c r="BG548" s="7">
        <v>0</v>
      </c>
      <c r="BH548" s="7">
        <v>0</v>
      </c>
      <c r="BI548" s="9" t="s">
        <v>303</v>
      </c>
      <c r="BJ548" s="9" t="s">
        <v>406</v>
      </c>
      <c r="BO548" s="8">
        <v>5</v>
      </c>
      <c r="BQ548" s="7"/>
      <c r="BR548" s="7"/>
      <c r="BS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s="7"/>
      <c r="CW548" s="7"/>
      <c r="CX548" s="7"/>
      <c r="CY548" s="7"/>
      <c r="CZ548" s="7"/>
      <c r="DA548" s="7"/>
      <c r="DB548" s="7"/>
      <c r="DC548" s="7"/>
      <c r="DD548" s="7"/>
      <c r="DE548" s="7"/>
      <c r="DF548" s="7"/>
      <c r="DG548" s="7"/>
      <c r="DH548" s="7"/>
      <c r="DI548" s="7"/>
      <c r="DJ548" s="7"/>
      <c r="DK548" s="7"/>
      <c r="DL548" s="7"/>
      <c r="DM548" s="7"/>
      <c r="DN548" s="7"/>
      <c r="DO548" s="7"/>
      <c r="DP548" s="7"/>
      <c r="DQ548" s="7"/>
      <c r="DR548" s="7"/>
      <c r="DS548" s="7"/>
      <c r="DT548" s="7"/>
      <c r="DU548" s="7"/>
      <c r="DV548" s="7"/>
      <c r="DW548" s="7"/>
      <c r="DX548" s="7"/>
      <c r="DY548" s="7"/>
      <c r="DZ548" s="31"/>
      <c r="EA548" s="7"/>
      <c r="EB548" s="7"/>
      <c r="EC548" s="7"/>
      <c r="ED548" s="7"/>
      <c r="EE548" s="7"/>
      <c r="EF548" s="7"/>
      <c r="EG548" s="7"/>
      <c r="EL548" s="8">
        <v>173</v>
      </c>
      <c r="EY548" s="6"/>
      <c r="FA548" s="6"/>
      <c r="GP548" s="32"/>
      <c r="GY548" s="6" t="s">
        <v>309</v>
      </c>
      <c r="GZ548" s="6" t="s">
        <v>436</v>
      </c>
      <c r="HC548" s="6" t="s">
        <v>437</v>
      </c>
      <c r="HD548" s="4" t="s">
        <v>1095</v>
      </c>
      <c r="HE548" s="4">
        <v>36202</v>
      </c>
      <c r="HF548" s="4" t="s">
        <v>1096</v>
      </c>
      <c r="HG548" s="9" t="s">
        <v>466</v>
      </c>
      <c r="HQ548" s="9"/>
      <c r="HY548" s="9"/>
      <c r="IB548" s="8" t="s">
        <v>2050</v>
      </c>
      <c r="IC548" s="8">
        <v>8069</v>
      </c>
      <c r="ID548" s="8" t="s">
        <v>2051</v>
      </c>
      <c r="IE548" s="8" t="s">
        <v>318</v>
      </c>
      <c r="IF548" s="8" t="s">
        <v>350</v>
      </c>
      <c r="JV548" s="7" t="s">
        <v>783</v>
      </c>
      <c r="JX548" s="7" t="s">
        <v>320</v>
      </c>
      <c r="JY548" s="7" t="s">
        <v>448</v>
      </c>
      <c r="JZ548" s="7" t="s">
        <v>322</v>
      </c>
      <c r="KG548" s="4" t="s">
        <v>323</v>
      </c>
      <c r="KM548" s="4" t="s">
        <v>836</v>
      </c>
      <c r="KN548" s="4" t="s">
        <v>836</v>
      </c>
      <c r="KP548" s="18" t="s">
        <v>2052</v>
      </c>
      <c r="KQ548" s="5" t="s">
        <v>2053</v>
      </c>
      <c r="KR548" s="5" t="s">
        <v>2054</v>
      </c>
      <c r="KS548" s="5" t="s">
        <v>786</v>
      </c>
      <c r="KT548" s="5" t="s">
        <v>2055</v>
      </c>
    </row>
    <row r="549" spans="1:306" ht="36" x14ac:dyDescent="0.25">
      <c r="A549" s="5" t="s">
        <v>2073</v>
      </c>
      <c r="B549" s="4" t="s">
        <v>424</v>
      </c>
      <c r="C549" s="7" t="s">
        <v>425</v>
      </c>
      <c r="D549" s="8" t="s">
        <v>426</v>
      </c>
      <c r="E549" s="4">
        <v>556966</v>
      </c>
      <c r="G549" s="4" t="s">
        <v>330</v>
      </c>
      <c r="H549" s="6">
        <v>123.69629999999999</v>
      </c>
      <c r="I549" s="6">
        <v>-28.156099999999999</v>
      </c>
      <c r="J549" s="4" t="s">
        <v>569</v>
      </c>
      <c r="K549" s="4" t="s">
        <v>331</v>
      </c>
      <c r="L549" s="4" t="s">
        <v>500</v>
      </c>
      <c r="M549" s="4" t="s">
        <v>501</v>
      </c>
      <c r="N549" s="4" t="s">
        <v>570</v>
      </c>
      <c r="Q549" s="8"/>
      <c r="Z549" s="4" t="s">
        <v>424</v>
      </c>
      <c r="AA549" s="7" t="s">
        <v>425</v>
      </c>
      <c r="AB549" s="8" t="s">
        <v>426</v>
      </c>
      <c r="AC549" s="4" t="s">
        <v>301</v>
      </c>
      <c r="AD549" s="4" t="s">
        <v>375</v>
      </c>
      <c r="AE549" s="8">
        <v>2620</v>
      </c>
      <c r="AG549" s="9" t="s">
        <v>303</v>
      </c>
      <c r="AH549" s="9" t="s">
        <v>335</v>
      </c>
      <c r="AI549" s="9" t="s">
        <v>598</v>
      </c>
      <c r="AJ549" s="9" t="s">
        <v>599</v>
      </c>
      <c r="AM549" s="8">
        <v>3</v>
      </c>
      <c r="AN549" s="4" t="s">
        <v>381</v>
      </c>
      <c r="AO549" s="4" t="s">
        <v>382</v>
      </c>
      <c r="AP549" s="4" t="s">
        <v>383</v>
      </c>
      <c r="AQ549" s="7" t="s">
        <v>384</v>
      </c>
      <c r="AR549" s="8" t="s">
        <v>433</v>
      </c>
      <c r="AS549" s="7">
        <v>0</v>
      </c>
      <c r="AT549" s="7">
        <v>0</v>
      </c>
      <c r="AU549" s="4" t="s">
        <v>303</v>
      </c>
      <c r="AV549" s="4" t="s">
        <v>406</v>
      </c>
      <c r="AW549" s="4"/>
      <c r="AX549" s="4"/>
      <c r="AY549" s="4"/>
      <c r="AZ549" s="4"/>
      <c r="BA549" s="8">
        <v>5</v>
      </c>
      <c r="BG549" s="8"/>
      <c r="BP549" s="7">
        <v>0.24</v>
      </c>
      <c r="BV549" s="6">
        <v>13.05</v>
      </c>
      <c r="DZ549" s="31"/>
      <c r="EL549" s="6">
        <f>BP549*BV549</f>
        <v>3.1320000000000001</v>
      </c>
      <c r="GP549" s="32"/>
      <c r="GY549" s="6" t="s">
        <v>338</v>
      </c>
      <c r="GZ549" s="6" t="s">
        <v>436</v>
      </c>
      <c r="HC549" s="6" t="s">
        <v>437</v>
      </c>
      <c r="HF549" s="8" t="s">
        <v>571</v>
      </c>
      <c r="HG549" s="9" t="s">
        <v>507</v>
      </c>
      <c r="ID549" s="8" t="s">
        <v>571</v>
      </c>
      <c r="IE549" s="9" t="s">
        <v>507</v>
      </c>
      <c r="IF549" s="9" t="s">
        <v>445</v>
      </c>
      <c r="IR549" s="9"/>
      <c r="KM549" s="4" t="s">
        <v>391</v>
      </c>
      <c r="KN549" s="4" t="s">
        <v>391</v>
      </c>
      <c r="KP549" s="5" t="s">
        <v>358</v>
      </c>
      <c r="KQ549" s="5" t="s">
        <v>572</v>
      </c>
      <c r="KR549" s="5" t="s">
        <v>573</v>
      </c>
      <c r="KS549" s="5" t="s">
        <v>574</v>
      </c>
      <c r="KT549" s="5" t="s">
        <v>2074</v>
      </c>
    </row>
    <row r="550" spans="1:306" ht="96" x14ac:dyDescent="0.25">
      <c r="A550" s="5" t="s">
        <v>2107</v>
      </c>
      <c r="B550" s="4" t="s">
        <v>424</v>
      </c>
      <c r="C550" s="7" t="s">
        <v>425</v>
      </c>
      <c r="D550" s="8" t="s">
        <v>426</v>
      </c>
      <c r="E550" s="4">
        <v>336200</v>
      </c>
      <c r="G550" s="4" t="s">
        <v>593</v>
      </c>
      <c r="H550" s="6">
        <v>133.5889</v>
      </c>
      <c r="I550" s="6">
        <v>-29.8782</v>
      </c>
      <c r="J550" s="4" t="s">
        <v>2107</v>
      </c>
      <c r="K550" s="4" t="s">
        <v>595</v>
      </c>
      <c r="L550" s="4" t="s">
        <v>596</v>
      </c>
      <c r="M550" s="4" t="s">
        <v>2108</v>
      </c>
      <c r="Q550" s="8"/>
      <c r="R550" s="8"/>
      <c r="Z550" s="4" t="s">
        <v>424</v>
      </c>
      <c r="AA550" s="7" t="s">
        <v>425</v>
      </c>
      <c r="AB550" s="8" t="s">
        <v>426</v>
      </c>
      <c r="AC550" s="4" t="s">
        <v>301</v>
      </c>
      <c r="AD550" s="4" t="s">
        <v>302</v>
      </c>
      <c r="AE550" s="8">
        <v>2477</v>
      </c>
      <c r="AF550" s="8">
        <v>29</v>
      </c>
      <c r="AG550" s="9" t="s">
        <v>379</v>
      </c>
      <c r="AH550" s="9" t="s">
        <v>460</v>
      </c>
      <c r="AM550" s="8">
        <v>3</v>
      </c>
      <c r="DZ550" s="31"/>
      <c r="EB550" s="10"/>
      <c r="EL550" s="8">
        <f>(1.1+0.344)*31.1</f>
        <v>44.9084</v>
      </c>
      <c r="EY550" s="6"/>
      <c r="FA550" s="6"/>
      <c r="GP550" s="32"/>
      <c r="GY550" s="6" t="s">
        <v>435</v>
      </c>
      <c r="GZ550" s="6" t="s">
        <v>436</v>
      </c>
      <c r="HC550" s="6" t="s">
        <v>437</v>
      </c>
      <c r="HD550" s="8" t="s">
        <v>2109</v>
      </c>
      <c r="HE550" s="8">
        <v>28826</v>
      </c>
      <c r="HF550" s="8" t="s">
        <v>2110</v>
      </c>
      <c r="HG550" s="9" t="s">
        <v>507</v>
      </c>
      <c r="HY550" s="9"/>
      <c r="IM550" s="9"/>
      <c r="JV550" s="7" t="s">
        <v>2111</v>
      </c>
      <c r="JX550" s="7" t="s">
        <v>322</v>
      </c>
      <c r="JY550" s="7" t="s">
        <v>448</v>
      </c>
      <c r="JZ550" s="7" t="s">
        <v>320</v>
      </c>
      <c r="KG550" s="4" t="s">
        <v>323</v>
      </c>
      <c r="KM550" s="4" t="s">
        <v>888</v>
      </c>
      <c r="KN550" s="4" t="s">
        <v>888</v>
      </c>
      <c r="KP550" s="5" t="s">
        <v>358</v>
      </c>
      <c r="KQ550" s="5" t="s">
        <v>2112</v>
      </c>
      <c r="KR550" s="5" t="s">
        <v>2113</v>
      </c>
      <c r="KS550" s="5" t="s">
        <v>2114</v>
      </c>
      <c r="KT550" s="5" t="s">
        <v>2115</v>
      </c>
    </row>
    <row r="551" spans="1:306" ht="120" x14ac:dyDescent="0.25">
      <c r="A551" s="5" t="s">
        <v>2137</v>
      </c>
      <c r="B551" s="4" t="s">
        <v>424</v>
      </c>
      <c r="C551" s="7" t="s">
        <v>425</v>
      </c>
      <c r="D551" s="7" t="s">
        <v>426</v>
      </c>
      <c r="E551" s="4">
        <v>334170</v>
      </c>
      <c r="G551" s="4" t="s">
        <v>479</v>
      </c>
      <c r="H551" s="6">
        <v>146.26660000000001</v>
      </c>
      <c r="I551" s="6">
        <v>-20.075700000000001</v>
      </c>
      <c r="J551" s="4" t="s">
        <v>1047</v>
      </c>
      <c r="K551" s="4" t="s">
        <v>298</v>
      </c>
      <c r="L551" s="4" t="s">
        <v>760</v>
      </c>
      <c r="M551" s="4" t="s">
        <v>1047</v>
      </c>
      <c r="O551" s="7"/>
      <c r="Q551" s="7"/>
      <c r="R551" s="7"/>
      <c r="Z551" s="4" t="s">
        <v>424</v>
      </c>
      <c r="AA551" s="7" t="s">
        <v>425</v>
      </c>
      <c r="AB551" s="7" t="s">
        <v>426</v>
      </c>
      <c r="AC551" s="4" t="s">
        <v>301</v>
      </c>
      <c r="AE551" s="7">
        <v>414.8</v>
      </c>
      <c r="AF551" s="7">
        <v>1</v>
      </c>
      <c r="AG551" s="9" t="s">
        <v>379</v>
      </c>
      <c r="AH551" s="9" t="s">
        <v>429</v>
      </c>
      <c r="AI551" s="9" t="s">
        <v>845</v>
      </c>
      <c r="AJ551" s="9" t="s">
        <v>431</v>
      </c>
      <c r="AK551" s="9" t="s">
        <v>432</v>
      </c>
      <c r="AM551" s="8">
        <v>4</v>
      </c>
      <c r="DZ551" s="31"/>
      <c r="EK551" s="9">
        <f>((0.045)*31.1+3.2*5.1+32*5)/1000</f>
        <v>0.1777195</v>
      </c>
      <c r="EL551" s="8">
        <f>(6.6+0.104)*31.1+3.2*7.6+32*14</f>
        <v>680.81439999999998</v>
      </c>
      <c r="EY551" s="6"/>
      <c r="FA551" s="6"/>
      <c r="GP551" s="32"/>
      <c r="GY551" s="6" t="s">
        <v>338</v>
      </c>
      <c r="GZ551" s="6" t="s">
        <v>436</v>
      </c>
      <c r="HB551" s="6" t="s">
        <v>462</v>
      </c>
      <c r="HC551" s="6" t="s">
        <v>1120</v>
      </c>
      <c r="HD551" s="8" t="s">
        <v>2138</v>
      </c>
      <c r="HE551" s="8">
        <v>26119</v>
      </c>
      <c r="HF551" s="8" t="s">
        <v>2139</v>
      </c>
      <c r="HG551" s="8" t="s">
        <v>466</v>
      </c>
      <c r="HY551" s="9"/>
      <c r="IB551" s="8" t="s">
        <v>2138</v>
      </c>
      <c r="IC551" s="8">
        <v>26119</v>
      </c>
      <c r="ID551" s="8" t="s">
        <v>2139</v>
      </c>
      <c r="IE551" s="8" t="s">
        <v>466</v>
      </c>
      <c r="IF551" s="8" t="s">
        <v>445</v>
      </c>
      <c r="IG551" s="8" t="s">
        <v>2140</v>
      </c>
      <c r="IH551" s="8">
        <v>26119</v>
      </c>
      <c r="II551" s="8" t="s">
        <v>2139</v>
      </c>
      <c r="IJ551" s="8" t="s">
        <v>1760</v>
      </c>
      <c r="IK551" s="8" t="s">
        <v>810</v>
      </c>
      <c r="IR551" s="9"/>
      <c r="JV551" s="7" t="s">
        <v>2141</v>
      </c>
      <c r="JX551" s="7" t="s">
        <v>320</v>
      </c>
      <c r="KG551" s="4" t="s">
        <v>323</v>
      </c>
      <c r="KM551" s="4" t="s">
        <v>391</v>
      </c>
      <c r="KN551" s="4" t="s">
        <v>702</v>
      </c>
      <c r="KO551" s="4" t="s">
        <v>445</v>
      </c>
      <c r="KP551" s="5" t="s">
        <v>358</v>
      </c>
      <c r="KQ551" s="5" t="s">
        <v>2142</v>
      </c>
      <c r="KR551" s="5" t="s">
        <v>2143</v>
      </c>
      <c r="KS551" s="5" t="s">
        <v>2144</v>
      </c>
      <c r="KT551" s="5" t="s">
        <v>2145</v>
      </c>
    </row>
    <row r="552" spans="1:306" s="14" customFormat="1" ht="96" x14ac:dyDescent="0.25">
      <c r="A552" s="5" t="s">
        <v>2162</v>
      </c>
      <c r="B552" s="4" t="s">
        <v>383</v>
      </c>
      <c r="C552" s="7" t="s">
        <v>403</v>
      </c>
      <c r="D552" s="8" t="s">
        <v>777</v>
      </c>
      <c r="E552" s="4">
        <v>333702</v>
      </c>
      <c r="F552" s="4"/>
      <c r="G552" s="4" t="s">
        <v>773</v>
      </c>
      <c r="H552" s="6">
        <v>146.50684346599999</v>
      </c>
      <c r="I552" s="6">
        <v>-36.108911372000001</v>
      </c>
      <c r="J552" s="4" t="s">
        <v>2163</v>
      </c>
      <c r="K552" s="4" t="s">
        <v>298</v>
      </c>
      <c r="L552" s="4" t="s">
        <v>299</v>
      </c>
      <c r="M552" s="4" t="s">
        <v>428</v>
      </c>
      <c r="N552" s="4" t="s">
        <v>2164</v>
      </c>
      <c r="O552" s="8"/>
      <c r="P552" s="4"/>
      <c r="Q552" s="8"/>
      <c r="R552" s="8"/>
      <c r="S552" s="9"/>
      <c r="T552" s="9"/>
      <c r="U552" s="9"/>
      <c r="V552" s="9"/>
      <c r="W552" s="9"/>
      <c r="X552" s="9"/>
      <c r="Y552" s="8"/>
      <c r="Z552" s="4" t="s">
        <v>424</v>
      </c>
      <c r="AA552" s="7" t="s">
        <v>425</v>
      </c>
      <c r="AB552" s="8" t="s">
        <v>426</v>
      </c>
      <c r="AC552" s="4" t="s">
        <v>301</v>
      </c>
      <c r="AD552" s="4" t="s">
        <v>402</v>
      </c>
      <c r="AE552" s="8"/>
      <c r="AF552" s="8"/>
      <c r="AG552" s="9"/>
      <c r="AH552" s="9"/>
      <c r="AI552" s="9"/>
      <c r="AJ552" s="9"/>
      <c r="AK552" s="9"/>
      <c r="AL552" s="9"/>
      <c r="AM552" s="8"/>
      <c r="AN552" s="4" t="s">
        <v>381</v>
      </c>
      <c r="AO552" s="4" t="s">
        <v>375</v>
      </c>
      <c r="AP552" s="4" t="s">
        <v>383</v>
      </c>
      <c r="AQ552" s="7" t="s">
        <v>403</v>
      </c>
      <c r="AR552" s="8" t="s">
        <v>777</v>
      </c>
      <c r="AS552" s="7"/>
      <c r="AT552" s="7"/>
      <c r="AU552" s="9"/>
      <c r="AV552" s="9"/>
      <c r="AW552" s="9"/>
      <c r="AX552" s="9"/>
      <c r="AY552" s="9"/>
      <c r="AZ552" s="9"/>
      <c r="BA552" s="8"/>
      <c r="BB552" s="4" t="s">
        <v>381</v>
      </c>
      <c r="BC552" s="4" t="s">
        <v>382</v>
      </c>
      <c r="BD552" s="4" t="s">
        <v>383</v>
      </c>
      <c r="BE552" s="7" t="s">
        <v>403</v>
      </c>
      <c r="BF552" s="8" t="s">
        <v>434</v>
      </c>
      <c r="BG552" s="7">
        <v>0</v>
      </c>
      <c r="BH552" s="7">
        <v>0</v>
      </c>
      <c r="BI552" s="9" t="s">
        <v>303</v>
      </c>
      <c r="BJ552" s="9" t="s">
        <v>406</v>
      </c>
      <c r="BK552" s="9"/>
      <c r="BL552" s="9"/>
      <c r="BM552" s="9"/>
      <c r="BN552" s="9"/>
      <c r="BO552" s="8">
        <v>5</v>
      </c>
      <c r="BP552" s="7"/>
      <c r="BQ552" s="7"/>
      <c r="BR552" s="7"/>
      <c r="BS552" s="7"/>
      <c r="BT552" s="6"/>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CV552" s="7"/>
      <c r="CW552" s="7"/>
      <c r="CX552" s="7"/>
      <c r="CY552" s="7"/>
      <c r="CZ552" s="7"/>
      <c r="DA552" s="7"/>
      <c r="DB552" s="7"/>
      <c r="DC552" s="7"/>
      <c r="DD552" s="7"/>
      <c r="DE552" s="7"/>
      <c r="DF552" s="7"/>
      <c r="DG552" s="7"/>
      <c r="DH552" s="7"/>
      <c r="DI552" s="7"/>
      <c r="DJ552" s="7"/>
      <c r="DK552" s="7"/>
      <c r="DL552" s="7"/>
      <c r="DM552" s="7"/>
      <c r="DN552" s="7"/>
      <c r="DO552" s="7"/>
      <c r="DP552" s="7"/>
      <c r="DQ552" s="7"/>
      <c r="DR552" s="7"/>
      <c r="DS552" s="7"/>
      <c r="DT552" s="7"/>
      <c r="DU552" s="7"/>
      <c r="DV552" s="7"/>
      <c r="DW552" s="7"/>
      <c r="DX552" s="7"/>
      <c r="DY552" s="7"/>
      <c r="DZ552" s="31"/>
      <c r="EA552" s="7"/>
      <c r="EB552" s="7"/>
      <c r="EC552" s="7"/>
      <c r="ED552" s="7"/>
      <c r="EE552" s="7"/>
      <c r="EF552" s="7"/>
      <c r="EG552" s="7"/>
      <c r="EH552" s="10"/>
      <c r="EI552" s="10"/>
      <c r="EJ552" s="10"/>
      <c r="EK552" s="10"/>
      <c r="EL552" s="8">
        <f>(1414357+(260000+529000)/2)*31.1/1000000</f>
        <v>56.255452700000006</v>
      </c>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32"/>
      <c r="GQ552" s="6"/>
      <c r="GR552" s="6"/>
      <c r="GS552" s="6"/>
      <c r="GT552" s="6"/>
      <c r="GU552" s="6"/>
      <c r="GV552" s="6"/>
      <c r="GW552" s="6"/>
      <c r="GX552" s="6"/>
      <c r="GY552" s="6" t="s">
        <v>309</v>
      </c>
      <c r="GZ552" s="6" t="s">
        <v>436</v>
      </c>
      <c r="HA552" s="6"/>
      <c r="HB552" s="6"/>
      <c r="HC552" s="6" t="s">
        <v>437</v>
      </c>
      <c r="HD552" s="4" t="s">
        <v>2165</v>
      </c>
      <c r="HE552" s="4">
        <v>23907</v>
      </c>
      <c r="HF552" s="4" t="s">
        <v>2166</v>
      </c>
      <c r="HG552" s="9" t="s">
        <v>997</v>
      </c>
      <c r="HH552" s="9"/>
      <c r="HI552" s="8"/>
      <c r="HJ552" s="9"/>
      <c r="HK552" s="9"/>
      <c r="HL552" s="9"/>
      <c r="HM552" s="8"/>
      <c r="HN552" s="9"/>
      <c r="HO552" s="9"/>
      <c r="HP552" s="9"/>
      <c r="HQ552" s="9"/>
      <c r="HR552" s="9"/>
      <c r="HS552" s="9"/>
      <c r="HT552" s="9"/>
      <c r="HU552" s="9"/>
      <c r="HV552" s="9"/>
      <c r="HW552" s="9"/>
      <c r="HX552" s="9"/>
      <c r="HY552" s="9"/>
      <c r="HZ552" s="9"/>
      <c r="IA552" s="9"/>
      <c r="IB552" s="8"/>
      <c r="IC552" s="8"/>
      <c r="ID552" s="8" t="s">
        <v>2167</v>
      </c>
      <c r="IE552" s="8"/>
      <c r="IF552" s="8"/>
      <c r="IG552" s="8"/>
      <c r="IH552" s="8"/>
      <c r="II552" s="8"/>
      <c r="IJ552" s="8"/>
      <c r="IK552" s="8"/>
      <c r="IL552" s="9"/>
      <c r="IM552" s="8"/>
      <c r="IN552" s="9"/>
      <c r="IO552" s="9"/>
      <c r="IP552" s="9"/>
      <c r="IQ552" s="9"/>
      <c r="IR552" s="8"/>
      <c r="IS552" s="9"/>
      <c r="IT552" s="9"/>
      <c r="IU552" s="9"/>
      <c r="IV552" s="9"/>
      <c r="IW552" s="9"/>
      <c r="IX552" s="9"/>
      <c r="IY552" s="9"/>
      <c r="IZ552" s="9"/>
      <c r="JA552" s="9"/>
      <c r="JB552" s="9"/>
      <c r="JC552" s="9"/>
      <c r="JD552" s="9"/>
      <c r="JE552" s="9"/>
      <c r="JF552" s="9"/>
      <c r="JG552" s="9"/>
      <c r="JH552" s="9"/>
      <c r="JI552" s="9"/>
      <c r="JJ552" s="9"/>
      <c r="JK552" s="9"/>
      <c r="JL552" s="9"/>
      <c r="JM552" s="9"/>
      <c r="JN552" s="9"/>
      <c r="JO552" s="9"/>
      <c r="JP552" s="9"/>
      <c r="JQ552" s="9"/>
      <c r="JR552" s="9"/>
      <c r="JS552" s="9"/>
      <c r="JT552" s="9"/>
      <c r="JU552" s="7"/>
      <c r="JV552" s="7"/>
      <c r="JW552" s="7"/>
      <c r="JX552" s="7"/>
      <c r="JY552" s="7"/>
      <c r="JZ552" s="7"/>
      <c r="KA552" s="7"/>
      <c r="KB552" s="7"/>
      <c r="KC552" s="7"/>
      <c r="KD552" s="7"/>
      <c r="KE552" s="7"/>
      <c r="KF552" s="7"/>
      <c r="KG552" s="4"/>
      <c r="KH552" s="4"/>
      <c r="KI552" s="4"/>
      <c r="KJ552" s="4"/>
      <c r="KK552" s="4"/>
      <c r="KL552" s="4"/>
      <c r="KM552" s="4"/>
      <c r="KN552" s="4"/>
      <c r="KO552" s="4"/>
      <c r="KP552" s="5" t="s">
        <v>2168</v>
      </c>
      <c r="KQ552" s="5" t="s">
        <v>2169</v>
      </c>
      <c r="KR552" s="5"/>
      <c r="KS552" s="5" t="s">
        <v>2169</v>
      </c>
      <c r="KT552" s="5" t="s">
        <v>2170</v>
      </c>
    </row>
    <row r="553" spans="1:306" ht="132" x14ac:dyDescent="0.25">
      <c r="A553" s="5" t="s">
        <v>2230</v>
      </c>
      <c r="B553" s="4" t="s">
        <v>424</v>
      </c>
      <c r="C553" s="7" t="s">
        <v>425</v>
      </c>
      <c r="D553" s="8" t="s">
        <v>426</v>
      </c>
      <c r="E553" s="4">
        <v>335755</v>
      </c>
      <c r="G553" s="4" t="s">
        <v>773</v>
      </c>
      <c r="H553" s="6">
        <v>143.78673000000001</v>
      </c>
      <c r="I553" s="6">
        <v>-37.294800000000002</v>
      </c>
      <c r="J553" s="4" t="s">
        <v>2231</v>
      </c>
      <c r="K553" s="4" t="s">
        <v>298</v>
      </c>
      <c r="L553" s="4" t="s">
        <v>299</v>
      </c>
      <c r="M553" s="4" t="s">
        <v>775</v>
      </c>
      <c r="N553" s="4" t="s">
        <v>1093</v>
      </c>
      <c r="Q553" s="8"/>
      <c r="R553" s="8"/>
      <c r="Z553" s="4" t="s">
        <v>424</v>
      </c>
      <c r="AA553" s="7" t="s">
        <v>425</v>
      </c>
      <c r="AB553" s="8" t="s">
        <v>426</v>
      </c>
      <c r="AC553" s="4" t="s">
        <v>301</v>
      </c>
      <c r="AD553" s="4" t="s">
        <v>375</v>
      </c>
      <c r="AE553" s="8">
        <v>445</v>
      </c>
      <c r="AF553" s="8"/>
      <c r="AG553" s="9" t="s">
        <v>379</v>
      </c>
      <c r="AH553" s="9" t="s">
        <v>380</v>
      </c>
      <c r="AM553" s="8">
        <v>3</v>
      </c>
      <c r="AN553" s="4" t="s">
        <v>381</v>
      </c>
      <c r="AO553" s="4" t="s">
        <v>382</v>
      </c>
      <c r="AP553" s="4" t="s">
        <v>383</v>
      </c>
      <c r="AQ553" s="7" t="s">
        <v>403</v>
      </c>
      <c r="AR553" s="8" t="s">
        <v>777</v>
      </c>
      <c r="AS553" s="7"/>
      <c r="AT553" s="7"/>
      <c r="BE553" s="4"/>
      <c r="BF553" s="4"/>
      <c r="BG553" s="4"/>
      <c r="BH553" s="4"/>
      <c r="BI553" s="4"/>
      <c r="BJ553" s="4"/>
      <c r="BK553" s="4"/>
      <c r="BL553" s="4"/>
      <c r="BM553" s="4"/>
      <c r="BN553" s="4"/>
      <c r="BO553" s="4"/>
      <c r="BQ553" s="7"/>
      <c r="BR553" s="7"/>
      <c r="BS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c r="CW553" s="7"/>
      <c r="CX553" s="7"/>
      <c r="CY553" s="7"/>
      <c r="CZ553" s="7"/>
      <c r="DA553" s="7"/>
      <c r="DB553" s="7"/>
      <c r="DC553" s="7"/>
      <c r="DD553" s="7"/>
      <c r="DE553" s="7"/>
      <c r="DF553" s="7"/>
      <c r="DG553" s="7"/>
      <c r="DH553" s="7"/>
      <c r="DI553" s="7"/>
      <c r="DJ553" s="7"/>
      <c r="DK553" s="7"/>
      <c r="DL553" s="7"/>
      <c r="DM553" s="7"/>
      <c r="DN553" s="7"/>
      <c r="DO553" s="7"/>
      <c r="DP553" s="7"/>
      <c r="DQ553" s="7"/>
      <c r="DR553" s="7"/>
      <c r="DS553" s="7"/>
      <c r="DT553" s="7"/>
      <c r="DU553" s="7"/>
      <c r="DV553" s="7"/>
      <c r="DW553" s="7"/>
      <c r="DX553" s="7"/>
      <c r="DY553" s="7"/>
      <c r="DZ553" s="31"/>
      <c r="EA553" s="7"/>
      <c r="EB553" s="7"/>
      <c r="EC553" s="7"/>
      <c r="ED553" s="7"/>
      <c r="EE553" s="7"/>
      <c r="EF553" s="7"/>
      <c r="EG553" s="7"/>
      <c r="EL553" s="8">
        <v>47</v>
      </c>
      <c r="EY553" s="6"/>
      <c r="FA553" s="6"/>
      <c r="GP553" s="32"/>
      <c r="GY553" s="6" t="s">
        <v>309</v>
      </c>
      <c r="GZ553" s="6" t="s">
        <v>436</v>
      </c>
      <c r="HC553" s="6" t="s">
        <v>437</v>
      </c>
      <c r="HD553" s="4" t="s">
        <v>1095</v>
      </c>
      <c r="HE553" s="4">
        <v>36202</v>
      </c>
      <c r="HF553" s="4" t="s">
        <v>1096</v>
      </c>
      <c r="HG553" s="9" t="s">
        <v>466</v>
      </c>
      <c r="HH553" s="9" t="s">
        <v>2232</v>
      </c>
      <c r="HI553" s="8">
        <v>19893</v>
      </c>
      <c r="HJ553" s="9" t="s">
        <v>2233</v>
      </c>
      <c r="HK553" s="9" t="s">
        <v>949</v>
      </c>
      <c r="HQ553" s="9"/>
      <c r="HY553" s="9"/>
      <c r="IB553" s="8" t="s">
        <v>2234</v>
      </c>
      <c r="IC553" s="8">
        <v>6227</v>
      </c>
      <c r="ID553" s="8" t="s">
        <v>2235</v>
      </c>
      <c r="IE553" s="8" t="s">
        <v>318</v>
      </c>
      <c r="IF553" s="8" t="s">
        <v>350</v>
      </c>
      <c r="JV553" s="7" t="s">
        <v>2236</v>
      </c>
      <c r="JX553" s="7" t="s">
        <v>320</v>
      </c>
      <c r="KG553" s="4" t="s">
        <v>323</v>
      </c>
      <c r="KM553" s="4" t="s">
        <v>391</v>
      </c>
      <c r="KN553" s="4" t="s">
        <v>391</v>
      </c>
      <c r="KP553" s="18" t="s">
        <v>2237</v>
      </c>
      <c r="KQ553" s="5" t="s">
        <v>2238</v>
      </c>
      <c r="KS553" s="5" t="s">
        <v>786</v>
      </c>
      <c r="KT553" s="5" t="s">
        <v>2239</v>
      </c>
    </row>
    <row r="554" spans="1:306" ht="96" x14ac:dyDescent="0.25">
      <c r="A554" s="5" t="s">
        <v>2331</v>
      </c>
      <c r="B554" s="4" t="s">
        <v>424</v>
      </c>
      <c r="C554" s="7" t="s">
        <v>425</v>
      </c>
      <c r="D554" s="8" t="s">
        <v>426</v>
      </c>
      <c r="E554" s="4">
        <v>334641</v>
      </c>
      <c r="G554" s="4" t="s">
        <v>330</v>
      </c>
      <c r="H554" s="6">
        <v>121.1741</v>
      </c>
      <c r="I554" s="6">
        <v>-30.988199999999999</v>
      </c>
      <c r="J554" s="4" t="s">
        <v>2332</v>
      </c>
      <c r="K554" s="4" t="s">
        <v>331</v>
      </c>
      <c r="L554" s="4" t="s">
        <v>500</v>
      </c>
      <c r="M554" s="4" t="s">
        <v>501</v>
      </c>
      <c r="N554" s="4" t="s">
        <v>1061</v>
      </c>
      <c r="Q554" s="8"/>
      <c r="Z554" s="4" t="s">
        <v>424</v>
      </c>
      <c r="AA554" s="7" t="s">
        <v>425</v>
      </c>
      <c r="AB554" s="8" t="s">
        <v>426</v>
      </c>
      <c r="AC554" s="4" t="s">
        <v>301</v>
      </c>
      <c r="AD554" s="4" t="s">
        <v>375</v>
      </c>
      <c r="AE554" s="8">
        <v>2650</v>
      </c>
      <c r="AG554" s="9" t="s">
        <v>379</v>
      </c>
      <c r="AH554" s="9" t="s">
        <v>460</v>
      </c>
      <c r="AM554" s="8">
        <v>2</v>
      </c>
      <c r="AN554" s="4" t="s">
        <v>381</v>
      </c>
      <c r="AO554" s="4" t="s">
        <v>382</v>
      </c>
      <c r="AP554" s="4" t="s">
        <v>383</v>
      </c>
      <c r="AQ554" s="7" t="s">
        <v>384</v>
      </c>
      <c r="AR554" s="7" t="s">
        <v>433</v>
      </c>
      <c r="AS554" s="7">
        <v>0</v>
      </c>
      <c r="AT554" s="7">
        <v>0</v>
      </c>
      <c r="AU554" s="4" t="s">
        <v>303</v>
      </c>
      <c r="AV554" s="4" t="s">
        <v>406</v>
      </c>
      <c r="AW554" s="4"/>
      <c r="AX554" s="4"/>
      <c r="AY554" s="4"/>
      <c r="AZ554" s="4"/>
      <c r="BA554" s="8">
        <v>5</v>
      </c>
      <c r="BG554" s="8"/>
      <c r="DZ554" s="31"/>
      <c r="EL554" s="8">
        <v>146</v>
      </c>
      <c r="GP554" s="32"/>
      <c r="GY554" s="31" t="s">
        <v>407</v>
      </c>
      <c r="GZ554" s="6" t="s">
        <v>436</v>
      </c>
      <c r="HC554" s="6" t="s">
        <v>437</v>
      </c>
      <c r="HF554" s="8" t="s">
        <v>2333</v>
      </c>
      <c r="HG554" s="9" t="s">
        <v>507</v>
      </c>
      <c r="ID554" s="8" t="s">
        <v>960</v>
      </c>
      <c r="IE554" s="8" t="s">
        <v>507</v>
      </c>
      <c r="IF554" s="8" t="s">
        <v>445</v>
      </c>
      <c r="II554" s="8" t="s">
        <v>2334</v>
      </c>
      <c r="IJ554" s="8" t="s">
        <v>507</v>
      </c>
      <c r="IK554" s="8" t="s">
        <v>445</v>
      </c>
      <c r="IN554" s="9" t="s">
        <v>1446</v>
      </c>
      <c r="IO554" s="9" t="s">
        <v>507</v>
      </c>
      <c r="IP554" s="9" t="s">
        <v>445</v>
      </c>
      <c r="IR554" s="9"/>
      <c r="JV554" s="7" t="s">
        <v>2335</v>
      </c>
      <c r="JX554" s="7" t="s">
        <v>322</v>
      </c>
      <c r="JY554" s="7" t="s">
        <v>354</v>
      </c>
      <c r="JZ554" s="7" t="s">
        <v>320</v>
      </c>
      <c r="KG554" s="4" t="s">
        <v>323</v>
      </c>
      <c r="KM554" s="4" t="s">
        <v>522</v>
      </c>
      <c r="KN554" s="4" t="s">
        <v>522</v>
      </c>
      <c r="KP554" s="5" t="s">
        <v>358</v>
      </c>
      <c r="KQ554" s="5" t="s">
        <v>2336</v>
      </c>
      <c r="KT554" s="5" t="s">
        <v>2337</v>
      </c>
    </row>
    <row r="555" spans="1:306" ht="84" x14ac:dyDescent="0.25">
      <c r="A555" s="5" t="s">
        <v>2416</v>
      </c>
      <c r="B555" s="4" t="s">
        <v>424</v>
      </c>
      <c r="C555" s="7" t="s">
        <v>425</v>
      </c>
      <c r="D555" s="8" t="s">
        <v>426</v>
      </c>
      <c r="E555" s="4">
        <v>559087</v>
      </c>
      <c r="G555" s="4" t="s">
        <v>773</v>
      </c>
      <c r="H555" s="6">
        <f>144+47/60+38/3600</f>
        <v>144.79388888888889</v>
      </c>
      <c r="I555" s="6">
        <f>-(36+52/60+27/3600)</f>
        <v>-36.874166666666667</v>
      </c>
      <c r="J555" s="4" t="s">
        <v>2416</v>
      </c>
      <c r="K555" s="4" t="s">
        <v>298</v>
      </c>
      <c r="L555" s="4" t="s">
        <v>299</v>
      </c>
      <c r="M555" s="4" t="s">
        <v>775</v>
      </c>
      <c r="N555" s="4" t="s">
        <v>2417</v>
      </c>
      <c r="Q555" s="8"/>
      <c r="R555" s="8"/>
      <c r="Z555" s="4" t="s">
        <v>424</v>
      </c>
      <c r="AA555" s="7" t="s">
        <v>425</v>
      </c>
      <c r="AB555" s="8" t="s">
        <v>426</v>
      </c>
      <c r="AC555" s="4" t="s">
        <v>301</v>
      </c>
      <c r="AD555" s="4" t="s">
        <v>375</v>
      </c>
      <c r="AE555" s="8">
        <v>370</v>
      </c>
      <c r="AF555" s="8"/>
      <c r="AG555" s="9" t="s">
        <v>379</v>
      </c>
      <c r="AH555" s="9" t="s">
        <v>380</v>
      </c>
      <c r="AM555" s="8">
        <v>2</v>
      </c>
      <c r="AN555" s="4" t="s">
        <v>381</v>
      </c>
      <c r="AO555" s="4" t="s">
        <v>402</v>
      </c>
      <c r="AP555" s="4" t="s">
        <v>383</v>
      </c>
      <c r="AQ555" s="7" t="s">
        <v>403</v>
      </c>
      <c r="AR555" s="8" t="s">
        <v>434</v>
      </c>
      <c r="AS555" s="7">
        <v>0</v>
      </c>
      <c r="AT555" s="7">
        <v>0</v>
      </c>
      <c r="AU555" s="9" t="s">
        <v>303</v>
      </c>
      <c r="AV555" s="9" t="s">
        <v>406</v>
      </c>
      <c r="BA555" s="8">
        <v>5</v>
      </c>
      <c r="BP555" s="7">
        <f>(276.481+95+50.7+72+96.3+129.6+167.1+153.6+158.4+140.6+151.6+1319+497)/1000</f>
        <v>3.3073809999999999</v>
      </c>
      <c r="BV555" s="7">
        <f>(8.4*276.481+(25000*31.1/95000)*95+7.4*50.7+7.3*72+8.3*96.3+9.1*129.6+9.1*167.1+11.2*153.6+9.6*158.4+8.2*140.6+5.7*151.6+8.3*1319+8*497)/(276.481+95+50.7+72+96.3+129.6+167.1+153.6+158.4+140.6+151.6+1319+497)</f>
        <v>8.3696678429246596</v>
      </c>
      <c r="CZ555" s="7">
        <f>(0*276.481+(4.2/95*100)*95+4.2*50.7+3.7*72+4.3*96.3+4.2*129.6+3.8*167.1+4.2*153.6+3.4*158.4+3.3*140.6+2.4*151.6+3.1*1319+1.9*497)/(276.481+95+50.7+72+96.3+129.6+167.1+153.6+158.4+140.6+151.6+1319+497)</f>
        <v>2.8836804710434021</v>
      </c>
      <c r="DZ555" s="31"/>
      <c r="EL555" s="7">
        <f>BP555*BV555+0.146</f>
        <v>27.827680400000002</v>
      </c>
      <c r="EY555" s="6"/>
      <c r="FA555" s="6"/>
      <c r="FO555" s="7">
        <f>1000*BP555*CZ555/100</f>
        <v>95.374299999999991</v>
      </c>
      <c r="GP555" s="32"/>
      <c r="GY555" s="6" t="s">
        <v>435</v>
      </c>
      <c r="GZ555" s="6" t="s">
        <v>2418</v>
      </c>
      <c r="HC555" s="6" t="s">
        <v>2419</v>
      </c>
      <c r="HD555" s="8" t="s">
        <v>2420</v>
      </c>
      <c r="HE555" s="8">
        <v>4769</v>
      </c>
      <c r="HF555" s="8" t="s">
        <v>2421</v>
      </c>
      <c r="HG555" s="9" t="s">
        <v>2422</v>
      </c>
      <c r="HQ555" s="9"/>
      <c r="HY555" s="9"/>
      <c r="JX555" s="7" t="s">
        <v>320</v>
      </c>
      <c r="KG555" s="4" t="s">
        <v>323</v>
      </c>
      <c r="KP555" s="5" t="s">
        <v>2423</v>
      </c>
      <c r="KQ555" s="5" t="s">
        <v>2424</v>
      </c>
      <c r="KR555" s="5" t="s">
        <v>2425</v>
      </c>
      <c r="KS555" s="5" t="s">
        <v>2426</v>
      </c>
      <c r="KT555" s="5" t="s">
        <v>2427</v>
      </c>
    </row>
    <row r="556" spans="1:306" ht="84" x14ac:dyDescent="0.25">
      <c r="A556" s="5" t="s">
        <v>2447</v>
      </c>
      <c r="B556" s="4" t="s">
        <v>424</v>
      </c>
      <c r="C556" s="7" t="s">
        <v>425</v>
      </c>
      <c r="D556" s="8" t="s">
        <v>426</v>
      </c>
      <c r="E556" s="4">
        <v>335929</v>
      </c>
      <c r="G556" s="4" t="s">
        <v>427</v>
      </c>
      <c r="H556" s="6">
        <v>149.29910000000001</v>
      </c>
      <c r="I556" s="6">
        <v>-36.0154</v>
      </c>
      <c r="J556" s="4" t="s">
        <v>2448</v>
      </c>
      <c r="K556" s="4" t="s">
        <v>298</v>
      </c>
      <c r="L556" s="4" t="s">
        <v>299</v>
      </c>
      <c r="M556" s="4" t="s">
        <v>1359</v>
      </c>
      <c r="Q556" s="8"/>
      <c r="R556" s="8"/>
      <c r="Z556" s="4" t="s">
        <v>424</v>
      </c>
      <c r="AA556" s="7" t="s">
        <v>425</v>
      </c>
      <c r="AB556" s="8" t="s">
        <v>426</v>
      </c>
      <c r="AC556" s="4" t="s">
        <v>301</v>
      </c>
      <c r="AD556" s="4" t="s">
        <v>375</v>
      </c>
      <c r="AE556" s="8">
        <v>403</v>
      </c>
      <c r="AF556" s="8">
        <v>13</v>
      </c>
      <c r="AG556" s="9" t="s">
        <v>379</v>
      </c>
      <c r="AH556" s="9" t="s">
        <v>483</v>
      </c>
      <c r="AI556" s="9" t="s">
        <v>653</v>
      </c>
      <c r="AJ556" s="9" t="s">
        <v>1238</v>
      </c>
      <c r="AM556" s="8">
        <v>2</v>
      </c>
      <c r="AS556" s="7"/>
      <c r="AT556" s="7"/>
      <c r="BP556" s="7">
        <f>0.165+0.0565</f>
        <v>0.2215</v>
      </c>
      <c r="BR556" s="9">
        <f>(0.013*0.165+0*0.0565)/(0.165+0.0565)</f>
        <v>9.6839729119638836E-3</v>
      </c>
      <c r="BU556" s="7">
        <f>(1.8*0.165+0*0.0565)/(0.165+0.0565)</f>
        <v>1.340857787810384</v>
      </c>
      <c r="BV556" s="7">
        <f>(0.165*1.48/0.165+0.0565*8.6)/(0.165+0.0565)</f>
        <v>8.8753950338600447</v>
      </c>
      <c r="DZ556" s="31"/>
      <c r="EH556" s="17">
        <f>BP556*BR556/100</f>
        <v>2.1450000000000003E-5</v>
      </c>
      <c r="EK556" s="16">
        <f>BP556*BU556/1000</f>
        <v>2.9700000000000006E-4</v>
      </c>
      <c r="EL556" s="6">
        <f>BP556*BV556+0.923</f>
        <v>2.8889</v>
      </c>
      <c r="GP556" s="32"/>
      <c r="GY556" s="6" t="s">
        <v>309</v>
      </c>
      <c r="GZ556" s="6" t="s">
        <v>436</v>
      </c>
      <c r="HB556" s="6" t="s">
        <v>1119</v>
      </c>
      <c r="HC556" s="6" t="s">
        <v>1920</v>
      </c>
      <c r="HD556" s="4" t="s">
        <v>2449</v>
      </c>
      <c r="HE556" s="8">
        <v>98</v>
      </c>
      <c r="HF556" s="4" t="s">
        <v>2450</v>
      </c>
      <c r="HG556" s="4" t="s">
        <v>466</v>
      </c>
      <c r="IB556" s="8" t="s">
        <v>2451</v>
      </c>
      <c r="IC556" s="8">
        <v>76956</v>
      </c>
      <c r="ID556" s="8" t="s">
        <v>2452</v>
      </c>
      <c r="IE556" s="8" t="s">
        <v>782</v>
      </c>
      <c r="IF556" s="8" t="s">
        <v>319</v>
      </c>
      <c r="IW556" s="8"/>
      <c r="JB556" s="8"/>
      <c r="JV556" s="7" t="s">
        <v>2453</v>
      </c>
      <c r="JX556" s="7" t="s">
        <v>320</v>
      </c>
      <c r="JY556" s="7" t="s">
        <v>448</v>
      </c>
      <c r="JZ556" s="7" t="s">
        <v>322</v>
      </c>
      <c r="KG556" s="4" t="s">
        <v>323</v>
      </c>
      <c r="KM556" s="4" t="s">
        <v>391</v>
      </c>
      <c r="KN556" s="4" t="s">
        <v>391</v>
      </c>
      <c r="KO556" s="4" t="s">
        <v>445</v>
      </c>
      <c r="KP556" s="5" t="s">
        <v>358</v>
      </c>
      <c r="KQ556" s="5" t="s">
        <v>2454</v>
      </c>
      <c r="KR556" s="5" t="s">
        <v>2455</v>
      </c>
      <c r="KS556" s="5" t="s">
        <v>2456</v>
      </c>
      <c r="KT556" s="5" t="s">
        <v>2457</v>
      </c>
    </row>
    <row r="557" spans="1:306" ht="36" x14ac:dyDescent="0.25">
      <c r="A557" s="5" t="s">
        <v>2463</v>
      </c>
      <c r="B557" s="4" t="s">
        <v>424</v>
      </c>
      <c r="C557" s="7" t="s">
        <v>425</v>
      </c>
      <c r="D557" s="8" t="s">
        <v>426</v>
      </c>
      <c r="E557" s="4">
        <v>334541</v>
      </c>
      <c r="G557" s="4" t="s">
        <v>330</v>
      </c>
      <c r="H557" s="6">
        <v>128.83189999999999</v>
      </c>
      <c r="I557" s="6">
        <v>-19.898900000000001</v>
      </c>
      <c r="J557" s="4" t="s">
        <v>2463</v>
      </c>
      <c r="K557" s="4" t="s">
        <v>481</v>
      </c>
      <c r="L557" s="4" t="s">
        <v>863</v>
      </c>
      <c r="Q557" s="8"/>
      <c r="R557" s="8"/>
      <c r="Z557" s="4" t="s">
        <v>424</v>
      </c>
      <c r="AA557" s="7" t="s">
        <v>425</v>
      </c>
      <c r="AB557" s="8" t="s">
        <v>426</v>
      </c>
      <c r="AC557" s="4" t="s">
        <v>301</v>
      </c>
      <c r="AD557" s="4" t="s">
        <v>375</v>
      </c>
      <c r="AE557" s="8">
        <v>1800</v>
      </c>
      <c r="AF557" s="8">
        <v>8</v>
      </c>
      <c r="AG557" s="9" t="s">
        <v>379</v>
      </c>
      <c r="AH557" s="9" t="s">
        <v>335</v>
      </c>
      <c r="AI557" s="9" t="s">
        <v>336</v>
      </c>
      <c r="AJ557" s="9" t="s">
        <v>306</v>
      </c>
      <c r="AK557" s="9" t="s">
        <v>307</v>
      </c>
      <c r="AL557" s="9" t="s">
        <v>337</v>
      </c>
      <c r="AM557" s="8">
        <v>4</v>
      </c>
      <c r="AN557" s="4" t="s">
        <v>381</v>
      </c>
      <c r="AO557" s="4" t="s">
        <v>382</v>
      </c>
      <c r="AP557" s="4" t="s">
        <v>383</v>
      </c>
      <c r="AQ557" s="7" t="s">
        <v>384</v>
      </c>
      <c r="AR557" s="8" t="s">
        <v>433</v>
      </c>
      <c r="AS557" s="8">
        <v>0</v>
      </c>
      <c r="AT557" s="8">
        <v>0</v>
      </c>
      <c r="AU557" s="9" t="s">
        <v>303</v>
      </c>
      <c r="AV557" s="9" t="s">
        <v>406</v>
      </c>
      <c r="AW557" s="4"/>
      <c r="AX557" s="4"/>
      <c r="AY557" s="4"/>
      <c r="AZ557" s="4"/>
      <c r="BA557" s="8">
        <v>5</v>
      </c>
      <c r="BG557" s="8"/>
      <c r="BH557" s="8"/>
      <c r="DZ557" s="31"/>
      <c r="EL557" s="6">
        <f>9.67+8.29</f>
        <v>17.96</v>
      </c>
      <c r="FA557" s="6"/>
      <c r="GP557" s="32"/>
      <c r="GY557" s="6" t="s">
        <v>435</v>
      </c>
      <c r="GZ557" s="6" t="s">
        <v>436</v>
      </c>
      <c r="HC557" s="6" t="s">
        <v>437</v>
      </c>
      <c r="HD557" s="8" t="s">
        <v>1769</v>
      </c>
      <c r="HE557" s="8">
        <v>35397</v>
      </c>
      <c r="HF557" s="8" t="s">
        <v>2464</v>
      </c>
      <c r="HG557" s="9" t="s">
        <v>538</v>
      </c>
      <c r="IM557" s="9"/>
      <c r="IR557" s="9"/>
      <c r="JV557" s="7" t="s">
        <v>2465</v>
      </c>
      <c r="JX557" s="7" t="s">
        <v>320</v>
      </c>
      <c r="KG557" s="4" t="s">
        <v>323</v>
      </c>
      <c r="KM557" s="4" t="s">
        <v>391</v>
      </c>
      <c r="KN557" s="4" t="s">
        <v>391</v>
      </c>
      <c r="KP557" s="5" t="s">
        <v>358</v>
      </c>
      <c r="KQ557" s="5" t="s">
        <v>2466</v>
      </c>
      <c r="KR557" s="5" t="s">
        <v>2467</v>
      </c>
      <c r="KS557" s="5" t="s">
        <v>2468</v>
      </c>
      <c r="KT557" s="5" t="s">
        <v>2469</v>
      </c>
    </row>
    <row r="558" spans="1:306" ht="132" x14ac:dyDescent="0.2">
      <c r="A558" s="5" t="s">
        <v>2486</v>
      </c>
      <c r="B558" s="4" t="s">
        <v>383</v>
      </c>
      <c r="C558" s="7" t="s">
        <v>403</v>
      </c>
      <c r="D558" s="8" t="s">
        <v>777</v>
      </c>
      <c r="E558" s="44">
        <v>859586</v>
      </c>
      <c r="G558" s="4" t="s">
        <v>773</v>
      </c>
      <c r="H558" s="6">
        <v>143.90073456100001</v>
      </c>
      <c r="I558" s="6">
        <v>-37.435323353999998</v>
      </c>
      <c r="J558" s="4" t="s">
        <v>2487</v>
      </c>
      <c r="K558" s="4" t="s">
        <v>298</v>
      </c>
      <c r="L558" s="4" t="s">
        <v>299</v>
      </c>
      <c r="M558" s="4" t="s">
        <v>775</v>
      </c>
      <c r="N558" s="4" t="s">
        <v>1093</v>
      </c>
      <c r="Q558" s="8"/>
      <c r="R558" s="8"/>
      <c r="Z558" s="4" t="s">
        <v>424</v>
      </c>
      <c r="AA558" s="7" t="s">
        <v>425</v>
      </c>
      <c r="AB558" s="8" t="s">
        <v>426</v>
      </c>
      <c r="AC558" s="4" t="s">
        <v>301</v>
      </c>
      <c r="AD558" s="4" t="s">
        <v>402</v>
      </c>
      <c r="AE558" s="8">
        <v>445</v>
      </c>
      <c r="AF558" s="8"/>
      <c r="AG558" s="9" t="s">
        <v>379</v>
      </c>
      <c r="AH558" s="9" t="s">
        <v>380</v>
      </c>
      <c r="AM558" s="8">
        <v>3</v>
      </c>
      <c r="AN558" s="4" t="s">
        <v>381</v>
      </c>
      <c r="AO558" s="4" t="s">
        <v>375</v>
      </c>
      <c r="AP558" s="4" t="s">
        <v>383</v>
      </c>
      <c r="AQ558" s="7" t="s">
        <v>403</v>
      </c>
      <c r="AR558" s="8" t="s">
        <v>777</v>
      </c>
      <c r="AS558" s="7"/>
      <c r="AT558" s="7"/>
      <c r="BB558" s="4" t="s">
        <v>381</v>
      </c>
      <c r="BC558" s="4" t="s">
        <v>382</v>
      </c>
      <c r="BD558" s="4" t="s">
        <v>383</v>
      </c>
      <c r="BE558" s="7" t="s">
        <v>403</v>
      </c>
      <c r="BF558" s="8" t="s">
        <v>434</v>
      </c>
      <c r="BG558" s="7">
        <v>0</v>
      </c>
      <c r="BH558" s="7">
        <v>0</v>
      </c>
      <c r="BI558" s="9" t="s">
        <v>303</v>
      </c>
      <c r="BJ558" s="9" t="s">
        <v>406</v>
      </c>
      <c r="BO558" s="8">
        <v>5</v>
      </c>
      <c r="BQ558" s="7"/>
      <c r="BR558" s="7"/>
      <c r="BS558" s="7"/>
      <c r="BU558" s="7"/>
      <c r="BV558" s="7"/>
      <c r="BW558" s="7"/>
      <c r="BX558" s="7"/>
      <c r="BY558" s="7"/>
      <c r="BZ558" s="7"/>
      <c r="CA558" s="7"/>
      <c r="CB558" s="7"/>
      <c r="CC558" s="7"/>
      <c r="CD558" s="7"/>
      <c r="CE558" s="7"/>
      <c r="CF558" s="7"/>
      <c r="CG558" s="7"/>
      <c r="CH558" s="7"/>
      <c r="CI558" s="7"/>
      <c r="CJ558" s="7"/>
      <c r="CK558" s="7"/>
      <c r="CL558" s="7"/>
      <c r="CM558" s="7"/>
      <c r="CN558" s="7"/>
      <c r="CO558" s="7"/>
      <c r="CP558" s="7"/>
      <c r="CQ558" s="7"/>
      <c r="CR558" s="7"/>
      <c r="CS558" s="7"/>
      <c r="CT558" s="7"/>
      <c r="CU558" s="7"/>
      <c r="CV558" s="7"/>
      <c r="CW558" s="7"/>
      <c r="CX558" s="7"/>
      <c r="CY558" s="7"/>
      <c r="CZ558" s="7"/>
      <c r="DA558" s="7"/>
      <c r="DB558" s="7"/>
      <c r="DC558" s="7"/>
      <c r="DD558" s="7"/>
      <c r="DE558" s="7"/>
      <c r="DF558" s="7"/>
      <c r="DG558" s="7"/>
      <c r="DH558" s="7"/>
      <c r="DI558" s="7"/>
      <c r="DJ558" s="7"/>
      <c r="DK558" s="7"/>
      <c r="DL558" s="7"/>
      <c r="DM558" s="7"/>
      <c r="DN558" s="7"/>
      <c r="DO558" s="7"/>
      <c r="DP558" s="7"/>
      <c r="DQ558" s="7"/>
      <c r="DR558" s="7"/>
      <c r="DS558" s="7"/>
      <c r="DT558" s="7"/>
      <c r="DU558" s="7"/>
      <c r="DV558" s="7"/>
      <c r="DW558" s="7"/>
      <c r="DX558" s="7"/>
      <c r="DY558" s="7"/>
      <c r="DZ558" s="31"/>
      <c r="EA558" s="7"/>
      <c r="EB558" s="7"/>
      <c r="EC558" s="7"/>
      <c r="ED558" s="7"/>
      <c r="EE558" s="7"/>
      <c r="EF558" s="7"/>
      <c r="EG558" s="7"/>
      <c r="EL558" s="8">
        <v>81</v>
      </c>
      <c r="EY558" s="6"/>
      <c r="FA558" s="6"/>
      <c r="GP558" s="32"/>
      <c r="GY558" s="6" t="s">
        <v>309</v>
      </c>
      <c r="GZ558" s="6" t="s">
        <v>436</v>
      </c>
      <c r="HC558" s="6" t="s">
        <v>437</v>
      </c>
      <c r="HD558" s="8" t="s">
        <v>2488</v>
      </c>
      <c r="HE558" s="8">
        <v>3322</v>
      </c>
      <c r="HF558" s="8" t="s">
        <v>2489</v>
      </c>
      <c r="HG558" s="9" t="s">
        <v>2490</v>
      </c>
      <c r="HH558" s="9" t="s">
        <v>2232</v>
      </c>
      <c r="HI558" s="8">
        <v>19893</v>
      </c>
      <c r="HJ558" s="9" t="s">
        <v>2233</v>
      </c>
      <c r="HK558" s="9" t="s">
        <v>949</v>
      </c>
      <c r="HL558" s="4" t="s">
        <v>1095</v>
      </c>
      <c r="HM558" s="4">
        <v>36202</v>
      </c>
      <c r="HN558" s="4" t="s">
        <v>1096</v>
      </c>
      <c r="HO558" s="9" t="s">
        <v>466</v>
      </c>
      <c r="HQ558" s="9"/>
      <c r="HY558" s="9"/>
      <c r="JX558" s="7" t="s">
        <v>320</v>
      </c>
      <c r="KG558" s="4" t="s">
        <v>323</v>
      </c>
      <c r="KM558" s="4" t="s">
        <v>391</v>
      </c>
      <c r="KN558" s="4" t="s">
        <v>391</v>
      </c>
      <c r="KP558" s="5" t="s">
        <v>2491</v>
      </c>
      <c r="KQ558" s="5" t="s">
        <v>2238</v>
      </c>
      <c r="KS558" s="5" t="s">
        <v>786</v>
      </c>
      <c r="KT558" s="5" t="s">
        <v>2492</v>
      </c>
    </row>
    <row r="559" spans="1:306" ht="48" x14ac:dyDescent="0.25">
      <c r="A559" s="5" t="s">
        <v>2493</v>
      </c>
      <c r="B559" s="4" t="s">
        <v>424</v>
      </c>
      <c r="C559" s="7" t="s">
        <v>425</v>
      </c>
      <c r="D559" s="8" t="s">
        <v>426</v>
      </c>
      <c r="E559" s="4">
        <v>534577</v>
      </c>
      <c r="G559" s="4" t="s">
        <v>530</v>
      </c>
      <c r="H559" s="6">
        <v>130.07470000000001</v>
      </c>
      <c r="I559" s="6">
        <v>-19.1357</v>
      </c>
      <c r="J559" s="4" t="s">
        <v>2493</v>
      </c>
      <c r="K559" s="4" t="s">
        <v>481</v>
      </c>
      <c r="L559" s="4" t="s">
        <v>863</v>
      </c>
      <c r="Q559" s="8"/>
      <c r="R559" s="8"/>
      <c r="Z559" s="4" t="s">
        <v>424</v>
      </c>
      <c r="AA559" s="7" t="s">
        <v>425</v>
      </c>
      <c r="AB559" s="8" t="s">
        <v>426</v>
      </c>
      <c r="AC559" s="4" t="s">
        <v>301</v>
      </c>
      <c r="AD559" s="4" t="s">
        <v>375</v>
      </c>
      <c r="AE559" s="8">
        <v>1809</v>
      </c>
      <c r="AF559" s="8"/>
      <c r="AG559" s="9" t="s">
        <v>379</v>
      </c>
      <c r="AH559" s="9" t="s">
        <v>380</v>
      </c>
      <c r="AM559" s="8">
        <v>2</v>
      </c>
      <c r="AS559" s="7"/>
      <c r="AT559" s="7"/>
      <c r="BP559" s="7">
        <v>1.3</v>
      </c>
      <c r="BQ559" s="7"/>
      <c r="BV559" s="7">
        <v>2.2999999999999998</v>
      </c>
      <c r="DZ559" s="31"/>
      <c r="EL559" s="7">
        <f>BP559*BV559</f>
        <v>2.9899999999999998</v>
      </c>
      <c r="GP559" s="32"/>
      <c r="GY559" s="6" t="s">
        <v>338</v>
      </c>
      <c r="GZ559" s="6" t="s">
        <v>436</v>
      </c>
      <c r="HC559" s="6" t="s">
        <v>437</v>
      </c>
      <c r="HD559" s="8" t="s">
        <v>2494</v>
      </c>
      <c r="HE559" s="8">
        <v>41156</v>
      </c>
      <c r="HF559" s="8" t="s">
        <v>2495</v>
      </c>
      <c r="HG559" s="9" t="s">
        <v>538</v>
      </c>
      <c r="HH559" s="8" t="s">
        <v>2494</v>
      </c>
      <c r="HI559" s="8">
        <v>41156</v>
      </c>
      <c r="HJ559" s="8" t="s">
        <v>2496</v>
      </c>
      <c r="HK559" s="9" t="s">
        <v>538</v>
      </c>
      <c r="IB559" s="8" t="s">
        <v>2494</v>
      </c>
      <c r="IC559" s="8">
        <v>41156</v>
      </c>
      <c r="ID559" s="8" t="s">
        <v>960</v>
      </c>
      <c r="IE559" s="8" t="s">
        <v>538</v>
      </c>
      <c r="IF559" s="8" t="s">
        <v>445</v>
      </c>
      <c r="IG559" s="8" t="s">
        <v>2494</v>
      </c>
      <c r="IH559" s="8">
        <v>41156</v>
      </c>
      <c r="II559" s="8" t="s">
        <v>2497</v>
      </c>
      <c r="IJ559" s="8" t="s">
        <v>538</v>
      </c>
      <c r="IK559" s="8" t="s">
        <v>445</v>
      </c>
      <c r="IL559" s="8" t="s">
        <v>2498</v>
      </c>
      <c r="IM559" s="8">
        <v>40137</v>
      </c>
      <c r="IN559" s="8" t="s">
        <v>2499</v>
      </c>
      <c r="IO559" s="8" t="s">
        <v>538</v>
      </c>
      <c r="IP559" s="8" t="s">
        <v>319</v>
      </c>
      <c r="IW559" s="8"/>
      <c r="JB559" s="8"/>
      <c r="JX559" s="7" t="s">
        <v>320</v>
      </c>
      <c r="KG559" s="4" t="s">
        <v>323</v>
      </c>
      <c r="KM559" s="4" t="s">
        <v>836</v>
      </c>
      <c r="KN559" s="4" t="s">
        <v>836</v>
      </c>
      <c r="KP559" s="5" t="s">
        <v>358</v>
      </c>
      <c r="KQ559" s="5" t="s">
        <v>2500</v>
      </c>
      <c r="KS559" s="5" t="s">
        <v>2501</v>
      </c>
      <c r="KT559" s="5" t="s">
        <v>2502</v>
      </c>
    </row>
    <row r="560" spans="1:306" ht="36" x14ac:dyDescent="0.25">
      <c r="A560" s="5" t="s">
        <v>2637</v>
      </c>
      <c r="B560" s="4" t="s">
        <v>424</v>
      </c>
      <c r="C560" s="7" t="s">
        <v>425</v>
      </c>
      <c r="D560" s="8" t="s">
        <v>426</v>
      </c>
      <c r="E560" s="4">
        <v>538302</v>
      </c>
      <c r="G560" s="4" t="s">
        <v>330</v>
      </c>
      <c r="H560" s="6">
        <v>117.8582</v>
      </c>
      <c r="I560" s="6">
        <v>-27.460599999999999</v>
      </c>
      <c r="J560" s="4" t="s">
        <v>2638</v>
      </c>
      <c r="K560" s="4" t="s">
        <v>331</v>
      </c>
      <c r="L560" s="4" t="s">
        <v>500</v>
      </c>
      <c r="M560" s="4" t="s">
        <v>676</v>
      </c>
      <c r="N560" s="4" t="s">
        <v>677</v>
      </c>
      <c r="Q560" s="8"/>
      <c r="Z560" s="4" t="s">
        <v>424</v>
      </c>
      <c r="AA560" s="7" t="s">
        <v>425</v>
      </c>
      <c r="AB560" s="8" t="s">
        <v>426</v>
      </c>
      <c r="AC560" s="4" t="s">
        <v>301</v>
      </c>
      <c r="AD560" s="4" t="s">
        <v>375</v>
      </c>
      <c r="AE560" s="8">
        <v>2635</v>
      </c>
      <c r="AG560" s="9" t="s">
        <v>379</v>
      </c>
      <c r="AH560" s="9" t="s">
        <v>380</v>
      </c>
      <c r="AM560" s="8">
        <v>2</v>
      </c>
      <c r="AN560" s="4" t="s">
        <v>381</v>
      </c>
      <c r="AO560" s="4" t="s">
        <v>382</v>
      </c>
      <c r="AP560" s="4" t="s">
        <v>383</v>
      </c>
      <c r="AQ560" s="7" t="s">
        <v>384</v>
      </c>
      <c r="AR560" s="7" t="s">
        <v>433</v>
      </c>
      <c r="AS560" s="7">
        <v>0</v>
      </c>
      <c r="AT560" s="7">
        <v>0</v>
      </c>
      <c r="AU560" s="4" t="s">
        <v>303</v>
      </c>
      <c r="AV560" s="4" t="s">
        <v>406</v>
      </c>
      <c r="AW560" s="4"/>
      <c r="AX560" s="4"/>
      <c r="AY560" s="4"/>
      <c r="AZ560" s="4"/>
      <c r="BA560" s="8">
        <v>5</v>
      </c>
      <c r="BG560" s="8"/>
      <c r="BP560" s="7">
        <f>6.173+1.944</f>
        <v>8.1170000000000009</v>
      </c>
      <c r="BV560" s="6">
        <f>((6.173*4.47)+(1.944*5.08))/BP560</f>
        <v>4.6160933842552661</v>
      </c>
      <c r="DZ560" s="31"/>
      <c r="EL560" s="7">
        <f>BP560*BV560</f>
        <v>37.468829999999997</v>
      </c>
      <c r="GP560" s="32"/>
      <c r="GY560" s="6" t="s">
        <v>338</v>
      </c>
      <c r="GZ560" s="6" t="s">
        <v>436</v>
      </c>
      <c r="HC560" s="6" t="s">
        <v>437</v>
      </c>
      <c r="HD560" s="8" t="s">
        <v>2639</v>
      </c>
      <c r="HF560" s="8" t="s">
        <v>2640</v>
      </c>
      <c r="HG560" s="9" t="s">
        <v>507</v>
      </c>
      <c r="IB560" s="8" t="s">
        <v>2639</v>
      </c>
      <c r="ID560" s="8" t="s">
        <v>2640</v>
      </c>
      <c r="IE560" s="9" t="s">
        <v>507</v>
      </c>
      <c r="IF560" s="9" t="s">
        <v>445</v>
      </c>
      <c r="IG560" s="8" t="s">
        <v>2641</v>
      </c>
      <c r="IH560" s="8">
        <v>23604</v>
      </c>
      <c r="II560" s="8" t="s">
        <v>2642</v>
      </c>
      <c r="IJ560" s="8" t="s">
        <v>389</v>
      </c>
      <c r="IK560" s="8" t="s">
        <v>445</v>
      </c>
      <c r="IR560" s="9"/>
      <c r="JV560" s="7" t="s">
        <v>2643</v>
      </c>
      <c r="JX560" s="7" t="s">
        <v>322</v>
      </c>
      <c r="JY560" s="7" t="s">
        <v>354</v>
      </c>
      <c r="JZ560" s="7" t="s">
        <v>320</v>
      </c>
      <c r="KG560" s="4" t="s">
        <v>323</v>
      </c>
      <c r="KM560" s="4" t="s">
        <v>836</v>
      </c>
      <c r="KN560" s="4" t="s">
        <v>542</v>
      </c>
      <c r="KP560" s="5" t="s">
        <v>358</v>
      </c>
      <c r="KQ560" s="5" t="s">
        <v>2644</v>
      </c>
      <c r="KR560" s="5" t="s">
        <v>2645</v>
      </c>
      <c r="KS560" s="5" t="s">
        <v>2646</v>
      </c>
      <c r="KT560" s="5" t="s">
        <v>2647</v>
      </c>
    </row>
    <row r="561" spans="1:306" ht="60" x14ac:dyDescent="0.25">
      <c r="A561" s="5" t="s">
        <v>2648</v>
      </c>
      <c r="B561" s="4" t="s">
        <v>424</v>
      </c>
      <c r="C561" s="7" t="s">
        <v>425</v>
      </c>
      <c r="D561" s="8" t="s">
        <v>426</v>
      </c>
      <c r="E561" s="4">
        <v>333888</v>
      </c>
      <c r="G561" s="4" t="s">
        <v>773</v>
      </c>
      <c r="H561" s="6">
        <v>144.13541000000001</v>
      </c>
      <c r="I561" s="6">
        <v>-37.347830000000002</v>
      </c>
      <c r="J561" s="4" t="s">
        <v>2649</v>
      </c>
      <c r="K561" s="4" t="s">
        <v>298</v>
      </c>
      <c r="L561" s="4" t="s">
        <v>299</v>
      </c>
      <c r="M561" s="4" t="s">
        <v>775</v>
      </c>
      <c r="N561" s="4" t="s">
        <v>1093</v>
      </c>
      <c r="Q561" s="8"/>
      <c r="R561" s="8"/>
      <c r="Z561" s="4" t="s">
        <v>424</v>
      </c>
      <c r="AA561" s="7" t="s">
        <v>425</v>
      </c>
      <c r="AB561" s="8" t="s">
        <v>426</v>
      </c>
      <c r="AC561" s="4" t="s">
        <v>301</v>
      </c>
      <c r="AD561" s="4" t="s">
        <v>375</v>
      </c>
      <c r="AE561" s="8">
        <v>445</v>
      </c>
      <c r="AF561" s="8"/>
      <c r="AG561" s="9" t="s">
        <v>379</v>
      </c>
      <c r="AH561" s="9" t="s">
        <v>380</v>
      </c>
      <c r="AM561" s="8">
        <v>3</v>
      </c>
      <c r="AN561" s="4" t="s">
        <v>381</v>
      </c>
      <c r="AO561" s="4" t="s">
        <v>382</v>
      </c>
      <c r="AP561" s="4" t="s">
        <v>383</v>
      </c>
      <c r="AQ561" s="7" t="s">
        <v>403</v>
      </c>
      <c r="AR561" s="8" t="s">
        <v>777</v>
      </c>
      <c r="AS561" s="7"/>
      <c r="AT561" s="7"/>
      <c r="BB561" s="4" t="s">
        <v>381</v>
      </c>
      <c r="BC561" s="4" t="s">
        <v>402</v>
      </c>
      <c r="BD561" s="4" t="s">
        <v>383</v>
      </c>
      <c r="BE561" s="7" t="s">
        <v>403</v>
      </c>
      <c r="BF561" s="8" t="s">
        <v>434</v>
      </c>
      <c r="BG561" s="7">
        <v>0</v>
      </c>
      <c r="BH561" s="7">
        <v>0</v>
      </c>
      <c r="BI561" s="9" t="s">
        <v>303</v>
      </c>
      <c r="BJ561" s="9" t="s">
        <v>406</v>
      </c>
      <c r="BO561" s="8">
        <v>5</v>
      </c>
      <c r="BQ561" s="7"/>
      <c r="BR561" s="7"/>
      <c r="BS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c r="CW561" s="7"/>
      <c r="CX561" s="7"/>
      <c r="CY561" s="7"/>
      <c r="CZ561" s="7"/>
      <c r="DA561" s="7"/>
      <c r="DB561" s="7"/>
      <c r="DC561" s="7"/>
      <c r="DD561" s="7"/>
      <c r="DE561" s="7"/>
      <c r="DF561" s="7"/>
      <c r="DG561" s="7"/>
      <c r="DH561" s="7"/>
      <c r="DI561" s="7"/>
      <c r="DJ561" s="7"/>
      <c r="DK561" s="7"/>
      <c r="DL561" s="7"/>
      <c r="DM561" s="7"/>
      <c r="DN561" s="7"/>
      <c r="DO561" s="7"/>
      <c r="DP561" s="7"/>
      <c r="DQ561" s="7"/>
      <c r="DR561" s="7"/>
      <c r="DS561" s="7"/>
      <c r="DT561" s="7"/>
      <c r="DU561" s="7"/>
      <c r="DV561" s="7"/>
      <c r="DW561" s="7"/>
      <c r="DX561" s="7"/>
      <c r="DY561" s="7"/>
      <c r="DZ561" s="31"/>
      <c r="EA561" s="7"/>
      <c r="EB561" s="7"/>
      <c r="EC561" s="7"/>
      <c r="ED561" s="7"/>
      <c r="EE561" s="7"/>
      <c r="EF561" s="7"/>
      <c r="EG561" s="7"/>
      <c r="EL561" s="8">
        <f>(500000+796254)*31.1/1000000</f>
        <v>40.313499399999998</v>
      </c>
      <c r="EY561" s="6"/>
      <c r="FA561" s="6"/>
      <c r="GP561" s="32"/>
      <c r="GY561" s="6" t="s">
        <v>309</v>
      </c>
      <c r="GZ561" s="6" t="s">
        <v>436</v>
      </c>
      <c r="HC561" s="6" t="s">
        <v>437</v>
      </c>
      <c r="HD561" s="4" t="s">
        <v>1095</v>
      </c>
      <c r="HE561" s="4">
        <v>36202</v>
      </c>
      <c r="HF561" s="4" t="s">
        <v>1096</v>
      </c>
      <c r="HG561" s="9" t="s">
        <v>466</v>
      </c>
      <c r="HQ561" s="9"/>
      <c r="HY561" s="9"/>
      <c r="KP561" s="18" t="s">
        <v>2650</v>
      </c>
      <c r="KQ561" s="5" t="s">
        <v>2651</v>
      </c>
      <c r="KS561" s="5" t="s">
        <v>2652</v>
      </c>
      <c r="KT561" s="5" t="s">
        <v>2653</v>
      </c>
    </row>
    <row r="562" spans="1:306" ht="156" x14ac:dyDescent="0.25">
      <c r="A562" s="5" t="s">
        <v>2656</v>
      </c>
      <c r="B562" s="4" t="s">
        <v>424</v>
      </c>
      <c r="C562" s="7" t="s">
        <v>425</v>
      </c>
      <c r="D562" s="8" t="s">
        <v>426</v>
      </c>
      <c r="E562" s="4">
        <v>335822</v>
      </c>
      <c r="G562" s="4" t="s">
        <v>530</v>
      </c>
      <c r="H562" s="6">
        <v>129.92490000000001</v>
      </c>
      <c r="I562" s="6">
        <v>-20.526599999999998</v>
      </c>
      <c r="J562" s="4" t="s">
        <v>2657</v>
      </c>
      <c r="K562" s="4" t="s">
        <v>481</v>
      </c>
      <c r="L562" s="4" t="s">
        <v>863</v>
      </c>
      <c r="Q562" s="8"/>
      <c r="R562" s="8"/>
      <c r="Z562" s="4" t="s">
        <v>424</v>
      </c>
      <c r="AA562" s="7" t="s">
        <v>425</v>
      </c>
      <c r="AB562" s="8" t="s">
        <v>426</v>
      </c>
      <c r="AC562" s="4" t="s">
        <v>301</v>
      </c>
      <c r="AD562" s="4" t="s">
        <v>375</v>
      </c>
      <c r="AE562" s="8">
        <v>1809</v>
      </c>
      <c r="AF562" s="8">
        <v>13</v>
      </c>
      <c r="AG562" s="9" t="s">
        <v>379</v>
      </c>
      <c r="AH562" s="9" t="s">
        <v>335</v>
      </c>
      <c r="AI562" s="9" t="s">
        <v>336</v>
      </c>
      <c r="AJ562" s="9" t="s">
        <v>306</v>
      </c>
      <c r="AK562" s="9" t="s">
        <v>307</v>
      </c>
      <c r="AL562" s="9" t="s">
        <v>337</v>
      </c>
      <c r="AM562" s="8">
        <v>4</v>
      </c>
      <c r="AN562" s="4" t="s">
        <v>381</v>
      </c>
      <c r="AO562" s="4" t="s">
        <v>382</v>
      </c>
      <c r="AP562" s="4" t="s">
        <v>383</v>
      </c>
      <c r="AQ562" s="7" t="s">
        <v>384</v>
      </c>
      <c r="AR562" s="7" t="s">
        <v>433</v>
      </c>
      <c r="AS562" s="7">
        <v>0</v>
      </c>
      <c r="AT562" s="7">
        <v>0</v>
      </c>
      <c r="AU562" s="9" t="s">
        <v>303</v>
      </c>
      <c r="AV562" s="9" t="s">
        <v>406</v>
      </c>
      <c r="BA562" s="8">
        <v>5</v>
      </c>
      <c r="DZ562" s="31"/>
      <c r="EL562" s="8">
        <f>(8.29+0.496+0.5+0.495+0.485+0.484+0.448)*31.1+26.6*5.66+41.2*2.06+20.1*3.8</f>
        <v>660.06579999999997</v>
      </c>
      <c r="EY562" s="6"/>
      <c r="FA562" s="6"/>
      <c r="GP562" s="32"/>
      <c r="GY562" s="31" t="s">
        <v>407</v>
      </c>
      <c r="GZ562" s="6" t="s">
        <v>436</v>
      </c>
      <c r="HC562" s="6" t="s">
        <v>437</v>
      </c>
      <c r="HD562" s="8" t="s">
        <v>2658</v>
      </c>
      <c r="HE562" s="8">
        <v>79028</v>
      </c>
      <c r="HF562" s="8" t="s">
        <v>2659</v>
      </c>
      <c r="HG562" s="9" t="s">
        <v>538</v>
      </c>
      <c r="HH562" s="9" t="s">
        <v>2660</v>
      </c>
      <c r="HI562" s="8">
        <v>72402</v>
      </c>
      <c r="HJ562" s="9" t="s">
        <v>2661</v>
      </c>
      <c r="HK562" s="9" t="s">
        <v>538</v>
      </c>
      <c r="HL562" s="9" t="s">
        <v>2662</v>
      </c>
      <c r="HM562" s="8">
        <v>78603</v>
      </c>
      <c r="HN562" s="9" t="s">
        <v>2663</v>
      </c>
      <c r="HO562" s="9" t="s">
        <v>538</v>
      </c>
      <c r="HP562" s="9" t="s">
        <v>2664</v>
      </c>
      <c r="HQ562" s="8">
        <v>34161</v>
      </c>
      <c r="HR562" s="9" t="s">
        <v>2665</v>
      </c>
      <c r="HS562" s="9" t="s">
        <v>538</v>
      </c>
      <c r="HY562" s="9"/>
      <c r="IB562" s="8" t="s">
        <v>2666</v>
      </c>
      <c r="IC562" s="8">
        <v>73196</v>
      </c>
      <c r="ID562" s="8" t="s">
        <v>2667</v>
      </c>
      <c r="IE562" s="8" t="s">
        <v>538</v>
      </c>
      <c r="IF562" s="8" t="s">
        <v>445</v>
      </c>
      <c r="IG562" s="8" t="s">
        <v>2498</v>
      </c>
      <c r="IH562" s="8">
        <v>40137</v>
      </c>
      <c r="II562" s="8" t="s">
        <v>2499</v>
      </c>
      <c r="IJ562" s="8" t="s">
        <v>538</v>
      </c>
      <c r="IK562" s="8" t="s">
        <v>319</v>
      </c>
      <c r="IW562" s="8"/>
      <c r="JB562" s="8"/>
      <c r="JV562" s="7" t="s">
        <v>783</v>
      </c>
      <c r="JW562" s="7" t="s">
        <v>783</v>
      </c>
      <c r="JX562" s="7" t="s">
        <v>320</v>
      </c>
      <c r="JY562" s="7" t="s">
        <v>354</v>
      </c>
      <c r="JZ562" s="7" t="s">
        <v>322</v>
      </c>
      <c r="KG562" s="4" t="s">
        <v>323</v>
      </c>
      <c r="KM562" s="4" t="s">
        <v>521</v>
      </c>
      <c r="KN562" s="4" t="s">
        <v>522</v>
      </c>
      <c r="KP562" s="5" t="s">
        <v>358</v>
      </c>
      <c r="KQ562" s="5" t="s">
        <v>2668</v>
      </c>
      <c r="KR562" s="5" t="s">
        <v>2669</v>
      </c>
      <c r="KS562" s="5" t="s">
        <v>2670</v>
      </c>
      <c r="KT562" s="5" t="s">
        <v>2671</v>
      </c>
    </row>
    <row r="563" spans="1:306" ht="120" x14ac:dyDescent="0.25">
      <c r="A563" s="5" t="s">
        <v>2692</v>
      </c>
      <c r="B563" s="4" t="s">
        <v>424</v>
      </c>
      <c r="C563" s="7" t="s">
        <v>425</v>
      </c>
      <c r="D563" s="8" t="s">
        <v>426</v>
      </c>
      <c r="E563" s="4">
        <v>336142</v>
      </c>
      <c r="G563" s="4" t="s">
        <v>330</v>
      </c>
      <c r="H563" s="6">
        <v>116.3796</v>
      </c>
      <c r="I563" s="6">
        <v>-28.6691</v>
      </c>
      <c r="K563" s="4" t="s">
        <v>331</v>
      </c>
      <c r="L563" s="4" t="s">
        <v>500</v>
      </c>
      <c r="M563" s="4" t="s">
        <v>676</v>
      </c>
      <c r="N563" s="4" t="s">
        <v>677</v>
      </c>
      <c r="Z563" s="4" t="s">
        <v>424</v>
      </c>
      <c r="AA563" s="7" t="s">
        <v>425</v>
      </c>
      <c r="AB563" s="8" t="s">
        <v>426</v>
      </c>
      <c r="AC563" s="4" t="s">
        <v>301</v>
      </c>
      <c r="AD563" s="4" t="s">
        <v>375</v>
      </c>
      <c r="AN563" s="4" t="s">
        <v>381</v>
      </c>
      <c r="AO563" s="4" t="s">
        <v>402</v>
      </c>
      <c r="AP563" s="4" t="s">
        <v>383</v>
      </c>
      <c r="AQ563" s="7" t="s">
        <v>384</v>
      </c>
      <c r="AR563" s="8" t="s">
        <v>827</v>
      </c>
      <c r="AS563" s="7">
        <v>0</v>
      </c>
      <c r="AT563" s="7">
        <v>0</v>
      </c>
      <c r="AU563" s="9" t="s">
        <v>303</v>
      </c>
      <c r="AV563" s="9" t="s">
        <v>406</v>
      </c>
      <c r="BA563" s="8">
        <v>5</v>
      </c>
      <c r="BG563" s="7"/>
      <c r="BH563" s="7"/>
      <c r="BP563" s="7">
        <v>8.3515110000000004</v>
      </c>
      <c r="BQ563" s="9"/>
      <c r="BR563" s="7">
        <v>0.26</v>
      </c>
      <c r="BV563" s="7">
        <v>7.67</v>
      </c>
      <c r="DZ563" s="31"/>
      <c r="EH563" s="10">
        <f>BP563*BR563/100</f>
        <v>2.1713928600000001E-2</v>
      </c>
      <c r="EL563" s="7">
        <f>BP563*BV563</f>
        <v>64.056089369999995</v>
      </c>
      <c r="GP563" s="32"/>
      <c r="GY563" s="6" t="s">
        <v>338</v>
      </c>
      <c r="GZ563" s="6" t="s">
        <v>436</v>
      </c>
      <c r="HB563" s="6" t="s">
        <v>994</v>
      </c>
      <c r="HC563" s="6" t="s">
        <v>437</v>
      </c>
      <c r="HD563" s="8" t="s">
        <v>2693</v>
      </c>
      <c r="HF563" s="8" t="s">
        <v>2694</v>
      </c>
      <c r="HG563" s="8"/>
      <c r="IB563" s="8" t="s">
        <v>2693</v>
      </c>
      <c r="ID563" s="8" t="s">
        <v>2694</v>
      </c>
      <c r="IF563" s="8" t="s">
        <v>445</v>
      </c>
      <c r="IG563" s="8" t="s">
        <v>2695</v>
      </c>
      <c r="IH563" s="8">
        <v>7073</v>
      </c>
      <c r="II563" s="8" t="s">
        <v>2696</v>
      </c>
      <c r="IJ563" s="8" t="s">
        <v>1303</v>
      </c>
      <c r="IK563" s="8" t="s">
        <v>445</v>
      </c>
      <c r="IN563" s="9" t="s">
        <v>2697</v>
      </c>
      <c r="IO563" s="9" t="s">
        <v>1303</v>
      </c>
      <c r="IR563" s="9"/>
      <c r="JV563" s="7" t="s">
        <v>2698</v>
      </c>
      <c r="JX563" s="7" t="s">
        <v>320</v>
      </c>
      <c r="KG563" s="4" t="s">
        <v>323</v>
      </c>
      <c r="KM563" s="4" t="s">
        <v>391</v>
      </c>
      <c r="KN563" s="4" t="s">
        <v>391</v>
      </c>
      <c r="KP563" s="5" t="s">
        <v>358</v>
      </c>
      <c r="KQ563" s="5" t="s">
        <v>2699</v>
      </c>
      <c r="KS563" s="5" t="s">
        <v>2700</v>
      </c>
      <c r="KT563" s="5" t="s">
        <v>2701</v>
      </c>
    </row>
    <row r="564" spans="1:306" ht="72" x14ac:dyDescent="0.25">
      <c r="A564" s="5" t="s">
        <v>2714</v>
      </c>
      <c r="B564" s="4" t="s">
        <v>424</v>
      </c>
      <c r="C564" s="7" t="s">
        <v>425</v>
      </c>
      <c r="D564" s="8" t="s">
        <v>426</v>
      </c>
      <c r="E564" s="4">
        <v>333776</v>
      </c>
      <c r="G564" s="4" t="s">
        <v>593</v>
      </c>
      <c r="H564" s="6">
        <v>138.89439999999999</v>
      </c>
      <c r="I564" s="6">
        <v>-34.724600000000002</v>
      </c>
      <c r="J564" s="4" t="s">
        <v>2715</v>
      </c>
      <c r="K564" s="4" t="s">
        <v>298</v>
      </c>
      <c r="L564" s="4" t="s">
        <v>689</v>
      </c>
      <c r="Q564" s="7"/>
      <c r="R564" s="7"/>
      <c r="Z564" s="4" t="s">
        <v>424</v>
      </c>
      <c r="AA564" s="7" t="s">
        <v>425</v>
      </c>
      <c r="AB564" s="8" t="s">
        <v>426</v>
      </c>
      <c r="AC564" s="4" t="s">
        <v>301</v>
      </c>
      <c r="AD564" s="4" t="s">
        <v>375</v>
      </c>
      <c r="AE564" s="7">
        <v>471.3</v>
      </c>
      <c r="AF564" s="7">
        <v>4.0999999999999996</v>
      </c>
      <c r="AG564" s="9" t="s">
        <v>379</v>
      </c>
      <c r="AH564" s="9" t="s">
        <v>335</v>
      </c>
      <c r="AI564" s="9" t="s">
        <v>336</v>
      </c>
      <c r="AJ564" s="9" t="s">
        <v>306</v>
      </c>
      <c r="AK564" s="9" t="s">
        <v>307</v>
      </c>
      <c r="AL564" s="9" t="s">
        <v>308</v>
      </c>
      <c r="AM564" s="8">
        <v>4</v>
      </c>
      <c r="AN564" s="4" t="s">
        <v>381</v>
      </c>
      <c r="AO564" s="4" t="s">
        <v>382</v>
      </c>
      <c r="AP564" s="4" t="s">
        <v>383</v>
      </c>
      <c r="AQ564" s="7" t="s">
        <v>384</v>
      </c>
      <c r="AR564" s="8" t="s">
        <v>433</v>
      </c>
      <c r="AS564" s="7">
        <v>0</v>
      </c>
      <c r="AT564" s="7">
        <v>0</v>
      </c>
      <c r="AU564" s="9" t="s">
        <v>303</v>
      </c>
      <c r="AV564" s="9" t="s">
        <v>406</v>
      </c>
      <c r="BA564" s="8">
        <v>5</v>
      </c>
      <c r="BB564" s="4" t="s">
        <v>381</v>
      </c>
      <c r="BC564" s="4" t="s">
        <v>402</v>
      </c>
      <c r="BD564" s="4" t="s">
        <v>383</v>
      </c>
      <c r="BE564" s="7" t="s">
        <v>403</v>
      </c>
      <c r="BF564" s="8" t="s">
        <v>434</v>
      </c>
      <c r="BG564" s="7">
        <v>0</v>
      </c>
      <c r="BH564" s="7">
        <v>0</v>
      </c>
      <c r="BI564" s="9" t="s">
        <v>303</v>
      </c>
      <c r="BJ564" s="9" t="s">
        <v>406</v>
      </c>
      <c r="BO564" s="8">
        <v>5</v>
      </c>
      <c r="DZ564" s="31"/>
      <c r="EB564" s="10"/>
      <c r="EL564" s="6">
        <v>1.1000000000000001</v>
      </c>
      <c r="GP564" s="32"/>
      <c r="GY564" s="6" t="s">
        <v>309</v>
      </c>
      <c r="GZ564" s="6" t="s">
        <v>436</v>
      </c>
      <c r="HC564" s="6" t="s">
        <v>437</v>
      </c>
      <c r="HD564" s="8" t="s">
        <v>2716</v>
      </c>
      <c r="HE564" s="8">
        <v>16502</v>
      </c>
      <c r="HF564" s="8" t="s">
        <v>2717</v>
      </c>
      <c r="HG564" s="9" t="s">
        <v>876</v>
      </c>
      <c r="JV564" s="7" t="s">
        <v>2718</v>
      </c>
      <c r="JX564" s="7" t="s">
        <v>320</v>
      </c>
      <c r="KP564" s="5" t="s">
        <v>358</v>
      </c>
      <c r="KQ564" s="5" t="s">
        <v>2719</v>
      </c>
      <c r="KR564" s="5" t="s">
        <v>2720</v>
      </c>
      <c r="KS564" s="18" t="s">
        <v>1183</v>
      </c>
      <c r="KT564" s="5" t="s">
        <v>2721</v>
      </c>
    </row>
    <row r="565" spans="1:306" ht="84" x14ac:dyDescent="0.25">
      <c r="A565" s="5" t="s">
        <v>2753</v>
      </c>
      <c r="B565" s="4" t="s">
        <v>424</v>
      </c>
      <c r="C565" s="7" t="s">
        <v>425</v>
      </c>
      <c r="D565" s="8" t="s">
        <v>426</v>
      </c>
      <c r="E565" s="4">
        <v>335790</v>
      </c>
      <c r="G565" s="4" t="s">
        <v>427</v>
      </c>
      <c r="H565" s="6">
        <v>149.1002</v>
      </c>
      <c r="I565" s="6">
        <v>-33.6815</v>
      </c>
      <c r="J565" s="4" t="s">
        <v>2754</v>
      </c>
      <c r="K565" s="4" t="s">
        <v>298</v>
      </c>
      <c r="L565" s="4" t="s">
        <v>299</v>
      </c>
      <c r="M565" s="4" t="s">
        <v>1359</v>
      </c>
      <c r="N565" s="4" t="s">
        <v>1545</v>
      </c>
      <c r="Q565" s="7"/>
      <c r="R565" s="7"/>
      <c r="Z565" s="4" t="s">
        <v>424</v>
      </c>
      <c r="AA565" s="7" t="s">
        <v>425</v>
      </c>
      <c r="AB565" s="8" t="s">
        <v>426</v>
      </c>
      <c r="AC565" s="4" t="s">
        <v>301</v>
      </c>
      <c r="AD565" s="4" t="s">
        <v>375</v>
      </c>
      <c r="AE565" s="7">
        <v>434.1</v>
      </c>
      <c r="AF565" s="7">
        <v>1.9</v>
      </c>
      <c r="AG565" s="9" t="s">
        <v>379</v>
      </c>
      <c r="AH565" s="9" t="s">
        <v>335</v>
      </c>
      <c r="AI565" s="9" t="s">
        <v>2755</v>
      </c>
      <c r="AJ565" s="9" t="s">
        <v>599</v>
      </c>
      <c r="AK565" s="9" t="s">
        <v>307</v>
      </c>
      <c r="AM565" s="8">
        <v>3</v>
      </c>
      <c r="AN565" s="4" t="s">
        <v>381</v>
      </c>
      <c r="AO565" s="4" t="s">
        <v>402</v>
      </c>
      <c r="AP565" s="4" t="s">
        <v>383</v>
      </c>
      <c r="AQ565" s="7" t="s">
        <v>384</v>
      </c>
      <c r="AR565" s="8" t="s">
        <v>433</v>
      </c>
      <c r="AS565" s="7">
        <v>0</v>
      </c>
      <c r="AT565" s="7">
        <v>0</v>
      </c>
      <c r="AU565" s="9" t="s">
        <v>303</v>
      </c>
      <c r="AV565" s="9" t="s">
        <v>406</v>
      </c>
      <c r="BA565" s="8">
        <v>5</v>
      </c>
      <c r="BP565" s="7">
        <v>10.4</v>
      </c>
      <c r="BU565" s="7"/>
      <c r="BV565" s="6">
        <v>1.17</v>
      </c>
      <c r="DZ565" s="31"/>
      <c r="EL565" s="6">
        <f>BP565*BV565</f>
        <v>12.167999999999999</v>
      </c>
      <c r="EY565" s="6"/>
      <c r="FA565" s="6"/>
      <c r="GP565" s="32"/>
      <c r="GY565" s="6" t="s">
        <v>338</v>
      </c>
      <c r="GZ565" s="6" t="s">
        <v>436</v>
      </c>
      <c r="HD565" s="8" t="s">
        <v>2449</v>
      </c>
      <c r="HE565" s="8">
        <v>98</v>
      </c>
      <c r="HF565" s="8" t="s">
        <v>2450</v>
      </c>
      <c r="HG565" s="9" t="s">
        <v>466</v>
      </c>
      <c r="HH565" s="9" t="s">
        <v>2756</v>
      </c>
      <c r="HI565" s="8">
        <v>4594</v>
      </c>
      <c r="HJ565" s="9" t="s">
        <v>2757</v>
      </c>
      <c r="HK565" s="9" t="s">
        <v>1550</v>
      </c>
      <c r="HY565" s="9"/>
      <c r="IE565" s="9"/>
      <c r="IW565" s="8"/>
      <c r="JB565" s="8"/>
      <c r="KP565" s="5" t="s">
        <v>358</v>
      </c>
      <c r="KQ565" s="5" t="s">
        <v>2758</v>
      </c>
      <c r="KR565" s="5" t="s">
        <v>2759</v>
      </c>
      <c r="KS565" s="5" t="s">
        <v>2758</v>
      </c>
      <c r="KT565" s="5" t="s">
        <v>2760</v>
      </c>
    </row>
    <row r="566" spans="1:306" ht="84" x14ac:dyDescent="0.2">
      <c r="A566" s="5" t="s">
        <v>2837</v>
      </c>
      <c r="B566" s="4" t="s">
        <v>424</v>
      </c>
      <c r="C566" s="7" t="s">
        <v>425</v>
      </c>
      <c r="D566" s="8" t="s">
        <v>426</v>
      </c>
      <c r="E566" s="44">
        <v>859593</v>
      </c>
      <c r="F566" s="4">
        <v>1162977</v>
      </c>
      <c r="G566" s="4" t="s">
        <v>479</v>
      </c>
      <c r="H566" s="6">
        <v>143.55702199999999</v>
      </c>
      <c r="I566" s="6">
        <v>-18.532589999999999</v>
      </c>
      <c r="K566" s="4" t="s">
        <v>481</v>
      </c>
      <c r="L566" s="4" t="s">
        <v>482</v>
      </c>
      <c r="Q566" s="8"/>
      <c r="R566" s="8"/>
      <c r="Z566" s="4" t="s">
        <v>424</v>
      </c>
      <c r="AA566" s="7" t="s">
        <v>425</v>
      </c>
      <c r="AB566" s="8" t="s">
        <v>426</v>
      </c>
      <c r="AC566" s="4" t="s">
        <v>301</v>
      </c>
      <c r="AD566" s="4" t="s">
        <v>375</v>
      </c>
      <c r="AE566" s="8">
        <v>419</v>
      </c>
      <c r="AF566" s="8">
        <v>2</v>
      </c>
      <c r="AG566" s="9" t="s">
        <v>379</v>
      </c>
      <c r="AH566" s="9" t="s">
        <v>429</v>
      </c>
      <c r="AI566" s="9" t="s">
        <v>430</v>
      </c>
      <c r="AJ566" s="9" t="s">
        <v>1238</v>
      </c>
      <c r="AM566" s="8">
        <v>2</v>
      </c>
      <c r="AN566" s="4" t="s">
        <v>381</v>
      </c>
      <c r="AO566" s="4" t="s">
        <v>402</v>
      </c>
      <c r="AP566" s="4" t="s">
        <v>383</v>
      </c>
      <c r="AQ566" s="7" t="s">
        <v>384</v>
      </c>
      <c r="AR566" s="8" t="s">
        <v>433</v>
      </c>
      <c r="AS566" s="7">
        <v>0</v>
      </c>
      <c r="AT566" s="7">
        <v>0</v>
      </c>
      <c r="AU566" s="9" t="s">
        <v>303</v>
      </c>
      <c r="AV566" s="9" t="s">
        <v>406</v>
      </c>
      <c r="BA566" s="8">
        <v>5</v>
      </c>
      <c r="DZ566" s="31"/>
      <c r="EL566" s="6">
        <v>0.14199999999999999</v>
      </c>
      <c r="EY566" s="6"/>
      <c r="FA566" s="6"/>
      <c r="GP566" s="32"/>
      <c r="GY566" s="6" t="s">
        <v>309</v>
      </c>
      <c r="GZ566" s="6" t="s">
        <v>436</v>
      </c>
      <c r="HC566" s="6" t="s">
        <v>437</v>
      </c>
      <c r="HD566" s="8" t="s">
        <v>485</v>
      </c>
      <c r="HE566" s="8">
        <v>6827</v>
      </c>
      <c r="HF566" s="8" t="s">
        <v>486</v>
      </c>
      <c r="HG566" s="9" t="s">
        <v>487</v>
      </c>
      <c r="HY566" s="9"/>
      <c r="IB566" s="8" t="s">
        <v>485</v>
      </c>
      <c r="IC566" s="8">
        <v>6827</v>
      </c>
      <c r="ID566" s="8" t="s">
        <v>486</v>
      </c>
      <c r="IE566" s="9" t="s">
        <v>487</v>
      </c>
      <c r="IF566" s="8" t="s">
        <v>445</v>
      </c>
      <c r="IO566" s="8"/>
      <c r="IP566" s="8"/>
      <c r="IR566" s="9"/>
      <c r="JV566" s="7" t="s">
        <v>2838</v>
      </c>
      <c r="JX566" s="7" t="s">
        <v>320</v>
      </c>
      <c r="KG566" s="4" t="s">
        <v>323</v>
      </c>
      <c r="KP566" s="5" t="s">
        <v>495</v>
      </c>
      <c r="KQ566" s="5" t="s">
        <v>2839</v>
      </c>
      <c r="KR566" s="5" t="s">
        <v>2840</v>
      </c>
      <c r="KS566" s="5" t="s">
        <v>495</v>
      </c>
      <c r="KT566" s="5" t="s">
        <v>2841</v>
      </c>
    </row>
    <row r="567" spans="1:306" ht="60" x14ac:dyDescent="0.2">
      <c r="A567" s="5" t="s">
        <v>2877</v>
      </c>
      <c r="B567" s="4" t="s">
        <v>424</v>
      </c>
      <c r="C567" s="7" t="s">
        <v>425</v>
      </c>
      <c r="D567" s="8" t="s">
        <v>426</v>
      </c>
      <c r="E567" s="44">
        <v>859595</v>
      </c>
      <c r="F567" s="4">
        <v>424715</v>
      </c>
      <c r="G567" s="4" t="s">
        <v>773</v>
      </c>
      <c r="H567" s="6">
        <v>143.69800000000001</v>
      </c>
      <c r="I567" s="6">
        <v>-36.866070000000001</v>
      </c>
      <c r="J567" s="4" t="s">
        <v>2878</v>
      </c>
      <c r="K567" s="4" t="s">
        <v>298</v>
      </c>
      <c r="L567" s="4" t="s">
        <v>299</v>
      </c>
      <c r="M567" s="4" t="s">
        <v>775</v>
      </c>
      <c r="N567" s="4" t="s">
        <v>1093</v>
      </c>
      <c r="Q567" s="8"/>
      <c r="Z567" s="4" t="s">
        <v>424</v>
      </c>
      <c r="AA567" s="7" t="s">
        <v>425</v>
      </c>
      <c r="AB567" s="8" t="s">
        <v>426</v>
      </c>
      <c r="AC567" s="4" t="s">
        <v>301</v>
      </c>
      <c r="AD567" s="4" t="s">
        <v>382</v>
      </c>
      <c r="AE567" s="8">
        <v>445</v>
      </c>
      <c r="AG567" s="9" t="s">
        <v>379</v>
      </c>
      <c r="AH567" s="9" t="s">
        <v>380</v>
      </c>
      <c r="AM567" s="8">
        <v>3</v>
      </c>
      <c r="AN567" s="4" t="s">
        <v>381</v>
      </c>
      <c r="AO567" s="4" t="s">
        <v>382</v>
      </c>
      <c r="AP567" s="4" t="s">
        <v>383</v>
      </c>
      <c r="AQ567" s="7" t="s">
        <v>403</v>
      </c>
      <c r="AR567" s="8" t="s">
        <v>777</v>
      </c>
      <c r="AS567" s="7"/>
      <c r="AT567" s="7"/>
      <c r="BA567" s="8">
        <v>5</v>
      </c>
      <c r="BB567" s="4" t="s">
        <v>381</v>
      </c>
      <c r="BC567" s="4" t="s">
        <v>382</v>
      </c>
      <c r="BD567" s="4" t="s">
        <v>383</v>
      </c>
      <c r="BE567" s="7" t="s">
        <v>403</v>
      </c>
      <c r="BF567" s="8" t="s">
        <v>434</v>
      </c>
      <c r="BG567" s="7">
        <v>0</v>
      </c>
      <c r="BH567" s="7">
        <v>0</v>
      </c>
      <c r="BI567" s="9" t="s">
        <v>303</v>
      </c>
      <c r="BJ567" s="9" t="s">
        <v>406</v>
      </c>
      <c r="BO567" s="8">
        <v>5</v>
      </c>
      <c r="BQ567" s="7"/>
      <c r="BR567" s="7"/>
      <c r="BS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c r="CW567" s="7"/>
      <c r="CX567" s="7"/>
      <c r="CY567" s="7"/>
      <c r="CZ567" s="7"/>
      <c r="DA567" s="7"/>
      <c r="DB567" s="7"/>
      <c r="DC567" s="7"/>
      <c r="DD567" s="7"/>
      <c r="DE567" s="7"/>
      <c r="DF567" s="7"/>
      <c r="DG567" s="7"/>
      <c r="DH567" s="7"/>
      <c r="DI567" s="7"/>
      <c r="DJ567" s="7"/>
      <c r="DK567" s="7"/>
      <c r="DL567" s="7"/>
      <c r="DM567" s="7"/>
      <c r="DN567" s="7"/>
      <c r="DO567" s="7"/>
      <c r="DP567" s="7"/>
      <c r="DQ567" s="7"/>
      <c r="DR567" s="7"/>
      <c r="DS567" s="7"/>
      <c r="DT567" s="7"/>
      <c r="DU567" s="7"/>
      <c r="DV567" s="7"/>
      <c r="DW567" s="7"/>
      <c r="DX567" s="7"/>
      <c r="DY567" s="7"/>
      <c r="DZ567" s="31"/>
      <c r="EA567" s="7"/>
      <c r="EB567" s="7"/>
      <c r="EC567" s="7"/>
      <c r="ED567" s="7"/>
      <c r="EE567" s="7"/>
      <c r="EF567" s="7"/>
      <c r="EG567" s="7"/>
      <c r="EL567" s="8">
        <v>10</v>
      </c>
      <c r="EY567" s="6"/>
      <c r="FA567" s="6"/>
      <c r="GP567" s="32"/>
      <c r="GY567" s="6" t="s">
        <v>309</v>
      </c>
      <c r="GZ567" s="6" t="s">
        <v>436</v>
      </c>
      <c r="HC567" s="6" t="s">
        <v>437</v>
      </c>
      <c r="HD567" s="4" t="s">
        <v>1095</v>
      </c>
      <c r="HE567" s="4">
        <v>36202</v>
      </c>
      <c r="HF567" s="4" t="s">
        <v>1096</v>
      </c>
      <c r="HG567" s="9" t="s">
        <v>466</v>
      </c>
      <c r="HQ567" s="9"/>
      <c r="HY567" s="9"/>
      <c r="IB567" s="8" t="s">
        <v>2879</v>
      </c>
      <c r="IC567" s="8">
        <v>35567</v>
      </c>
      <c r="ID567" s="8" t="s">
        <v>2880</v>
      </c>
      <c r="IE567" s="8" t="s">
        <v>1891</v>
      </c>
      <c r="IF567" s="8" t="s">
        <v>350</v>
      </c>
      <c r="JX567" s="7" t="s">
        <v>320</v>
      </c>
      <c r="KG567" s="4" t="s">
        <v>323</v>
      </c>
      <c r="KP567" s="18" t="s">
        <v>2881</v>
      </c>
      <c r="KQ567" s="5" t="s">
        <v>2882</v>
      </c>
      <c r="KS567" s="5" t="s">
        <v>786</v>
      </c>
      <c r="KT567" s="5" t="s">
        <v>2883</v>
      </c>
    </row>
    <row r="568" spans="1:306" ht="60" x14ac:dyDescent="0.25">
      <c r="A568" s="5" t="s">
        <v>2920</v>
      </c>
      <c r="B568" s="4" t="s">
        <v>383</v>
      </c>
      <c r="C568" s="7" t="s">
        <v>403</v>
      </c>
      <c r="D568" s="8" t="s">
        <v>434</v>
      </c>
      <c r="E568" s="4">
        <v>334826</v>
      </c>
      <c r="G568" s="4" t="s">
        <v>593</v>
      </c>
      <c r="H568" s="6">
        <v>138.77449999999999</v>
      </c>
      <c r="I568" s="6">
        <v>-35.0794</v>
      </c>
      <c r="J568" s="4" t="s">
        <v>2921</v>
      </c>
      <c r="K568" s="4" t="s">
        <v>298</v>
      </c>
      <c r="L568" s="4" t="s">
        <v>689</v>
      </c>
      <c r="Q568" s="8"/>
      <c r="Z568" s="4" t="s">
        <v>424</v>
      </c>
      <c r="AA568" s="7" t="s">
        <v>425</v>
      </c>
      <c r="AB568" s="8" t="s">
        <v>426</v>
      </c>
      <c r="AC568" s="4" t="s">
        <v>301</v>
      </c>
      <c r="AD568" s="4" t="s">
        <v>402</v>
      </c>
      <c r="AE568" s="8">
        <v>471</v>
      </c>
      <c r="AG568" s="9" t="s">
        <v>379</v>
      </c>
      <c r="AH568" s="9" t="s">
        <v>380</v>
      </c>
      <c r="AM568" s="8">
        <v>3</v>
      </c>
      <c r="AN568" s="4" t="s">
        <v>381</v>
      </c>
      <c r="AO568" s="4" t="s">
        <v>375</v>
      </c>
      <c r="AP568" s="4" t="s">
        <v>383</v>
      </c>
      <c r="AQ568" s="7" t="s">
        <v>403</v>
      </c>
      <c r="AR568" s="8" t="s">
        <v>434</v>
      </c>
      <c r="AS568" s="7">
        <v>0</v>
      </c>
      <c r="AT568" s="7">
        <v>0</v>
      </c>
      <c r="AU568" s="9" t="s">
        <v>303</v>
      </c>
      <c r="AV568" s="9" t="s">
        <v>406</v>
      </c>
      <c r="BA568" s="8">
        <v>5</v>
      </c>
      <c r="DZ568" s="31"/>
      <c r="EB568" s="10"/>
      <c r="EL568" s="6">
        <f>3.1+0.93</f>
        <v>4.03</v>
      </c>
      <c r="GP568" s="32"/>
      <c r="GY568" s="6" t="s">
        <v>309</v>
      </c>
      <c r="GZ568" s="6" t="s">
        <v>436</v>
      </c>
      <c r="HC568" s="6" t="s">
        <v>437</v>
      </c>
      <c r="HD568" s="8" t="s">
        <v>2922</v>
      </c>
      <c r="HE568" s="8">
        <v>251</v>
      </c>
      <c r="HF568" s="8" t="s">
        <v>2923</v>
      </c>
      <c r="HG568" s="9" t="s">
        <v>876</v>
      </c>
      <c r="HH568" s="9" t="s">
        <v>2924</v>
      </c>
      <c r="HI568" s="8">
        <v>27490</v>
      </c>
      <c r="HJ568" s="9" t="s">
        <v>2925</v>
      </c>
      <c r="HK568" s="9" t="s">
        <v>876</v>
      </c>
      <c r="KP568" s="5" t="s">
        <v>358</v>
      </c>
      <c r="KQ568" s="18" t="s">
        <v>1183</v>
      </c>
      <c r="KS568" s="18" t="s">
        <v>1183</v>
      </c>
      <c r="KT568" s="5" t="s">
        <v>2926</v>
      </c>
    </row>
    <row r="569" spans="1:306" ht="72" x14ac:dyDescent="0.25">
      <c r="A569" s="5" t="s">
        <v>2927</v>
      </c>
      <c r="B569" s="4" t="s">
        <v>424</v>
      </c>
      <c r="C569" s="7" t="s">
        <v>425</v>
      </c>
      <c r="D569" s="8" t="s">
        <v>426</v>
      </c>
      <c r="E569" s="4">
        <v>597608</v>
      </c>
      <c r="G569" s="4" t="s">
        <v>330</v>
      </c>
      <c r="H569" s="6">
        <v>118.6998</v>
      </c>
      <c r="I569" s="6">
        <v>-31.2912</v>
      </c>
      <c r="J569" s="4" t="s">
        <v>2928</v>
      </c>
      <c r="K569" s="4" t="s">
        <v>331</v>
      </c>
      <c r="L569" s="4" t="s">
        <v>500</v>
      </c>
      <c r="M569" s="4" t="s">
        <v>676</v>
      </c>
      <c r="N569" s="4" t="s">
        <v>1811</v>
      </c>
      <c r="Q569" s="8"/>
      <c r="R569" s="8"/>
      <c r="S569" s="4"/>
      <c r="Z569" s="4" t="s">
        <v>424</v>
      </c>
      <c r="AA569" s="7" t="s">
        <v>425</v>
      </c>
      <c r="AB569" s="8" t="s">
        <v>426</v>
      </c>
      <c r="AC569" s="4" t="s">
        <v>301</v>
      </c>
      <c r="AD569" s="4" t="s">
        <v>375</v>
      </c>
      <c r="AE569" s="8">
        <v>2640</v>
      </c>
      <c r="AF569" s="8">
        <v>9</v>
      </c>
      <c r="AG569" s="4" t="s">
        <v>303</v>
      </c>
      <c r="AH569" s="9" t="s">
        <v>304</v>
      </c>
      <c r="AI569" s="9" t="s">
        <v>598</v>
      </c>
      <c r="AJ569" s="9" t="s">
        <v>599</v>
      </c>
      <c r="AK569" s="9" t="s">
        <v>600</v>
      </c>
      <c r="AM569" s="8">
        <v>4</v>
      </c>
      <c r="AN569" s="4" t="s">
        <v>381</v>
      </c>
      <c r="AO569" s="4" t="s">
        <v>382</v>
      </c>
      <c r="AP569" s="4" t="s">
        <v>383</v>
      </c>
      <c r="AQ569" s="7" t="s">
        <v>384</v>
      </c>
      <c r="AR569" s="7" t="s">
        <v>433</v>
      </c>
      <c r="AS569" s="7">
        <v>0</v>
      </c>
      <c r="AT569" s="7">
        <v>0</v>
      </c>
      <c r="AU569" s="4" t="s">
        <v>303</v>
      </c>
      <c r="AV569" s="4" t="s">
        <v>406</v>
      </c>
      <c r="AW569" s="4"/>
      <c r="AX569" s="4"/>
      <c r="AY569" s="4"/>
      <c r="AZ569" s="4"/>
      <c r="BA569" s="8">
        <v>5</v>
      </c>
      <c r="BG569" s="8"/>
      <c r="BH569" s="8"/>
      <c r="BI569" s="4"/>
      <c r="DZ569" s="31"/>
      <c r="EL569" s="6">
        <v>86.04</v>
      </c>
      <c r="FA569" s="6"/>
      <c r="GP569" s="32"/>
      <c r="GY569" s="6" t="s">
        <v>338</v>
      </c>
      <c r="GZ569" s="6" t="s">
        <v>436</v>
      </c>
      <c r="HC569" s="6" t="s">
        <v>437</v>
      </c>
      <c r="HD569" s="8" t="s">
        <v>2929</v>
      </c>
      <c r="HE569" s="8">
        <v>35377</v>
      </c>
      <c r="HF569" s="8" t="s">
        <v>2930</v>
      </c>
      <c r="HG569" s="9" t="s">
        <v>507</v>
      </c>
      <c r="IB569" s="8" t="s">
        <v>2929</v>
      </c>
      <c r="IC569" s="8">
        <v>35377</v>
      </c>
      <c r="ID569" s="8" t="s">
        <v>2930</v>
      </c>
      <c r="IE569" s="9" t="s">
        <v>507</v>
      </c>
      <c r="IF569" s="9"/>
      <c r="II569" s="8" t="s">
        <v>702</v>
      </c>
      <c r="IJ569" s="8" t="s">
        <v>507</v>
      </c>
      <c r="IK569" s="8" t="s">
        <v>445</v>
      </c>
      <c r="IM569" s="9"/>
      <c r="IR569" s="9"/>
      <c r="JV569" s="7" t="s">
        <v>2931</v>
      </c>
      <c r="JX569" s="7" t="s">
        <v>322</v>
      </c>
      <c r="JY569" s="7" t="s">
        <v>354</v>
      </c>
      <c r="JZ569" s="7" t="s">
        <v>320</v>
      </c>
      <c r="KG569" s="4" t="s">
        <v>323</v>
      </c>
      <c r="KM569" s="4" t="s">
        <v>702</v>
      </c>
      <c r="KN569" s="4" t="s">
        <v>702</v>
      </c>
      <c r="KP569" s="5" t="s">
        <v>358</v>
      </c>
      <c r="KQ569" s="5" t="s">
        <v>2932</v>
      </c>
      <c r="KR569" s="5" t="s">
        <v>2933</v>
      </c>
      <c r="KS569" s="5" t="s">
        <v>2934</v>
      </c>
      <c r="KT569" s="5" t="s">
        <v>2935</v>
      </c>
    </row>
    <row r="570" spans="1:306" ht="96" x14ac:dyDescent="0.25">
      <c r="A570" s="5" t="s">
        <v>2942</v>
      </c>
      <c r="B570" s="4" t="s">
        <v>424</v>
      </c>
      <c r="C570" s="7" t="s">
        <v>425</v>
      </c>
      <c r="D570" s="8" t="s">
        <v>426</v>
      </c>
      <c r="E570" s="4">
        <v>335015</v>
      </c>
      <c r="G570" s="4" t="s">
        <v>773</v>
      </c>
      <c r="H570" s="6">
        <v>144.296019</v>
      </c>
      <c r="I570" s="6">
        <v>-37.454895999999998</v>
      </c>
      <c r="J570" s="4" t="s">
        <v>2943</v>
      </c>
      <c r="K570" s="4" t="s">
        <v>298</v>
      </c>
      <c r="L570" s="4" t="s">
        <v>299</v>
      </c>
      <c r="M570" s="4" t="s">
        <v>775</v>
      </c>
      <c r="N570" s="4" t="s">
        <v>1093</v>
      </c>
      <c r="Q570" s="8"/>
      <c r="R570" s="8"/>
      <c r="Z570" s="4" t="s">
        <v>424</v>
      </c>
      <c r="AA570" s="7" t="s">
        <v>425</v>
      </c>
      <c r="AB570" s="8" t="s">
        <v>426</v>
      </c>
      <c r="AC570" s="4" t="s">
        <v>301</v>
      </c>
      <c r="AD570" s="4" t="s">
        <v>375</v>
      </c>
      <c r="AE570" s="8">
        <v>445</v>
      </c>
      <c r="AF570" s="8"/>
      <c r="AG570" s="9" t="s">
        <v>379</v>
      </c>
      <c r="AH570" s="9" t="s">
        <v>380</v>
      </c>
      <c r="AM570" s="8">
        <v>3</v>
      </c>
      <c r="AN570" s="4" t="s">
        <v>381</v>
      </c>
      <c r="AO570" s="4" t="s">
        <v>382</v>
      </c>
      <c r="AP570" s="4" t="s">
        <v>383</v>
      </c>
      <c r="AQ570" s="7" t="s">
        <v>403</v>
      </c>
      <c r="AR570" s="8" t="s">
        <v>434</v>
      </c>
      <c r="AS570" s="7">
        <v>0</v>
      </c>
      <c r="AT570" s="7">
        <v>0</v>
      </c>
      <c r="AU570" s="9" t="s">
        <v>303</v>
      </c>
      <c r="AV570" s="9" t="s">
        <v>406</v>
      </c>
      <c r="BA570" s="8">
        <v>5</v>
      </c>
      <c r="BE570" s="4"/>
      <c r="BF570" s="4"/>
      <c r="BG570" s="4"/>
      <c r="BH570" s="4"/>
      <c r="BI570" s="4"/>
      <c r="BJ570" s="4"/>
      <c r="BK570" s="4"/>
      <c r="BL570" s="4"/>
      <c r="BM570" s="4"/>
      <c r="BN570" s="4"/>
      <c r="BO570" s="4"/>
      <c r="BQ570" s="7"/>
      <c r="BR570" s="7"/>
      <c r="BS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CV570" s="7"/>
      <c r="CW570" s="7"/>
      <c r="CX570" s="7"/>
      <c r="CY570" s="7"/>
      <c r="CZ570" s="7"/>
      <c r="DA570" s="7"/>
      <c r="DB570" s="7"/>
      <c r="DC570" s="7"/>
      <c r="DD570" s="7"/>
      <c r="DE570" s="7"/>
      <c r="DF570" s="7"/>
      <c r="DG570" s="7"/>
      <c r="DH570" s="7"/>
      <c r="DI570" s="7"/>
      <c r="DJ570" s="7"/>
      <c r="DK570" s="7"/>
      <c r="DL570" s="7"/>
      <c r="DM570" s="7"/>
      <c r="DN570" s="7"/>
      <c r="DO570" s="7"/>
      <c r="DP570" s="7"/>
      <c r="DQ570" s="7"/>
      <c r="DR570" s="7"/>
      <c r="DS570" s="7"/>
      <c r="DT570" s="7"/>
      <c r="DU570" s="7"/>
      <c r="DV570" s="7"/>
      <c r="DW570" s="7"/>
      <c r="DX570" s="7"/>
      <c r="DY570" s="7"/>
      <c r="DZ570" s="31"/>
      <c r="EA570" s="7"/>
      <c r="EB570" s="7"/>
      <c r="EC570" s="7"/>
      <c r="ED570" s="7"/>
      <c r="EE570" s="7"/>
      <c r="EF570" s="7"/>
      <c r="EG570" s="7"/>
      <c r="EL570" s="8">
        <v>27</v>
      </c>
      <c r="EY570" s="6"/>
      <c r="FA570" s="6"/>
      <c r="GP570" s="32"/>
      <c r="GY570" s="6" t="s">
        <v>309</v>
      </c>
      <c r="GZ570" s="6" t="s">
        <v>436</v>
      </c>
      <c r="HC570" s="6" t="s">
        <v>437</v>
      </c>
      <c r="HD570" s="4" t="s">
        <v>1095</v>
      </c>
      <c r="HE570" s="4">
        <v>36202</v>
      </c>
      <c r="HF570" s="4" t="s">
        <v>1096</v>
      </c>
      <c r="HG570" s="9" t="s">
        <v>466</v>
      </c>
      <c r="HQ570" s="9"/>
      <c r="HY570" s="9"/>
      <c r="IB570" s="8" t="s">
        <v>1097</v>
      </c>
      <c r="IC570" s="8">
        <v>30232</v>
      </c>
      <c r="ID570" s="8" t="s">
        <v>2944</v>
      </c>
      <c r="IE570" s="8" t="s">
        <v>318</v>
      </c>
      <c r="II570" s="8" t="s">
        <v>2945</v>
      </c>
      <c r="IN570" s="8" t="s">
        <v>960</v>
      </c>
      <c r="IO570" s="8"/>
      <c r="IP570" s="8"/>
      <c r="IS570" s="9" t="s">
        <v>2946</v>
      </c>
      <c r="IX570" s="9" t="s">
        <v>2947</v>
      </c>
      <c r="KP570" s="5" t="s">
        <v>358</v>
      </c>
      <c r="KQ570" s="5" t="s">
        <v>2948</v>
      </c>
      <c r="KS570" s="5" t="s">
        <v>786</v>
      </c>
      <c r="KT570" s="5" t="s">
        <v>2949</v>
      </c>
    </row>
    <row r="571" spans="1:306" ht="132" x14ac:dyDescent="0.25">
      <c r="A571" s="5" t="s">
        <v>3181</v>
      </c>
      <c r="B571" s="4" t="s">
        <v>424</v>
      </c>
      <c r="C571" s="7" t="s">
        <v>425</v>
      </c>
      <c r="D571" s="8" t="s">
        <v>426</v>
      </c>
      <c r="E571" s="4">
        <v>358432</v>
      </c>
      <c r="G571" s="4" t="s">
        <v>530</v>
      </c>
      <c r="H571" s="6">
        <v>131.82990000000001</v>
      </c>
      <c r="I571" s="6">
        <v>-13.756</v>
      </c>
      <c r="J571" s="4" t="s">
        <v>3182</v>
      </c>
      <c r="K571" s="4" t="s">
        <v>481</v>
      </c>
      <c r="L571" s="4" t="s">
        <v>532</v>
      </c>
      <c r="Q571" s="8"/>
      <c r="R571" s="8"/>
      <c r="Z571" s="4" t="s">
        <v>424</v>
      </c>
      <c r="AA571" s="7" t="s">
        <v>425</v>
      </c>
      <c r="AB571" s="8" t="s">
        <v>426</v>
      </c>
      <c r="AC571" s="4" t="s">
        <v>301</v>
      </c>
      <c r="AD571" s="4" t="s">
        <v>375</v>
      </c>
      <c r="AE571" s="8">
        <v>1810</v>
      </c>
      <c r="AF571" s="8"/>
      <c r="AG571" s="9" t="s">
        <v>379</v>
      </c>
      <c r="AH571" s="9" t="s">
        <v>380</v>
      </c>
      <c r="AM571" s="8">
        <v>3</v>
      </c>
      <c r="AN571" s="4" t="s">
        <v>381</v>
      </c>
      <c r="AO571" s="4" t="s">
        <v>382</v>
      </c>
      <c r="AP571" s="4" t="s">
        <v>383</v>
      </c>
      <c r="AQ571" s="7" t="s">
        <v>384</v>
      </c>
      <c r="AR571" s="7" t="s">
        <v>433</v>
      </c>
      <c r="AS571" s="7">
        <v>0</v>
      </c>
      <c r="AT571" s="7">
        <v>0</v>
      </c>
      <c r="AU571" s="9" t="s">
        <v>303</v>
      </c>
      <c r="AV571" s="9" t="s">
        <v>406</v>
      </c>
      <c r="BA571" s="8">
        <v>5</v>
      </c>
      <c r="BP571" s="7">
        <v>1.26</v>
      </c>
      <c r="BV571" s="6">
        <v>1.62</v>
      </c>
      <c r="DZ571" s="31"/>
      <c r="EL571" s="7">
        <f>BP571*BV571</f>
        <v>2.0412000000000003</v>
      </c>
      <c r="GP571" s="32"/>
      <c r="GY571" s="6" t="s">
        <v>338</v>
      </c>
      <c r="GZ571" s="6" t="s">
        <v>436</v>
      </c>
      <c r="HC571" s="6" t="s">
        <v>437</v>
      </c>
      <c r="HD571" s="9" t="s">
        <v>3183</v>
      </c>
      <c r="HE571" s="8">
        <v>27066</v>
      </c>
      <c r="HF571" s="9" t="s">
        <v>3184</v>
      </c>
      <c r="HG571" s="9" t="s">
        <v>538</v>
      </c>
      <c r="IB571" s="8" t="s">
        <v>1576</v>
      </c>
      <c r="IC571" s="8">
        <v>30778</v>
      </c>
      <c r="ID571" s="8" t="s">
        <v>2203</v>
      </c>
      <c r="IE571" s="8" t="s">
        <v>538</v>
      </c>
      <c r="IF571" s="8" t="s">
        <v>1578</v>
      </c>
      <c r="IW571" s="8"/>
      <c r="JB571" s="8"/>
      <c r="KM571" s="4" t="s">
        <v>836</v>
      </c>
      <c r="KN571" s="4" t="s">
        <v>836</v>
      </c>
      <c r="KP571" s="5" t="s">
        <v>358</v>
      </c>
      <c r="KQ571" s="5" t="s">
        <v>739</v>
      </c>
      <c r="KS571" s="5" t="s">
        <v>3185</v>
      </c>
      <c r="KT571" s="5" t="s">
        <v>3186</v>
      </c>
    </row>
    <row r="572" spans="1:306" ht="84" x14ac:dyDescent="0.25">
      <c r="A572" s="5" t="s">
        <v>3332</v>
      </c>
      <c r="B572" s="4" t="s">
        <v>424</v>
      </c>
      <c r="C572" s="7" t="s">
        <v>425</v>
      </c>
      <c r="D572" s="7" t="s">
        <v>426</v>
      </c>
      <c r="E572" s="4">
        <v>333382</v>
      </c>
      <c r="G572" s="4" t="s">
        <v>427</v>
      </c>
      <c r="H572" s="6">
        <v>148.01599999999999</v>
      </c>
      <c r="I572" s="6">
        <v>-33.379899999999999</v>
      </c>
      <c r="J572" s="4" t="s">
        <v>3333</v>
      </c>
      <c r="K572" s="4" t="s">
        <v>298</v>
      </c>
      <c r="L572" s="4" t="s">
        <v>299</v>
      </c>
      <c r="M572" s="4" t="s">
        <v>1359</v>
      </c>
      <c r="O572" s="7"/>
      <c r="Q572" s="8"/>
      <c r="Z572" s="4" t="s">
        <v>424</v>
      </c>
      <c r="AA572" s="7" t="s">
        <v>425</v>
      </c>
      <c r="AB572" s="7" t="s">
        <v>426</v>
      </c>
      <c r="AC572" s="4" t="s">
        <v>301</v>
      </c>
      <c r="AD572" s="4" t="s">
        <v>375</v>
      </c>
      <c r="AE572" s="8">
        <v>400</v>
      </c>
      <c r="AG572" s="9" t="s">
        <v>379</v>
      </c>
      <c r="AH572" s="9" t="s">
        <v>380</v>
      </c>
      <c r="AM572" s="8">
        <v>2</v>
      </c>
      <c r="AN572" s="4" t="s">
        <v>381</v>
      </c>
      <c r="AO572" s="4" t="s">
        <v>382</v>
      </c>
      <c r="AP572" s="4" t="s">
        <v>383</v>
      </c>
      <c r="AQ572" s="7" t="s">
        <v>384</v>
      </c>
      <c r="AR572" s="8" t="s">
        <v>433</v>
      </c>
      <c r="AS572" s="7">
        <v>0</v>
      </c>
      <c r="AT572" s="7">
        <v>0</v>
      </c>
      <c r="AU572" s="9" t="s">
        <v>303</v>
      </c>
      <c r="AV572" s="9" t="s">
        <v>406</v>
      </c>
      <c r="BA572" s="8">
        <v>5</v>
      </c>
      <c r="BB572" s="4" t="s">
        <v>381</v>
      </c>
      <c r="BC572" s="4" t="s">
        <v>382</v>
      </c>
      <c r="BD572" s="4" t="s">
        <v>383</v>
      </c>
      <c r="BE572" s="7" t="s">
        <v>403</v>
      </c>
      <c r="BF572" s="8" t="s">
        <v>434</v>
      </c>
      <c r="BG572" s="7">
        <v>0</v>
      </c>
      <c r="BH572" s="7">
        <v>0</v>
      </c>
      <c r="BI572" s="9" t="s">
        <v>303</v>
      </c>
      <c r="BJ572" s="9" t="s">
        <v>406</v>
      </c>
      <c r="BO572" s="8">
        <v>5</v>
      </c>
      <c r="BP572" s="7">
        <v>0.87</v>
      </c>
      <c r="BV572" s="6">
        <v>1.83</v>
      </c>
      <c r="DZ572" s="31"/>
      <c r="EL572" s="6">
        <f>BP572*BV572</f>
        <v>1.5921000000000001</v>
      </c>
      <c r="GP572" s="32"/>
      <c r="GY572" s="6" t="s">
        <v>338</v>
      </c>
      <c r="GZ572" s="6" t="s">
        <v>436</v>
      </c>
      <c r="HC572" s="6" t="s">
        <v>437</v>
      </c>
      <c r="HD572" s="8" t="s">
        <v>3334</v>
      </c>
      <c r="HE572" s="8">
        <v>25742</v>
      </c>
      <c r="HF572" s="8" t="s">
        <v>3335</v>
      </c>
      <c r="HG572" s="8" t="s">
        <v>440</v>
      </c>
      <c r="HH572" s="9" t="s">
        <v>3336</v>
      </c>
      <c r="HI572" s="8">
        <v>27752</v>
      </c>
      <c r="HJ572" s="9" t="s">
        <v>3337</v>
      </c>
      <c r="HK572" s="8" t="s">
        <v>440</v>
      </c>
      <c r="IB572" s="8" t="s">
        <v>3334</v>
      </c>
      <c r="IC572" s="8">
        <v>25742</v>
      </c>
      <c r="ID572" s="8" t="s">
        <v>3335</v>
      </c>
      <c r="IE572" s="8" t="s">
        <v>440</v>
      </c>
      <c r="IF572" s="8" t="s">
        <v>445</v>
      </c>
      <c r="IW572" s="8"/>
      <c r="JB572" s="8"/>
      <c r="JV572" s="7" t="s">
        <v>3338</v>
      </c>
      <c r="JX572" s="7" t="s">
        <v>320</v>
      </c>
      <c r="JY572" s="7" t="s">
        <v>354</v>
      </c>
      <c r="JZ572" s="7" t="s">
        <v>353</v>
      </c>
      <c r="KG572" s="4" t="s">
        <v>323</v>
      </c>
      <c r="KM572" s="4" t="s">
        <v>391</v>
      </c>
      <c r="KN572" s="4" t="s">
        <v>391</v>
      </c>
      <c r="KP572" s="5" t="s">
        <v>358</v>
      </c>
      <c r="KQ572" s="5" t="s">
        <v>3339</v>
      </c>
      <c r="KS572" s="5" t="s">
        <v>3340</v>
      </c>
      <c r="KT572" s="5" t="s">
        <v>3341</v>
      </c>
    </row>
    <row r="573" spans="1:306" ht="228" x14ac:dyDescent="0.25">
      <c r="A573" s="5" t="s">
        <v>3354</v>
      </c>
      <c r="B573" s="4" t="s">
        <v>424</v>
      </c>
      <c r="C573" s="7" t="s">
        <v>425</v>
      </c>
      <c r="D573" s="8" t="s">
        <v>426</v>
      </c>
      <c r="E573" s="4">
        <v>335017</v>
      </c>
      <c r="G573" s="4" t="s">
        <v>773</v>
      </c>
      <c r="H573" s="6">
        <v>144.499125222</v>
      </c>
      <c r="I573" s="6">
        <v>-36.703216773000001</v>
      </c>
      <c r="J573" s="4" t="s">
        <v>3354</v>
      </c>
      <c r="K573" s="4" t="s">
        <v>298</v>
      </c>
      <c r="L573" s="4" t="s">
        <v>299</v>
      </c>
      <c r="M573" s="4" t="s">
        <v>775</v>
      </c>
      <c r="N573" s="4" t="s">
        <v>1093</v>
      </c>
      <c r="Q573" s="8"/>
      <c r="R573" s="8"/>
      <c r="Z573" s="4" t="s">
        <v>424</v>
      </c>
      <c r="AA573" s="7" t="s">
        <v>425</v>
      </c>
      <c r="AB573" s="8" t="s">
        <v>426</v>
      </c>
      <c r="AC573" s="4" t="s">
        <v>301</v>
      </c>
      <c r="AD573" s="4" t="s">
        <v>382</v>
      </c>
      <c r="AE573" s="8">
        <v>384</v>
      </c>
      <c r="AF573" s="8">
        <v>4</v>
      </c>
      <c r="AG573" s="9" t="s">
        <v>379</v>
      </c>
      <c r="AH573" s="9" t="s">
        <v>429</v>
      </c>
      <c r="AI573" s="9" t="s">
        <v>430</v>
      </c>
      <c r="AJ573" s="9" t="s">
        <v>431</v>
      </c>
      <c r="AK573" s="9" t="s">
        <v>432</v>
      </c>
      <c r="AM573" s="8">
        <v>4</v>
      </c>
      <c r="AN573" s="4" t="s">
        <v>301</v>
      </c>
      <c r="AO573" s="4" t="s">
        <v>382</v>
      </c>
      <c r="AP573" s="4" t="s">
        <v>424</v>
      </c>
      <c r="AQ573" s="7" t="s">
        <v>425</v>
      </c>
      <c r="AR573" s="8" t="s">
        <v>426</v>
      </c>
      <c r="AS573" s="8">
        <v>370</v>
      </c>
      <c r="AT573" s="7"/>
      <c r="AU573" s="9" t="s">
        <v>379</v>
      </c>
      <c r="AV573" s="9" t="s">
        <v>380</v>
      </c>
      <c r="BA573" s="8">
        <v>2</v>
      </c>
      <c r="BB573" s="4" t="s">
        <v>381</v>
      </c>
      <c r="BC573" s="4" t="s">
        <v>382</v>
      </c>
      <c r="BD573" s="4" t="s">
        <v>383</v>
      </c>
      <c r="BE573" s="7" t="s">
        <v>384</v>
      </c>
      <c r="BF573" s="8" t="s">
        <v>433</v>
      </c>
      <c r="BG573" s="7">
        <v>0</v>
      </c>
      <c r="BH573" s="7">
        <v>0</v>
      </c>
      <c r="BI573" s="9" t="s">
        <v>303</v>
      </c>
      <c r="BJ573" s="9" t="s">
        <v>406</v>
      </c>
      <c r="BO573" s="8">
        <v>5</v>
      </c>
      <c r="DZ573" s="31"/>
      <c r="EL573" s="8">
        <f>(0.047+0.24+3.032502+0.338327+0.509601)*31.1+10.793*5.03+5.638*6.53</f>
        <v>220.71200299999998</v>
      </c>
      <c r="EY573" s="6"/>
      <c r="FA573" s="6"/>
      <c r="GP573" s="32"/>
      <c r="GY573" s="6" t="s">
        <v>435</v>
      </c>
      <c r="GZ573" s="6" t="s">
        <v>436</v>
      </c>
      <c r="HC573" s="6" t="s">
        <v>437</v>
      </c>
      <c r="HD573" s="8" t="s">
        <v>1095</v>
      </c>
      <c r="HE573" s="8">
        <v>36202</v>
      </c>
      <c r="HF573" s="8" t="s">
        <v>1096</v>
      </c>
      <c r="HG573" s="9" t="s">
        <v>466</v>
      </c>
      <c r="HQ573" s="9"/>
      <c r="HY573" s="9"/>
      <c r="ID573" s="8" t="s">
        <v>3355</v>
      </c>
      <c r="IE573" s="8" t="s">
        <v>1507</v>
      </c>
      <c r="IF573" s="8" t="s">
        <v>1578</v>
      </c>
      <c r="II573" s="8" t="s">
        <v>3356</v>
      </c>
      <c r="IJ573" s="8" t="s">
        <v>3357</v>
      </c>
      <c r="IK573" s="8" t="s">
        <v>350</v>
      </c>
      <c r="JV573" s="7" t="s">
        <v>3358</v>
      </c>
      <c r="JX573" s="7" t="s">
        <v>320</v>
      </c>
      <c r="KG573" s="4" t="s">
        <v>323</v>
      </c>
      <c r="KM573" s="4" t="s">
        <v>471</v>
      </c>
      <c r="KN573" s="4" t="s">
        <v>471</v>
      </c>
      <c r="KP573" s="5" t="s">
        <v>3359</v>
      </c>
      <c r="KQ573" s="5" t="s">
        <v>3360</v>
      </c>
      <c r="KR573" s="5" t="s">
        <v>3361</v>
      </c>
      <c r="KS573" s="5" t="s">
        <v>3362</v>
      </c>
      <c r="KT573" s="5" t="s">
        <v>3363</v>
      </c>
    </row>
    <row r="574" spans="1:306" ht="132" x14ac:dyDescent="0.2">
      <c r="A574" s="5" t="s">
        <v>3364</v>
      </c>
      <c r="B574" s="4" t="s">
        <v>424</v>
      </c>
      <c r="C574" s="7" t="s">
        <v>425</v>
      </c>
      <c r="D574" s="8" t="s">
        <v>426</v>
      </c>
      <c r="E574" s="44">
        <v>334291</v>
      </c>
      <c r="G574" s="4" t="s">
        <v>530</v>
      </c>
      <c r="H574" s="6">
        <v>131.50829999999999</v>
      </c>
      <c r="I574" s="6">
        <v>-13.466699999999999</v>
      </c>
      <c r="K574" s="4" t="s">
        <v>481</v>
      </c>
      <c r="L574" s="4" t="s">
        <v>532</v>
      </c>
      <c r="Q574" s="8"/>
      <c r="Z574" s="4" t="s">
        <v>424</v>
      </c>
      <c r="AA574" s="7" t="s">
        <v>425</v>
      </c>
      <c r="AB574" s="8" t="s">
        <v>426</v>
      </c>
      <c r="AC574" s="4" t="s">
        <v>301</v>
      </c>
      <c r="AD574" s="4" t="s">
        <v>375</v>
      </c>
      <c r="AE574" s="8">
        <v>1810</v>
      </c>
      <c r="AG574" s="9" t="s">
        <v>379</v>
      </c>
      <c r="AH574" s="9" t="s">
        <v>380</v>
      </c>
      <c r="AM574" s="8">
        <v>3</v>
      </c>
      <c r="AN574" s="4" t="s">
        <v>381</v>
      </c>
      <c r="AO574" s="4" t="s">
        <v>382</v>
      </c>
      <c r="AP574" s="4" t="s">
        <v>383</v>
      </c>
      <c r="AQ574" s="7" t="s">
        <v>384</v>
      </c>
      <c r="AR574" s="8" t="s">
        <v>433</v>
      </c>
      <c r="AS574" s="7">
        <v>0</v>
      </c>
      <c r="AT574" s="7">
        <v>0</v>
      </c>
      <c r="AU574" s="9" t="s">
        <v>303</v>
      </c>
      <c r="AV574" s="9" t="s">
        <v>406</v>
      </c>
      <c r="BA574" s="8">
        <v>5</v>
      </c>
      <c r="BP574" s="7">
        <v>2.94</v>
      </c>
      <c r="BV574" s="7">
        <v>1.7</v>
      </c>
      <c r="DZ574" s="31"/>
      <c r="EL574" s="7">
        <f t="shared" ref="EL574:EL579" si="25">BP574*BV574</f>
        <v>4.9980000000000002</v>
      </c>
      <c r="GP574" s="32"/>
      <c r="GY574" s="6" t="s">
        <v>338</v>
      </c>
      <c r="GZ574" s="6" t="s">
        <v>436</v>
      </c>
      <c r="HC574" s="6" t="s">
        <v>437</v>
      </c>
      <c r="HD574" s="8" t="s">
        <v>3183</v>
      </c>
      <c r="HE574" s="8">
        <v>27066</v>
      </c>
      <c r="HF574" s="8" t="s">
        <v>3184</v>
      </c>
      <c r="HG574" s="9" t="s">
        <v>538</v>
      </c>
      <c r="IB574" s="8" t="s">
        <v>1574</v>
      </c>
      <c r="IC574" s="8">
        <v>27310</v>
      </c>
      <c r="ID574" s="8" t="s">
        <v>1575</v>
      </c>
      <c r="IE574" s="8" t="s">
        <v>538</v>
      </c>
      <c r="IF574" s="8" t="s">
        <v>445</v>
      </c>
      <c r="IG574" s="8" t="s">
        <v>1576</v>
      </c>
      <c r="IH574" s="8">
        <v>30778</v>
      </c>
      <c r="II574" s="8" t="s">
        <v>2203</v>
      </c>
      <c r="IJ574" s="8" t="s">
        <v>538</v>
      </c>
      <c r="IK574" s="8" t="s">
        <v>1578</v>
      </c>
      <c r="KP574" s="18" t="s">
        <v>3365</v>
      </c>
      <c r="KQ574" s="5" t="s">
        <v>3366</v>
      </c>
      <c r="KS574" s="5" t="s">
        <v>3366</v>
      </c>
      <c r="KT574" s="5" t="s">
        <v>3367</v>
      </c>
    </row>
    <row r="575" spans="1:306" ht="48" x14ac:dyDescent="0.25">
      <c r="A575" s="5" t="s">
        <v>3406</v>
      </c>
      <c r="B575" s="4" t="s">
        <v>424</v>
      </c>
      <c r="C575" s="7" t="s">
        <v>425</v>
      </c>
      <c r="D575" s="8" t="s">
        <v>426</v>
      </c>
      <c r="E575" s="4">
        <v>536579</v>
      </c>
      <c r="G575" s="4" t="s">
        <v>330</v>
      </c>
      <c r="H575" s="6">
        <v>122.35599999999999</v>
      </c>
      <c r="I575" s="6">
        <v>-27.906400000000001</v>
      </c>
      <c r="J575" s="4" t="s">
        <v>3326</v>
      </c>
      <c r="K575" s="4" t="s">
        <v>331</v>
      </c>
      <c r="L575" s="4" t="s">
        <v>500</v>
      </c>
      <c r="M575" s="4" t="s">
        <v>501</v>
      </c>
      <c r="N575" s="4" t="s">
        <v>625</v>
      </c>
      <c r="Q575" s="8"/>
      <c r="Z575" s="4" t="s">
        <v>424</v>
      </c>
      <c r="AA575" s="7" t="s">
        <v>425</v>
      </c>
      <c r="AB575" s="8" t="s">
        <v>426</v>
      </c>
      <c r="AC575" s="4" t="s">
        <v>301</v>
      </c>
      <c r="AD575" s="4" t="s">
        <v>375</v>
      </c>
      <c r="AE575" s="8">
        <v>2650</v>
      </c>
      <c r="AG575" s="9" t="s">
        <v>379</v>
      </c>
      <c r="AH575" s="9" t="s">
        <v>380</v>
      </c>
      <c r="AM575" s="8">
        <v>2</v>
      </c>
      <c r="AN575" s="4" t="s">
        <v>381</v>
      </c>
      <c r="AO575" s="4" t="s">
        <v>382</v>
      </c>
      <c r="AP575" s="4" t="s">
        <v>383</v>
      </c>
      <c r="AQ575" s="7" t="s">
        <v>384</v>
      </c>
      <c r="AR575" s="7" t="s">
        <v>433</v>
      </c>
      <c r="AS575" s="7">
        <v>0</v>
      </c>
      <c r="AT575" s="7">
        <v>0</v>
      </c>
      <c r="AU575" s="4" t="s">
        <v>303</v>
      </c>
      <c r="AV575" s="4" t="s">
        <v>406</v>
      </c>
      <c r="AW575" s="4"/>
      <c r="AX575" s="4"/>
      <c r="AY575" s="4"/>
      <c r="AZ575" s="4"/>
      <c r="BA575" s="8">
        <v>5</v>
      </c>
      <c r="BG575" s="8"/>
      <c r="BP575" s="7">
        <v>101.7</v>
      </c>
      <c r="BQ575" s="7"/>
      <c r="BV575" s="6">
        <v>0.92</v>
      </c>
      <c r="DZ575" s="31"/>
      <c r="EL575" s="7">
        <f t="shared" si="25"/>
        <v>93.564000000000007</v>
      </c>
      <c r="GP575" s="32"/>
      <c r="GY575" s="6" t="s">
        <v>338</v>
      </c>
      <c r="GZ575" s="6" t="s">
        <v>436</v>
      </c>
      <c r="HC575" s="6" t="s">
        <v>437</v>
      </c>
      <c r="HF575" s="8" t="s">
        <v>2334</v>
      </c>
      <c r="HG575" s="9" t="s">
        <v>507</v>
      </c>
      <c r="HJ575" s="9" t="s">
        <v>3407</v>
      </c>
      <c r="HK575" s="9" t="s">
        <v>507</v>
      </c>
      <c r="ID575" s="8" t="s">
        <v>2334</v>
      </c>
      <c r="IE575" s="9" t="s">
        <v>507</v>
      </c>
      <c r="IF575" s="9" t="s">
        <v>445</v>
      </c>
      <c r="IR575" s="9"/>
      <c r="JV575" s="7" t="s">
        <v>3408</v>
      </c>
      <c r="JX575" s="7" t="s">
        <v>320</v>
      </c>
      <c r="JY575" s="7" t="s">
        <v>354</v>
      </c>
      <c r="JZ575" s="7" t="s">
        <v>322</v>
      </c>
      <c r="KG575" s="4" t="s">
        <v>323</v>
      </c>
      <c r="KM575" s="4" t="s">
        <v>391</v>
      </c>
      <c r="KN575" s="4" t="s">
        <v>391</v>
      </c>
      <c r="KP575" s="5" t="s">
        <v>358</v>
      </c>
      <c r="KQ575" s="5" t="s">
        <v>3409</v>
      </c>
      <c r="KS575" s="5" t="s">
        <v>3409</v>
      </c>
      <c r="KT575" s="5" t="s">
        <v>3410</v>
      </c>
    </row>
    <row r="576" spans="1:306" s="14" customFormat="1" ht="48" x14ac:dyDescent="0.25">
      <c r="A576" s="5" t="s">
        <v>3421</v>
      </c>
      <c r="B576" s="4" t="s">
        <v>424</v>
      </c>
      <c r="C576" s="7" t="s">
        <v>425</v>
      </c>
      <c r="D576" s="8" t="s">
        <v>426</v>
      </c>
      <c r="E576" s="4">
        <v>334855</v>
      </c>
      <c r="F576" s="4"/>
      <c r="G576" s="4" t="s">
        <v>330</v>
      </c>
      <c r="H576" s="6">
        <v>121.430481</v>
      </c>
      <c r="I576" s="6">
        <v>-31.079633999999999</v>
      </c>
      <c r="J576" s="4" t="s">
        <v>3421</v>
      </c>
      <c r="K576" s="4" t="s">
        <v>331</v>
      </c>
      <c r="L576" s="4" t="s">
        <v>500</v>
      </c>
      <c r="M576" s="4" t="s">
        <v>501</v>
      </c>
      <c r="N576" s="4" t="s">
        <v>1061</v>
      </c>
      <c r="O576" s="8"/>
      <c r="P576" s="4"/>
      <c r="Q576" s="9"/>
      <c r="R576" s="9"/>
      <c r="S576" s="9"/>
      <c r="T576" s="9"/>
      <c r="U576" s="9"/>
      <c r="V576" s="9"/>
      <c r="W576" s="9"/>
      <c r="X576" s="9"/>
      <c r="Y576" s="8"/>
      <c r="Z576" s="4" t="s">
        <v>424</v>
      </c>
      <c r="AA576" s="7" t="s">
        <v>425</v>
      </c>
      <c r="AB576" s="8" t="s">
        <v>426</v>
      </c>
      <c r="AC576" s="4" t="s">
        <v>301</v>
      </c>
      <c r="AD576" s="4" t="s">
        <v>375</v>
      </c>
      <c r="AE576" s="9"/>
      <c r="AF576" s="9"/>
      <c r="AG576" s="9"/>
      <c r="AH576" s="9"/>
      <c r="AI576" s="9"/>
      <c r="AJ576" s="9"/>
      <c r="AK576" s="9"/>
      <c r="AL576" s="9"/>
      <c r="AM576" s="8"/>
      <c r="AN576" s="4" t="s">
        <v>381</v>
      </c>
      <c r="AO576" s="4" t="s">
        <v>382</v>
      </c>
      <c r="AP576" s="4" t="s">
        <v>383</v>
      </c>
      <c r="AQ576" s="7" t="s">
        <v>384</v>
      </c>
      <c r="AR576" s="7" t="s">
        <v>433</v>
      </c>
      <c r="AS576" s="7">
        <v>0</v>
      </c>
      <c r="AT576" s="7">
        <v>0</v>
      </c>
      <c r="AU576" s="4" t="s">
        <v>303</v>
      </c>
      <c r="AV576" s="4" t="s">
        <v>406</v>
      </c>
      <c r="AW576" s="4"/>
      <c r="AX576" s="4"/>
      <c r="AY576" s="4"/>
      <c r="AZ576" s="4"/>
      <c r="BA576" s="8">
        <v>5</v>
      </c>
      <c r="BB576" s="4"/>
      <c r="BC576" s="4"/>
      <c r="BD576" s="4"/>
      <c r="BE576" s="7"/>
      <c r="BF576" s="8"/>
      <c r="BG576" s="9"/>
      <c r="BH576" s="9"/>
      <c r="BI576" s="9"/>
      <c r="BJ576" s="9"/>
      <c r="BK576" s="9"/>
      <c r="BL576" s="9"/>
      <c r="BM576" s="9"/>
      <c r="BN576" s="9"/>
      <c r="BO576" s="8"/>
      <c r="BP576" s="7">
        <v>7.8</v>
      </c>
      <c r="BQ576" s="6"/>
      <c r="BR576" s="6"/>
      <c r="BS576" s="6"/>
      <c r="BT576" s="6"/>
      <c r="BU576" s="8"/>
      <c r="BV576" s="6">
        <v>4.7</v>
      </c>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31"/>
      <c r="EA576" s="6"/>
      <c r="EB576" s="6"/>
      <c r="EC576" s="6"/>
      <c r="ED576" s="6"/>
      <c r="EE576" s="6"/>
      <c r="EF576" s="6"/>
      <c r="EG576" s="6"/>
      <c r="EH576" s="10"/>
      <c r="EI576" s="10"/>
      <c r="EJ576" s="10"/>
      <c r="EK576" s="10"/>
      <c r="EL576" s="7">
        <f t="shared" si="25"/>
        <v>36.660000000000004</v>
      </c>
      <c r="EM576" s="6"/>
      <c r="EN576" s="6"/>
      <c r="EO576" s="6"/>
      <c r="EP576" s="6"/>
      <c r="EQ576" s="6"/>
      <c r="ER576" s="6"/>
      <c r="ES576" s="6"/>
      <c r="ET576" s="6"/>
      <c r="EU576" s="6"/>
      <c r="EV576" s="6"/>
      <c r="EW576" s="6"/>
      <c r="EX576" s="6"/>
      <c r="EY576" s="8"/>
      <c r="EZ576" s="6"/>
      <c r="FA576" s="10"/>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32"/>
      <c r="GQ576" s="6"/>
      <c r="GR576" s="6"/>
      <c r="GS576" s="6"/>
      <c r="GT576" s="6"/>
      <c r="GU576" s="6"/>
      <c r="GV576" s="6"/>
      <c r="GW576" s="6"/>
      <c r="GX576" s="6"/>
      <c r="GY576" s="6" t="s">
        <v>338</v>
      </c>
      <c r="GZ576" s="6" t="s">
        <v>436</v>
      </c>
      <c r="HA576" s="6"/>
      <c r="HB576" s="6"/>
      <c r="HC576" s="6" t="s">
        <v>437</v>
      </c>
      <c r="HD576" s="8" t="s">
        <v>3422</v>
      </c>
      <c r="HE576" s="8"/>
      <c r="HF576" s="8" t="s">
        <v>3423</v>
      </c>
      <c r="HG576" s="9" t="s">
        <v>507</v>
      </c>
      <c r="HH576" s="9" t="s">
        <v>3424</v>
      </c>
      <c r="HI576" s="8"/>
      <c r="HJ576" s="9" t="s">
        <v>3425</v>
      </c>
      <c r="HK576" s="9" t="s">
        <v>507</v>
      </c>
      <c r="HL576" s="9" t="s">
        <v>3426</v>
      </c>
      <c r="HM576" s="8"/>
      <c r="HN576" s="9" t="s">
        <v>3425</v>
      </c>
      <c r="HO576" s="9" t="s">
        <v>507</v>
      </c>
      <c r="HP576" s="9"/>
      <c r="HQ576" s="8"/>
      <c r="HR576" s="9"/>
      <c r="HS576" s="9"/>
      <c r="HT576" s="9"/>
      <c r="HU576" s="9"/>
      <c r="HV576" s="9"/>
      <c r="HW576" s="9"/>
      <c r="HX576" s="9"/>
      <c r="HY576" s="8"/>
      <c r="HZ576" s="9"/>
      <c r="IA576" s="9"/>
      <c r="IB576" s="9" t="s">
        <v>3424</v>
      </c>
      <c r="IC576" s="8"/>
      <c r="ID576" s="9" t="s">
        <v>3425</v>
      </c>
      <c r="IE576" s="9" t="s">
        <v>507</v>
      </c>
      <c r="IF576" s="9" t="s">
        <v>445</v>
      </c>
      <c r="IG576" s="9" t="s">
        <v>3426</v>
      </c>
      <c r="IH576" s="8"/>
      <c r="II576" s="9" t="s">
        <v>3425</v>
      </c>
      <c r="IJ576" s="9" t="s">
        <v>507</v>
      </c>
      <c r="IK576" s="8" t="s">
        <v>445</v>
      </c>
      <c r="IL576" s="9"/>
      <c r="IM576" s="8"/>
      <c r="IN576" s="9"/>
      <c r="IO576" s="9"/>
      <c r="IP576" s="9"/>
      <c r="IQ576" s="9"/>
      <c r="IR576" s="9"/>
      <c r="IS576" s="9"/>
      <c r="IT576" s="9"/>
      <c r="IU576" s="9"/>
      <c r="IV576" s="9"/>
      <c r="IW576" s="9"/>
      <c r="IX576" s="9"/>
      <c r="IY576" s="9"/>
      <c r="IZ576" s="9"/>
      <c r="JA576" s="9"/>
      <c r="JB576" s="9"/>
      <c r="JC576" s="9"/>
      <c r="JD576" s="9"/>
      <c r="JE576" s="9"/>
      <c r="JF576" s="9"/>
      <c r="JG576" s="9"/>
      <c r="JH576" s="9"/>
      <c r="JI576" s="9"/>
      <c r="JJ576" s="9"/>
      <c r="JK576" s="9"/>
      <c r="JL576" s="9"/>
      <c r="JM576" s="9"/>
      <c r="JN576" s="9"/>
      <c r="JO576" s="9"/>
      <c r="JP576" s="9"/>
      <c r="JQ576" s="9"/>
      <c r="JR576" s="9"/>
      <c r="JS576" s="9"/>
      <c r="JT576" s="9"/>
      <c r="JU576" s="7"/>
      <c r="JV576" s="7" t="s">
        <v>3427</v>
      </c>
      <c r="JW576" s="7"/>
      <c r="JX576" s="7" t="s">
        <v>322</v>
      </c>
      <c r="JY576" s="7" t="s">
        <v>470</v>
      </c>
      <c r="JZ576" s="7" t="s">
        <v>320</v>
      </c>
      <c r="KA576" s="7"/>
      <c r="KB576" s="7"/>
      <c r="KC576" s="7"/>
      <c r="KD576" s="7"/>
      <c r="KE576" s="7"/>
      <c r="KF576" s="7"/>
      <c r="KG576" s="4" t="s">
        <v>323</v>
      </c>
      <c r="KH576" s="4"/>
      <c r="KI576" s="4"/>
      <c r="KJ576" s="4"/>
      <c r="KK576" s="4"/>
      <c r="KL576" s="4"/>
      <c r="KM576" s="4" t="s">
        <v>1439</v>
      </c>
      <c r="KN576" s="4" t="s">
        <v>1192</v>
      </c>
      <c r="KO576" s="4"/>
      <c r="KP576" s="5" t="s">
        <v>358</v>
      </c>
      <c r="KQ576" s="5" t="s">
        <v>3428</v>
      </c>
      <c r="KR576" s="5"/>
      <c r="KS576" s="5" t="s">
        <v>3429</v>
      </c>
      <c r="KT576" s="5" t="s">
        <v>3430</v>
      </c>
    </row>
    <row r="577" spans="1:306" ht="144" x14ac:dyDescent="0.25">
      <c r="A577" s="5" t="s">
        <v>3498</v>
      </c>
      <c r="B577" s="4" t="s">
        <v>424</v>
      </c>
      <c r="C577" s="7" t="s">
        <v>425</v>
      </c>
      <c r="D577" s="8" t="s">
        <v>426</v>
      </c>
      <c r="E577" s="4">
        <v>755841</v>
      </c>
      <c r="G577" s="4" t="s">
        <v>330</v>
      </c>
      <c r="H577" s="6">
        <v>116.15</v>
      </c>
      <c r="I577" s="6">
        <v>-25.37</v>
      </c>
      <c r="J577" s="4" t="s">
        <v>3499</v>
      </c>
      <c r="K577" s="4" t="s">
        <v>331</v>
      </c>
      <c r="L577" s="4" t="s">
        <v>332</v>
      </c>
      <c r="M577" s="4" t="s">
        <v>3499</v>
      </c>
      <c r="Q577" s="8"/>
      <c r="R577" s="8"/>
      <c r="Z577" s="4" t="s">
        <v>424</v>
      </c>
      <c r="AA577" s="7" t="s">
        <v>425</v>
      </c>
      <c r="AB577" s="8" t="s">
        <v>426</v>
      </c>
      <c r="AC577" s="4" t="s">
        <v>301</v>
      </c>
      <c r="AD577" s="4" t="s">
        <v>375</v>
      </c>
      <c r="AE577" s="8">
        <v>2016.5</v>
      </c>
      <c r="AF577" s="8">
        <v>30.5</v>
      </c>
      <c r="AG577" s="9" t="s">
        <v>379</v>
      </c>
      <c r="AH577" s="9" t="s">
        <v>460</v>
      </c>
      <c r="AM577" s="8">
        <v>2</v>
      </c>
      <c r="AN577" s="4" t="s">
        <v>381</v>
      </c>
      <c r="AO577" s="4" t="s">
        <v>382</v>
      </c>
      <c r="AP577" s="4" t="s">
        <v>383</v>
      </c>
      <c r="AQ577" s="7" t="s">
        <v>384</v>
      </c>
      <c r="AR577" s="8" t="s">
        <v>433</v>
      </c>
      <c r="AS577" s="7">
        <v>0</v>
      </c>
      <c r="AT577" s="7">
        <v>0</v>
      </c>
      <c r="AU577" s="4" t="s">
        <v>303</v>
      </c>
      <c r="AV577" s="4" t="s">
        <v>406</v>
      </c>
      <c r="AW577" s="4"/>
      <c r="AX577" s="4"/>
      <c r="AY577" s="4"/>
      <c r="AZ577" s="4"/>
      <c r="BA577" s="8">
        <v>5</v>
      </c>
      <c r="BG577" s="8"/>
      <c r="BH577" s="8"/>
      <c r="BP577" s="7">
        <v>16.3</v>
      </c>
      <c r="BQ577" s="7"/>
      <c r="BV577" s="7">
        <v>1</v>
      </c>
      <c r="DZ577" s="31"/>
      <c r="EL577" s="7">
        <f t="shared" si="25"/>
        <v>16.3</v>
      </c>
      <c r="GP577" s="32"/>
      <c r="GY577" s="6" t="s">
        <v>338</v>
      </c>
      <c r="GZ577" s="6" t="s">
        <v>436</v>
      </c>
      <c r="HC577" s="6" t="s">
        <v>437</v>
      </c>
      <c r="HF577" s="8" t="s">
        <v>3500</v>
      </c>
      <c r="IB577" s="8" t="s">
        <v>3501</v>
      </c>
      <c r="IC577" s="8">
        <v>33444</v>
      </c>
      <c r="ID577" s="8" t="s">
        <v>3502</v>
      </c>
      <c r="IE577" s="8" t="s">
        <v>538</v>
      </c>
      <c r="IR577" s="9"/>
      <c r="JV577" s="7" t="s">
        <v>3503</v>
      </c>
      <c r="JX577" s="7" t="s">
        <v>322</v>
      </c>
      <c r="JY577" s="7" t="s">
        <v>448</v>
      </c>
      <c r="JZ577" s="7" t="s">
        <v>320</v>
      </c>
      <c r="KG577" s="4" t="s">
        <v>323</v>
      </c>
      <c r="KM577" s="4" t="s">
        <v>888</v>
      </c>
      <c r="KN577" s="4" t="s">
        <v>888</v>
      </c>
      <c r="KP577" s="5" t="s">
        <v>3504</v>
      </c>
      <c r="KQ577" s="5" t="s">
        <v>3504</v>
      </c>
      <c r="KR577" s="5" t="s">
        <v>3504</v>
      </c>
      <c r="KS577" s="5" t="s">
        <v>3505</v>
      </c>
      <c r="KT577" s="14" t="s">
        <v>3506</v>
      </c>
    </row>
    <row r="578" spans="1:306" ht="132" x14ac:dyDescent="0.25">
      <c r="A578" s="5" t="s">
        <v>3507</v>
      </c>
      <c r="B578" s="4" t="s">
        <v>424</v>
      </c>
      <c r="C578" s="7" t="s">
        <v>425</v>
      </c>
      <c r="D578" s="8" t="s">
        <v>426</v>
      </c>
      <c r="E578" s="4">
        <v>335585</v>
      </c>
      <c r="G578" s="4" t="s">
        <v>530</v>
      </c>
      <c r="H578" s="6">
        <v>131.50399999999999</v>
      </c>
      <c r="I578" s="6">
        <v>-13.4397</v>
      </c>
      <c r="J578" s="4" t="s">
        <v>3507</v>
      </c>
      <c r="K578" s="4" t="s">
        <v>481</v>
      </c>
      <c r="L578" s="4" t="s">
        <v>532</v>
      </c>
      <c r="Q578" s="8"/>
      <c r="R578" s="8"/>
      <c r="Z578" s="4" t="s">
        <v>424</v>
      </c>
      <c r="AA578" s="7" t="s">
        <v>425</v>
      </c>
      <c r="AB578" s="8" t="s">
        <v>426</v>
      </c>
      <c r="AC578" s="4" t="s">
        <v>301</v>
      </c>
      <c r="AD578" s="4" t="s">
        <v>375</v>
      </c>
      <c r="AE578" s="8">
        <v>1810</v>
      </c>
      <c r="AF578" s="8"/>
      <c r="AG578" s="9" t="s">
        <v>379</v>
      </c>
      <c r="AH578" s="9" t="s">
        <v>380</v>
      </c>
      <c r="AM578" s="8">
        <v>3</v>
      </c>
      <c r="AN578" s="4" t="s">
        <v>381</v>
      </c>
      <c r="AO578" s="4" t="s">
        <v>382</v>
      </c>
      <c r="AP578" s="4" t="s">
        <v>383</v>
      </c>
      <c r="AQ578" s="7" t="s">
        <v>384</v>
      </c>
      <c r="AR578" s="7" t="s">
        <v>433</v>
      </c>
      <c r="AS578" s="7">
        <v>0</v>
      </c>
      <c r="AT578" s="7">
        <v>0</v>
      </c>
      <c r="AU578" s="9" t="s">
        <v>303</v>
      </c>
      <c r="AV578" s="9" t="s">
        <v>406</v>
      </c>
      <c r="BA578" s="8">
        <v>5</v>
      </c>
      <c r="BP578" s="7">
        <f>0.049+2.082</f>
        <v>2.1309999999999998</v>
      </c>
      <c r="BQ578" s="9"/>
      <c r="BU578" s="6"/>
      <c r="BV578" s="6">
        <f>(0.049*2.3+2.082*1.18)/(0.049+2.082)</f>
        <v>1.2057531675269826</v>
      </c>
      <c r="DZ578" s="31"/>
      <c r="EL578" s="7">
        <f t="shared" si="25"/>
        <v>2.5694599999999994</v>
      </c>
      <c r="GP578" s="32"/>
      <c r="GY578" s="6" t="s">
        <v>435</v>
      </c>
      <c r="GZ578" s="6" t="s">
        <v>436</v>
      </c>
      <c r="HC578" s="6" t="s">
        <v>437</v>
      </c>
      <c r="HD578" s="9" t="s">
        <v>3183</v>
      </c>
      <c r="HE578" s="8">
        <v>27066</v>
      </c>
      <c r="HF578" s="9" t="s">
        <v>3184</v>
      </c>
      <c r="HG578" s="9" t="s">
        <v>538</v>
      </c>
      <c r="IB578" s="8" t="s">
        <v>1576</v>
      </c>
      <c r="IC578" s="8">
        <v>30778</v>
      </c>
      <c r="ID578" s="8" t="s">
        <v>2203</v>
      </c>
      <c r="IE578" s="8" t="s">
        <v>538</v>
      </c>
      <c r="IF578" s="8" t="s">
        <v>1578</v>
      </c>
      <c r="IW578" s="8"/>
      <c r="JB578" s="8"/>
      <c r="JV578" s="7" t="s">
        <v>3508</v>
      </c>
      <c r="JX578" s="7" t="s">
        <v>320</v>
      </c>
      <c r="KG578" s="4" t="s">
        <v>323</v>
      </c>
      <c r="KM578" s="4" t="s">
        <v>836</v>
      </c>
      <c r="KN578" s="4" t="s">
        <v>836</v>
      </c>
      <c r="KP578" s="5" t="s">
        <v>358</v>
      </c>
      <c r="KQ578" s="5" t="s">
        <v>1643</v>
      </c>
      <c r="KS578" s="5" t="s">
        <v>3509</v>
      </c>
      <c r="KT578" s="5" t="s">
        <v>3510</v>
      </c>
    </row>
    <row r="579" spans="1:306" ht="132" x14ac:dyDescent="0.25">
      <c r="A579" s="5" t="s">
        <v>3514</v>
      </c>
      <c r="B579" s="4" t="s">
        <v>424</v>
      </c>
      <c r="C579" s="7" t="s">
        <v>425</v>
      </c>
      <c r="D579" s="8" t="s">
        <v>426</v>
      </c>
      <c r="E579" s="4">
        <v>529229</v>
      </c>
      <c r="G579" s="4" t="s">
        <v>530</v>
      </c>
      <c r="H579" s="6">
        <v>131.56530000000001</v>
      </c>
      <c r="I579" s="6">
        <v>-13.562900000000001</v>
      </c>
      <c r="J579" s="4" t="s">
        <v>3515</v>
      </c>
      <c r="K579" s="4" t="s">
        <v>481</v>
      </c>
      <c r="L579" s="4" t="s">
        <v>532</v>
      </c>
      <c r="Q579" s="8"/>
      <c r="R579" s="8"/>
      <c r="Z579" s="4" t="s">
        <v>424</v>
      </c>
      <c r="AA579" s="7" t="s">
        <v>425</v>
      </c>
      <c r="AB579" s="8" t="s">
        <v>426</v>
      </c>
      <c r="AC579" s="4" t="s">
        <v>301</v>
      </c>
      <c r="AD579" s="4" t="s">
        <v>375</v>
      </c>
      <c r="AE579" s="8">
        <v>1810</v>
      </c>
      <c r="AF579" s="8"/>
      <c r="AG579" s="9" t="s">
        <v>379</v>
      </c>
      <c r="AH579" s="9" t="s">
        <v>380</v>
      </c>
      <c r="AM579" s="8">
        <v>3</v>
      </c>
      <c r="AN579" s="4" t="s">
        <v>381</v>
      </c>
      <c r="AO579" s="4" t="s">
        <v>402</v>
      </c>
      <c r="AP579" s="4" t="s">
        <v>383</v>
      </c>
      <c r="AQ579" s="7" t="s">
        <v>384</v>
      </c>
      <c r="AR579" s="7" t="s">
        <v>433</v>
      </c>
      <c r="AS579" s="7">
        <v>0</v>
      </c>
      <c r="AT579" s="7">
        <v>0</v>
      </c>
      <c r="AU579" s="9" t="s">
        <v>303</v>
      </c>
      <c r="AV579" s="9" t="s">
        <v>406</v>
      </c>
      <c r="BA579" s="8">
        <v>5</v>
      </c>
      <c r="BB579" s="4" t="s">
        <v>381</v>
      </c>
      <c r="BC579" s="4" t="s">
        <v>402</v>
      </c>
      <c r="BD579" s="4" t="s">
        <v>383</v>
      </c>
      <c r="BE579" s="7" t="s">
        <v>403</v>
      </c>
      <c r="BF579" s="8" t="s">
        <v>434</v>
      </c>
      <c r="BG579" s="7">
        <v>0</v>
      </c>
      <c r="BH579" s="7">
        <v>0</v>
      </c>
      <c r="BI579" s="9" t="s">
        <v>303</v>
      </c>
      <c r="BJ579" s="9" t="s">
        <v>406</v>
      </c>
      <c r="BO579" s="8">
        <v>5</v>
      </c>
      <c r="BP579" s="7">
        <f>0.05+0.11+0.05</f>
        <v>0.21000000000000002</v>
      </c>
      <c r="BU579" s="6"/>
      <c r="BV579" s="6">
        <v>5.6290476190476202</v>
      </c>
      <c r="DZ579" s="31"/>
      <c r="EL579" s="6">
        <f t="shared" si="25"/>
        <v>1.1821000000000004</v>
      </c>
      <c r="GP579" s="32"/>
      <c r="GY579" s="6" t="s">
        <v>309</v>
      </c>
      <c r="GZ579" s="6" t="s">
        <v>436</v>
      </c>
      <c r="HC579" s="6" t="s">
        <v>437</v>
      </c>
      <c r="HD579" s="9" t="s">
        <v>1640</v>
      </c>
      <c r="HE579" s="8">
        <v>25130</v>
      </c>
      <c r="HF579" s="8" t="s">
        <v>3516</v>
      </c>
      <c r="HG579" s="9" t="s">
        <v>538</v>
      </c>
      <c r="IB579" s="8" t="s">
        <v>1576</v>
      </c>
      <c r="IC579" s="8">
        <v>30778</v>
      </c>
      <c r="ID579" s="8" t="s">
        <v>2203</v>
      </c>
      <c r="IE579" s="8" t="s">
        <v>538</v>
      </c>
      <c r="IF579" s="8" t="s">
        <v>1578</v>
      </c>
      <c r="IW579" s="8"/>
      <c r="JB579" s="8"/>
      <c r="JX579" s="7" t="s">
        <v>320</v>
      </c>
      <c r="JY579" s="7" t="s">
        <v>354</v>
      </c>
      <c r="JZ579" s="7" t="s">
        <v>322</v>
      </c>
      <c r="KM579" s="4" t="s">
        <v>836</v>
      </c>
      <c r="KN579" s="4" t="s">
        <v>836</v>
      </c>
      <c r="KP579" s="5" t="s">
        <v>358</v>
      </c>
      <c r="KQ579" s="5" t="s">
        <v>739</v>
      </c>
      <c r="KS579" s="5" t="s">
        <v>739</v>
      </c>
      <c r="KT579" s="5" t="s">
        <v>3517</v>
      </c>
    </row>
    <row r="580" spans="1:306" ht="120" customHeight="1" x14ac:dyDescent="0.25">
      <c r="A580" s="5" t="s">
        <v>3521</v>
      </c>
      <c r="B580" s="4" t="s">
        <v>424</v>
      </c>
      <c r="C580" s="7" t="s">
        <v>425</v>
      </c>
      <c r="D580" s="8" t="s">
        <v>426</v>
      </c>
      <c r="E580" s="4">
        <v>334242</v>
      </c>
      <c r="G580" s="4" t="s">
        <v>330</v>
      </c>
      <c r="H580" s="6">
        <v>121.49926666666667</v>
      </c>
      <c r="I580" s="6">
        <v>-30.769863888888889</v>
      </c>
      <c r="J580" s="4" t="s">
        <v>3522</v>
      </c>
      <c r="K580" s="4" t="s">
        <v>331</v>
      </c>
      <c r="L580" s="4" t="s">
        <v>500</v>
      </c>
      <c r="M580" s="4" t="s">
        <v>501</v>
      </c>
      <c r="N580" s="4" t="s">
        <v>1061</v>
      </c>
      <c r="Q580" s="8"/>
      <c r="R580" s="8"/>
      <c r="Z580" s="4" t="s">
        <v>424</v>
      </c>
      <c r="AA580" s="7" t="s">
        <v>425</v>
      </c>
      <c r="AB580" s="8" t="s">
        <v>426</v>
      </c>
      <c r="AC580" s="4" t="s">
        <v>301</v>
      </c>
      <c r="AD580" s="4" t="s">
        <v>375</v>
      </c>
      <c r="AE580" s="8">
        <v>2642</v>
      </c>
      <c r="AF580" s="8">
        <v>6</v>
      </c>
      <c r="AG580" s="9" t="s">
        <v>379</v>
      </c>
      <c r="AH580" s="9" t="s">
        <v>335</v>
      </c>
      <c r="AI580" s="9" t="s">
        <v>373</v>
      </c>
      <c r="AJ580" s="9" t="s">
        <v>306</v>
      </c>
      <c r="AK580" s="9" t="s">
        <v>307</v>
      </c>
      <c r="AL580" s="9" t="s">
        <v>337</v>
      </c>
      <c r="AM580" s="8">
        <v>4</v>
      </c>
      <c r="AN580" s="4" t="s">
        <v>381</v>
      </c>
      <c r="AO580" s="4" t="s">
        <v>382</v>
      </c>
      <c r="AP580" s="4" t="s">
        <v>383</v>
      </c>
      <c r="AQ580" s="7" t="s">
        <v>384</v>
      </c>
      <c r="AR580" s="7" t="s">
        <v>433</v>
      </c>
      <c r="AS580" s="7">
        <v>0</v>
      </c>
      <c r="AT580" s="7">
        <v>0</v>
      </c>
      <c r="AU580" s="4" t="s">
        <v>303</v>
      </c>
      <c r="AV580" s="4" t="s">
        <v>406</v>
      </c>
      <c r="AW580" s="4"/>
      <c r="AX580" s="4"/>
      <c r="AY580" s="4"/>
      <c r="AZ580" s="4"/>
      <c r="BA580" s="8">
        <v>5</v>
      </c>
      <c r="BG580" s="8"/>
      <c r="BH580" s="8"/>
      <c r="BP580" s="7">
        <v>1798.53</v>
      </c>
      <c r="BV580" s="6">
        <v>1.57</v>
      </c>
      <c r="DZ580" s="31"/>
      <c r="EL580" s="8">
        <v>2825.74</v>
      </c>
      <c r="FA580" s="6"/>
      <c r="GP580" s="32"/>
      <c r="GY580" s="6" t="s">
        <v>338</v>
      </c>
      <c r="GZ580" s="6" t="s">
        <v>436</v>
      </c>
      <c r="HC580" s="6" t="s">
        <v>437</v>
      </c>
      <c r="HD580" s="8" t="s">
        <v>3523</v>
      </c>
      <c r="HE580" s="8">
        <v>26586</v>
      </c>
      <c r="HF580" s="8" t="s">
        <v>3524</v>
      </c>
      <c r="HG580" s="9" t="s">
        <v>507</v>
      </c>
      <c r="IB580" s="8" t="s">
        <v>3523</v>
      </c>
      <c r="IC580" s="8">
        <v>26586</v>
      </c>
      <c r="ID580" s="8" t="s">
        <v>3525</v>
      </c>
      <c r="IE580" s="9" t="s">
        <v>507</v>
      </c>
      <c r="IF580" s="9" t="s">
        <v>445</v>
      </c>
      <c r="IM580" s="9"/>
      <c r="IR580" s="9"/>
      <c r="JU580" s="7" t="s">
        <v>3526</v>
      </c>
      <c r="JV580" s="7" t="s">
        <v>3527</v>
      </c>
      <c r="JW580" s="7" t="s">
        <v>2718</v>
      </c>
      <c r="JX580" s="7" t="s">
        <v>320</v>
      </c>
      <c r="JY580" s="7" t="s">
        <v>448</v>
      </c>
      <c r="JZ580" s="7" t="s">
        <v>322</v>
      </c>
      <c r="KG580" s="4" t="s">
        <v>1893</v>
      </c>
      <c r="KH580" s="4" t="s">
        <v>1317</v>
      </c>
      <c r="KM580" s="4" t="s">
        <v>391</v>
      </c>
      <c r="KN580" s="4" t="s">
        <v>391</v>
      </c>
      <c r="KP580" s="5" t="s">
        <v>358</v>
      </c>
      <c r="KQ580" s="5" t="s">
        <v>3528</v>
      </c>
      <c r="KR580" s="5" t="s">
        <v>3529</v>
      </c>
      <c r="KS580" s="5" t="s">
        <v>3530</v>
      </c>
      <c r="KT580" s="5" t="s">
        <v>3531</v>
      </c>
    </row>
    <row r="581" spans="1:306" ht="132" x14ac:dyDescent="0.25">
      <c r="A581" s="5" t="s">
        <v>3532</v>
      </c>
      <c r="B581" s="4" t="s">
        <v>424</v>
      </c>
      <c r="C581" s="7" t="s">
        <v>425</v>
      </c>
      <c r="D581" s="8" t="s">
        <v>426</v>
      </c>
      <c r="E581" s="4">
        <v>333648</v>
      </c>
      <c r="G581" s="4" t="s">
        <v>773</v>
      </c>
      <c r="H581" s="6">
        <v>145.88029958600001</v>
      </c>
      <c r="I581" s="6">
        <v>-36.934058833999998</v>
      </c>
      <c r="K581" s="4" t="s">
        <v>298</v>
      </c>
      <c r="L581" s="4" t="s">
        <v>299</v>
      </c>
      <c r="M581" s="4" t="s">
        <v>775</v>
      </c>
      <c r="N581" s="4" t="s">
        <v>2417</v>
      </c>
      <c r="Q581" s="8"/>
      <c r="R581" s="8"/>
      <c r="Z581" s="4" t="s">
        <v>424</v>
      </c>
      <c r="AA581" s="7" t="s">
        <v>425</v>
      </c>
      <c r="AB581" s="8" t="s">
        <v>426</v>
      </c>
      <c r="AC581" s="4" t="s">
        <v>301</v>
      </c>
      <c r="AD581" s="4" t="s">
        <v>382</v>
      </c>
      <c r="AE581" s="8">
        <v>373</v>
      </c>
      <c r="AF581" s="8">
        <v>4</v>
      </c>
      <c r="AG581" s="9" t="s">
        <v>379</v>
      </c>
      <c r="AH581" s="9" t="s">
        <v>429</v>
      </c>
      <c r="AI581" s="9" t="s">
        <v>430</v>
      </c>
      <c r="AJ581" s="9" t="s">
        <v>431</v>
      </c>
      <c r="AK581" s="9" t="s">
        <v>432</v>
      </c>
      <c r="AM581" s="8">
        <v>4</v>
      </c>
      <c r="AN581" s="4" t="s">
        <v>381</v>
      </c>
      <c r="AO581" s="4" t="s">
        <v>382</v>
      </c>
      <c r="AP581" s="4" t="s">
        <v>383</v>
      </c>
      <c r="AQ581" s="7" t="s">
        <v>384</v>
      </c>
      <c r="AR581" s="8" t="s">
        <v>433</v>
      </c>
      <c r="AS581" s="7">
        <v>0</v>
      </c>
      <c r="AT581" s="7">
        <v>0</v>
      </c>
      <c r="AU581" s="9" t="s">
        <v>303</v>
      </c>
      <c r="AV581" s="9" t="s">
        <v>406</v>
      </c>
      <c r="BA581" s="8">
        <v>5</v>
      </c>
      <c r="BB581" s="4" t="s">
        <v>381</v>
      </c>
      <c r="BC581" s="4" t="s">
        <v>382</v>
      </c>
      <c r="BD581" s="4" t="s">
        <v>383</v>
      </c>
      <c r="BE581" s="7" t="s">
        <v>403</v>
      </c>
      <c r="BF581" s="8" t="s">
        <v>434</v>
      </c>
      <c r="BG581" s="7">
        <v>0</v>
      </c>
      <c r="BH581" s="7">
        <v>0</v>
      </c>
      <c r="BI581" s="9" t="s">
        <v>303</v>
      </c>
      <c r="BJ581" s="9" t="s">
        <v>406</v>
      </c>
      <c r="BO581" s="8">
        <v>5</v>
      </c>
      <c r="DZ581" s="31"/>
      <c r="EL581" s="6">
        <f>0.27+4.04</f>
        <v>4.3100000000000005</v>
      </c>
      <c r="EY581" s="6"/>
      <c r="FA581" s="6"/>
      <c r="GP581" s="32"/>
      <c r="GY581" s="6" t="s">
        <v>309</v>
      </c>
      <c r="GZ581" s="6" t="s">
        <v>436</v>
      </c>
      <c r="HC581" s="6" t="s">
        <v>437</v>
      </c>
      <c r="HD581" s="8" t="s">
        <v>3533</v>
      </c>
      <c r="HE581" s="8">
        <v>19233</v>
      </c>
      <c r="HF581" s="8" t="s">
        <v>3534</v>
      </c>
      <c r="HG581" s="9" t="s">
        <v>782</v>
      </c>
      <c r="HQ581" s="9"/>
      <c r="HY581" s="9"/>
      <c r="IB581" s="8" t="s">
        <v>3535</v>
      </c>
      <c r="IC581" s="8">
        <v>17408</v>
      </c>
      <c r="ID581" s="8" t="s">
        <v>3536</v>
      </c>
      <c r="IE581" s="8" t="s">
        <v>318</v>
      </c>
      <c r="IF581" s="8" t="s">
        <v>1578</v>
      </c>
      <c r="JV581" s="7" t="s">
        <v>3537</v>
      </c>
      <c r="JX581" s="7" t="s">
        <v>320</v>
      </c>
      <c r="KG581" s="4" t="s">
        <v>323</v>
      </c>
      <c r="KP581" s="5" t="s">
        <v>3538</v>
      </c>
      <c r="KQ581" s="5" t="s">
        <v>3539</v>
      </c>
      <c r="KR581" s="5" t="s">
        <v>3540</v>
      </c>
      <c r="KS581" s="5" t="s">
        <v>3538</v>
      </c>
      <c r="KT581" s="5" t="s">
        <v>3541</v>
      </c>
    </row>
    <row r="582" spans="1:306" ht="108" x14ac:dyDescent="0.25">
      <c r="A582" s="5" t="s">
        <v>3563</v>
      </c>
      <c r="B582" s="4" t="s">
        <v>424</v>
      </c>
      <c r="C582" s="7" t="s">
        <v>425</v>
      </c>
      <c r="D582" s="8" t="s">
        <v>426</v>
      </c>
      <c r="E582" s="4">
        <v>333304</v>
      </c>
      <c r="G582" s="4" t="s">
        <v>530</v>
      </c>
      <c r="H582" s="6">
        <v>131.37309999999999</v>
      </c>
      <c r="I582" s="6">
        <v>-13.2113</v>
      </c>
      <c r="J582" s="4" t="s">
        <v>3563</v>
      </c>
      <c r="K582" s="4" t="s">
        <v>481</v>
      </c>
      <c r="L582" s="4" t="s">
        <v>532</v>
      </c>
      <c r="Q582" s="8"/>
      <c r="R582" s="8"/>
      <c r="Z582" s="4" t="s">
        <v>424</v>
      </c>
      <c r="AA582" s="7" t="s">
        <v>425</v>
      </c>
      <c r="AB582" s="8" t="s">
        <v>426</v>
      </c>
      <c r="AC582" s="4" t="s">
        <v>301</v>
      </c>
      <c r="AD582" s="4" t="s">
        <v>375</v>
      </c>
      <c r="AE582" s="8">
        <v>1810</v>
      </c>
      <c r="AF582" s="8">
        <v>10</v>
      </c>
      <c r="AG582" s="9" t="s">
        <v>379</v>
      </c>
      <c r="AH582" s="9" t="s">
        <v>335</v>
      </c>
      <c r="AI582" s="9" t="s">
        <v>3564</v>
      </c>
      <c r="AJ582" s="9" t="s">
        <v>306</v>
      </c>
      <c r="AK582" s="9" t="s">
        <v>307</v>
      </c>
      <c r="AL582" s="9" t="s">
        <v>337</v>
      </c>
      <c r="AM582" s="8">
        <v>4</v>
      </c>
      <c r="AN582" s="4" t="s">
        <v>381</v>
      </c>
      <c r="AO582" s="4" t="s">
        <v>382</v>
      </c>
      <c r="AP582" s="4" t="s">
        <v>383</v>
      </c>
      <c r="AQ582" s="7" t="s">
        <v>384</v>
      </c>
      <c r="AR582" s="7" t="s">
        <v>433</v>
      </c>
      <c r="AS582" s="7">
        <v>0</v>
      </c>
      <c r="AT582" s="7">
        <v>0</v>
      </c>
      <c r="AU582" s="9" t="s">
        <v>303</v>
      </c>
      <c r="AV582" s="9" t="s">
        <v>406</v>
      </c>
      <c r="BA582" s="8">
        <v>5</v>
      </c>
      <c r="BP582" s="7">
        <v>4.0949999999999998</v>
      </c>
      <c r="BQ582" s="9"/>
      <c r="BV582" s="6">
        <v>1.99</v>
      </c>
      <c r="DZ582" s="31"/>
      <c r="EL582" s="7">
        <f>BP582*BV582</f>
        <v>8.149049999999999</v>
      </c>
      <c r="EY582" s="6"/>
      <c r="FA582" s="6"/>
      <c r="GP582" s="32"/>
      <c r="GY582" s="6" t="s">
        <v>309</v>
      </c>
      <c r="GZ582" s="6" t="s">
        <v>436</v>
      </c>
      <c r="HC582" s="6" t="s">
        <v>437</v>
      </c>
      <c r="HD582" s="9" t="s">
        <v>536</v>
      </c>
      <c r="HE582" s="8">
        <v>3134</v>
      </c>
      <c r="HF582" s="9" t="s">
        <v>537</v>
      </c>
      <c r="HG582" s="9" t="s">
        <v>538</v>
      </c>
      <c r="HY582" s="9"/>
      <c r="IB582" s="8" t="s">
        <v>1576</v>
      </c>
      <c r="IC582" s="8">
        <v>30778</v>
      </c>
      <c r="ID582" s="8" t="s">
        <v>2203</v>
      </c>
      <c r="IE582" s="8" t="s">
        <v>538</v>
      </c>
      <c r="IF582" s="8" t="s">
        <v>1578</v>
      </c>
      <c r="IW582" s="8"/>
      <c r="JB582" s="8"/>
      <c r="JV582" s="7" t="s">
        <v>3565</v>
      </c>
      <c r="JX582" s="7" t="s">
        <v>320</v>
      </c>
      <c r="JY582" s="7" t="s">
        <v>354</v>
      </c>
      <c r="JZ582" s="7" t="s">
        <v>322</v>
      </c>
      <c r="KG582" s="4" t="s">
        <v>323</v>
      </c>
      <c r="KM582" s="4" t="s">
        <v>836</v>
      </c>
      <c r="KN582" s="4" t="s">
        <v>836</v>
      </c>
      <c r="KP582" s="5" t="s">
        <v>358</v>
      </c>
      <c r="KQ582" s="5" t="s">
        <v>3566</v>
      </c>
      <c r="KR582" s="5" t="s">
        <v>3567</v>
      </c>
      <c r="KS582" s="5" t="s">
        <v>739</v>
      </c>
      <c r="KT582" s="14" t="s">
        <v>3568</v>
      </c>
    </row>
    <row r="583" spans="1:306" ht="72" x14ac:dyDescent="0.25">
      <c r="A583" s="5" t="s">
        <v>3621</v>
      </c>
      <c r="B583" s="4" t="s">
        <v>424</v>
      </c>
      <c r="C583" s="7" t="s">
        <v>425</v>
      </c>
      <c r="D583" s="8" t="s">
        <v>426</v>
      </c>
      <c r="E583" s="4">
        <v>577345</v>
      </c>
      <c r="G583" s="4" t="s">
        <v>330</v>
      </c>
      <c r="H583" s="6">
        <v>122.423</v>
      </c>
      <c r="I583" s="6">
        <v>-28.812000000000001</v>
      </c>
      <c r="J583" s="4" t="s">
        <v>3622</v>
      </c>
      <c r="K583" s="4" t="s">
        <v>331</v>
      </c>
      <c r="L583" s="4" t="s">
        <v>500</v>
      </c>
      <c r="M583" s="4" t="s">
        <v>501</v>
      </c>
      <c r="N583" s="4" t="s">
        <v>625</v>
      </c>
      <c r="Q583" s="8"/>
      <c r="R583" s="8"/>
      <c r="Z583" s="4" t="s">
        <v>424</v>
      </c>
      <c r="AA583" s="7" t="s">
        <v>425</v>
      </c>
      <c r="AB583" s="8" t="s">
        <v>426</v>
      </c>
      <c r="AC583" s="4" t="s">
        <v>301</v>
      </c>
      <c r="AD583" s="4" t="s">
        <v>375</v>
      </c>
      <c r="AE583" s="8">
        <v>2654</v>
      </c>
      <c r="AF583" s="8">
        <v>7</v>
      </c>
      <c r="AG583" s="9" t="s">
        <v>379</v>
      </c>
      <c r="AH583" s="9" t="s">
        <v>335</v>
      </c>
      <c r="AI583" s="9" t="s">
        <v>504</v>
      </c>
      <c r="AJ583" s="9" t="s">
        <v>306</v>
      </c>
      <c r="AK583" s="9" t="s">
        <v>307</v>
      </c>
      <c r="AL583" s="9" t="s">
        <v>337</v>
      </c>
      <c r="AM583" s="8">
        <v>4</v>
      </c>
      <c r="AN583" s="4" t="s">
        <v>381</v>
      </c>
      <c r="AO583" s="4" t="s">
        <v>382</v>
      </c>
      <c r="AP583" s="4" t="s">
        <v>383</v>
      </c>
      <c r="AQ583" s="7" t="s">
        <v>384</v>
      </c>
      <c r="AR583" s="7" t="s">
        <v>433</v>
      </c>
      <c r="AS583" s="7">
        <v>0</v>
      </c>
      <c r="AT583" s="7">
        <v>0</v>
      </c>
      <c r="AU583" s="4" t="s">
        <v>303</v>
      </c>
      <c r="AV583" s="4" t="s">
        <v>406</v>
      </c>
      <c r="AW583" s="4"/>
      <c r="AX583" s="4"/>
      <c r="AY583" s="4"/>
      <c r="AZ583" s="4"/>
      <c r="BA583" s="8">
        <v>5</v>
      </c>
      <c r="BG583" s="8"/>
      <c r="BH583" s="8"/>
      <c r="DZ583" s="31"/>
      <c r="EL583" s="8">
        <v>368.76</v>
      </c>
      <c r="FA583" s="6"/>
      <c r="GP583" s="32"/>
      <c r="GY583" s="6" t="s">
        <v>338</v>
      </c>
      <c r="GZ583" s="6" t="s">
        <v>436</v>
      </c>
      <c r="HC583" s="6" t="s">
        <v>437</v>
      </c>
      <c r="HD583" s="8" t="s">
        <v>3623</v>
      </c>
      <c r="HE583" s="8">
        <v>34939</v>
      </c>
      <c r="HF583" s="8" t="s">
        <v>3624</v>
      </c>
      <c r="HG583" s="8" t="s">
        <v>507</v>
      </c>
      <c r="HJ583" s="9" t="s">
        <v>3625</v>
      </c>
      <c r="HK583" s="9" t="s">
        <v>507</v>
      </c>
      <c r="IB583" s="8" t="s">
        <v>3623</v>
      </c>
      <c r="IC583" s="8">
        <v>34939</v>
      </c>
      <c r="ID583" s="8" t="s">
        <v>3624</v>
      </c>
      <c r="IE583" s="8" t="s">
        <v>507</v>
      </c>
      <c r="IF583" s="8" t="s">
        <v>445</v>
      </c>
      <c r="IM583" s="9"/>
      <c r="IR583" s="9"/>
      <c r="JV583" s="7" t="s">
        <v>3626</v>
      </c>
      <c r="JX583" s="7" t="s">
        <v>320</v>
      </c>
      <c r="KG583" s="4" t="s">
        <v>323</v>
      </c>
      <c r="KM583" s="4" t="s">
        <v>836</v>
      </c>
      <c r="KN583" s="4" t="s">
        <v>836</v>
      </c>
      <c r="KP583" s="5" t="s">
        <v>358</v>
      </c>
      <c r="KQ583" s="5" t="s">
        <v>3627</v>
      </c>
      <c r="KR583" s="5" t="s">
        <v>3628</v>
      </c>
      <c r="KS583" s="5" t="s">
        <v>3629</v>
      </c>
      <c r="KT583" s="5" t="s">
        <v>3630</v>
      </c>
    </row>
    <row r="584" spans="1:306" ht="60" x14ac:dyDescent="0.25">
      <c r="A584" s="5" t="s">
        <v>3640</v>
      </c>
      <c r="B584" s="4" t="s">
        <v>424</v>
      </c>
      <c r="C584" s="7" t="s">
        <v>425</v>
      </c>
      <c r="D584" s="8" t="s">
        <v>426</v>
      </c>
      <c r="E584" s="4">
        <v>335729</v>
      </c>
      <c r="G584" s="4" t="s">
        <v>330</v>
      </c>
      <c r="H584" s="6">
        <v>127.9318</v>
      </c>
      <c r="I584" s="6">
        <v>-17.834099999999999</v>
      </c>
      <c r="J584" s="4" t="s">
        <v>3641</v>
      </c>
      <c r="K584" s="4" t="s">
        <v>481</v>
      </c>
      <c r="L584" s="4" t="s">
        <v>863</v>
      </c>
      <c r="Q584" s="8"/>
      <c r="R584" s="8"/>
      <c r="Z584" s="4" t="s">
        <v>424</v>
      </c>
      <c r="AA584" s="7" t="s">
        <v>425</v>
      </c>
      <c r="AB584" s="8" t="s">
        <v>426</v>
      </c>
      <c r="AC584" s="4" t="s">
        <v>301</v>
      </c>
      <c r="AD584" s="4" t="s">
        <v>375</v>
      </c>
      <c r="AE584" s="8">
        <v>1838</v>
      </c>
      <c r="AF584" s="8"/>
      <c r="AG584" s="9" t="s">
        <v>379</v>
      </c>
      <c r="AH584" s="9" t="s">
        <v>380</v>
      </c>
      <c r="AM584" s="8">
        <v>2</v>
      </c>
      <c r="AN584" s="4" t="s">
        <v>381</v>
      </c>
      <c r="AO584" s="4" t="s">
        <v>382</v>
      </c>
      <c r="AP584" s="4" t="s">
        <v>383</v>
      </c>
      <c r="AQ584" s="7" t="s">
        <v>384</v>
      </c>
      <c r="AR584" s="8" t="s">
        <v>433</v>
      </c>
      <c r="AS584" s="7">
        <v>0</v>
      </c>
      <c r="AT584" s="7">
        <v>0</v>
      </c>
      <c r="AU584" s="4" t="s">
        <v>303</v>
      </c>
      <c r="AV584" s="4" t="s">
        <v>406</v>
      </c>
      <c r="AW584" s="4"/>
      <c r="AX584" s="4"/>
      <c r="AY584" s="4"/>
      <c r="AZ584" s="4"/>
      <c r="BA584" s="8">
        <v>5</v>
      </c>
      <c r="BG584" s="8"/>
      <c r="BH584" s="8"/>
      <c r="DZ584" s="31"/>
      <c r="EL584" s="6">
        <v>0.88285999999999998</v>
      </c>
      <c r="GP584" s="32"/>
      <c r="GY584" s="6" t="s">
        <v>435</v>
      </c>
      <c r="GZ584" s="6" t="s">
        <v>436</v>
      </c>
      <c r="HC584" s="6" t="s">
        <v>437</v>
      </c>
      <c r="HD584" s="8" t="s">
        <v>3642</v>
      </c>
      <c r="HE584" s="8">
        <v>1737</v>
      </c>
      <c r="HF584" s="8" t="s">
        <v>3643</v>
      </c>
      <c r="HG584" s="9" t="s">
        <v>538</v>
      </c>
      <c r="HH584" s="8" t="s">
        <v>2527</v>
      </c>
      <c r="HI584" s="8">
        <v>14567</v>
      </c>
      <c r="HJ584" s="8" t="s">
        <v>3644</v>
      </c>
      <c r="HK584" s="9" t="s">
        <v>538</v>
      </c>
      <c r="IB584" s="8" t="s">
        <v>3642</v>
      </c>
      <c r="IC584" s="8">
        <v>1737</v>
      </c>
      <c r="ID584" s="8" t="s">
        <v>3643</v>
      </c>
      <c r="IE584" s="9" t="s">
        <v>538</v>
      </c>
      <c r="IF584" s="8" t="s">
        <v>445</v>
      </c>
      <c r="KG584" s="4" t="s">
        <v>323</v>
      </c>
      <c r="KM584" s="4" t="s">
        <v>391</v>
      </c>
      <c r="KN584" s="4" t="s">
        <v>391</v>
      </c>
      <c r="KP584" s="5" t="s">
        <v>358</v>
      </c>
      <c r="KQ584" s="5" t="s">
        <v>3645</v>
      </c>
      <c r="KS584" s="5" t="s">
        <v>3645</v>
      </c>
      <c r="KT584" s="5" t="s">
        <v>3646</v>
      </c>
    </row>
    <row r="585" spans="1:306" ht="120" x14ac:dyDescent="0.25">
      <c r="A585" s="5" t="s">
        <v>3681</v>
      </c>
      <c r="B585" s="4" t="s">
        <v>424</v>
      </c>
      <c r="C585" s="7" t="s">
        <v>425</v>
      </c>
      <c r="D585" s="8" t="s">
        <v>426</v>
      </c>
      <c r="E585" s="4">
        <v>768866</v>
      </c>
      <c r="F585" s="4">
        <v>373885</v>
      </c>
      <c r="G585" s="4" t="s">
        <v>773</v>
      </c>
      <c r="H585" s="6">
        <v>146.33961440799999</v>
      </c>
      <c r="I585" s="6">
        <v>-37.205961874000003</v>
      </c>
      <c r="K585" s="4" t="s">
        <v>298</v>
      </c>
      <c r="L585" s="4" t="s">
        <v>299</v>
      </c>
      <c r="M585" s="4" t="s">
        <v>775</v>
      </c>
      <c r="N585" s="4" t="s">
        <v>2417</v>
      </c>
      <c r="Q585" s="8"/>
      <c r="R585" s="8"/>
      <c r="Z585" s="4" t="s">
        <v>424</v>
      </c>
      <c r="AA585" s="7" t="s">
        <v>425</v>
      </c>
      <c r="AB585" s="8" t="s">
        <v>426</v>
      </c>
      <c r="AC585" s="4" t="s">
        <v>301</v>
      </c>
      <c r="AD585" s="4" t="s">
        <v>302</v>
      </c>
      <c r="AE585" s="8">
        <v>373</v>
      </c>
      <c r="AF585" s="8">
        <v>6</v>
      </c>
      <c r="AG585" s="9" t="s">
        <v>379</v>
      </c>
      <c r="AH585" s="9" t="s">
        <v>429</v>
      </c>
      <c r="AI585" s="9" t="s">
        <v>430</v>
      </c>
      <c r="AJ585" s="9" t="s">
        <v>431</v>
      </c>
      <c r="AK585" s="9" t="s">
        <v>432</v>
      </c>
      <c r="AM585" s="8">
        <v>4</v>
      </c>
      <c r="DZ585" s="31"/>
      <c r="EL585" s="7">
        <f>1+0.215*6</f>
        <v>2.29</v>
      </c>
      <c r="EY585" s="6"/>
      <c r="FA585" s="6"/>
      <c r="GP585" s="32"/>
      <c r="GY585" s="6" t="s">
        <v>309</v>
      </c>
      <c r="GZ585" s="6" t="s">
        <v>436</v>
      </c>
      <c r="HC585" s="6" t="s">
        <v>437</v>
      </c>
      <c r="HD585" s="8" t="s">
        <v>3682</v>
      </c>
      <c r="HE585" s="8">
        <v>37572</v>
      </c>
      <c r="HF585" s="8" t="s">
        <v>3683</v>
      </c>
      <c r="HG585" s="9" t="s">
        <v>970</v>
      </c>
      <c r="HQ585" s="9"/>
      <c r="HY585" s="9"/>
      <c r="IB585" s="8" t="s">
        <v>3682</v>
      </c>
      <c r="IC585" s="8">
        <v>37572</v>
      </c>
      <c r="ID585" s="8" t="s">
        <v>3683</v>
      </c>
      <c r="IE585" s="9" t="s">
        <v>970</v>
      </c>
      <c r="IF585" s="8" t="s">
        <v>445</v>
      </c>
      <c r="JV585" s="7" t="s">
        <v>2225</v>
      </c>
      <c r="JX585" s="7" t="s">
        <v>322</v>
      </c>
      <c r="JY585" s="7" t="s">
        <v>354</v>
      </c>
      <c r="JZ585" s="7" t="s">
        <v>320</v>
      </c>
      <c r="KG585" s="4" t="s">
        <v>323</v>
      </c>
      <c r="KP585" s="5" t="s">
        <v>3684</v>
      </c>
      <c r="KQ585" s="5" t="s">
        <v>3685</v>
      </c>
      <c r="KR585" s="5" t="s">
        <v>2054</v>
      </c>
      <c r="KS585" s="5" t="s">
        <v>3684</v>
      </c>
      <c r="KT585" s="5" t="s">
        <v>3686</v>
      </c>
    </row>
    <row r="586" spans="1:306" ht="48" x14ac:dyDescent="0.25">
      <c r="A586" s="5" t="s">
        <v>3764</v>
      </c>
      <c r="B586" s="4" t="s">
        <v>424</v>
      </c>
      <c r="C586" s="7" t="s">
        <v>425</v>
      </c>
      <c r="D586" s="8" t="s">
        <v>426</v>
      </c>
      <c r="E586" s="4">
        <v>534580</v>
      </c>
      <c r="G586" s="4" t="s">
        <v>530</v>
      </c>
      <c r="H586" s="6">
        <v>129.99279999999999</v>
      </c>
      <c r="I586" s="6">
        <v>-19.7103</v>
      </c>
      <c r="J586" s="4" t="s">
        <v>3764</v>
      </c>
      <c r="K586" s="4" t="s">
        <v>481</v>
      </c>
      <c r="L586" s="4" t="s">
        <v>863</v>
      </c>
      <c r="Q586" s="8"/>
      <c r="R586" s="8"/>
      <c r="Z586" s="4" t="s">
        <v>424</v>
      </c>
      <c r="AA586" s="7" t="s">
        <v>425</v>
      </c>
      <c r="AB586" s="8" t="s">
        <v>426</v>
      </c>
      <c r="AC586" s="4" t="s">
        <v>301</v>
      </c>
      <c r="AD586" s="4" t="s">
        <v>302</v>
      </c>
      <c r="AE586" s="8">
        <v>1768</v>
      </c>
      <c r="AF586" s="8"/>
      <c r="AG586" s="9" t="s">
        <v>379</v>
      </c>
      <c r="AH586" s="9" t="s">
        <v>335</v>
      </c>
      <c r="AI586" s="9" t="s">
        <v>3765</v>
      </c>
      <c r="AJ586" s="9" t="s">
        <v>1080</v>
      </c>
      <c r="AK586" s="9" t="s">
        <v>600</v>
      </c>
      <c r="AL586" s="9" t="s">
        <v>1295</v>
      </c>
      <c r="AM586" s="8">
        <v>2</v>
      </c>
      <c r="AS586" s="7"/>
      <c r="AT586" s="7"/>
      <c r="BP586" s="7">
        <f>3.2+8.45</f>
        <v>11.649999999999999</v>
      </c>
      <c r="BV586" s="7">
        <f>(3.2*4.5+8.45*4.1)/(3.2+8.45)</f>
        <v>4.2098712446351936</v>
      </c>
      <c r="DZ586" s="31"/>
      <c r="EL586" s="7">
        <f>BP586*BV586</f>
        <v>49.045000000000002</v>
      </c>
      <c r="EY586" s="6"/>
      <c r="FA586" s="6"/>
      <c r="GP586" s="32"/>
      <c r="GY586" s="6" t="s">
        <v>435</v>
      </c>
      <c r="GZ586" s="6" t="s">
        <v>436</v>
      </c>
      <c r="HC586" s="6" t="s">
        <v>437</v>
      </c>
      <c r="HD586" s="8" t="s">
        <v>3766</v>
      </c>
      <c r="HE586" s="8">
        <v>81232</v>
      </c>
      <c r="HF586" s="8" t="s">
        <v>3767</v>
      </c>
      <c r="HG586" s="9" t="s">
        <v>538</v>
      </c>
      <c r="HY586" s="9"/>
      <c r="IB586" s="8" t="s">
        <v>3766</v>
      </c>
      <c r="IC586" s="8">
        <v>81232</v>
      </c>
      <c r="ID586" s="8" t="s">
        <v>3767</v>
      </c>
      <c r="IE586" s="8" t="s">
        <v>538</v>
      </c>
      <c r="IF586" s="8" t="s">
        <v>445</v>
      </c>
      <c r="IG586" s="8" t="s">
        <v>2498</v>
      </c>
      <c r="IH586" s="8">
        <v>40137</v>
      </c>
      <c r="II586" s="8" t="s">
        <v>2499</v>
      </c>
      <c r="IJ586" s="8" t="s">
        <v>538</v>
      </c>
      <c r="IK586" s="8" t="s">
        <v>319</v>
      </c>
      <c r="IW586" s="8"/>
      <c r="JB586" s="8"/>
      <c r="JV586" s="7" t="s">
        <v>783</v>
      </c>
      <c r="JX586" s="7" t="s">
        <v>320</v>
      </c>
      <c r="JY586" s="7" t="s">
        <v>470</v>
      </c>
      <c r="JZ586" s="7" t="s">
        <v>322</v>
      </c>
      <c r="KG586" s="4" t="s">
        <v>323</v>
      </c>
      <c r="KP586" s="5" t="s">
        <v>358</v>
      </c>
      <c r="KQ586" s="5" t="s">
        <v>2500</v>
      </c>
      <c r="KR586" s="5" t="s">
        <v>3768</v>
      </c>
      <c r="KS586" s="5" t="s">
        <v>3769</v>
      </c>
      <c r="KT586" s="5" t="s">
        <v>3770</v>
      </c>
    </row>
    <row r="587" spans="1:306" ht="108" x14ac:dyDescent="0.25">
      <c r="A587" s="5" t="s">
        <v>3771</v>
      </c>
      <c r="B587" s="4" t="s">
        <v>424</v>
      </c>
      <c r="C587" s="7" t="s">
        <v>425</v>
      </c>
      <c r="D587" s="8" t="s">
        <v>426</v>
      </c>
      <c r="E587" s="4">
        <v>597055</v>
      </c>
      <c r="G587" s="4" t="s">
        <v>330</v>
      </c>
      <c r="H587" s="6">
        <v>123.878</v>
      </c>
      <c r="I587" s="6">
        <v>-28.0106</v>
      </c>
      <c r="J587" s="4" t="s">
        <v>3771</v>
      </c>
      <c r="K587" s="4" t="s">
        <v>331</v>
      </c>
      <c r="L587" s="4" t="s">
        <v>500</v>
      </c>
      <c r="M587" s="4" t="s">
        <v>501</v>
      </c>
      <c r="N587" s="4" t="s">
        <v>570</v>
      </c>
      <c r="Q587" s="8"/>
      <c r="Z587" s="4" t="s">
        <v>424</v>
      </c>
      <c r="AA587" s="7" t="s">
        <v>425</v>
      </c>
      <c r="AB587" s="8" t="s">
        <v>426</v>
      </c>
      <c r="AC587" s="4" t="s">
        <v>301</v>
      </c>
      <c r="AD587" s="4" t="s">
        <v>375</v>
      </c>
      <c r="AE587" s="8">
        <v>2620</v>
      </c>
      <c r="AG587" s="9" t="s">
        <v>379</v>
      </c>
      <c r="AH587" s="9" t="s">
        <v>380</v>
      </c>
      <c r="AM587" s="8">
        <v>2</v>
      </c>
      <c r="AN587" s="4" t="s">
        <v>381</v>
      </c>
      <c r="AO587" s="4" t="s">
        <v>382</v>
      </c>
      <c r="AP587" s="4" t="s">
        <v>383</v>
      </c>
      <c r="AQ587" s="7" t="s">
        <v>384</v>
      </c>
      <c r="AR587" s="8" t="s">
        <v>433</v>
      </c>
      <c r="AS587" s="7">
        <v>0</v>
      </c>
      <c r="AT587" s="7">
        <v>0</v>
      </c>
      <c r="AU587" s="4" t="s">
        <v>303</v>
      </c>
      <c r="AV587" s="4" t="s">
        <v>406</v>
      </c>
      <c r="AW587" s="4"/>
      <c r="AX587" s="4"/>
      <c r="AY587" s="4"/>
      <c r="AZ587" s="4"/>
      <c r="BA587" s="8">
        <v>5</v>
      </c>
      <c r="BG587" s="8"/>
      <c r="BP587" s="7">
        <v>157.91999999999999</v>
      </c>
      <c r="BV587" s="6">
        <v>1.25</v>
      </c>
      <c r="DZ587" s="31"/>
      <c r="EL587" s="8">
        <f>BP587*BV587</f>
        <v>197.39999999999998</v>
      </c>
      <c r="GP587" s="32"/>
      <c r="GY587" s="6" t="s">
        <v>338</v>
      </c>
      <c r="GZ587" s="6" t="s">
        <v>436</v>
      </c>
      <c r="HC587" s="6" t="s">
        <v>437</v>
      </c>
      <c r="HD587" s="8" t="s">
        <v>3772</v>
      </c>
      <c r="HF587" s="8" t="s">
        <v>1367</v>
      </c>
      <c r="HG587" s="9" t="s">
        <v>507</v>
      </c>
      <c r="IB587" s="8" t="s">
        <v>3772</v>
      </c>
      <c r="ID587" s="8" t="s">
        <v>1367</v>
      </c>
      <c r="IE587" s="9" t="s">
        <v>507</v>
      </c>
      <c r="IF587" s="9"/>
      <c r="II587" s="8" t="s">
        <v>3773</v>
      </c>
      <c r="IJ587" s="8" t="s">
        <v>507</v>
      </c>
      <c r="IR587" s="9"/>
      <c r="JV587" s="7" t="s">
        <v>3774</v>
      </c>
      <c r="JX587" s="7" t="s">
        <v>320</v>
      </c>
      <c r="JY587" s="7" t="s">
        <v>470</v>
      </c>
      <c r="JZ587" s="7" t="s">
        <v>322</v>
      </c>
      <c r="KG587" s="4" t="s">
        <v>356</v>
      </c>
      <c r="KH587" s="4" t="s">
        <v>1317</v>
      </c>
      <c r="KM587" s="4" t="s">
        <v>391</v>
      </c>
      <c r="KN587" s="4" t="s">
        <v>391</v>
      </c>
      <c r="KP587" s="5" t="s">
        <v>358</v>
      </c>
      <c r="KQ587" s="5" t="s">
        <v>3775</v>
      </c>
      <c r="KR587" s="5" t="s">
        <v>573</v>
      </c>
      <c r="KS587" s="5" t="s">
        <v>3776</v>
      </c>
      <c r="KT587" s="5" t="s">
        <v>3777</v>
      </c>
    </row>
    <row r="588" spans="1:306" ht="84" x14ac:dyDescent="0.25">
      <c r="A588" s="5" t="s">
        <v>3778</v>
      </c>
      <c r="B588" s="4" t="s">
        <v>383</v>
      </c>
      <c r="C588" s="7" t="s">
        <v>403</v>
      </c>
      <c r="D588" s="8" t="s">
        <v>434</v>
      </c>
      <c r="E588" s="4">
        <v>333583</v>
      </c>
      <c r="G588" s="4" t="s">
        <v>427</v>
      </c>
      <c r="H588" s="6">
        <v>149.56290000000001</v>
      </c>
      <c r="I588" s="6">
        <v>-32.398699999999998</v>
      </c>
      <c r="J588" s="4" t="s">
        <v>3778</v>
      </c>
      <c r="K588" s="4" t="s">
        <v>298</v>
      </c>
      <c r="L588" s="4" t="s">
        <v>299</v>
      </c>
      <c r="M588" s="4" t="s">
        <v>1359</v>
      </c>
      <c r="N588" s="4" t="s">
        <v>1360</v>
      </c>
      <c r="Q588" s="8"/>
      <c r="R588" s="7"/>
      <c r="Z588" s="4" t="s">
        <v>424</v>
      </c>
      <c r="AA588" s="7" t="s">
        <v>425</v>
      </c>
      <c r="AB588" s="8" t="s">
        <v>426</v>
      </c>
      <c r="AC588" s="4" t="s">
        <v>301</v>
      </c>
      <c r="AD588" s="4" t="s">
        <v>402</v>
      </c>
      <c r="AE588" s="8">
        <v>342.7</v>
      </c>
      <c r="AF588" s="7">
        <v>1.5</v>
      </c>
      <c r="AG588" s="9" t="s">
        <v>379</v>
      </c>
      <c r="AH588" s="9" t="s">
        <v>429</v>
      </c>
      <c r="AI588" s="9" t="s">
        <v>430</v>
      </c>
      <c r="AJ588" s="9" t="s">
        <v>431</v>
      </c>
      <c r="AK588" s="9" t="s">
        <v>432</v>
      </c>
      <c r="AM588" s="8">
        <v>4</v>
      </c>
      <c r="AN588" s="4" t="s">
        <v>381</v>
      </c>
      <c r="AO588" s="4" t="s">
        <v>375</v>
      </c>
      <c r="AP588" s="4" t="s">
        <v>383</v>
      </c>
      <c r="AQ588" s="7" t="s">
        <v>403</v>
      </c>
      <c r="AR588" s="8" t="s">
        <v>434</v>
      </c>
      <c r="AS588" s="7">
        <v>0</v>
      </c>
      <c r="AT588" s="7">
        <v>0</v>
      </c>
      <c r="AU588" s="9" t="s">
        <v>303</v>
      </c>
      <c r="AV588" s="9" t="s">
        <v>406</v>
      </c>
      <c r="BA588" s="8">
        <v>5</v>
      </c>
      <c r="DZ588" s="31"/>
      <c r="EL588" s="7">
        <f>16.4+1.44*1.43</f>
        <v>18.459199999999999</v>
      </c>
      <c r="GP588" s="32"/>
      <c r="GY588" s="6" t="s">
        <v>435</v>
      </c>
      <c r="GZ588" s="6" t="s">
        <v>436</v>
      </c>
      <c r="HC588" s="6" t="s">
        <v>437</v>
      </c>
      <c r="HD588" s="8" t="s">
        <v>3779</v>
      </c>
      <c r="HE588" s="8">
        <v>24797</v>
      </c>
      <c r="HF588" s="8" t="s">
        <v>3780</v>
      </c>
      <c r="HG588" s="9" t="s">
        <v>1365</v>
      </c>
      <c r="HH588" s="9" t="s">
        <v>3781</v>
      </c>
      <c r="HI588" s="8">
        <v>5845</v>
      </c>
      <c r="HJ588" s="9" t="s">
        <v>3782</v>
      </c>
      <c r="HK588" s="9" t="s">
        <v>444</v>
      </c>
      <c r="HN588" s="9" t="s">
        <v>3783</v>
      </c>
      <c r="HO588" s="9" t="s">
        <v>782</v>
      </c>
      <c r="IB588" s="8" t="s">
        <v>3779</v>
      </c>
      <c r="IC588" s="8">
        <v>24797</v>
      </c>
      <c r="ID588" s="8" t="s">
        <v>3784</v>
      </c>
      <c r="IE588" s="9" t="s">
        <v>1365</v>
      </c>
      <c r="IF588" s="9" t="s">
        <v>445</v>
      </c>
      <c r="IG588" s="9" t="s">
        <v>3781</v>
      </c>
      <c r="IH588" s="8">
        <v>5845</v>
      </c>
      <c r="II588" s="9" t="s">
        <v>3785</v>
      </c>
      <c r="IJ588" s="9" t="s">
        <v>444</v>
      </c>
      <c r="IK588" s="9" t="s">
        <v>445</v>
      </c>
      <c r="IL588" s="4"/>
      <c r="IM588" s="4"/>
      <c r="IN588" s="9" t="s">
        <v>3783</v>
      </c>
      <c r="IO588" s="9" t="s">
        <v>782</v>
      </c>
      <c r="IP588" s="9" t="s">
        <v>445</v>
      </c>
      <c r="IW588" s="8"/>
      <c r="JB588" s="8"/>
      <c r="JV588" s="7" t="s">
        <v>3786</v>
      </c>
      <c r="JX588" s="7" t="s">
        <v>320</v>
      </c>
      <c r="KG588" s="4" t="s">
        <v>323</v>
      </c>
      <c r="KP588" s="5" t="s">
        <v>358</v>
      </c>
      <c r="KQ588" s="5" t="s">
        <v>3787</v>
      </c>
      <c r="KR588" s="5" t="s">
        <v>449</v>
      </c>
      <c r="KS588" s="5" t="s">
        <v>3787</v>
      </c>
      <c r="KT588" s="5" t="s">
        <v>3788</v>
      </c>
    </row>
    <row r="589" spans="1:306" ht="84" x14ac:dyDescent="0.25">
      <c r="A589" s="5" t="s">
        <v>3806</v>
      </c>
      <c r="B589" s="4" t="s">
        <v>424</v>
      </c>
      <c r="C589" s="7" t="s">
        <v>425</v>
      </c>
      <c r="D589" s="7" t="s">
        <v>426</v>
      </c>
      <c r="E589" s="4">
        <v>333513</v>
      </c>
      <c r="G589" s="4" t="s">
        <v>479</v>
      </c>
      <c r="H589" s="6">
        <v>146.61092400000001</v>
      </c>
      <c r="I589" s="6">
        <v>-20.101897999999998</v>
      </c>
      <c r="J589" s="4" t="s">
        <v>1047</v>
      </c>
      <c r="K589" s="4" t="s">
        <v>298</v>
      </c>
      <c r="L589" s="4" t="s">
        <v>760</v>
      </c>
      <c r="M589" s="4" t="s">
        <v>1047</v>
      </c>
      <c r="O589" s="7"/>
      <c r="Q589" s="7"/>
      <c r="R589" s="7"/>
      <c r="Z589" s="4" t="s">
        <v>424</v>
      </c>
      <c r="AA589" s="7" t="s">
        <v>425</v>
      </c>
      <c r="AB589" s="7" t="s">
        <v>426</v>
      </c>
      <c r="AC589" s="4" t="s">
        <v>301</v>
      </c>
      <c r="AE589" s="7">
        <v>405.4</v>
      </c>
      <c r="AF589" s="7">
        <v>3.7</v>
      </c>
      <c r="AG589" s="9" t="s">
        <v>379</v>
      </c>
      <c r="AH589" s="9" t="s">
        <v>429</v>
      </c>
      <c r="AI589" s="9" t="s">
        <v>845</v>
      </c>
      <c r="AJ589" s="9" t="s">
        <v>431</v>
      </c>
      <c r="AK589" s="9" t="s">
        <v>3807</v>
      </c>
      <c r="AM589" s="8">
        <v>4</v>
      </c>
      <c r="DZ589" s="31"/>
      <c r="EL589" s="7">
        <f>0.34*31.1</f>
        <v>10.574000000000002</v>
      </c>
      <c r="EY589" s="6"/>
      <c r="FA589" s="6"/>
      <c r="GP589" s="32"/>
      <c r="GY589" s="6" t="s">
        <v>338</v>
      </c>
      <c r="GZ589" s="6" t="s">
        <v>436</v>
      </c>
      <c r="HC589" s="6" t="s">
        <v>437</v>
      </c>
      <c r="HD589" s="8" t="s">
        <v>2138</v>
      </c>
      <c r="HE589" s="8">
        <v>26119</v>
      </c>
      <c r="HF589" s="8" t="s">
        <v>2139</v>
      </c>
      <c r="HG589" s="8" t="s">
        <v>466</v>
      </c>
      <c r="HY589" s="9"/>
      <c r="IB589" s="8" t="s">
        <v>2138</v>
      </c>
      <c r="IC589" s="8">
        <v>26119</v>
      </c>
      <c r="ID589" s="8" t="s">
        <v>2139</v>
      </c>
      <c r="IE589" s="8" t="s">
        <v>466</v>
      </c>
      <c r="IF589" s="8" t="s">
        <v>445</v>
      </c>
      <c r="IG589" s="8" t="s">
        <v>2140</v>
      </c>
      <c r="IH589" s="8">
        <v>26119</v>
      </c>
      <c r="II589" s="8" t="s">
        <v>2139</v>
      </c>
      <c r="IJ589" s="8" t="s">
        <v>1760</v>
      </c>
      <c r="IK589" s="8" t="s">
        <v>810</v>
      </c>
      <c r="IR589" s="9"/>
      <c r="JV589" s="7" t="s">
        <v>2141</v>
      </c>
      <c r="JX589" s="7" t="s">
        <v>320</v>
      </c>
      <c r="KG589" s="4" t="s">
        <v>323</v>
      </c>
      <c r="KM589" s="4" t="s">
        <v>391</v>
      </c>
      <c r="KN589" s="4" t="s">
        <v>702</v>
      </c>
      <c r="KO589" s="4" t="s">
        <v>445</v>
      </c>
      <c r="KP589" s="5" t="s">
        <v>358</v>
      </c>
      <c r="KQ589" s="5" t="s">
        <v>3808</v>
      </c>
      <c r="KR589" s="5" t="s">
        <v>3809</v>
      </c>
      <c r="KS589" s="5" t="s">
        <v>3810</v>
      </c>
      <c r="KT589" s="5" t="s">
        <v>3811</v>
      </c>
    </row>
    <row r="590" spans="1:306" ht="60" x14ac:dyDescent="0.25">
      <c r="A590" s="5" t="s">
        <v>3812</v>
      </c>
      <c r="B590" s="4" t="s">
        <v>424</v>
      </c>
      <c r="C590" s="7" t="s">
        <v>425</v>
      </c>
      <c r="D590" s="8" t="s">
        <v>426</v>
      </c>
      <c r="E590" s="4" t="s">
        <v>3813</v>
      </c>
      <c r="G590" s="4" t="s">
        <v>330</v>
      </c>
      <c r="H590" s="6">
        <v>127.76467</v>
      </c>
      <c r="I590" s="6">
        <v>-18.257999999999999</v>
      </c>
      <c r="J590" s="4" t="s">
        <v>3814</v>
      </c>
      <c r="K590" s="4" t="s">
        <v>481</v>
      </c>
      <c r="L590" s="4" t="s">
        <v>863</v>
      </c>
      <c r="Q590" s="8"/>
      <c r="R590" s="8"/>
      <c r="Z590" s="4" t="s">
        <v>424</v>
      </c>
      <c r="AA590" s="7" t="s">
        <v>425</v>
      </c>
      <c r="AB590" s="8" t="s">
        <v>426</v>
      </c>
      <c r="AC590" s="4" t="s">
        <v>301</v>
      </c>
      <c r="AD590" s="4" t="s">
        <v>375</v>
      </c>
      <c r="AE590" s="8">
        <v>1838</v>
      </c>
      <c r="AF590" s="8"/>
      <c r="AG590" s="9" t="s">
        <v>379</v>
      </c>
      <c r="AH590" s="9" t="s">
        <v>380</v>
      </c>
      <c r="AM590" s="8">
        <v>2</v>
      </c>
      <c r="AN590" s="4" t="s">
        <v>381</v>
      </c>
      <c r="AO590" s="4" t="s">
        <v>382</v>
      </c>
      <c r="AP590" s="4" t="s">
        <v>383</v>
      </c>
      <c r="AQ590" s="7" t="s">
        <v>384</v>
      </c>
      <c r="AR590" s="8" t="s">
        <v>433</v>
      </c>
      <c r="AS590" s="7">
        <v>0</v>
      </c>
      <c r="AT590" s="7">
        <v>0</v>
      </c>
      <c r="AU590" s="4" t="s">
        <v>303</v>
      </c>
      <c r="AV590" s="4" t="s">
        <v>406</v>
      </c>
      <c r="AW590" s="4"/>
      <c r="AX590" s="4"/>
      <c r="AY590" s="4"/>
      <c r="AZ590" s="4"/>
      <c r="BA590" s="8">
        <v>5</v>
      </c>
      <c r="BG590" s="8"/>
      <c r="BH590" s="8"/>
      <c r="DZ590" s="31"/>
      <c r="EL590" s="6">
        <v>2.3E-2</v>
      </c>
      <c r="GP590" s="32"/>
      <c r="GY590" s="31" t="s">
        <v>407</v>
      </c>
      <c r="GZ590" s="6" t="s">
        <v>436</v>
      </c>
      <c r="HC590" s="6" t="s">
        <v>437</v>
      </c>
      <c r="HD590" s="8" t="s">
        <v>3642</v>
      </c>
      <c r="HE590" s="8">
        <v>1737</v>
      </c>
      <c r="HF590" s="8" t="s">
        <v>3643</v>
      </c>
      <c r="HG590" s="9" t="s">
        <v>538</v>
      </c>
      <c r="IB590" s="8" t="s">
        <v>3642</v>
      </c>
      <c r="IC590" s="8">
        <v>1737</v>
      </c>
      <c r="ID590" s="8" t="s">
        <v>3643</v>
      </c>
      <c r="IE590" s="9" t="s">
        <v>538</v>
      </c>
      <c r="IF590" s="8" t="s">
        <v>445</v>
      </c>
      <c r="JV590" s="7" t="s">
        <v>3815</v>
      </c>
      <c r="JX590" s="7" t="s">
        <v>320</v>
      </c>
      <c r="KG590" s="4" t="s">
        <v>323</v>
      </c>
      <c r="KM590" s="4" t="s">
        <v>391</v>
      </c>
      <c r="KN590" s="4" t="s">
        <v>391</v>
      </c>
      <c r="KP590" s="5" t="s">
        <v>3816</v>
      </c>
      <c r="KQ590" s="5" t="s">
        <v>3817</v>
      </c>
      <c r="KS590" s="5" t="s">
        <v>3817</v>
      </c>
      <c r="KT590" s="5" t="s">
        <v>3818</v>
      </c>
    </row>
    <row r="591" spans="1:306" ht="36" x14ac:dyDescent="0.25">
      <c r="A591" s="5" t="s">
        <v>3850</v>
      </c>
      <c r="B591" s="4" t="s">
        <v>424</v>
      </c>
      <c r="C591" s="7" t="s">
        <v>425</v>
      </c>
      <c r="D591" s="8" t="s">
        <v>426</v>
      </c>
      <c r="E591" s="4">
        <v>333687</v>
      </c>
      <c r="G591" s="4" t="s">
        <v>330</v>
      </c>
      <c r="H591" s="6">
        <v>121.322</v>
      </c>
      <c r="I591" s="6">
        <v>-28.873699999999999</v>
      </c>
      <c r="J591" s="4" t="s">
        <v>3851</v>
      </c>
      <c r="K591" s="4" t="s">
        <v>331</v>
      </c>
      <c r="L591" s="4" t="s">
        <v>500</v>
      </c>
      <c r="M591" s="4" t="s">
        <v>501</v>
      </c>
      <c r="Q591" s="8"/>
      <c r="R591" s="8"/>
      <c r="Z591" s="4" t="s">
        <v>424</v>
      </c>
      <c r="AA591" s="7" t="s">
        <v>425</v>
      </c>
      <c r="AB591" s="8" t="s">
        <v>426</v>
      </c>
      <c r="AC591" s="4" t="s">
        <v>301</v>
      </c>
      <c r="AD591" s="4" t="s">
        <v>375</v>
      </c>
      <c r="AE591" s="8">
        <v>2652</v>
      </c>
      <c r="AF591" s="8">
        <v>5</v>
      </c>
      <c r="AG591" s="9" t="s">
        <v>379</v>
      </c>
      <c r="AH591" s="9" t="s">
        <v>335</v>
      </c>
      <c r="AI591" s="9" t="s">
        <v>504</v>
      </c>
      <c r="AJ591" s="9" t="s">
        <v>306</v>
      </c>
      <c r="AK591" s="9" t="s">
        <v>307</v>
      </c>
      <c r="AL591" s="9" t="s">
        <v>337</v>
      </c>
      <c r="AM591" s="8">
        <v>4</v>
      </c>
      <c r="AN591" s="4" t="s">
        <v>381</v>
      </c>
      <c r="AO591" s="4" t="s">
        <v>382</v>
      </c>
      <c r="AP591" s="4" t="s">
        <v>383</v>
      </c>
      <c r="AQ591" s="7" t="s">
        <v>384</v>
      </c>
      <c r="AR591" s="7" t="s">
        <v>433</v>
      </c>
      <c r="AS591" s="7">
        <v>0</v>
      </c>
      <c r="AT591" s="7">
        <v>0</v>
      </c>
      <c r="AU591" s="4" t="s">
        <v>303</v>
      </c>
      <c r="AV591" s="4" t="s">
        <v>406</v>
      </c>
      <c r="AW591" s="4"/>
      <c r="AX591" s="4"/>
      <c r="AY591" s="4"/>
      <c r="AZ591" s="4"/>
      <c r="BA591" s="8">
        <v>5</v>
      </c>
      <c r="BG591" s="8"/>
      <c r="BH591" s="8"/>
      <c r="DZ591" s="31"/>
      <c r="EL591" s="7">
        <f>13.062+23.33</f>
        <v>36.391999999999996</v>
      </c>
      <c r="GP591" s="32"/>
      <c r="GY591" s="6" t="s">
        <v>338</v>
      </c>
      <c r="GZ591" s="6" t="s">
        <v>436</v>
      </c>
      <c r="HC591" s="6" t="s">
        <v>437</v>
      </c>
      <c r="HF591" s="8" t="s">
        <v>3852</v>
      </c>
      <c r="HG591" s="9" t="s">
        <v>507</v>
      </c>
      <c r="ID591" s="8" t="s">
        <v>3852</v>
      </c>
      <c r="IE591" s="9" t="s">
        <v>507</v>
      </c>
      <c r="IF591" s="9" t="s">
        <v>445</v>
      </c>
      <c r="IR591" s="9"/>
      <c r="JV591" s="7" t="s">
        <v>3853</v>
      </c>
      <c r="JX591" s="7" t="s">
        <v>320</v>
      </c>
      <c r="KG591" s="4" t="s">
        <v>323</v>
      </c>
      <c r="KM591" s="4" t="s">
        <v>702</v>
      </c>
      <c r="KN591" s="4" t="s">
        <v>702</v>
      </c>
      <c r="KP591" s="5" t="s">
        <v>358</v>
      </c>
      <c r="KQ591" s="5" t="s">
        <v>3854</v>
      </c>
      <c r="KR591" s="5" t="s">
        <v>3855</v>
      </c>
      <c r="KS591" s="5" t="s">
        <v>3856</v>
      </c>
      <c r="KT591" s="5" t="s">
        <v>3857</v>
      </c>
    </row>
    <row r="592" spans="1:306" ht="48" x14ac:dyDescent="0.25">
      <c r="A592" s="5" t="s">
        <v>3858</v>
      </c>
      <c r="B592" s="4" t="s">
        <v>424</v>
      </c>
      <c r="C592" s="7" t="s">
        <v>425</v>
      </c>
      <c r="D592" s="8" t="s">
        <v>426</v>
      </c>
      <c r="E592" s="4">
        <v>530897</v>
      </c>
      <c r="G592" s="4" t="s">
        <v>427</v>
      </c>
      <c r="H592" s="6">
        <v>149.46199999999999</v>
      </c>
      <c r="I592" s="6">
        <v>-32.788200000000003</v>
      </c>
      <c r="K592" s="4" t="s">
        <v>298</v>
      </c>
      <c r="L592" s="4" t="s">
        <v>299</v>
      </c>
      <c r="M592" s="4" t="s">
        <v>1359</v>
      </c>
      <c r="N592" s="4" t="s">
        <v>1545</v>
      </c>
      <c r="Q592" s="7"/>
      <c r="R592" s="7"/>
      <c r="Z592" s="4" t="s">
        <v>424</v>
      </c>
      <c r="AA592" s="7" t="s">
        <v>425</v>
      </c>
      <c r="AB592" s="8" t="s">
        <v>426</v>
      </c>
      <c r="AC592" s="4" t="s">
        <v>301</v>
      </c>
      <c r="AD592" s="4" t="s">
        <v>375</v>
      </c>
      <c r="AE592" s="7">
        <v>362.1</v>
      </c>
      <c r="AF592" s="7">
        <v>3.3</v>
      </c>
      <c r="AG592" s="9" t="s">
        <v>379</v>
      </c>
      <c r="AH592" s="9" t="s">
        <v>429</v>
      </c>
      <c r="AI592" s="9" t="s">
        <v>430</v>
      </c>
      <c r="AJ592" s="9" t="s">
        <v>431</v>
      </c>
      <c r="AK592" s="9" t="s">
        <v>432</v>
      </c>
      <c r="AM592" s="8">
        <v>4</v>
      </c>
      <c r="AN592" s="4" t="s">
        <v>381</v>
      </c>
      <c r="AO592" s="4" t="s">
        <v>382</v>
      </c>
      <c r="AP592" s="4" t="s">
        <v>383</v>
      </c>
      <c r="AQ592" s="7" t="s">
        <v>403</v>
      </c>
      <c r="AR592" s="8" t="s">
        <v>434</v>
      </c>
      <c r="AS592" s="7">
        <v>0</v>
      </c>
      <c r="AT592" s="7">
        <v>0</v>
      </c>
      <c r="AU592" s="9" t="s">
        <v>303</v>
      </c>
      <c r="AV592" s="9" t="s">
        <v>406</v>
      </c>
      <c r="BA592" s="8">
        <v>5</v>
      </c>
      <c r="DZ592" s="31"/>
      <c r="EL592" s="7">
        <f>250000*31.1/1000000+2.319*2.4</f>
        <v>13.3406</v>
      </c>
      <c r="EY592" s="6"/>
      <c r="FA592" s="6"/>
      <c r="GP592" s="32"/>
      <c r="GY592" s="6" t="s">
        <v>435</v>
      </c>
      <c r="GZ592" s="6" t="s">
        <v>436</v>
      </c>
      <c r="HC592" s="6" t="s">
        <v>437</v>
      </c>
      <c r="HD592" s="8" t="s">
        <v>3859</v>
      </c>
      <c r="HE592" s="8">
        <v>5031</v>
      </c>
      <c r="HF592" s="8" t="s">
        <v>3860</v>
      </c>
      <c r="HG592" s="9" t="s">
        <v>782</v>
      </c>
      <c r="HY592" s="9"/>
      <c r="IB592" s="8" t="s">
        <v>3859</v>
      </c>
      <c r="IC592" s="8">
        <v>5031</v>
      </c>
      <c r="ID592" s="8" t="s">
        <v>3861</v>
      </c>
      <c r="IE592" s="9" t="s">
        <v>782</v>
      </c>
      <c r="IF592" s="9" t="s">
        <v>445</v>
      </c>
      <c r="IH592" s="9"/>
      <c r="II592" s="9"/>
      <c r="IJ592" s="9"/>
      <c r="IK592" s="9"/>
      <c r="IM592" s="9"/>
      <c r="IW592" s="8"/>
      <c r="JB592" s="8"/>
      <c r="JV592" s="7" t="s">
        <v>3862</v>
      </c>
      <c r="JX592" s="7" t="s">
        <v>320</v>
      </c>
      <c r="JY592" s="7" t="s">
        <v>448</v>
      </c>
      <c r="JZ592" s="7" t="s">
        <v>322</v>
      </c>
      <c r="KG592" s="4" t="s">
        <v>323</v>
      </c>
      <c r="KP592" s="5" t="s">
        <v>358</v>
      </c>
      <c r="KQ592" s="5" t="s">
        <v>3863</v>
      </c>
      <c r="KR592" s="5" t="s">
        <v>449</v>
      </c>
      <c r="KS592" s="5" t="s">
        <v>3864</v>
      </c>
      <c r="KT592" s="5" t="s">
        <v>3865</v>
      </c>
    </row>
    <row r="593" spans="1:306" ht="96" x14ac:dyDescent="0.25">
      <c r="A593" s="5" t="s">
        <v>3872</v>
      </c>
      <c r="B593" s="4" t="s">
        <v>424</v>
      </c>
      <c r="C593" s="7" t="s">
        <v>425</v>
      </c>
      <c r="D593" s="8" t="s">
        <v>426</v>
      </c>
      <c r="E593" s="4">
        <v>336119</v>
      </c>
      <c r="G593" s="4" t="s">
        <v>773</v>
      </c>
      <c r="H593" s="6">
        <f>147+3/60+50/3600</f>
        <v>147.0638888888889</v>
      </c>
      <c r="I593" s="6">
        <f>-(36+53/60+30/3600)</f>
        <v>-36.891666666666666</v>
      </c>
      <c r="J593" s="4" t="s">
        <v>3873</v>
      </c>
      <c r="K593" s="4" t="s">
        <v>298</v>
      </c>
      <c r="L593" s="4" t="s">
        <v>299</v>
      </c>
      <c r="M593" s="4" t="s">
        <v>428</v>
      </c>
      <c r="N593" s="4" t="s">
        <v>2164</v>
      </c>
      <c r="Q593" s="8"/>
      <c r="R593" s="8"/>
      <c r="Z593" s="4" t="s">
        <v>424</v>
      </c>
      <c r="AA593" s="7" t="s">
        <v>425</v>
      </c>
      <c r="AB593" s="8" t="s">
        <v>426</v>
      </c>
      <c r="AC593" s="4" t="s">
        <v>301</v>
      </c>
      <c r="AD593" s="4" t="s">
        <v>382</v>
      </c>
      <c r="AE593" s="8"/>
      <c r="AF593" s="8"/>
      <c r="AN593" s="4" t="s">
        <v>381</v>
      </c>
      <c r="AO593" s="4" t="s">
        <v>382</v>
      </c>
      <c r="AP593" s="4" t="s">
        <v>383</v>
      </c>
      <c r="AQ593" s="7" t="s">
        <v>384</v>
      </c>
      <c r="AR593" s="8" t="s">
        <v>433</v>
      </c>
      <c r="AS593" s="7">
        <v>0</v>
      </c>
      <c r="AT593" s="7">
        <v>0</v>
      </c>
      <c r="AU593" s="9" t="s">
        <v>303</v>
      </c>
      <c r="AV593" s="9" t="s">
        <v>406</v>
      </c>
      <c r="BA593" s="8">
        <v>5</v>
      </c>
      <c r="BB593" s="4" t="s">
        <v>381</v>
      </c>
      <c r="BC593" s="4" t="s">
        <v>382</v>
      </c>
      <c r="BD593" s="4" t="s">
        <v>383</v>
      </c>
      <c r="BE593" s="7" t="s">
        <v>403</v>
      </c>
      <c r="BF593" s="8" t="s">
        <v>434</v>
      </c>
      <c r="BG593" s="7">
        <v>0</v>
      </c>
      <c r="BH593" s="7">
        <v>0</v>
      </c>
      <c r="BI593" s="9" t="s">
        <v>303</v>
      </c>
      <c r="BJ593" s="9" t="s">
        <v>406</v>
      </c>
      <c r="BO593" s="8">
        <v>5</v>
      </c>
      <c r="BQ593" s="7"/>
      <c r="BR593" s="7"/>
      <c r="BS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c r="DU593" s="7"/>
      <c r="DV593" s="7"/>
      <c r="DW593" s="7"/>
      <c r="DX593" s="7"/>
      <c r="DY593" s="7"/>
      <c r="DZ593" s="31"/>
      <c r="EA593" s="7"/>
      <c r="EB593" s="7"/>
      <c r="EC593" s="7"/>
      <c r="ED593" s="7"/>
      <c r="EE593" s="7"/>
      <c r="EF593" s="7"/>
      <c r="EG593" s="7"/>
      <c r="EL593" s="8">
        <v>24</v>
      </c>
      <c r="EY593" s="6"/>
      <c r="FA593" s="6"/>
      <c r="GP593" s="32"/>
      <c r="GY593" s="6" t="s">
        <v>309</v>
      </c>
      <c r="GZ593" s="6" t="s">
        <v>436</v>
      </c>
      <c r="HC593" s="6" t="s">
        <v>437</v>
      </c>
      <c r="HD593" s="4" t="s">
        <v>2165</v>
      </c>
      <c r="HE593" s="4">
        <v>23907</v>
      </c>
      <c r="HF593" s="4" t="s">
        <v>2166</v>
      </c>
      <c r="HG593" s="9" t="s">
        <v>997</v>
      </c>
      <c r="HQ593" s="9"/>
      <c r="HY593" s="9"/>
      <c r="IB593" s="8" t="s">
        <v>3874</v>
      </c>
      <c r="IC593" s="8">
        <v>35534</v>
      </c>
      <c r="ID593" s="8" t="s">
        <v>514</v>
      </c>
      <c r="IE593" s="8" t="s">
        <v>1507</v>
      </c>
      <c r="IF593" s="8" t="s">
        <v>350</v>
      </c>
      <c r="IG593" s="8" t="s">
        <v>3875</v>
      </c>
      <c r="IH593" s="8">
        <v>20742</v>
      </c>
      <c r="II593" s="8" t="s">
        <v>3876</v>
      </c>
      <c r="IJ593" s="8" t="s">
        <v>1507</v>
      </c>
      <c r="IK593" s="8" t="s">
        <v>350</v>
      </c>
      <c r="JV593" s="7" t="s">
        <v>3877</v>
      </c>
      <c r="JX593" s="7" t="s">
        <v>320</v>
      </c>
      <c r="KG593" s="4" t="s">
        <v>323</v>
      </c>
      <c r="KP593" s="18" t="s">
        <v>3878</v>
      </c>
      <c r="KQ593" s="5" t="s">
        <v>3879</v>
      </c>
      <c r="KS593" s="5" t="s">
        <v>3880</v>
      </c>
      <c r="KT593" s="5" t="s">
        <v>3881</v>
      </c>
    </row>
    <row r="594" spans="1:306" ht="72" x14ac:dyDescent="0.25">
      <c r="A594" s="5" t="s">
        <v>3905</v>
      </c>
      <c r="B594" s="4" t="s">
        <v>424</v>
      </c>
      <c r="C594" s="7" t="s">
        <v>425</v>
      </c>
      <c r="D594" s="8" t="s">
        <v>426</v>
      </c>
      <c r="E594" s="4">
        <v>334377</v>
      </c>
      <c r="G594" s="4" t="s">
        <v>479</v>
      </c>
      <c r="H594" s="6">
        <v>143.6028</v>
      </c>
      <c r="I594" s="6">
        <v>-18.604399999999998</v>
      </c>
      <c r="K594" s="4" t="s">
        <v>481</v>
      </c>
      <c r="L594" s="4" t="s">
        <v>482</v>
      </c>
      <c r="Q594" s="8"/>
      <c r="R594" s="8"/>
      <c r="Z594" s="4" t="s">
        <v>424</v>
      </c>
      <c r="AA594" s="7" t="s">
        <v>425</v>
      </c>
      <c r="AB594" s="8" t="s">
        <v>426</v>
      </c>
      <c r="AC594" s="4" t="s">
        <v>301</v>
      </c>
      <c r="AD594" s="4" t="s">
        <v>375</v>
      </c>
      <c r="AE594" s="8">
        <v>404.7</v>
      </c>
      <c r="AF594" s="8">
        <v>9.3000000000000007</v>
      </c>
      <c r="AG594" s="9" t="s">
        <v>379</v>
      </c>
      <c r="AH594" s="9" t="s">
        <v>429</v>
      </c>
      <c r="AI594" s="9" t="s">
        <v>430</v>
      </c>
      <c r="AJ594" s="9" t="s">
        <v>1238</v>
      </c>
      <c r="AM594" s="8">
        <v>3</v>
      </c>
      <c r="AS594" s="7"/>
      <c r="AT594" s="7"/>
      <c r="DZ594" s="31"/>
      <c r="EL594" s="6">
        <v>0.65</v>
      </c>
      <c r="EY594" s="6"/>
      <c r="FA594" s="6"/>
      <c r="GP594" s="32"/>
      <c r="GY594" s="6" t="s">
        <v>309</v>
      </c>
      <c r="GZ594" s="6" t="s">
        <v>436</v>
      </c>
      <c r="HC594" s="6" t="s">
        <v>437</v>
      </c>
      <c r="HD594" s="8" t="s">
        <v>3906</v>
      </c>
      <c r="HE594" s="8">
        <v>23624</v>
      </c>
      <c r="HF594" s="8" t="s">
        <v>3907</v>
      </c>
      <c r="HG594" s="9" t="s">
        <v>487</v>
      </c>
      <c r="HH594" s="8" t="s">
        <v>3908</v>
      </c>
      <c r="HI594" s="8">
        <v>5344</v>
      </c>
      <c r="HJ594" s="9" t="s">
        <v>3909</v>
      </c>
      <c r="HK594" s="9" t="s">
        <v>487</v>
      </c>
      <c r="HY594" s="9"/>
      <c r="IB594" s="8" t="s">
        <v>3906</v>
      </c>
      <c r="IC594" s="8">
        <v>23624</v>
      </c>
      <c r="ID594" s="8" t="s">
        <v>3907</v>
      </c>
      <c r="IE594" s="9" t="s">
        <v>487</v>
      </c>
      <c r="IF594" s="8" t="s">
        <v>445</v>
      </c>
      <c r="IG594" s="8" t="s">
        <v>3908</v>
      </c>
      <c r="IH594" s="8">
        <v>5344</v>
      </c>
      <c r="II594" s="8" t="s">
        <v>3909</v>
      </c>
      <c r="IJ594" s="8" t="s">
        <v>487</v>
      </c>
      <c r="IK594" s="8" t="s">
        <v>445</v>
      </c>
      <c r="IO594" s="8"/>
      <c r="IP594" s="8"/>
      <c r="IR594" s="9"/>
      <c r="JV594" s="7" t="s">
        <v>3910</v>
      </c>
      <c r="JX594" s="7" t="s">
        <v>320</v>
      </c>
      <c r="KG594" s="4" t="s">
        <v>323</v>
      </c>
      <c r="KP594" s="5" t="s">
        <v>358</v>
      </c>
      <c r="KQ594" s="5" t="s">
        <v>495</v>
      </c>
      <c r="KR594" s="5" t="s">
        <v>495</v>
      </c>
      <c r="KS594" s="5" t="s">
        <v>495</v>
      </c>
      <c r="KT594" s="5" t="s">
        <v>2195</v>
      </c>
    </row>
    <row r="595" spans="1:306" ht="144" x14ac:dyDescent="0.25">
      <c r="A595" s="5" t="s">
        <v>3995</v>
      </c>
      <c r="B595" s="4" t="s">
        <v>424</v>
      </c>
      <c r="C595" s="7" t="s">
        <v>425</v>
      </c>
      <c r="D595" s="8" t="s">
        <v>426</v>
      </c>
      <c r="E595" s="4">
        <v>334304</v>
      </c>
      <c r="G595" s="4" t="s">
        <v>330</v>
      </c>
      <c r="H595" s="6">
        <v>121.51479999999999</v>
      </c>
      <c r="I595" s="6">
        <v>-31.815899999999999</v>
      </c>
      <c r="J595" s="4" t="s">
        <v>2099</v>
      </c>
      <c r="K595" s="4" t="s">
        <v>331</v>
      </c>
      <c r="L595" s="4" t="s">
        <v>500</v>
      </c>
      <c r="M595" s="4" t="s">
        <v>501</v>
      </c>
      <c r="N595" s="4" t="s">
        <v>1061</v>
      </c>
      <c r="Q595" s="8"/>
      <c r="R595" s="8"/>
      <c r="Z595" s="4" t="s">
        <v>424</v>
      </c>
      <c r="AA595" s="7" t="s">
        <v>425</v>
      </c>
      <c r="AB595" s="8" t="s">
        <v>426</v>
      </c>
      <c r="AC595" s="4" t="s">
        <v>301</v>
      </c>
      <c r="AD595" s="4" t="s">
        <v>375</v>
      </c>
      <c r="AE595" s="8">
        <v>2644</v>
      </c>
      <c r="AF595" s="8">
        <v>8</v>
      </c>
      <c r="AG595" s="9" t="s">
        <v>379</v>
      </c>
      <c r="AH595" s="9" t="s">
        <v>335</v>
      </c>
      <c r="AI595" s="9" t="s">
        <v>503</v>
      </c>
      <c r="AJ595" s="9" t="s">
        <v>306</v>
      </c>
      <c r="AK595" s="9" t="s">
        <v>307</v>
      </c>
      <c r="AL595" s="9" t="s">
        <v>337</v>
      </c>
      <c r="AM595" s="8">
        <v>4</v>
      </c>
      <c r="AN595" s="4" t="s">
        <v>381</v>
      </c>
      <c r="AO595" s="4" t="s">
        <v>382</v>
      </c>
      <c r="AP595" s="4" t="s">
        <v>383</v>
      </c>
      <c r="AQ595" s="7" t="s">
        <v>384</v>
      </c>
      <c r="AR595" s="7" t="s">
        <v>433</v>
      </c>
      <c r="AS595" s="7">
        <v>0</v>
      </c>
      <c r="AT595" s="7">
        <v>0</v>
      </c>
      <c r="AU595" s="4" t="s">
        <v>303</v>
      </c>
      <c r="AV595" s="4" t="s">
        <v>406</v>
      </c>
      <c r="AW595" s="4"/>
      <c r="AX595" s="4"/>
      <c r="AY595" s="4"/>
      <c r="AZ595" s="4"/>
      <c r="BA595" s="8">
        <v>5</v>
      </c>
      <c r="BG595" s="8"/>
      <c r="BH595" s="8"/>
      <c r="BP595" s="7">
        <v>54.472999999999999</v>
      </c>
      <c r="BQ595" s="7"/>
      <c r="BV595" s="7">
        <v>2.14</v>
      </c>
      <c r="DZ595" s="31"/>
      <c r="EL595" s="7">
        <v>116.38</v>
      </c>
      <c r="FA595" s="6"/>
      <c r="GP595" s="32"/>
      <c r="GY595" s="6" t="s">
        <v>338</v>
      </c>
      <c r="GZ595" s="6" t="s">
        <v>436</v>
      </c>
      <c r="HC595" s="6" t="s">
        <v>437</v>
      </c>
      <c r="HD595" s="8" t="s">
        <v>1803</v>
      </c>
      <c r="HF595" s="8" t="s">
        <v>2100</v>
      </c>
      <c r="HG595" s="9" t="s">
        <v>507</v>
      </c>
      <c r="IB595" s="8" t="s">
        <v>1803</v>
      </c>
      <c r="ID595" s="8" t="s">
        <v>2100</v>
      </c>
      <c r="IE595" s="9" t="s">
        <v>507</v>
      </c>
      <c r="IF595" s="8" t="s">
        <v>445</v>
      </c>
      <c r="IG595" s="8" t="s">
        <v>3996</v>
      </c>
      <c r="II595" s="8" t="s">
        <v>3997</v>
      </c>
      <c r="IJ595" s="8" t="s">
        <v>507</v>
      </c>
      <c r="IK595" s="8" t="s">
        <v>445</v>
      </c>
      <c r="IL595" s="8" t="s">
        <v>2101</v>
      </c>
      <c r="IN595" s="8" t="s">
        <v>2102</v>
      </c>
      <c r="IO595" s="8" t="s">
        <v>3998</v>
      </c>
      <c r="IP595" s="8" t="s">
        <v>319</v>
      </c>
      <c r="IQ595" s="9" t="s">
        <v>3999</v>
      </c>
      <c r="IR595" s="9"/>
      <c r="IS595" s="9" t="s">
        <v>4000</v>
      </c>
      <c r="IT595" s="9" t="s">
        <v>507</v>
      </c>
      <c r="IU595" s="9" t="s">
        <v>350</v>
      </c>
      <c r="IV595" s="9" t="s">
        <v>2103</v>
      </c>
      <c r="IX595" s="9" t="s">
        <v>2104</v>
      </c>
      <c r="IY595" s="9" t="s">
        <v>4001</v>
      </c>
      <c r="IZ595" s="9" t="s">
        <v>350</v>
      </c>
      <c r="JV595" s="7" t="s">
        <v>4002</v>
      </c>
      <c r="JW595" s="7" t="s">
        <v>4003</v>
      </c>
      <c r="JX595" s="7" t="s">
        <v>322</v>
      </c>
      <c r="JY595" s="7" t="s">
        <v>448</v>
      </c>
      <c r="JZ595" s="7" t="s">
        <v>320</v>
      </c>
      <c r="KA595" s="7" t="s">
        <v>470</v>
      </c>
      <c r="KB595" s="7" t="s">
        <v>353</v>
      </c>
      <c r="KG595" s="4" t="s">
        <v>323</v>
      </c>
      <c r="KM595" s="4" t="s">
        <v>1439</v>
      </c>
      <c r="KN595" s="4" t="s">
        <v>1439</v>
      </c>
      <c r="KP595" s="5" t="s">
        <v>358</v>
      </c>
      <c r="KQ595" s="5" t="s">
        <v>4004</v>
      </c>
      <c r="KR595" s="5" t="s">
        <v>4005</v>
      </c>
      <c r="KS595" s="5" t="s">
        <v>4006</v>
      </c>
      <c r="KT595" s="5" t="s">
        <v>4007</v>
      </c>
    </row>
    <row r="596" spans="1:306" ht="96" x14ac:dyDescent="0.25">
      <c r="A596" s="5" t="s">
        <v>4021</v>
      </c>
      <c r="B596" s="4" t="s">
        <v>424</v>
      </c>
      <c r="C596" s="7" t="s">
        <v>425</v>
      </c>
      <c r="D596" s="8" t="s">
        <v>426</v>
      </c>
      <c r="E596" s="4">
        <v>336099</v>
      </c>
      <c r="G596" s="4" t="s">
        <v>427</v>
      </c>
      <c r="H596" s="6">
        <v>149.41050000000001</v>
      </c>
      <c r="I596" s="6">
        <v>-33.049999999999997</v>
      </c>
      <c r="J596" s="4" t="s">
        <v>4022</v>
      </c>
      <c r="K596" s="4" t="s">
        <v>298</v>
      </c>
      <c r="L596" s="4" t="s">
        <v>299</v>
      </c>
      <c r="M596" s="4" t="s">
        <v>1359</v>
      </c>
      <c r="N596" s="4" t="s">
        <v>1545</v>
      </c>
      <c r="Q596" s="7"/>
      <c r="R596" s="7"/>
      <c r="Z596" s="4" t="s">
        <v>424</v>
      </c>
      <c r="AA596" s="7" t="s">
        <v>425</v>
      </c>
      <c r="AB596" s="8" t="s">
        <v>426</v>
      </c>
      <c r="AC596" s="4" t="s">
        <v>301</v>
      </c>
      <c r="AD596" s="4" t="s">
        <v>382</v>
      </c>
      <c r="AE596" s="7">
        <v>357.70000000000005</v>
      </c>
      <c r="AF596" s="7">
        <v>1.2</v>
      </c>
      <c r="AG596" s="9" t="s">
        <v>379</v>
      </c>
      <c r="AH596" s="9" t="s">
        <v>429</v>
      </c>
      <c r="AI596" s="9" t="s">
        <v>845</v>
      </c>
      <c r="AJ596" s="9" t="s">
        <v>431</v>
      </c>
      <c r="AK596" s="9" t="s">
        <v>432</v>
      </c>
      <c r="AM596" s="8">
        <v>3</v>
      </c>
      <c r="AN596" s="4" t="s">
        <v>301</v>
      </c>
      <c r="AO596" s="4" t="s">
        <v>375</v>
      </c>
      <c r="AP596" s="4" t="s">
        <v>424</v>
      </c>
      <c r="AQ596" s="7" t="s">
        <v>425</v>
      </c>
      <c r="AR596" s="8" t="s">
        <v>426</v>
      </c>
      <c r="AS596" s="7">
        <v>342.8</v>
      </c>
      <c r="AT596" s="7">
        <v>2.4</v>
      </c>
      <c r="AU596" s="9" t="s">
        <v>379</v>
      </c>
      <c r="AV596" s="9" t="s">
        <v>429</v>
      </c>
      <c r="AW596" s="9" t="s">
        <v>845</v>
      </c>
      <c r="AX596" s="9" t="s">
        <v>431</v>
      </c>
      <c r="AY596" s="9" t="s">
        <v>432</v>
      </c>
      <c r="BA596" s="8">
        <v>3</v>
      </c>
      <c r="BB596" s="4" t="s">
        <v>381</v>
      </c>
      <c r="BC596" s="4" t="s">
        <v>402</v>
      </c>
      <c r="BD596" s="4" t="s">
        <v>383</v>
      </c>
      <c r="BE596" s="7" t="s">
        <v>403</v>
      </c>
      <c r="BF596" s="8" t="s">
        <v>434</v>
      </c>
      <c r="BG596" s="7">
        <v>0</v>
      </c>
      <c r="BH596" s="7">
        <v>0</v>
      </c>
      <c r="BI596" s="9" t="s">
        <v>303</v>
      </c>
      <c r="BJ596" s="9" t="s">
        <v>406</v>
      </c>
      <c r="BO596" s="8">
        <v>5</v>
      </c>
      <c r="DZ596" s="31"/>
      <c r="EL596" s="8">
        <f>1*31.3+0.035446*10.8+1.475*1.7+0.855*8.6</f>
        <v>41.543316800000007</v>
      </c>
      <c r="EY596" s="6"/>
      <c r="FA596" s="6"/>
      <c r="GP596" s="32"/>
      <c r="GY596" s="6" t="s">
        <v>435</v>
      </c>
      <c r="GZ596" s="6" t="s">
        <v>436</v>
      </c>
      <c r="HC596" s="6" t="s">
        <v>437</v>
      </c>
      <c r="HD596" s="8" t="s">
        <v>4023</v>
      </c>
      <c r="HE596" s="8">
        <v>30854</v>
      </c>
      <c r="HF596" s="8" t="s">
        <v>4024</v>
      </c>
      <c r="HG596" s="9" t="s">
        <v>444</v>
      </c>
      <c r="HH596" s="9" t="s">
        <v>4025</v>
      </c>
      <c r="HI596" s="8">
        <v>4499</v>
      </c>
      <c r="HJ596" s="9" t="s">
        <v>4026</v>
      </c>
      <c r="HK596" s="9" t="s">
        <v>782</v>
      </c>
      <c r="HY596" s="9"/>
      <c r="IB596" s="8" t="s">
        <v>4023</v>
      </c>
      <c r="IC596" s="8">
        <v>30854</v>
      </c>
      <c r="ID596" s="8" t="s">
        <v>4027</v>
      </c>
      <c r="IE596" s="9" t="s">
        <v>444</v>
      </c>
      <c r="IF596" s="9" t="s">
        <v>445</v>
      </c>
      <c r="IG596" s="9" t="s">
        <v>4025</v>
      </c>
      <c r="IH596" s="8">
        <v>4499</v>
      </c>
      <c r="II596" s="9" t="s">
        <v>4028</v>
      </c>
      <c r="IJ596" s="9" t="s">
        <v>782</v>
      </c>
      <c r="IK596" s="9" t="s">
        <v>445</v>
      </c>
      <c r="IM596" s="9"/>
      <c r="IW596" s="8"/>
      <c r="JB596" s="8"/>
      <c r="JV596" s="7" t="s">
        <v>4029</v>
      </c>
      <c r="JX596" s="7" t="s">
        <v>320</v>
      </c>
      <c r="JY596" s="7" t="s">
        <v>354</v>
      </c>
      <c r="JZ596" s="7" t="s">
        <v>322</v>
      </c>
      <c r="KA596" s="7" t="s">
        <v>354</v>
      </c>
      <c r="KB596" s="7" t="s">
        <v>738</v>
      </c>
      <c r="KG596" s="4" t="s">
        <v>323</v>
      </c>
      <c r="KP596" s="5" t="s">
        <v>358</v>
      </c>
      <c r="KQ596" s="5" t="s">
        <v>4030</v>
      </c>
      <c r="KR596" s="5" t="s">
        <v>4031</v>
      </c>
      <c r="KS596" s="5" t="s">
        <v>3864</v>
      </c>
      <c r="KT596" s="5" t="s">
        <v>4032</v>
      </c>
    </row>
    <row r="597" spans="1:306" ht="132" x14ac:dyDescent="0.25">
      <c r="A597" s="5" t="s">
        <v>4173</v>
      </c>
      <c r="B597" s="4" t="s">
        <v>424</v>
      </c>
      <c r="C597" s="7" t="s">
        <v>425</v>
      </c>
      <c r="D597" s="8" t="s">
        <v>426</v>
      </c>
      <c r="E597" s="4">
        <v>334290</v>
      </c>
      <c r="G597" s="4" t="s">
        <v>530</v>
      </c>
      <c r="H597" s="6">
        <v>131.34549999999999</v>
      </c>
      <c r="I597" s="6">
        <v>-13.497999999999999</v>
      </c>
      <c r="J597" s="4" t="s">
        <v>4174</v>
      </c>
      <c r="K597" s="4" t="s">
        <v>481</v>
      </c>
      <c r="L597" s="4" t="s">
        <v>532</v>
      </c>
      <c r="Q597" s="8"/>
      <c r="R597" s="8"/>
      <c r="Z597" s="4" t="s">
        <v>424</v>
      </c>
      <c r="AA597" s="7" t="s">
        <v>425</v>
      </c>
      <c r="AB597" s="8" t="s">
        <v>426</v>
      </c>
      <c r="AC597" s="4" t="s">
        <v>301</v>
      </c>
      <c r="AD597" s="4" t="s">
        <v>302</v>
      </c>
      <c r="AE597" s="8">
        <v>1810</v>
      </c>
      <c r="AF597" s="8">
        <v>110</v>
      </c>
      <c r="AG597" s="9" t="s">
        <v>379</v>
      </c>
      <c r="AH597" s="9" t="s">
        <v>335</v>
      </c>
      <c r="AI597" s="9" t="s">
        <v>2755</v>
      </c>
      <c r="AJ597" s="9" t="s">
        <v>1080</v>
      </c>
      <c r="AK597" s="9" t="s">
        <v>1081</v>
      </c>
      <c r="AL597" s="9" t="s">
        <v>1295</v>
      </c>
      <c r="AM597" s="8">
        <v>3</v>
      </c>
      <c r="AN597" s="4" t="s">
        <v>381</v>
      </c>
      <c r="AO597" s="4" t="s">
        <v>382</v>
      </c>
      <c r="AP597" s="4" t="s">
        <v>383</v>
      </c>
      <c r="AQ597" s="7" t="s">
        <v>384</v>
      </c>
      <c r="AR597" s="7" t="s">
        <v>433</v>
      </c>
      <c r="AS597" s="7">
        <v>0</v>
      </c>
      <c r="AT597" s="7">
        <v>0</v>
      </c>
      <c r="AU597" s="9" t="s">
        <v>303</v>
      </c>
      <c r="AV597" s="9" t="s">
        <v>406</v>
      </c>
      <c r="BA597" s="8">
        <v>5</v>
      </c>
      <c r="BP597" s="7">
        <f>0.071+6.98+1.1+7.647+14.475</f>
        <v>30.273</v>
      </c>
      <c r="BQ597" s="7"/>
      <c r="BU597" s="6"/>
      <c r="BV597" s="7">
        <f>(10.5*0.071+2.1*6.98+1.8*1.1+2.08*7.647+2.09*14.475)/(0.071+6.98+1.1+7.647+14.475)</f>
        <v>2.0989664057080568</v>
      </c>
      <c r="DZ597" s="31"/>
      <c r="EL597" s="7">
        <v>73.319540000000018</v>
      </c>
      <c r="GP597" s="32"/>
      <c r="GY597" s="6" t="s">
        <v>435</v>
      </c>
      <c r="GZ597" s="6" t="s">
        <v>436</v>
      </c>
      <c r="HC597" s="6" t="s">
        <v>437</v>
      </c>
      <c r="HD597" s="9" t="s">
        <v>1640</v>
      </c>
      <c r="HE597" s="8">
        <v>25130</v>
      </c>
      <c r="HF597" s="8" t="s">
        <v>4175</v>
      </c>
      <c r="HG597" s="9" t="s">
        <v>538</v>
      </c>
      <c r="HH597" s="9" t="s">
        <v>1682</v>
      </c>
      <c r="HI597" s="8">
        <v>27961</v>
      </c>
      <c r="HJ597" s="9" t="s">
        <v>1683</v>
      </c>
      <c r="HK597" s="9" t="s">
        <v>538</v>
      </c>
      <c r="HL597" s="9" t="s">
        <v>3183</v>
      </c>
      <c r="HM597" s="8">
        <v>27066</v>
      </c>
      <c r="HN597" s="9" t="s">
        <v>3184</v>
      </c>
      <c r="HO597" s="9" t="s">
        <v>538</v>
      </c>
      <c r="HR597" s="8"/>
      <c r="HS597" s="8"/>
      <c r="IB597" s="9" t="s">
        <v>1682</v>
      </c>
      <c r="IC597" s="8">
        <v>27961</v>
      </c>
      <c r="ID597" s="9" t="s">
        <v>1683</v>
      </c>
      <c r="IE597" s="9" t="s">
        <v>538</v>
      </c>
      <c r="IF597" s="8" t="s">
        <v>445</v>
      </c>
      <c r="IG597" s="8" t="s">
        <v>1574</v>
      </c>
      <c r="IH597" s="8">
        <v>27310</v>
      </c>
      <c r="II597" s="8" t="s">
        <v>1575</v>
      </c>
      <c r="IJ597" s="8" t="s">
        <v>538</v>
      </c>
      <c r="IK597" s="8" t="s">
        <v>445</v>
      </c>
      <c r="IL597" s="8" t="s">
        <v>1576</v>
      </c>
      <c r="IM597" s="8">
        <v>30778</v>
      </c>
      <c r="IN597" s="8" t="s">
        <v>2203</v>
      </c>
      <c r="IO597" s="8" t="s">
        <v>538</v>
      </c>
      <c r="IP597" s="8" t="s">
        <v>1578</v>
      </c>
      <c r="IW597" s="8"/>
      <c r="JB597" s="8"/>
      <c r="JV597" s="7" t="s">
        <v>4176</v>
      </c>
      <c r="JW597" s="7" t="s">
        <v>783</v>
      </c>
      <c r="JX597" s="7" t="s">
        <v>320</v>
      </c>
      <c r="JY597" s="7" t="s">
        <v>354</v>
      </c>
      <c r="JZ597" s="7" t="s">
        <v>322</v>
      </c>
      <c r="KG597" s="4" t="s">
        <v>323</v>
      </c>
      <c r="KM597" s="4" t="s">
        <v>836</v>
      </c>
      <c r="KN597" s="4" t="s">
        <v>836</v>
      </c>
      <c r="KP597" s="5" t="s">
        <v>358</v>
      </c>
      <c r="KQ597" s="5" t="s">
        <v>4177</v>
      </c>
      <c r="KR597" s="14" t="s">
        <v>4178</v>
      </c>
      <c r="KS597" s="5" t="s">
        <v>1580</v>
      </c>
      <c r="KT597" s="14" t="s">
        <v>4179</v>
      </c>
    </row>
    <row r="598" spans="1:306" ht="48" x14ac:dyDescent="0.25">
      <c r="A598" s="5" t="s">
        <v>4183</v>
      </c>
      <c r="B598" s="4" t="s">
        <v>424</v>
      </c>
      <c r="C598" s="7" t="s">
        <v>425</v>
      </c>
      <c r="D598" s="8" t="s">
        <v>426</v>
      </c>
      <c r="E598" s="4">
        <v>568981</v>
      </c>
      <c r="G598" s="4" t="s">
        <v>530</v>
      </c>
      <c r="H598" s="6">
        <v>130.07900000000001</v>
      </c>
      <c r="I598" s="6">
        <v>-19.559999999999999</v>
      </c>
      <c r="J598" s="4" t="s">
        <v>4183</v>
      </c>
      <c r="K598" s="4" t="s">
        <v>481</v>
      </c>
      <c r="L598" s="4" t="s">
        <v>863</v>
      </c>
      <c r="Q598" s="8"/>
      <c r="R598" s="8"/>
      <c r="Z598" s="4" t="s">
        <v>424</v>
      </c>
      <c r="AA598" s="7" t="s">
        <v>425</v>
      </c>
      <c r="AB598" s="8" t="s">
        <v>426</v>
      </c>
      <c r="AC598" s="4" t="s">
        <v>301</v>
      </c>
      <c r="AD598" s="4" t="s">
        <v>375</v>
      </c>
      <c r="AE598" s="8">
        <v>1809</v>
      </c>
      <c r="AF598" s="8"/>
      <c r="AG598" s="9" t="s">
        <v>379</v>
      </c>
      <c r="AH598" s="9" t="s">
        <v>380</v>
      </c>
      <c r="AM598" s="8">
        <v>2</v>
      </c>
      <c r="AS598" s="7"/>
      <c r="AT598" s="7"/>
      <c r="BP598" s="7">
        <v>4.4000000000000004</v>
      </c>
      <c r="BV598" s="7">
        <v>2.2000000000000002</v>
      </c>
      <c r="DZ598" s="31"/>
      <c r="EL598" s="6">
        <f>BP598*BV598</f>
        <v>9.6800000000000015</v>
      </c>
      <c r="GP598" s="32"/>
      <c r="GY598" s="6" t="s">
        <v>338</v>
      </c>
      <c r="GZ598" s="6" t="s">
        <v>436</v>
      </c>
      <c r="HC598" s="6" t="s">
        <v>437</v>
      </c>
      <c r="HD598" s="8" t="s">
        <v>4184</v>
      </c>
      <c r="HE598" s="8">
        <v>35400</v>
      </c>
      <c r="HF598" s="8" t="s">
        <v>4185</v>
      </c>
      <c r="HG598" s="8" t="s">
        <v>538</v>
      </c>
      <c r="IB598" s="8" t="s">
        <v>4184</v>
      </c>
      <c r="IC598" s="8">
        <v>35400</v>
      </c>
      <c r="ID598" s="8" t="s">
        <v>4185</v>
      </c>
      <c r="IE598" s="8" t="s">
        <v>538</v>
      </c>
      <c r="IF598" s="8" t="s">
        <v>445</v>
      </c>
      <c r="IG598" s="8" t="s">
        <v>2498</v>
      </c>
      <c r="IH598" s="8">
        <v>40137</v>
      </c>
      <c r="II598" s="8" t="s">
        <v>2499</v>
      </c>
      <c r="IJ598" s="8" t="s">
        <v>538</v>
      </c>
      <c r="IK598" s="8" t="s">
        <v>319</v>
      </c>
      <c r="IW598" s="8"/>
      <c r="JB598" s="8"/>
      <c r="KM598" s="4" t="s">
        <v>471</v>
      </c>
      <c r="KN598" s="4" t="s">
        <v>471</v>
      </c>
      <c r="KP598" s="5" t="s">
        <v>358</v>
      </c>
      <c r="KQ598" s="5" t="s">
        <v>4186</v>
      </c>
      <c r="KS598" s="5" t="s">
        <v>1775</v>
      </c>
      <c r="KT598" s="5" t="s">
        <v>4187</v>
      </c>
    </row>
    <row r="599" spans="1:306" ht="96" x14ac:dyDescent="0.25">
      <c r="A599" s="5" t="s">
        <v>4191</v>
      </c>
      <c r="B599" s="4" t="s">
        <v>424</v>
      </c>
      <c r="C599" s="7" t="s">
        <v>425</v>
      </c>
      <c r="D599" s="8" t="s">
        <v>426</v>
      </c>
      <c r="E599" s="4">
        <v>334754</v>
      </c>
      <c r="G599" s="4" t="s">
        <v>479</v>
      </c>
      <c r="H599" s="6">
        <v>143.4931</v>
      </c>
      <c r="I599" s="6">
        <v>-18.374500000000001</v>
      </c>
      <c r="K599" s="4" t="s">
        <v>481</v>
      </c>
      <c r="L599" s="4" t="s">
        <v>482</v>
      </c>
      <c r="Q599" s="7"/>
      <c r="R599" s="7"/>
      <c r="Z599" s="4" t="s">
        <v>424</v>
      </c>
      <c r="AA599" s="7" t="s">
        <v>425</v>
      </c>
      <c r="AB599" s="8" t="s">
        <v>426</v>
      </c>
      <c r="AC599" s="4" t="s">
        <v>301</v>
      </c>
      <c r="AD599" s="4" t="s">
        <v>375</v>
      </c>
      <c r="AE599" s="7">
        <v>389.1</v>
      </c>
      <c r="AF599" s="7">
        <v>8.9</v>
      </c>
      <c r="AG599" s="9" t="s">
        <v>379</v>
      </c>
      <c r="AH599" s="9" t="s">
        <v>429</v>
      </c>
      <c r="AI599" s="9" t="s">
        <v>430</v>
      </c>
      <c r="AJ599" s="9" t="s">
        <v>1238</v>
      </c>
      <c r="AM599" s="8">
        <v>3</v>
      </c>
      <c r="AN599" s="4" t="s">
        <v>381</v>
      </c>
      <c r="AO599" s="4" t="s">
        <v>402</v>
      </c>
      <c r="AP599" s="4" t="s">
        <v>383</v>
      </c>
      <c r="AQ599" s="7" t="s">
        <v>384</v>
      </c>
      <c r="AR599" s="8" t="s">
        <v>433</v>
      </c>
      <c r="AS599" s="7">
        <v>0</v>
      </c>
      <c r="AT599" s="7">
        <v>0</v>
      </c>
      <c r="AU599" s="9" t="s">
        <v>303</v>
      </c>
      <c r="AV599" s="9" t="s">
        <v>406</v>
      </c>
      <c r="BA599" s="8">
        <v>5</v>
      </c>
      <c r="DZ599" s="31"/>
      <c r="EL599" s="6">
        <v>1.1599999999999999</v>
      </c>
      <c r="EY599" s="6"/>
      <c r="FA599" s="6"/>
      <c r="GP599" s="32"/>
      <c r="GY599" s="6" t="s">
        <v>309</v>
      </c>
      <c r="GZ599" s="6" t="s">
        <v>436</v>
      </c>
      <c r="HC599" s="6" t="s">
        <v>437</v>
      </c>
      <c r="HD599" s="8" t="s">
        <v>485</v>
      </c>
      <c r="HE599" s="8">
        <v>6827</v>
      </c>
      <c r="HF599" s="8" t="s">
        <v>486</v>
      </c>
      <c r="HG599" s="9" t="s">
        <v>487</v>
      </c>
      <c r="HH599" s="9" t="s">
        <v>4192</v>
      </c>
      <c r="HI599" s="8">
        <v>27198</v>
      </c>
      <c r="HJ599" s="9" t="s">
        <v>4193</v>
      </c>
      <c r="HK599" s="9" t="s">
        <v>487</v>
      </c>
      <c r="HY599" s="9"/>
      <c r="IB599" s="8" t="s">
        <v>485</v>
      </c>
      <c r="IC599" s="8">
        <v>6827</v>
      </c>
      <c r="ID599" s="8" t="s">
        <v>486</v>
      </c>
      <c r="IE599" s="9" t="s">
        <v>487</v>
      </c>
      <c r="IF599" s="8" t="s">
        <v>445</v>
      </c>
      <c r="IG599" s="8" t="s">
        <v>4192</v>
      </c>
      <c r="IH599" s="8">
        <v>27198</v>
      </c>
      <c r="II599" s="8" t="s">
        <v>4193</v>
      </c>
      <c r="IJ599" s="8" t="s">
        <v>487</v>
      </c>
      <c r="IK599" s="8" t="s">
        <v>445</v>
      </c>
      <c r="IO599" s="8"/>
      <c r="IP599" s="8"/>
      <c r="IR599" s="9"/>
      <c r="JV599" s="7" t="s">
        <v>4194</v>
      </c>
      <c r="JX599" s="7" t="s">
        <v>320</v>
      </c>
      <c r="KG599" s="4" t="s">
        <v>323</v>
      </c>
      <c r="KP599" s="5" t="s">
        <v>358</v>
      </c>
      <c r="KQ599" s="5" t="s">
        <v>2839</v>
      </c>
      <c r="KR599" s="5" t="s">
        <v>2839</v>
      </c>
      <c r="KS599" s="5" t="s">
        <v>495</v>
      </c>
      <c r="KT599" s="5" t="s">
        <v>4195</v>
      </c>
    </row>
    <row r="600" spans="1:306" ht="24" x14ac:dyDescent="0.25">
      <c r="A600" s="5" t="s">
        <v>4330</v>
      </c>
      <c r="B600" s="4" t="s">
        <v>424</v>
      </c>
      <c r="C600" s="7" t="s">
        <v>425</v>
      </c>
      <c r="D600" s="8" t="s">
        <v>426</v>
      </c>
      <c r="E600" s="4">
        <v>335189</v>
      </c>
      <c r="G600" s="4" t="s">
        <v>330</v>
      </c>
      <c r="H600" s="6">
        <v>122.4836</v>
      </c>
      <c r="I600" s="6">
        <v>-29.042000000000002</v>
      </c>
      <c r="J600" s="4" t="s">
        <v>3622</v>
      </c>
      <c r="K600" s="4" t="s">
        <v>331</v>
      </c>
      <c r="L600" s="4" t="s">
        <v>500</v>
      </c>
      <c r="M600" s="4" t="s">
        <v>501</v>
      </c>
      <c r="N600" s="4" t="s">
        <v>625</v>
      </c>
      <c r="Q600" s="8"/>
      <c r="R600" s="8"/>
      <c r="Z600" s="4" t="s">
        <v>424</v>
      </c>
      <c r="AA600" s="7" t="s">
        <v>425</v>
      </c>
      <c r="AB600" s="8" t="s">
        <v>426</v>
      </c>
      <c r="AC600" s="4" t="s">
        <v>301</v>
      </c>
      <c r="AD600" s="4" t="s">
        <v>375</v>
      </c>
      <c r="AE600" s="8">
        <v>2647</v>
      </c>
      <c r="AF600" s="8">
        <v>16</v>
      </c>
      <c r="AG600" s="9" t="s">
        <v>379</v>
      </c>
      <c r="AH600" s="9" t="s">
        <v>335</v>
      </c>
      <c r="AI600" s="9" t="s">
        <v>336</v>
      </c>
      <c r="AJ600" s="9" t="s">
        <v>306</v>
      </c>
      <c r="AK600" s="9" t="s">
        <v>307</v>
      </c>
      <c r="AL600" s="9" t="s">
        <v>337</v>
      </c>
      <c r="AM600" s="8">
        <v>2</v>
      </c>
      <c r="AN600" s="4" t="s">
        <v>381</v>
      </c>
      <c r="AO600" s="4" t="s">
        <v>382</v>
      </c>
      <c r="AP600" s="4" t="s">
        <v>383</v>
      </c>
      <c r="AQ600" s="7" t="s">
        <v>384</v>
      </c>
      <c r="AR600" s="7" t="s">
        <v>433</v>
      </c>
      <c r="AS600" s="7">
        <v>0</v>
      </c>
      <c r="AT600" s="7">
        <v>0</v>
      </c>
      <c r="AU600" s="4" t="s">
        <v>303</v>
      </c>
      <c r="AV600" s="4" t="s">
        <v>406</v>
      </c>
      <c r="AW600" s="4"/>
      <c r="AX600" s="4"/>
      <c r="AY600" s="4"/>
      <c r="AZ600" s="4"/>
      <c r="BA600" s="8">
        <v>5</v>
      </c>
      <c r="BG600" s="8"/>
      <c r="BH600" s="8"/>
      <c r="DZ600" s="31"/>
      <c r="EL600" s="6">
        <v>5.1298517000000006</v>
      </c>
      <c r="FA600" s="6"/>
      <c r="GP600" s="32"/>
      <c r="GY600" s="6" t="s">
        <v>338</v>
      </c>
      <c r="GZ600" s="6" t="s">
        <v>436</v>
      </c>
      <c r="HC600" s="6" t="s">
        <v>437</v>
      </c>
      <c r="HF600" s="8" t="s">
        <v>960</v>
      </c>
      <c r="HG600" s="8" t="s">
        <v>507</v>
      </c>
      <c r="HH600" s="8"/>
      <c r="HJ600" s="8" t="s">
        <v>4331</v>
      </c>
      <c r="HK600" s="8" t="s">
        <v>507</v>
      </c>
      <c r="ID600" s="8" t="s">
        <v>960</v>
      </c>
      <c r="IE600" s="8" t="s">
        <v>507</v>
      </c>
      <c r="IF600" s="8" t="s">
        <v>445</v>
      </c>
      <c r="II600" s="8" t="s">
        <v>4331</v>
      </c>
      <c r="IJ600" s="8" t="s">
        <v>507</v>
      </c>
      <c r="IM600" s="9"/>
      <c r="IR600" s="9"/>
      <c r="JV600" s="7" t="s">
        <v>4332</v>
      </c>
      <c r="JX600" s="7" t="s">
        <v>320</v>
      </c>
      <c r="KG600" s="4" t="s">
        <v>323</v>
      </c>
      <c r="KM600" s="4" t="s">
        <v>391</v>
      </c>
      <c r="KN600" s="4" t="s">
        <v>391</v>
      </c>
      <c r="KP600" s="5" t="s">
        <v>358</v>
      </c>
      <c r="KQ600" s="5" t="s">
        <v>4333</v>
      </c>
      <c r="KR600" s="5" t="s">
        <v>4334</v>
      </c>
      <c r="KS600" s="5" t="s">
        <v>4335</v>
      </c>
      <c r="KT600" s="5" t="s">
        <v>4336</v>
      </c>
    </row>
    <row r="601" spans="1:306" ht="96" x14ac:dyDescent="0.25">
      <c r="A601" s="5" t="s">
        <v>4337</v>
      </c>
      <c r="B601" s="4" t="s">
        <v>424</v>
      </c>
      <c r="C601" s="7" t="s">
        <v>425</v>
      </c>
      <c r="D601" s="8" t="s">
        <v>426</v>
      </c>
      <c r="E601" s="4">
        <v>334577</v>
      </c>
      <c r="G601" s="4" t="s">
        <v>479</v>
      </c>
      <c r="H601" s="6">
        <v>143.6951</v>
      </c>
      <c r="I601" s="6">
        <v>-18.839500000000001</v>
      </c>
      <c r="K601" s="4" t="s">
        <v>481</v>
      </c>
      <c r="L601" s="4" t="s">
        <v>482</v>
      </c>
      <c r="Q601" s="4"/>
      <c r="R601" s="8"/>
      <c r="Z601" s="4" t="s">
        <v>424</v>
      </c>
      <c r="AA601" s="7" t="s">
        <v>425</v>
      </c>
      <c r="AB601" s="8" t="s">
        <v>426</v>
      </c>
      <c r="AC601" s="4" t="s">
        <v>301</v>
      </c>
      <c r="AD601" s="4" t="s">
        <v>375</v>
      </c>
      <c r="AE601" s="4">
        <v>414</v>
      </c>
      <c r="AF601" s="8">
        <v>6</v>
      </c>
      <c r="AG601" s="9" t="s">
        <v>379</v>
      </c>
      <c r="AH601" s="9" t="s">
        <v>429</v>
      </c>
      <c r="AI601" s="9" t="s">
        <v>430</v>
      </c>
      <c r="AJ601" s="9" t="s">
        <v>4264</v>
      </c>
      <c r="AK601" s="9" t="s">
        <v>1081</v>
      </c>
      <c r="AM601" s="8">
        <v>3</v>
      </c>
      <c r="AN601" s="4" t="s">
        <v>381</v>
      </c>
      <c r="AO601" s="4" t="s">
        <v>402</v>
      </c>
      <c r="AP601" s="4" t="s">
        <v>383</v>
      </c>
      <c r="AQ601" s="7" t="s">
        <v>384</v>
      </c>
      <c r="AR601" s="8" t="s">
        <v>433</v>
      </c>
      <c r="AS601" s="7">
        <v>0</v>
      </c>
      <c r="AT601" s="7">
        <v>0</v>
      </c>
      <c r="AU601" s="9" t="s">
        <v>303</v>
      </c>
      <c r="AV601" s="9" t="s">
        <v>406</v>
      </c>
      <c r="BA601" s="8">
        <v>5</v>
      </c>
      <c r="DZ601" s="31"/>
      <c r="EL601" s="6">
        <v>0.55500000000000005</v>
      </c>
      <c r="EY601" s="6"/>
      <c r="FA601" s="6"/>
      <c r="GP601" s="32"/>
      <c r="GY601" s="6" t="s">
        <v>309</v>
      </c>
      <c r="GZ601" s="6" t="s">
        <v>436</v>
      </c>
      <c r="HC601" s="6" t="s">
        <v>437</v>
      </c>
      <c r="HD601" s="8" t="s">
        <v>4338</v>
      </c>
      <c r="HE601" s="8">
        <v>16185</v>
      </c>
      <c r="HF601" s="8" t="s">
        <v>4339</v>
      </c>
      <c r="HG601" s="8" t="s">
        <v>2517</v>
      </c>
      <c r="HH601" s="8" t="s">
        <v>4340</v>
      </c>
      <c r="HI601" s="8">
        <v>5474</v>
      </c>
      <c r="HJ601" s="8" t="s">
        <v>4341</v>
      </c>
      <c r="HK601" s="8" t="s">
        <v>487</v>
      </c>
      <c r="HL601" s="9" t="s">
        <v>3467</v>
      </c>
      <c r="HM601" s="8">
        <v>26300</v>
      </c>
      <c r="HN601" s="9" t="s">
        <v>3468</v>
      </c>
      <c r="HO601" s="9" t="s">
        <v>490</v>
      </c>
      <c r="HY601" s="9"/>
      <c r="IB601" s="8" t="s">
        <v>4338</v>
      </c>
      <c r="IC601" s="8">
        <v>16185</v>
      </c>
      <c r="ID601" s="8" t="s">
        <v>4339</v>
      </c>
      <c r="IE601" s="8" t="s">
        <v>2517</v>
      </c>
      <c r="IF601" s="8" t="s">
        <v>445</v>
      </c>
      <c r="IG601" s="8" t="s">
        <v>4340</v>
      </c>
      <c r="IH601" s="8">
        <v>5474</v>
      </c>
      <c r="II601" s="8" t="s">
        <v>4341</v>
      </c>
      <c r="IJ601" s="8" t="s">
        <v>487</v>
      </c>
      <c r="IK601" s="8" t="s">
        <v>445</v>
      </c>
      <c r="IR601" s="9"/>
      <c r="JV601" s="7" t="s">
        <v>4342</v>
      </c>
      <c r="JX601" s="7" t="s">
        <v>320</v>
      </c>
      <c r="KG601" s="4" t="s">
        <v>323</v>
      </c>
      <c r="KP601" s="5" t="s">
        <v>358</v>
      </c>
      <c r="KQ601" s="5" t="s">
        <v>2839</v>
      </c>
      <c r="KR601" s="5" t="s">
        <v>2839</v>
      </c>
      <c r="KS601" s="5" t="s">
        <v>495</v>
      </c>
      <c r="KT601" s="5" t="s">
        <v>4343</v>
      </c>
    </row>
    <row r="602" spans="1:306" ht="132" x14ac:dyDescent="0.25">
      <c r="A602" s="5" t="s">
        <v>4363</v>
      </c>
      <c r="B602" s="4" t="s">
        <v>424</v>
      </c>
      <c r="C602" s="7" t="s">
        <v>425</v>
      </c>
      <c r="D602" s="8" t="s">
        <v>426</v>
      </c>
      <c r="E602" s="4">
        <v>333718</v>
      </c>
      <c r="G602" s="4" t="s">
        <v>330</v>
      </c>
      <c r="H602" s="6">
        <v>120.6041</v>
      </c>
      <c r="I602" s="6">
        <v>-26.372499999999999</v>
      </c>
      <c r="J602" s="4" t="s">
        <v>4364</v>
      </c>
      <c r="K602" s="4" t="s">
        <v>331</v>
      </c>
      <c r="L602" s="4" t="s">
        <v>500</v>
      </c>
      <c r="M602" s="4" t="s">
        <v>501</v>
      </c>
      <c r="N602" s="4" t="s">
        <v>1061</v>
      </c>
      <c r="Z602" s="4" t="s">
        <v>424</v>
      </c>
      <c r="AA602" s="7" t="s">
        <v>425</v>
      </c>
      <c r="AB602" s="8" t="s">
        <v>426</v>
      </c>
      <c r="AC602" s="4" t="s">
        <v>301</v>
      </c>
      <c r="AD602" s="4" t="s">
        <v>375</v>
      </c>
      <c r="AN602" s="4" t="s">
        <v>381</v>
      </c>
      <c r="AO602" s="4" t="s">
        <v>382</v>
      </c>
      <c r="AP602" s="4" t="s">
        <v>383</v>
      </c>
      <c r="AQ602" s="7" t="s">
        <v>384</v>
      </c>
      <c r="AR602" s="7" t="s">
        <v>433</v>
      </c>
      <c r="AS602" s="7">
        <v>0</v>
      </c>
      <c r="AT602" s="7">
        <v>0</v>
      </c>
      <c r="AU602" s="4" t="s">
        <v>303</v>
      </c>
      <c r="AV602" s="4" t="s">
        <v>406</v>
      </c>
      <c r="AW602" s="4"/>
      <c r="AX602" s="4"/>
      <c r="AY602" s="4"/>
      <c r="AZ602" s="4"/>
      <c r="BA602" s="8">
        <v>5</v>
      </c>
      <c r="BP602" s="7">
        <v>121.145</v>
      </c>
      <c r="BV602" s="6">
        <v>3.89</v>
      </c>
      <c r="DZ602" s="31"/>
      <c r="EL602" s="8">
        <v>470.66</v>
      </c>
      <c r="GP602" s="32"/>
      <c r="GY602" s="6" t="s">
        <v>338</v>
      </c>
      <c r="GZ602" s="6" t="s">
        <v>436</v>
      </c>
      <c r="HC602" s="6" t="s">
        <v>437</v>
      </c>
      <c r="HD602" s="8" t="s">
        <v>4365</v>
      </c>
      <c r="HE602" s="8">
        <v>38799</v>
      </c>
      <c r="HF602" s="8" t="s">
        <v>4366</v>
      </c>
      <c r="HG602" s="9" t="s">
        <v>507</v>
      </c>
      <c r="HH602" s="9" t="s">
        <v>4367</v>
      </c>
      <c r="HI602" s="8">
        <v>38795</v>
      </c>
      <c r="HJ602" s="9" t="s">
        <v>4368</v>
      </c>
      <c r="HK602" s="9" t="s">
        <v>507</v>
      </c>
      <c r="IB602" s="8" t="s">
        <v>4365</v>
      </c>
      <c r="IC602" s="8">
        <v>38799</v>
      </c>
      <c r="ID602" s="8" t="s">
        <v>4369</v>
      </c>
      <c r="IE602" s="9" t="s">
        <v>507</v>
      </c>
      <c r="IF602" s="9" t="s">
        <v>445</v>
      </c>
      <c r="IG602" s="9" t="s">
        <v>4367</v>
      </c>
      <c r="IH602" s="8">
        <v>38795</v>
      </c>
      <c r="II602" s="9" t="s">
        <v>4370</v>
      </c>
      <c r="IJ602" s="9" t="s">
        <v>507</v>
      </c>
      <c r="IK602" s="8" t="s">
        <v>445</v>
      </c>
      <c r="IR602" s="9"/>
      <c r="JV602" s="7" t="s">
        <v>4371</v>
      </c>
      <c r="JX602" s="7" t="s">
        <v>320</v>
      </c>
      <c r="KG602" s="4" t="s">
        <v>323</v>
      </c>
      <c r="KM602" s="4" t="s">
        <v>391</v>
      </c>
      <c r="KN602" s="4" t="s">
        <v>391</v>
      </c>
      <c r="KP602" s="5" t="s">
        <v>358</v>
      </c>
      <c r="KQ602" s="5" t="s">
        <v>4372</v>
      </c>
      <c r="KR602" s="5" t="s">
        <v>4373</v>
      </c>
      <c r="KS602" s="5" t="s">
        <v>4374</v>
      </c>
      <c r="KT602" s="5" t="s">
        <v>4375</v>
      </c>
    </row>
    <row r="603" spans="1:306" ht="60" x14ac:dyDescent="0.25">
      <c r="A603" s="5" t="s">
        <v>4383</v>
      </c>
      <c r="B603" s="4" t="s">
        <v>424</v>
      </c>
      <c r="C603" s="7" t="s">
        <v>425</v>
      </c>
      <c r="D603" s="8" t="s">
        <v>426</v>
      </c>
      <c r="E603" s="4">
        <v>514160</v>
      </c>
      <c r="G603" s="4" t="s">
        <v>330</v>
      </c>
      <c r="H603" s="6">
        <v>122.2192</v>
      </c>
      <c r="I603" s="6">
        <v>-28.807200000000002</v>
      </c>
      <c r="J603" s="4" t="s">
        <v>3622</v>
      </c>
      <c r="K603" s="4" t="s">
        <v>331</v>
      </c>
      <c r="L603" s="4" t="s">
        <v>500</v>
      </c>
      <c r="M603" s="4" t="s">
        <v>501</v>
      </c>
      <c r="N603" s="4" t="s">
        <v>625</v>
      </c>
      <c r="Q603" s="8"/>
      <c r="R603" s="8"/>
      <c r="S603" s="4"/>
      <c r="U603" s="4"/>
      <c r="Z603" s="4" t="s">
        <v>424</v>
      </c>
      <c r="AA603" s="7" t="s">
        <v>425</v>
      </c>
      <c r="AB603" s="8" t="s">
        <v>426</v>
      </c>
      <c r="AC603" s="4" t="s">
        <v>301</v>
      </c>
      <c r="AD603" s="4" t="s">
        <v>375</v>
      </c>
      <c r="AE603" s="8">
        <v>2657</v>
      </c>
      <c r="AF603" s="8">
        <v>21</v>
      </c>
      <c r="AG603" s="4" t="s">
        <v>379</v>
      </c>
      <c r="AH603" s="9" t="s">
        <v>335</v>
      </c>
      <c r="AI603" s="4" t="s">
        <v>504</v>
      </c>
      <c r="AJ603" s="9" t="s">
        <v>306</v>
      </c>
      <c r="AK603" s="9" t="s">
        <v>307</v>
      </c>
      <c r="AL603" s="9" t="s">
        <v>337</v>
      </c>
      <c r="AM603" s="8">
        <v>3</v>
      </c>
      <c r="AN603" s="4" t="s">
        <v>381</v>
      </c>
      <c r="AO603" s="4" t="s">
        <v>382</v>
      </c>
      <c r="AP603" s="4" t="s">
        <v>383</v>
      </c>
      <c r="AQ603" s="7" t="s">
        <v>384</v>
      </c>
      <c r="AR603" s="7" t="s">
        <v>433</v>
      </c>
      <c r="AS603" s="7">
        <v>0</v>
      </c>
      <c r="AT603" s="7">
        <v>0</v>
      </c>
      <c r="AU603" s="4" t="s">
        <v>303</v>
      </c>
      <c r="AV603" s="4" t="s">
        <v>406</v>
      </c>
      <c r="AW603" s="4"/>
      <c r="AX603" s="4"/>
      <c r="AY603" s="4"/>
      <c r="AZ603" s="4"/>
      <c r="BA603" s="8">
        <v>5</v>
      </c>
      <c r="BG603" s="8"/>
      <c r="BH603" s="8"/>
      <c r="BI603" s="4"/>
      <c r="BK603" s="4"/>
      <c r="BP603" s="7">
        <v>25.58</v>
      </c>
      <c r="BV603" s="6">
        <v>1.1000000000000001</v>
      </c>
      <c r="DZ603" s="31"/>
      <c r="EL603" s="8">
        <f>BP603*BV603</f>
        <v>28.138000000000002</v>
      </c>
      <c r="FA603" s="6"/>
      <c r="GP603" s="32"/>
      <c r="GY603" s="6" t="s">
        <v>338</v>
      </c>
      <c r="GZ603" s="6" t="s">
        <v>436</v>
      </c>
      <c r="HC603" s="6" t="s">
        <v>437</v>
      </c>
      <c r="HF603" s="8" t="s">
        <v>4384</v>
      </c>
      <c r="HG603" s="9" t="s">
        <v>507</v>
      </c>
      <c r="HJ603" s="9" t="s">
        <v>960</v>
      </c>
      <c r="HK603" s="9" t="s">
        <v>507</v>
      </c>
      <c r="ID603" s="8" t="s">
        <v>4384</v>
      </c>
      <c r="IE603" s="9" t="s">
        <v>507</v>
      </c>
      <c r="IF603" s="9"/>
      <c r="IG603" s="9"/>
      <c r="IH603" s="9"/>
      <c r="II603" s="9" t="s">
        <v>960</v>
      </c>
      <c r="IJ603" s="9" t="s">
        <v>507</v>
      </c>
      <c r="IK603" s="8" t="s">
        <v>445</v>
      </c>
      <c r="IM603" s="9"/>
      <c r="IR603" s="9"/>
      <c r="JV603" s="7" t="s">
        <v>4385</v>
      </c>
      <c r="JX603" s="7" t="s">
        <v>320</v>
      </c>
      <c r="KG603" s="4" t="s">
        <v>323</v>
      </c>
      <c r="KM603" s="4" t="s">
        <v>391</v>
      </c>
      <c r="KN603" s="4" t="s">
        <v>391</v>
      </c>
      <c r="KP603" s="5" t="s">
        <v>358</v>
      </c>
      <c r="KQ603" s="5" t="s">
        <v>4334</v>
      </c>
      <c r="KR603" s="5" t="s">
        <v>4334</v>
      </c>
      <c r="KS603" s="5" t="s">
        <v>4386</v>
      </c>
      <c r="KT603" s="5" t="s">
        <v>4387</v>
      </c>
    </row>
    <row r="604" spans="1:306" ht="48" x14ac:dyDescent="0.25">
      <c r="A604" s="5" t="s">
        <v>4396</v>
      </c>
      <c r="B604" s="4" t="s">
        <v>424</v>
      </c>
      <c r="C604" s="7" t="s">
        <v>425</v>
      </c>
      <c r="D604" s="8" t="s">
        <v>426</v>
      </c>
      <c r="E604" s="4">
        <v>578029</v>
      </c>
      <c r="G604" s="4" t="s">
        <v>330</v>
      </c>
      <c r="H604" s="6">
        <v>121.2884</v>
      </c>
      <c r="I604" s="6">
        <v>-28.840299999999999</v>
      </c>
      <c r="J604" s="4" t="s">
        <v>3851</v>
      </c>
      <c r="K604" s="4" t="s">
        <v>331</v>
      </c>
      <c r="L604" s="4" t="s">
        <v>500</v>
      </c>
      <c r="M604" s="4" t="s">
        <v>501</v>
      </c>
      <c r="N604" s="4" t="s">
        <v>3327</v>
      </c>
      <c r="Q604" s="8"/>
      <c r="R604" s="8"/>
      <c r="Z604" s="4" t="s">
        <v>424</v>
      </c>
      <c r="AA604" s="7" t="s">
        <v>425</v>
      </c>
      <c r="AB604" s="8" t="s">
        <v>426</v>
      </c>
      <c r="AC604" s="4" t="s">
        <v>301</v>
      </c>
      <c r="AD604" s="4" t="s">
        <v>375</v>
      </c>
      <c r="AE604" s="8">
        <v>2640</v>
      </c>
      <c r="AF604" s="8"/>
      <c r="AG604" s="9" t="s">
        <v>379</v>
      </c>
      <c r="AH604" s="9" t="s">
        <v>380</v>
      </c>
      <c r="AM604" s="8">
        <v>2</v>
      </c>
      <c r="AN604" s="4" t="s">
        <v>381</v>
      </c>
      <c r="AO604" s="4" t="s">
        <v>382</v>
      </c>
      <c r="AP604" s="4" t="s">
        <v>383</v>
      </c>
      <c r="AQ604" s="7" t="s">
        <v>384</v>
      </c>
      <c r="AR604" s="7" t="s">
        <v>433</v>
      </c>
      <c r="AS604" s="7">
        <v>0</v>
      </c>
      <c r="AT604" s="7">
        <v>0</v>
      </c>
      <c r="AU604" s="4" t="s">
        <v>303</v>
      </c>
      <c r="AV604" s="4" t="s">
        <v>406</v>
      </c>
      <c r="AW604" s="4"/>
      <c r="AX604" s="4"/>
      <c r="AY604" s="4"/>
      <c r="AZ604" s="4"/>
      <c r="BA604" s="8">
        <v>5</v>
      </c>
      <c r="BG604" s="8"/>
      <c r="BH604" s="8"/>
      <c r="BP604" s="7">
        <v>101.494</v>
      </c>
      <c r="BV604" s="6">
        <v>1.69</v>
      </c>
      <c r="DZ604" s="31"/>
      <c r="EL604" s="7">
        <v>172</v>
      </c>
      <c r="GP604" s="32"/>
      <c r="GY604" s="6" t="s">
        <v>338</v>
      </c>
      <c r="GZ604" s="6" t="s">
        <v>436</v>
      </c>
      <c r="HC604" s="6" t="s">
        <v>437</v>
      </c>
      <c r="HF604" s="8" t="s">
        <v>4397</v>
      </c>
      <c r="HG604" s="9" t="s">
        <v>507</v>
      </c>
      <c r="ID604" s="8" t="s">
        <v>4397</v>
      </c>
      <c r="IE604" s="9" t="s">
        <v>507</v>
      </c>
      <c r="IF604" s="9"/>
      <c r="IR604" s="9"/>
      <c r="JX604" s="7" t="s">
        <v>320</v>
      </c>
      <c r="KG604" s="4" t="s">
        <v>323</v>
      </c>
      <c r="KM604" s="4" t="s">
        <v>702</v>
      </c>
      <c r="KN604" s="4" t="s">
        <v>702</v>
      </c>
      <c r="KP604" s="5" t="s">
        <v>358</v>
      </c>
      <c r="KQ604" s="5" t="s">
        <v>4398</v>
      </c>
      <c r="KS604" s="5" t="s">
        <v>4399</v>
      </c>
      <c r="KT604" s="5" t="s">
        <v>4400</v>
      </c>
    </row>
    <row r="605" spans="1:306" ht="132" x14ac:dyDescent="0.25">
      <c r="A605" s="5" t="s">
        <v>4459</v>
      </c>
      <c r="B605" s="4" t="s">
        <v>424</v>
      </c>
      <c r="C605" s="7" t="s">
        <v>425</v>
      </c>
      <c r="D605" s="8" t="s">
        <v>426</v>
      </c>
      <c r="E605" s="4">
        <v>701958</v>
      </c>
      <c r="G605" s="4" t="s">
        <v>330</v>
      </c>
      <c r="H605" s="6">
        <v>121.73</v>
      </c>
      <c r="I605" s="6">
        <v>-31.3</v>
      </c>
      <c r="J605" s="4" t="s">
        <v>4460</v>
      </c>
      <c r="K605" s="4" t="s">
        <v>331</v>
      </c>
      <c r="L605" s="4" t="s">
        <v>500</v>
      </c>
      <c r="M605" s="4" t="s">
        <v>501</v>
      </c>
      <c r="N605" s="4" t="s">
        <v>1061</v>
      </c>
      <c r="Q605" s="8"/>
      <c r="R605" s="8"/>
      <c r="Z605" s="4" t="s">
        <v>424</v>
      </c>
      <c r="AA605" s="7" t="s">
        <v>425</v>
      </c>
      <c r="AB605" s="8" t="s">
        <v>426</v>
      </c>
      <c r="AC605" s="4" t="s">
        <v>301</v>
      </c>
      <c r="AD605" s="4" t="s">
        <v>375</v>
      </c>
      <c r="AE605" s="8">
        <v>2631</v>
      </c>
      <c r="AF605" s="8">
        <v>9</v>
      </c>
      <c r="AG605" s="9" t="s">
        <v>379</v>
      </c>
      <c r="AH605" s="9" t="s">
        <v>335</v>
      </c>
      <c r="AI605" s="9" t="s">
        <v>504</v>
      </c>
      <c r="AJ605" s="9" t="s">
        <v>306</v>
      </c>
      <c r="AK605" s="9" t="s">
        <v>307</v>
      </c>
      <c r="AL605" s="9" t="s">
        <v>337</v>
      </c>
      <c r="AM605" s="8">
        <v>4</v>
      </c>
      <c r="AN605" s="4" t="s">
        <v>381</v>
      </c>
      <c r="AO605" s="4" t="s">
        <v>382</v>
      </c>
      <c r="AP605" s="4" t="s">
        <v>383</v>
      </c>
      <c r="AQ605" s="7" t="s">
        <v>384</v>
      </c>
      <c r="AR605" s="7" t="s">
        <v>433</v>
      </c>
      <c r="AS605" s="7">
        <v>0</v>
      </c>
      <c r="AT605" s="7">
        <v>0</v>
      </c>
      <c r="AU605" s="4" t="s">
        <v>303</v>
      </c>
      <c r="AV605" s="4" t="s">
        <v>406</v>
      </c>
      <c r="AW605" s="4"/>
      <c r="AX605" s="4"/>
      <c r="AY605" s="4"/>
      <c r="AZ605" s="4"/>
      <c r="BA605" s="8">
        <v>5</v>
      </c>
      <c r="BG605" s="8"/>
      <c r="BH605" s="8"/>
      <c r="BP605" s="7">
        <v>187.7</v>
      </c>
      <c r="BV605" s="6">
        <v>3.06</v>
      </c>
      <c r="DZ605" s="31"/>
      <c r="EL605" s="8">
        <v>573.45000000000005</v>
      </c>
      <c r="FA605" s="6"/>
      <c r="GP605" s="32"/>
      <c r="GY605" s="6" t="s">
        <v>338</v>
      </c>
      <c r="GZ605" s="6" t="s">
        <v>436</v>
      </c>
      <c r="HC605" s="6" t="s">
        <v>437</v>
      </c>
      <c r="HD605" s="8" t="s">
        <v>4461</v>
      </c>
      <c r="HE605" s="8">
        <v>23500</v>
      </c>
      <c r="HF605" s="8" t="s">
        <v>658</v>
      </c>
      <c r="HG605" s="9" t="s">
        <v>507</v>
      </c>
      <c r="HH605" s="9" t="s">
        <v>4462</v>
      </c>
      <c r="HI605" s="8">
        <v>5437</v>
      </c>
      <c r="HJ605" s="9" t="s">
        <v>4463</v>
      </c>
      <c r="HK605" s="9" t="s">
        <v>507</v>
      </c>
      <c r="HL605" s="9" t="s">
        <v>4464</v>
      </c>
      <c r="HM605" s="8">
        <v>23540</v>
      </c>
      <c r="HN605" s="9" t="s">
        <v>4465</v>
      </c>
      <c r="HO605" s="9" t="s">
        <v>507</v>
      </c>
      <c r="IB605" s="8" t="s">
        <v>4461</v>
      </c>
      <c r="IC605" s="8">
        <v>23500</v>
      </c>
      <c r="ID605" s="8" t="s">
        <v>658</v>
      </c>
      <c r="IE605" s="9" t="s">
        <v>507</v>
      </c>
      <c r="IF605" s="9" t="s">
        <v>445</v>
      </c>
      <c r="IG605" s="9" t="s">
        <v>4462</v>
      </c>
      <c r="IH605" s="8">
        <v>5437</v>
      </c>
      <c r="II605" s="9" t="s">
        <v>4463</v>
      </c>
      <c r="IJ605" s="9" t="s">
        <v>507</v>
      </c>
      <c r="IK605" s="8" t="s">
        <v>445</v>
      </c>
      <c r="IL605" s="9" t="s">
        <v>4464</v>
      </c>
      <c r="IM605" s="8">
        <v>23540</v>
      </c>
      <c r="IN605" s="9" t="s">
        <v>4465</v>
      </c>
      <c r="IO605" s="9" t="s">
        <v>507</v>
      </c>
      <c r="IP605" s="8" t="s">
        <v>445</v>
      </c>
      <c r="IU605" s="8"/>
      <c r="IV605" s="8"/>
      <c r="IW605" s="8"/>
      <c r="IX605" s="8"/>
      <c r="IY605" s="8"/>
      <c r="IZ605" s="8"/>
      <c r="JA605" s="8"/>
      <c r="JB605" s="8"/>
      <c r="JC605" s="8"/>
      <c r="JD605" s="8"/>
      <c r="JE605" s="8"/>
      <c r="JF605" s="8"/>
      <c r="JG605" s="8"/>
      <c r="JH605" s="8"/>
      <c r="JI605" s="8"/>
      <c r="JJ605" s="8"/>
      <c r="JK605" s="8"/>
      <c r="JL605" s="8"/>
      <c r="JM605" s="8"/>
      <c r="JN605" s="8"/>
      <c r="JO605" s="8"/>
      <c r="JP605" s="8"/>
      <c r="JQ605" s="8"/>
      <c r="JR605" s="8"/>
      <c r="JS605" s="8"/>
      <c r="JT605" s="8"/>
      <c r="JV605" s="7" t="s">
        <v>4466</v>
      </c>
      <c r="JX605" s="7" t="s">
        <v>320</v>
      </c>
      <c r="JY605" s="7" t="s">
        <v>448</v>
      </c>
      <c r="JZ605" s="7" t="s">
        <v>322</v>
      </c>
      <c r="KA605" s="7" t="s">
        <v>354</v>
      </c>
      <c r="KB605" s="7" t="s">
        <v>355</v>
      </c>
      <c r="KG605" s="4" t="s">
        <v>323</v>
      </c>
      <c r="KM605" s="4" t="s">
        <v>391</v>
      </c>
      <c r="KN605" s="4" t="s">
        <v>391</v>
      </c>
      <c r="KP605" s="5" t="s">
        <v>358</v>
      </c>
      <c r="KQ605" s="5" t="s">
        <v>4467</v>
      </c>
      <c r="KR605" s="5" t="s">
        <v>4468</v>
      </c>
      <c r="KS605" s="5" t="s">
        <v>4469</v>
      </c>
      <c r="KT605" s="5" t="s">
        <v>4470</v>
      </c>
    </row>
    <row r="606" spans="1:306" ht="120" x14ac:dyDescent="0.25">
      <c r="A606" s="5" t="s">
        <v>4496</v>
      </c>
      <c r="B606" s="4" t="s">
        <v>424</v>
      </c>
      <c r="C606" s="7" t="s">
        <v>425</v>
      </c>
      <c r="D606" s="8" t="s">
        <v>426</v>
      </c>
      <c r="E606" s="4">
        <v>333880</v>
      </c>
      <c r="G606" s="4" t="s">
        <v>330</v>
      </c>
      <c r="H606" s="6">
        <v>121.5761</v>
      </c>
      <c r="I606" s="6">
        <v>-30.610099999999999</v>
      </c>
      <c r="J606" s="4" t="s">
        <v>4496</v>
      </c>
      <c r="K606" s="4" t="s">
        <v>331</v>
      </c>
      <c r="L606" s="4" t="s">
        <v>500</v>
      </c>
      <c r="M606" s="4" t="s">
        <v>501</v>
      </c>
      <c r="N606" s="4" t="s">
        <v>1061</v>
      </c>
      <c r="Q606" s="8"/>
      <c r="R606" s="8"/>
      <c r="Z606" s="4" t="s">
        <v>424</v>
      </c>
      <c r="AA606" s="7" t="s">
        <v>425</v>
      </c>
      <c r="AB606" s="8" t="s">
        <v>426</v>
      </c>
      <c r="AC606" s="4" t="s">
        <v>301</v>
      </c>
      <c r="AD606" s="4" t="s">
        <v>375</v>
      </c>
      <c r="AE606" s="8">
        <v>2634</v>
      </c>
      <c r="AF606" s="8">
        <v>6</v>
      </c>
      <c r="AG606" s="9" t="s">
        <v>379</v>
      </c>
      <c r="AH606" s="9" t="s">
        <v>460</v>
      </c>
      <c r="AI606" s="9" t="s">
        <v>373</v>
      </c>
      <c r="AJ606" s="9" t="s">
        <v>306</v>
      </c>
      <c r="AK606" s="9" t="s">
        <v>307</v>
      </c>
      <c r="AL606" s="9" t="s">
        <v>337</v>
      </c>
      <c r="AM606" s="8">
        <v>2</v>
      </c>
      <c r="AN606" s="4" t="s">
        <v>381</v>
      </c>
      <c r="AO606" s="4" t="s">
        <v>382</v>
      </c>
      <c r="AP606" s="4" t="s">
        <v>383</v>
      </c>
      <c r="AQ606" s="7" t="s">
        <v>384</v>
      </c>
      <c r="AR606" s="7" t="s">
        <v>433</v>
      </c>
      <c r="AS606" s="7">
        <v>0</v>
      </c>
      <c r="AT606" s="7">
        <v>0</v>
      </c>
      <c r="AU606" s="4" t="s">
        <v>303</v>
      </c>
      <c r="AV606" s="4" t="s">
        <v>406</v>
      </c>
      <c r="AW606" s="4"/>
      <c r="AX606" s="4"/>
      <c r="AY606" s="4"/>
      <c r="AZ606" s="4"/>
      <c r="BA606" s="8">
        <v>5</v>
      </c>
      <c r="BG606" s="8"/>
      <c r="BH606" s="8"/>
      <c r="BP606" s="7">
        <v>85.495000000000005</v>
      </c>
      <c r="BV606" s="6">
        <v>2.16</v>
      </c>
      <c r="DZ606" s="31"/>
      <c r="EL606" s="8">
        <f>BP606*BV606</f>
        <v>184.66920000000002</v>
      </c>
      <c r="GP606" s="32"/>
      <c r="GY606" s="6" t="s">
        <v>338</v>
      </c>
      <c r="GZ606" s="6" t="s">
        <v>436</v>
      </c>
      <c r="HC606" s="6" t="s">
        <v>437</v>
      </c>
      <c r="HD606" s="8" t="s">
        <v>4497</v>
      </c>
      <c r="HE606" s="8">
        <v>35668</v>
      </c>
      <c r="HF606" s="8" t="s">
        <v>4498</v>
      </c>
      <c r="HG606" s="9" t="s">
        <v>507</v>
      </c>
      <c r="HH606" s="9" t="s">
        <v>4499</v>
      </c>
      <c r="HI606" s="8">
        <v>35674</v>
      </c>
      <c r="HJ606" s="9" t="s">
        <v>4500</v>
      </c>
      <c r="HK606" s="9" t="s">
        <v>507</v>
      </c>
      <c r="HL606" s="9" t="s">
        <v>4501</v>
      </c>
      <c r="HM606" s="8">
        <v>35672</v>
      </c>
      <c r="HN606" s="9" t="s">
        <v>1264</v>
      </c>
      <c r="HO606" s="9" t="s">
        <v>507</v>
      </c>
      <c r="IB606" s="9" t="s">
        <v>4501</v>
      </c>
      <c r="IC606" s="8">
        <v>35672</v>
      </c>
      <c r="ID606" s="9" t="s">
        <v>1264</v>
      </c>
      <c r="IE606" s="9" t="s">
        <v>507</v>
      </c>
      <c r="IF606" s="9"/>
      <c r="IR606" s="9"/>
      <c r="JV606" s="7" t="s">
        <v>4502</v>
      </c>
      <c r="JX606" s="7" t="s">
        <v>320</v>
      </c>
      <c r="KG606" s="4" t="s">
        <v>323</v>
      </c>
      <c r="KM606" s="4" t="s">
        <v>391</v>
      </c>
      <c r="KN606" s="4" t="s">
        <v>391</v>
      </c>
      <c r="KP606" s="5" t="s">
        <v>358</v>
      </c>
      <c r="KQ606" s="5" t="s">
        <v>4503</v>
      </c>
      <c r="KR606" s="5" t="s">
        <v>4504</v>
      </c>
      <c r="KS606" s="5" t="s">
        <v>4505</v>
      </c>
      <c r="KT606" s="5" t="s">
        <v>4506</v>
      </c>
    </row>
    <row r="607" spans="1:306" ht="96" x14ac:dyDescent="0.25">
      <c r="A607" s="5" t="s">
        <v>4531</v>
      </c>
      <c r="B607" s="4" t="s">
        <v>424</v>
      </c>
      <c r="C607" s="7" t="s">
        <v>425</v>
      </c>
      <c r="D607" s="8" t="s">
        <v>426</v>
      </c>
      <c r="E607" s="4">
        <v>335004</v>
      </c>
      <c r="G607" s="4" t="s">
        <v>330</v>
      </c>
      <c r="H607" s="6">
        <v>117.90649999999999</v>
      </c>
      <c r="I607" s="6">
        <v>-33.548999999999999</v>
      </c>
      <c r="J607" s="4" t="s">
        <v>4532</v>
      </c>
      <c r="K607" s="4" t="s">
        <v>331</v>
      </c>
      <c r="L607" s="4" t="s">
        <v>500</v>
      </c>
      <c r="M607" s="4" t="s">
        <v>1430</v>
      </c>
      <c r="Q607" s="8"/>
      <c r="R607" s="8"/>
      <c r="Z607" s="4" t="s">
        <v>424</v>
      </c>
      <c r="AA607" s="7" t="s">
        <v>425</v>
      </c>
      <c r="AB607" s="8" t="s">
        <v>426</v>
      </c>
      <c r="AC607" s="4" t="s">
        <v>301</v>
      </c>
      <c r="AD607" s="4" t="s">
        <v>375</v>
      </c>
      <c r="AE607" s="8">
        <v>2617</v>
      </c>
      <c r="AF607" s="8">
        <v>3</v>
      </c>
      <c r="AG607" s="9" t="s">
        <v>379</v>
      </c>
      <c r="AH607" s="9" t="s">
        <v>335</v>
      </c>
      <c r="AI607" s="9" t="s">
        <v>598</v>
      </c>
      <c r="AJ607" s="9" t="s">
        <v>599</v>
      </c>
      <c r="AK607" s="9" t="s">
        <v>600</v>
      </c>
      <c r="AM607" s="8">
        <v>3</v>
      </c>
      <c r="AN607" s="4" t="s">
        <v>381</v>
      </c>
      <c r="AO607" s="4" t="s">
        <v>382</v>
      </c>
      <c r="AP607" s="4" t="s">
        <v>383</v>
      </c>
      <c r="AQ607" s="7" t="s">
        <v>384</v>
      </c>
      <c r="AR607" s="8" t="s">
        <v>433</v>
      </c>
      <c r="AS607" s="7">
        <v>0</v>
      </c>
      <c r="AT607" s="7">
        <v>0</v>
      </c>
      <c r="AU607" s="9" t="s">
        <v>303</v>
      </c>
      <c r="AV607" s="9" t="s">
        <v>406</v>
      </c>
      <c r="BA607" s="8">
        <v>5</v>
      </c>
      <c r="BP607" s="7">
        <v>88.9</v>
      </c>
      <c r="BV607" s="6">
        <v>1.06</v>
      </c>
      <c r="DZ607" s="31"/>
      <c r="EL607" s="7">
        <f>BP607*BV607</f>
        <v>94.234000000000009</v>
      </c>
      <c r="GP607" s="32"/>
      <c r="GY607" s="6" t="s">
        <v>338</v>
      </c>
      <c r="GZ607" s="6" t="s">
        <v>436</v>
      </c>
      <c r="HC607" s="6" t="s">
        <v>437</v>
      </c>
      <c r="HF607" s="8" t="s">
        <v>4533</v>
      </c>
      <c r="HG607" s="8" t="s">
        <v>507</v>
      </c>
      <c r="HH607" s="8"/>
      <c r="HJ607" s="8" t="s">
        <v>4534</v>
      </c>
      <c r="HK607" s="8" t="s">
        <v>507</v>
      </c>
      <c r="HL607" s="8"/>
      <c r="ID607" s="8" t="s">
        <v>4533</v>
      </c>
      <c r="IF607" s="8" t="s">
        <v>445</v>
      </c>
      <c r="II607" s="8" t="s">
        <v>4534</v>
      </c>
      <c r="IJ607" s="8" t="s">
        <v>507</v>
      </c>
      <c r="IK607" s="8" t="s">
        <v>445</v>
      </c>
      <c r="JX607" s="7" t="s">
        <v>353</v>
      </c>
      <c r="JY607" s="7" t="s">
        <v>321</v>
      </c>
      <c r="JZ607" s="7" t="s">
        <v>320</v>
      </c>
      <c r="KA607" s="7" t="s">
        <v>321</v>
      </c>
      <c r="KB607" s="7" t="s">
        <v>322</v>
      </c>
      <c r="KG607" s="4" t="s">
        <v>323</v>
      </c>
      <c r="KM607" s="4" t="s">
        <v>702</v>
      </c>
      <c r="KN607" s="4" t="s">
        <v>888</v>
      </c>
      <c r="KO607" s="4" t="s">
        <v>445</v>
      </c>
      <c r="KP607" s="5" t="s">
        <v>358</v>
      </c>
      <c r="KQ607" s="5" t="s">
        <v>4535</v>
      </c>
      <c r="KR607" s="5" t="s">
        <v>4536</v>
      </c>
      <c r="KS607" s="5" t="s">
        <v>4537</v>
      </c>
      <c r="KT607" s="5" t="s">
        <v>4538</v>
      </c>
    </row>
    <row r="608" spans="1:306" ht="108" x14ac:dyDescent="0.25">
      <c r="A608" s="5" t="s">
        <v>4551</v>
      </c>
      <c r="B608" s="4" t="s">
        <v>424</v>
      </c>
      <c r="C608" s="7" t="s">
        <v>425</v>
      </c>
      <c r="D608" s="8" t="s">
        <v>426</v>
      </c>
      <c r="E608" s="4">
        <v>334888</v>
      </c>
      <c r="G608" s="4" t="s">
        <v>530</v>
      </c>
      <c r="H608" s="6">
        <v>131.33510000000001</v>
      </c>
      <c r="I608" s="6">
        <v>-13.345499999999999</v>
      </c>
      <c r="J608" s="4" t="s">
        <v>4551</v>
      </c>
      <c r="K608" s="4" t="s">
        <v>481</v>
      </c>
      <c r="L608" s="4" t="s">
        <v>532</v>
      </c>
      <c r="Q608" s="8"/>
      <c r="R608" s="8"/>
      <c r="Z608" s="4" t="s">
        <v>424</v>
      </c>
      <c r="AA608" s="7" t="s">
        <v>425</v>
      </c>
      <c r="AB608" s="8" t="s">
        <v>426</v>
      </c>
      <c r="AC608" s="4" t="s">
        <v>301</v>
      </c>
      <c r="AD608" s="4" t="s">
        <v>375</v>
      </c>
      <c r="AE608" s="8">
        <v>1810</v>
      </c>
      <c r="AF608" s="8"/>
      <c r="AG608" s="9" t="s">
        <v>379</v>
      </c>
      <c r="AH608" s="9" t="s">
        <v>380</v>
      </c>
      <c r="AM608" s="8">
        <v>3</v>
      </c>
      <c r="AN608" s="4" t="s">
        <v>381</v>
      </c>
      <c r="AO608" s="4" t="s">
        <v>382</v>
      </c>
      <c r="AP608" s="4" t="s">
        <v>383</v>
      </c>
      <c r="AQ608" s="7" t="s">
        <v>384</v>
      </c>
      <c r="AR608" s="7" t="s">
        <v>433</v>
      </c>
      <c r="AS608" s="7">
        <v>0</v>
      </c>
      <c r="AT608" s="7">
        <v>0</v>
      </c>
      <c r="AU608" s="9" t="s">
        <v>303</v>
      </c>
      <c r="AV608" s="9" t="s">
        <v>406</v>
      </c>
      <c r="BA608" s="8">
        <v>5</v>
      </c>
      <c r="BP608" s="7">
        <v>0.70699999999999996</v>
      </c>
      <c r="BV608" s="7">
        <v>2.9</v>
      </c>
      <c r="DZ608" s="31"/>
      <c r="EL608" s="7">
        <f>BP608*BV608</f>
        <v>2.0503</v>
      </c>
      <c r="GP608" s="32"/>
      <c r="GY608" s="6" t="s">
        <v>338</v>
      </c>
      <c r="GZ608" s="6" t="s">
        <v>436</v>
      </c>
      <c r="HC608" s="6" t="s">
        <v>437</v>
      </c>
      <c r="HD608" s="9" t="s">
        <v>1682</v>
      </c>
      <c r="HE608" s="8">
        <v>27961</v>
      </c>
      <c r="HF608" s="9" t="s">
        <v>1683</v>
      </c>
      <c r="HG608" s="9" t="s">
        <v>538</v>
      </c>
      <c r="HH608" s="9" t="s">
        <v>1574</v>
      </c>
      <c r="HI608" s="8">
        <v>27310</v>
      </c>
      <c r="HJ608" s="9" t="s">
        <v>1575</v>
      </c>
      <c r="HK608" s="9" t="s">
        <v>538</v>
      </c>
      <c r="HV608" s="8"/>
      <c r="HW608" s="8"/>
      <c r="HX608" s="8"/>
      <c r="HY608" s="9"/>
      <c r="IB608" s="9" t="s">
        <v>1682</v>
      </c>
      <c r="IC608" s="8">
        <v>27961</v>
      </c>
      <c r="ID608" s="9" t="s">
        <v>1683</v>
      </c>
      <c r="IE608" s="9" t="s">
        <v>538</v>
      </c>
      <c r="IF608" s="8" t="s">
        <v>445</v>
      </c>
      <c r="IG608" s="8" t="s">
        <v>1574</v>
      </c>
      <c r="IH608" s="8">
        <v>27310</v>
      </c>
      <c r="II608" s="8" t="s">
        <v>1575</v>
      </c>
      <c r="IJ608" s="9" t="s">
        <v>538</v>
      </c>
      <c r="IK608" s="8" t="s">
        <v>445</v>
      </c>
      <c r="IL608" s="8" t="s">
        <v>1576</v>
      </c>
      <c r="IM608" s="8">
        <v>30778</v>
      </c>
      <c r="IN608" s="8" t="s">
        <v>2203</v>
      </c>
      <c r="IO608" s="8" t="s">
        <v>538</v>
      </c>
      <c r="IP608" s="8" t="s">
        <v>1578</v>
      </c>
      <c r="IW608" s="8"/>
      <c r="JB608" s="8"/>
      <c r="JV608" s="7" t="s">
        <v>352</v>
      </c>
      <c r="JW608" s="7" t="s">
        <v>352</v>
      </c>
      <c r="JX608" s="7" t="s">
        <v>322</v>
      </c>
      <c r="JY608" s="7" t="s">
        <v>470</v>
      </c>
      <c r="JZ608" s="7" t="s">
        <v>320</v>
      </c>
      <c r="KG608" s="4" t="s">
        <v>323</v>
      </c>
      <c r="KM608" s="4" t="s">
        <v>836</v>
      </c>
      <c r="KN608" s="4" t="s">
        <v>836</v>
      </c>
      <c r="KP608" s="5" t="s">
        <v>358</v>
      </c>
      <c r="KQ608" s="5" t="s">
        <v>4552</v>
      </c>
      <c r="KS608" s="5" t="s">
        <v>1580</v>
      </c>
      <c r="KT608" s="5" t="s">
        <v>4553</v>
      </c>
    </row>
    <row r="609" spans="1:306" ht="24" x14ac:dyDescent="0.2">
      <c r="A609" s="14" t="s">
        <v>4620</v>
      </c>
      <c r="B609" s="29" t="s">
        <v>424</v>
      </c>
      <c r="C609" s="30" t="s">
        <v>425</v>
      </c>
      <c r="D609" s="26" t="s">
        <v>426</v>
      </c>
      <c r="E609" s="44">
        <v>859613</v>
      </c>
      <c r="F609" s="29">
        <v>624082</v>
      </c>
      <c r="G609" s="29" t="s">
        <v>296</v>
      </c>
      <c r="H609" s="31">
        <v>145.52762999999999</v>
      </c>
      <c r="I609" s="31">
        <v>-42.116880000000002</v>
      </c>
      <c r="J609" s="29" t="s">
        <v>4621</v>
      </c>
      <c r="K609" s="29" t="s">
        <v>298</v>
      </c>
      <c r="L609" s="29" t="s">
        <v>400</v>
      </c>
      <c r="M609" s="29" t="s">
        <v>401</v>
      </c>
      <c r="N609" s="29"/>
      <c r="O609" s="26"/>
      <c r="P609" s="29"/>
      <c r="Q609" s="30"/>
      <c r="R609" s="30"/>
      <c r="S609" s="27"/>
      <c r="T609" s="27"/>
      <c r="U609" s="27"/>
      <c r="V609" s="27"/>
      <c r="W609" s="27"/>
      <c r="X609" s="27"/>
      <c r="Y609" s="26"/>
      <c r="Z609" s="29" t="s">
        <v>424</v>
      </c>
      <c r="AA609" s="30" t="s">
        <v>425</v>
      </c>
      <c r="AB609" s="26" t="s">
        <v>426</v>
      </c>
      <c r="AC609" s="29" t="s">
        <v>301</v>
      </c>
      <c r="AD609" s="29" t="s">
        <v>382</v>
      </c>
      <c r="AE609" s="30">
        <v>382.5</v>
      </c>
      <c r="AF609" s="30">
        <v>4.2</v>
      </c>
      <c r="AG609" s="27" t="s">
        <v>379</v>
      </c>
      <c r="AH609" s="27" t="s">
        <v>429</v>
      </c>
      <c r="AI609" s="27" t="s">
        <v>430</v>
      </c>
      <c r="AJ609" s="27" t="s">
        <v>431</v>
      </c>
      <c r="AK609" s="27" t="s">
        <v>432</v>
      </c>
      <c r="AL609" s="27"/>
      <c r="AM609" s="26">
        <v>4</v>
      </c>
      <c r="AN609" s="29" t="s">
        <v>381</v>
      </c>
      <c r="AO609" s="29" t="s">
        <v>382</v>
      </c>
      <c r="AP609" s="29" t="s">
        <v>383</v>
      </c>
      <c r="AQ609" s="30" t="s">
        <v>403</v>
      </c>
      <c r="AR609" s="26" t="s">
        <v>434</v>
      </c>
      <c r="AS609" s="30">
        <v>0</v>
      </c>
      <c r="AT609" s="30">
        <v>0</v>
      </c>
      <c r="AU609" s="27" t="s">
        <v>303</v>
      </c>
      <c r="AV609" s="27" t="s">
        <v>406</v>
      </c>
      <c r="AW609" s="27"/>
      <c r="AX609" s="27"/>
      <c r="AY609" s="27"/>
      <c r="AZ609" s="27"/>
      <c r="BA609" s="26">
        <v>5</v>
      </c>
      <c r="BB609" s="29"/>
      <c r="BC609" s="29"/>
      <c r="BD609" s="29"/>
      <c r="BE609" s="30"/>
      <c r="BF609" s="26"/>
      <c r="BG609" s="27"/>
      <c r="BH609" s="27"/>
      <c r="BI609" s="27"/>
      <c r="BJ609" s="27"/>
      <c r="BK609" s="27"/>
      <c r="BL609" s="27"/>
      <c r="BM609" s="27"/>
      <c r="BN609" s="27"/>
      <c r="BO609" s="26"/>
      <c r="BP609" s="30"/>
      <c r="BQ609" s="31"/>
      <c r="BR609" s="31"/>
      <c r="BS609" s="31"/>
      <c r="BT609" s="31"/>
      <c r="BU609" s="26"/>
      <c r="BV609" s="31"/>
      <c r="BW609" s="31"/>
      <c r="BX609" s="31"/>
      <c r="BY609" s="31"/>
      <c r="BZ609" s="31"/>
      <c r="CA609" s="31"/>
      <c r="CB609" s="31"/>
      <c r="CC609" s="31"/>
      <c r="CD609" s="31"/>
      <c r="CE609" s="31"/>
      <c r="CF609" s="31"/>
      <c r="CG609" s="31"/>
      <c r="CH609" s="31"/>
      <c r="CI609" s="31"/>
      <c r="CJ609" s="31"/>
      <c r="CK609" s="31"/>
      <c r="CL609" s="31"/>
      <c r="CM609" s="31"/>
      <c r="CN609" s="31"/>
      <c r="CO609" s="31"/>
      <c r="CP609" s="31"/>
      <c r="CQ609" s="31"/>
      <c r="CR609" s="31"/>
      <c r="CS609" s="31"/>
      <c r="CT609" s="31"/>
      <c r="CU609" s="31"/>
      <c r="CV609" s="31"/>
      <c r="CW609" s="31"/>
      <c r="CX609" s="31"/>
      <c r="CY609" s="31"/>
      <c r="CZ609" s="31"/>
      <c r="DA609" s="31"/>
      <c r="DB609" s="31"/>
      <c r="DC609" s="31"/>
      <c r="DD609" s="31"/>
      <c r="DE609" s="31"/>
      <c r="DF609" s="31"/>
      <c r="DG609" s="31"/>
      <c r="DH609" s="31"/>
      <c r="DI609" s="31"/>
      <c r="DJ609" s="31"/>
      <c r="DK609" s="31"/>
      <c r="DL609" s="31"/>
      <c r="DM609" s="31"/>
      <c r="DN609" s="31"/>
      <c r="DO609" s="31"/>
      <c r="DP609" s="31"/>
      <c r="DQ609" s="31"/>
      <c r="DR609" s="31"/>
      <c r="DS609" s="31"/>
      <c r="DT609" s="31"/>
      <c r="DU609" s="31"/>
      <c r="DV609" s="31"/>
      <c r="DW609" s="31"/>
      <c r="DX609" s="31"/>
      <c r="DY609" s="31"/>
      <c r="DZ609" s="31"/>
      <c r="EA609" s="31"/>
      <c r="EB609" s="31"/>
      <c r="EC609" s="31"/>
      <c r="ED609" s="31"/>
      <c r="EE609" s="31"/>
      <c r="EF609" s="31"/>
      <c r="EG609" s="31"/>
      <c r="EH609" s="32"/>
      <c r="EI609" s="32"/>
      <c r="EJ609" s="32"/>
      <c r="EK609" s="32"/>
      <c r="EL609" s="31"/>
      <c r="EM609" s="31"/>
      <c r="EN609" s="31"/>
      <c r="EO609" s="31"/>
      <c r="EP609" s="31"/>
      <c r="EQ609" s="31"/>
      <c r="ER609" s="31"/>
      <c r="ES609" s="31"/>
      <c r="ET609" s="31"/>
      <c r="EU609" s="31"/>
      <c r="EV609" s="31"/>
      <c r="EW609" s="31"/>
      <c r="EX609" s="31"/>
      <c r="EY609" s="31"/>
      <c r="EZ609" s="31"/>
      <c r="FA609" s="31"/>
      <c r="FB609" s="31"/>
      <c r="FC609" s="31"/>
      <c r="FD609" s="31"/>
      <c r="FE609" s="31"/>
      <c r="FF609" s="31"/>
      <c r="FG609" s="31"/>
      <c r="FH609" s="31"/>
      <c r="FI609" s="31"/>
      <c r="FJ609" s="31"/>
      <c r="FK609" s="31"/>
      <c r="FL609" s="31"/>
      <c r="FM609" s="31"/>
      <c r="FN609" s="31"/>
      <c r="FO609" s="31"/>
      <c r="FP609" s="31"/>
      <c r="FQ609" s="31"/>
      <c r="FR609" s="31"/>
      <c r="FS609" s="31"/>
      <c r="FT609" s="31"/>
      <c r="FU609" s="31"/>
      <c r="FV609" s="31"/>
      <c r="FW609" s="31"/>
      <c r="FX609" s="31"/>
      <c r="FY609" s="31"/>
      <c r="FZ609" s="31"/>
      <c r="GA609" s="31"/>
      <c r="GB609" s="31"/>
      <c r="GC609" s="31"/>
      <c r="GD609" s="31"/>
      <c r="GE609" s="31"/>
      <c r="GF609" s="31"/>
      <c r="GG609" s="31"/>
      <c r="GH609" s="31"/>
      <c r="GI609" s="31"/>
      <c r="GJ609" s="31"/>
      <c r="GK609" s="31"/>
      <c r="GL609" s="31"/>
      <c r="GM609" s="31"/>
      <c r="GN609" s="31"/>
      <c r="GO609" s="31"/>
      <c r="GP609" s="32"/>
      <c r="GQ609" s="31"/>
      <c r="GR609" s="31"/>
      <c r="GS609" s="31"/>
      <c r="GT609" s="31"/>
      <c r="GU609" s="31"/>
      <c r="GV609" s="31"/>
      <c r="GW609" s="31"/>
      <c r="GX609" s="31"/>
      <c r="GY609" s="31" t="s">
        <v>309</v>
      </c>
      <c r="GZ609" s="31"/>
      <c r="HA609" s="31"/>
      <c r="HB609" s="31"/>
      <c r="HC609" s="31"/>
      <c r="HD609" s="26"/>
      <c r="HE609" s="26"/>
      <c r="HF609" s="26" t="s">
        <v>4622</v>
      </c>
      <c r="HG609" s="27" t="s">
        <v>2870</v>
      </c>
      <c r="HH609" s="27"/>
      <c r="HI609" s="26"/>
      <c r="HJ609" s="27"/>
      <c r="HK609" s="27"/>
      <c r="HL609" s="27"/>
      <c r="HM609" s="26"/>
      <c r="HN609" s="27"/>
      <c r="HO609" s="27"/>
      <c r="HP609" s="27"/>
      <c r="HQ609" s="27"/>
      <c r="HR609" s="27"/>
      <c r="HS609" s="27"/>
      <c r="HT609" s="27"/>
      <c r="HU609" s="27"/>
      <c r="HV609" s="27"/>
      <c r="HW609" s="27"/>
      <c r="HX609" s="27"/>
      <c r="HY609" s="27"/>
      <c r="HZ609" s="27"/>
      <c r="IA609" s="27"/>
      <c r="IB609" s="26"/>
      <c r="IC609" s="26"/>
      <c r="ID609" s="26"/>
      <c r="IE609" s="26"/>
      <c r="IF609" s="26"/>
      <c r="IG609" s="26"/>
      <c r="IH609" s="26"/>
      <c r="II609" s="26"/>
      <c r="IJ609" s="26"/>
      <c r="IK609" s="26"/>
      <c r="IL609" s="27"/>
      <c r="IM609" s="27"/>
      <c r="IN609" s="27"/>
      <c r="IO609" s="27"/>
      <c r="IP609" s="27"/>
      <c r="IQ609" s="27"/>
      <c r="IR609" s="27"/>
      <c r="IS609" s="27"/>
      <c r="IT609" s="27"/>
      <c r="IU609" s="27"/>
      <c r="IV609" s="27"/>
      <c r="IW609" s="27"/>
      <c r="IX609" s="27"/>
      <c r="IY609" s="27"/>
      <c r="IZ609" s="27"/>
      <c r="JA609" s="27"/>
      <c r="JB609" s="27"/>
      <c r="JC609" s="27"/>
      <c r="JD609" s="27"/>
      <c r="JE609" s="27"/>
      <c r="JF609" s="27"/>
      <c r="JG609" s="27"/>
      <c r="JH609" s="27"/>
      <c r="JI609" s="27"/>
      <c r="JJ609" s="27"/>
      <c r="JK609" s="27"/>
      <c r="JL609" s="27"/>
      <c r="JM609" s="27"/>
      <c r="JN609" s="27"/>
      <c r="JO609" s="27"/>
      <c r="JP609" s="27"/>
      <c r="JQ609" s="27"/>
      <c r="JR609" s="27"/>
      <c r="JS609" s="27"/>
      <c r="JT609" s="27"/>
      <c r="JU609" s="30"/>
      <c r="JV609" s="30" t="s">
        <v>1779</v>
      </c>
      <c r="JW609" s="30"/>
      <c r="JX609" s="30" t="s">
        <v>320</v>
      </c>
      <c r="JY609" s="30"/>
      <c r="JZ609" s="30"/>
      <c r="KA609" s="30"/>
      <c r="KB609" s="30"/>
      <c r="KC609" s="30"/>
      <c r="KD609" s="30"/>
      <c r="KE609" s="30"/>
      <c r="KF609" s="30"/>
      <c r="KG609" s="29" t="s">
        <v>323</v>
      </c>
      <c r="KH609" s="29"/>
      <c r="KI609" s="29"/>
      <c r="KJ609" s="29"/>
      <c r="KK609" s="29"/>
      <c r="KL609" s="29"/>
      <c r="KM609" s="29"/>
      <c r="KN609" s="29"/>
      <c r="KO609" s="29"/>
      <c r="KP609" s="14" t="s">
        <v>4623</v>
      </c>
      <c r="KQ609" s="14" t="s">
        <v>4624</v>
      </c>
      <c r="KR609" s="14" t="s">
        <v>4624</v>
      </c>
      <c r="KS609" s="14"/>
      <c r="KT609" s="14" t="s">
        <v>4625</v>
      </c>
    </row>
    <row r="610" spans="1:306" ht="132" x14ac:dyDescent="0.2">
      <c r="A610" s="5" t="s">
        <v>4646</v>
      </c>
      <c r="B610" s="4" t="s">
        <v>424</v>
      </c>
      <c r="C610" s="7" t="s">
        <v>425</v>
      </c>
      <c r="D610" s="8" t="s">
        <v>426</v>
      </c>
      <c r="E610" s="44">
        <v>859614</v>
      </c>
      <c r="F610" s="4">
        <v>1157787</v>
      </c>
      <c r="G610" s="4" t="s">
        <v>479</v>
      </c>
      <c r="H610" s="6">
        <v>144.332908</v>
      </c>
      <c r="I610" s="6">
        <v>-16.41743</v>
      </c>
      <c r="J610" s="4" t="s">
        <v>1019</v>
      </c>
      <c r="K610" s="4" t="s">
        <v>298</v>
      </c>
      <c r="L610" s="4" t="s">
        <v>1018</v>
      </c>
      <c r="M610" s="4" t="s">
        <v>1019</v>
      </c>
      <c r="Q610" s="8"/>
      <c r="R610" s="8"/>
      <c r="Z610" s="4" t="s">
        <v>424</v>
      </c>
      <c r="AA610" s="7" t="s">
        <v>425</v>
      </c>
      <c r="AB610" s="8" t="s">
        <v>426</v>
      </c>
      <c r="AC610" s="4" t="s">
        <v>301</v>
      </c>
      <c r="AE610" s="8">
        <v>328</v>
      </c>
      <c r="AF610" s="8">
        <v>3</v>
      </c>
      <c r="AG610" s="9" t="s">
        <v>379</v>
      </c>
      <c r="AH610" s="9" t="s">
        <v>429</v>
      </c>
      <c r="AI610" s="9" t="s">
        <v>845</v>
      </c>
      <c r="AJ610" s="9" t="s">
        <v>1238</v>
      </c>
      <c r="AM610" s="8">
        <v>3</v>
      </c>
      <c r="BP610" s="7">
        <v>0.159</v>
      </c>
      <c r="BV610" s="6">
        <v>31.4</v>
      </c>
      <c r="DZ610" s="31"/>
      <c r="EL610" s="6">
        <f>BP610*BV610</f>
        <v>4.9925999999999995</v>
      </c>
      <c r="EY610" s="6"/>
      <c r="FA610" s="6"/>
      <c r="GP610" s="32"/>
      <c r="GY610" s="6" t="s">
        <v>309</v>
      </c>
      <c r="GZ610" s="40" t="s">
        <v>436</v>
      </c>
      <c r="HC610" s="6" t="s">
        <v>437</v>
      </c>
      <c r="HD610" s="8" t="s">
        <v>1023</v>
      </c>
      <c r="HE610" s="8">
        <v>8404</v>
      </c>
      <c r="HF610" s="8" t="s">
        <v>1024</v>
      </c>
      <c r="HG610" s="8" t="s">
        <v>1025</v>
      </c>
      <c r="HY610" s="9"/>
      <c r="IR610" s="9"/>
      <c r="KQ610" s="5" t="s">
        <v>1136</v>
      </c>
      <c r="KR610" s="5" t="s">
        <v>1136</v>
      </c>
      <c r="KS610" s="5" t="s">
        <v>4647</v>
      </c>
      <c r="KT610" s="5" t="s">
        <v>4648</v>
      </c>
    </row>
    <row r="611" spans="1:306" ht="84" x14ac:dyDescent="0.25">
      <c r="A611" s="5" t="s">
        <v>3703</v>
      </c>
      <c r="B611" s="4" t="s">
        <v>424</v>
      </c>
      <c r="C611" s="7" t="s">
        <v>425</v>
      </c>
      <c r="D611" s="8" t="s">
        <v>426</v>
      </c>
      <c r="E611" s="4">
        <v>335902</v>
      </c>
      <c r="G611" s="4" t="s">
        <v>330</v>
      </c>
      <c r="H611" s="6">
        <v>128.86269999999999</v>
      </c>
      <c r="I611" s="6">
        <v>-19.589400000000001</v>
      </c>
      <c r="J611" s="4" t="s">
        <v>4665</v>
      </c>
      <c r="K611" s="4" t="s">
        <v>481</v>
      </c>
      <c r="L611" s="4" t="s">
        <v>863</v>
      </c>
      <c r="Q611" s="8"/>
      <c r="R611" s="8"/>
      <c r="Z611" s="4" t="s">
        <v>424</v>
      </c>
      <c r="AA611" s="7" t="s">
        <v>425</v>
      </c>
      <c r="AB611" s="8" t="s">
        <v>426</v>
      </c>
      <c r="AC611" s="4" t="s">
        <v>301</v>
      </c>
      <c r="AD611" s="4" t="s">
        <v>375</v>
      </c>
      <c r="AE611" s="8">
        <v>1794</v>
      </c>
      <c r="AF611" s="8"/>
      <c r="AG611" s="9" t="s">
        <v>379</v>
      </c>
      <c r="AH611" s="9" t="s">
        <v>1156</v>
      </c>
      <c r="AM611" s="8">
        <v>2</v>
      </c>
      <c r="AN611" s="4" t="s">
        <v>381</v>
      </c>
      <c r="AO611" s="4" t="s">
        <v>382</v>
      </c>
      <c r="AP611" s="4" t="s">
        <v>383</v>
      </c>
      <c r="AQ611" s="7" t="s">
        <v>384</v>
      </c>
      <c r="AR611" s="8" t="s">
        <v>433</v>
      </c>
      <c r="AS611" s="7">
        <v>0</v>
      </c>
      <c r="AT611" s="7">
        <v>0</v>
      </c>
      <c r="AU611" s="4" t="s">
        <v>303</v>
      </c>
      <c r="AV611" s="4" t="s">
        <v>406</v>
      </c>
      <c r="AW611" s="4"/>
      <c r="AX611" s="4"/>
      <c r="AY611" s="4"/>
      <c r="AZ611" s="4"/>
      <c r="BA611" s="8">
        <v>5</v>
      </c>
      <c r="BG611" s="8"/>
      <c r="BH611" s="8"/>
      <c r="BO611" s="9"/>
      <c r="BP611" s="7">
        <v>0.69399999999999995</v>
      </c>
      <c r="BV611" s="7">
        <v>2.2999999999999998</v>
      </c>
      <c r="DZ611" s="31"/>
      <c r="EL611" s="7">
        <f>BP611*BV611</f>
        <v>1.5961999999999998</v>
      </c>
      <c r="FA611" s="6"/>
      <c r="GP611" s="32"/>
      <c r="GY611" s="6" t="s">
        <v>338</v>
      </c>
      <c r="GZ611" s="6" t="s">
        <v>436</v>
      </c>
      <c r="HC611" s="6" t="s">
        <v>437</v>
      </c>
      <c r="HD611" s="8" t="s">
        <v>4666</v>
      </c>
      <c r="HE611" s="8">
        <v>74592</v>
      </c>
      <c r="HF611" s="8" t="s">
        <v>4667</v>
      </c>
      <c r="HG611" s="9" t="s">
        <v>538</v>
      </c>
      <c r="IB611" s="8" t="s">
        <v>4666</v>
      </c>
      <c r="IC611" s="8">
        <v>74592</v>
      </c>
      <c r="ID611" s="8" t="s">
        <v>960</v>
      </c>
      <c r="IE611" s="8" t="s">
        <v>538</v>
      </c>
      <c r="IF611" s="8" t="s">
        <v>445</v>
      </c>
      <c r="IG611" s="8" t="s">
        <v>4668</v>
      </c>
      <c r="IH611" s="8">
        <v>80981</v>
      </c>
      <c r="II611" s="8" t="s">
        <v>658</v>
      </c>
      <c r="IJ611" s="8" t="s">
        <v>538</v>
      </c>
      <c r="IK611" s="8" t="s">
        <v>445</v>
      </c>
      <c r="IM611" s="9"/>
      <c r="IR611" s="9"/>
      <c r="JV611" s="7" t="s">
        <v>4669</v>
      </c>
      <c r="JX611" s="7" t="s">
        <v>320</v>
      </c>
      <c r="KG611" s="4" t="s">
        <v>323</v>
      </c>
      <c r="KM611" s="4" t="s">
        <v>391</v>
      </c>
      <c r="KN611" s="4" t="s">
        <v>391</v>
      </c>
      <c r="KP611" s="5" t="s">
        <v>358</v>
      </c>
      <c r="KQ611" s="5" t="s">
        <v>4670</v>
      </c>
      <c r="KS611" s="5" t="s">
        <v>2468</v>
      </c>
      <c r="KT611" s="5" t="s">
        <v>4671</v>
      </c>
    </row>
    <row r="612" spans="1:306" ht="120" x14ac:dyDescent="0.25">
      <c r="A612" s="5" t="s">
        <v>4713</v>
      </c>
      <c r="B612" s="4" t="s">
        <v>424</v>
      </c>
      <c r="C612" s="7" t="s">
        <v>425</v>
      </c>
      <c r="D612" s="8" t="s">
        <v>426</v>
      </c>
      <c r="E612" s="4">
        <v>333808</v>
      </c>
      <c r="G612" s="4" t="s">
        <v>330</v>
      </c>
      <c r="H612" s="6">
        <v>121.264</v>
      </c>
      <c r="I612" s="6">
        <v>-30.749700000000001</v>
      </c>
      <c r="J612" s="4" t="s">
        <v>4714</v>
      </c>
      <c r="K612" s="4" t="s">
        <v>331</v>
      </c>
      <c r="L612" s="4" t="s">
        <v>500</v>
      </c>
      <c r="M612" s="4" t="s">
        <v>501</v>
      </c>
      <c r="N612" s="4" t="s">
        <v>1061</v>
      </c>
      <c r="Q612" s="8"/>
      <c r="R612" s="8"/>
      <c r="Z612" s="4" t="s">
        <v>424</v>
      </c>
      <c r="AA612" s="7" t="s">
        <v>425</v>
      </c>
      <c r="AB612" s="8" t="s">
        <v>426</v>
      </c>
      <c r="AC612" s="4" t="s">
        <v>301</v>
      </c>
      <c r="AD612" s="4" t="s">
        <v>375</v>
      </c>
      <c r="AE612" s="8">
        <v>2642</v>
      </c>
      <c r="AF612" s="8"/>
      <c r="AG612" s="9" t="s">
        <v>379</v>
      </c>
      <c r="AH612" s="9" t="s">
        <v>380</v>
      </c>
      <c r="AM612" s="8">
        <v>3</v>
      </c>
      <c r="AN612" s="4" t="s">
        <v>381</v>
      </c>
      <c r="AO612" s="4" t="s">
        <v>382</v>
      </c>
      <c r="AP612" s="4" t="s">
        <v>383</v>
      </c>
      <c r="AQ612" s="7" t="s">
        <v>384</v>
      </c>
      <c r="AR612" s="7" t="s">
        <v>433</v>
      </c>
      <c r="AS612" s="7">
        <v>0</v>
      </c>
      <c r="AT612" s="7">
        <v>0</v>
      </c>
      <c r="AU612" s="4" t="s">
        <v>303</v>
      </c>
      <c r="AV612" s="4" t="s">
        <v>406</v>
      </c>
      <c r="AW612" s="4"/>
      <c r="AX612" s="4"/>
      <c r="AY612" s="4"/>
      <c r="AZ612" s="4"/>
      <c r="BA612" s="8">
        <v>5</v>
      </c>
      <c r="BG612" s="8"/>
      <c r="BH612" s="8"/>
      <c r="DZ612" s="31"/>
      <c r="EL612" s="8">
        <v>300.69</v>
      </c>
      <c r="FA612" s="6"/>
      <c r="GP612" s="32"/>
      <c r="GY612" s="6" t="s">
        <v>338</v>
      </c>
      <c r="GZ612" s="6" t="s">
        <v>436</v>
      </c>
      <c r="HC612" s="6" t="s">
        <v>437</v>
      </c>
      <c r="HD612" s="8" t="s">
        <v>4715</v>
      </c>
      <c r="HE612" s="8">
        <v>19889</v>
      </c>
      <c r="HF612" s="8" t="s">
        <v>4716</v>
      </c>
      <c r="HG612" s="9" t="s">
        <v>507</v>
      </c>
      <c r="HH612" s="9" t="s">
        <v>4717</v>
      </c>
      <c r="HI612" s="8">
        <v>79517</v>
      </c>
      <c r="HJ612" s="9" t="s">
        <v>4718</v>
      </c>
      <c r="HK612" s="9" t="s">
        <v>507</v>
      </c>
      <c r="HL612" s="9" t="s">
        <v>4719</v>
      </c>
      <c r="HM612" s="8" t="s">
        <v>4720</v>
      </c>
      <c r="HN612" s="9" t="s">
        <v>4721</v>
      </c>
      <c r="HO612" s="9" t="s">
        <v>507</v>
      </c>
      <c r="IB612" s="8" t="s">
        <v>4715</v>
      </c>
      <c r="IC612" s="8">
        <v>19889</v>
      </c>
      <c r="ID612" s="8" t="s">
        <v>4722</v>
      </c>
      <c r="IE612" s="8" t="s">
        <v>507</v>
      </c>
      <c r="IF612" s="8" t="s">
        <v>445</v>
      </c>
      <c r="IG612" s="8" t="s">
        <v>4717</v>
      </c>
      <c r="IH612" s="8">
        <v>79517</v>
      </c>
      <c r="II612" s="8" t="s">
        <v>4718</v>
      </c>
      <c r="IJ612" s="8" t="s">
        <v>507</v>
      </c>
      <c r="IL612" s="9" t="s">
        <v>4719</v>
      </c>
      <c r="IM612" s="8" t="s">
        <v>4720</v>
      </c>
      <c r="IN612" s="9" t="s">
        <v>4721</v>
      </c>
      <c r="IO612" s="9" t="s">
        <v>507</v>
      </c>
      <c r="IP612" s="8" t="s">
        <v>445</v>
      </c>
      <c r="IQ612" s="8"/>
      <c r="IS612" s="8"/>
      <c r="IT612" s="8"/>
      <c r="IU612" s="8"/>
      <c r="IV612" s="8"/>
      <c r="IW612" s="8"/>
      <c r="IX612" s="8"/>
      <c r="IY612" s="8"/>
      <c r="IZ612" s="8"/>
      <c r="JA612" s="8"/>
      <c r="JB612" s="8"/>
      <c r="JC612" s="8"/>
      <c r="JD612" s="8"/>
      <c r="JE612" s="8"/>
      <c r="JF612" s="8"/>
      <c r="JG612" s="8"/>
      <c r="JH612" s="8"/>
      <c r="JI612" s="8"/>
      <c r="JJ612" s="8"/>
      <c r="JK612" s="8"/>
      <c r="JL612" s="8"/>
      <c r="JM612" s="8"/>
      <c r="JN612" s="8"/>
      <c r="JO612" s="8"/>
      <c r="JP612" s="8"/>
      <c r="JQ612" s="8"/>
      <c r="JR612" s="8"/>
      <c r="JS612" s="8"/>
      <c r="JT612" s="8"/>
      <c r="JV612" s="7" t="s">
        <v>4723</v>
      </c>
      <c r="JX612" s="7" t="s">
        <v>320</v>
      </c>
      <c r="JY612" s="7" t="s">
        <v>354</v>
      </c>
      <c r="JZ612" s="7" t="s">
        <v>322</v>
      </c>
      <c r="KG612" s="4" t="s">
        <v>323</v>
      </c>
      <c r="KM612" s="4" t="s">
        <v>391</v>
      </c>
      <c r="KN612" s="4" t="s">
        <v>391</v>
      </c>
      <c r="KP612" s="5" t="s">
        <v>358</v>
      </c>
      <c r="KQ612" s="5" t="s">
        <v>4724</v>
      </c>
      <c r="KS612" s="5" t="s">
        <v>4725</v>
      </c>
      <c r="KT612" s="5" t="s">
        <v>4726</v>
      </c>
    </row>
    <row r="613" spans="1:306" ht="60" x14ac:dyDescent="0.25">
      <c r="A613" s="5" t="s">
        <v>4756</v>
      </c>
      <c r="B613" s="4" t="s">
        <v>424</v>
      </c>
      <c r="C613" s="7" t="s">
        <v>425</v>
      </c>
      <c r="D613" s="8" t="s">
        <v>426</v>
      </c>
      <c r="E613" s="4">
        <v>576320</v>
      </c>
      <c r="G613" s="4" t="s">
        <v>330</v>
      </c>
      <c r="H613" s="6">
        <v>121.22</v>
      </c>
      <c r="I613" s="6">
        <v>-30.5</v>
      </c>
      <c r="J613" s="4" t="s">
        <v>4757</v>
      </c>
      <c r="K613" s="4" t="s">
        <v>331</v>
      </c>
      <c r="L613" s="4" t="s">
        <v>500</v>
      </c>
      <c r="M613" s="4" t="s">
        <v>501</v>
      </c>
      <c r="N613" s="4" t="s">
        <v>1061</v>
      </c>
      <c r="Z613" s="4" t="s">
        <v>424</v>
      </c>
      <c r="AA613" s="7" t="s">
        <v>425</v>
      </c>
      <c r="AB613" s="8" t="s">
        <v>426</v>
      </c>
      <c r="AC613" s="4" t="s">
        <v>301</v>
      </c>
      <c r="AD613" s="4" t="s">
        <v>375</v>
      </c>
      <c r="AN613" s="4" t="s">
        <v>381</v>
      </c>
      <c r="AO613" s="4" t="s">
        <v>382</v>
      </c>
      <c r="AP613" s="4" t="s">
        <v>383</v>
      </c>
      <c r="AQ613" s="7" t="s">
        <v>384</v>
      </c>
      <c r="AR613" s="7" t="s">
        <v>433</v>
      </c>
      <c r="AS613" s="7">
        <v>0</v>
      </c>
      <c r="AT613" s="7">
        <v>0</v>
      </c>
      <c r="AU613" s="4" t="s">
        <v>303</v>
      </c>
      <c r="AV613" s="4" t="s">
        <v>406</v>
      </c>
      <c r="AW613" s="4"/>
      <c r="AX613" s="4"/>
      <c r="AY613" s="4"/>
      <c r="AZ613" s="4"/>
      <c r="BA613" s="8">
        <v>5</v>
      </c>
      <c r="BP613" s="7">
        <f>0.98+0.007058+0.357+0.97+0.37</f>
        <v>2.6840580000000003</v>
      </c>
      <c r="BV613" s="7">
        <f>(4.2*0.98+43.9*0.007058+3.2*0.357+2.6*0.97+9*0.37)/(0.98+0.007058+0.357+0.97+0.37)</f>
        <v>4.2548433007036355</v>
      </c>
      <c r="DZ613" s="31"/>
      <c r="EL613" s="7">
        <v>11.117448</v>
      </c>
      <c r="GP613" s="32"/>
      <c r="GY613" s="6" t="s">
        <v>309</v>
      </c>
      <c r="GZ613" s="6" t="s">
        <v>436</v>
      </c>
      <c r="HC613" s="6" t="s">
        <v>437</v>
      </c>
      <c r="HD613" s="8" t="s">
        <v>4758</v>
      </c>
      <c r="HE613" s="8">
        <v>27821</v>
      </c>
      <c r="HF613" s="8" t="s">
        <v>4759</v>
      </c>
      <c r="HG613" s="9" t="s">
        <v>507</v>
      </c>
      <c r="HH613" s="9" t="s">
        <v>4760</v>
      </c>
      <c r="HI613" s="8">
        <v>13036</v>
      </c>
      <c r="HJ613" s="9" t="s">
        <v>4761</v>
      </c>
      <c r="HK613" s="9" t="s">
        <v>507</v>
      </c>
      <c r="IB613" s="8" t="s">
        <v>4758</v>
      </c>
      <c r="IC613" s="8">
        <v>27821</v>
      </c>
      <c r="ID613" s="8" t="s">
        <v>4759</v>
      </c>
      <c r="IE613" s="9" t="s">
        <v>507</v>
      </c>
      <c r="IF613" s="9" t="s">
        <v>445</v>
      </c>
      <c r="IG613" s="9" t="s">
        <v>4760</v>
      </c>
      <c r="IH613" s="8">
        <v>13036</v>
      </c>
      <c r="II613" s="9" t="s">
        <v>4761</v>
      </c>
      <c r="IJ613" s="9" t="s">
        <v>507</v>
      </c>
      <c r="IK613" s="8" t="s">
        <v>445</v>
      </c>
      <c r="IR613" s="9"/>
      <c r="JV613" s="7" t="s">
        <v>4762</v>
      </c>
      <c r="JX613" s="7" t="s">
        <v>320</v>
      </c>
      <c r="JY613" s="7" t="s">
        <v>448</v>
      </c>
      <c r="JZ613" s="7" t="s">
        <v>322</v>
      </c>
      <c r="KG613" s="4" t="s">
        <v>323</v>
      </c>
      <c r="KM613" s="4" t="s">
        <v>521</v>
      </c>
      <c r="KN613" s="4" t="s">
        <v>522</v>
      </c>
      <c r="KP613" s="5" t="s">
        <v>358</v>
      </c>
      <c r="KQ613" s="5" t="s">
        <v>4763</v>
      </c>
      <c r="KS613" s="5" t="s">
        <v>4764</v>
      </c>
      <c r="KT613" s="5" t="s">
        <v>4765</v>
      </c>
    </row>
    <row r="614" spans="1:306" ht="60" x14ac:dyDescent="0.25">
      <c r="A614" s="5" t="s">
        <v>4808</v>
      </c>
      <c r="B614" s="4" t="s">
        <v>424</v>
      </c>
      <c r="C614" s="7" t="s">
        <v>425</v>
      </c>
      <c r="D614" s="8" t="s">
        <v>426</v>
      </c>
      <c r="E614" s="4">
        <v>335136</v>
      </c>
      <c r="G614" s="4" t="s">
        <v>330</v>
      </c>
      <c r="H614" s="6">
        <v>122.3845</v>
      </c>
      <c r="I614" s="6">
        <v>-28.554500000000001</v>
      </c>
      <c r="J614" s="4" t="s">
        <v>3622</v>
      </c>
      <c r="K614" s="4" t="s">
        <v>331</v>
      </c>
      <c r="L614" s="4" t="s">
        <v>500</v>
      </c>
      <c r="M614" s="4" t="s">
        <v>501</v>
      </c>
      <c r="N614" s="4" t="s">
        <v>1061</v>
      </c>
      <c r="Z614" s="4" t="s">
        <v>424</v>
      </c>
      <c r="AA614" s="7" t="s">
        <v>425</v>
      </c>
      <c r="AB614" s="8" t="s">
        <v>426</v>
      </c>
      <c r="AC614" s="4" t="s">
        <v>301</v>
      </c>
      <c r="AD614" s="4" t="s">
        <v>375</v>
      </c>
      <c r="AN614" s="4" t="s">
        <v>381</v>
      </c>
      <c r="AO614" s="4" t="s">
        <v>382</v>
      </c>
      <c r="AP614" s="4" t="s">
        <v>383</v>
      </c>
      <c r="AQ614" s="7" t="s">
        <v>384</v>
      </c>
      <c r="AR614" s="7" t="s">
        <v>433</v>
      </c>
      <c r="AS614" s="7">
        <v>0</v>
      </c>
      <c r="AT614" s="7">
        <v>0</v>
      </c>
      <c r="AU614" s="4" t="s">
        <v>303</v>
      </c>
      <c r="AV614" s="4" t="s">
        <v>406</v>
      </c>
      <c r="AW614" s="4"/>
      <c r="AX614" s="4"/>
      <c r="AY614" s="4"/>
      <c r="AZ614" s="4"/>
      <c r="BA614" s="8">
        <v>5</v>
      </c>
      <c r="BP614" s="7">
        <v>16.596</v>
      </c>
      <c r="BV614" s="7">
        <v>6.38</v>
      </c>
      <c r="DZ614" s="31"/>
      <c r="EL614" s="7">
        <v>105.8013</v>
      </c>
      <c r="GP614" s="32"/>
      <c r="GY614" s="6" t="s">
        <v>338</v>
      </c>
      <c r="GZ614" s="6" t="s">
        <v>436</v>
      </c>
      <c r="HC614" s="6" t="s">
        <v>437</v>
      </c>
      <c r="HD614" s="8" t="s">
        <v>4809</v>
      </c>
      <c r="HF614" s="8" t="s">
        <v>4810</v>
      </c>
      <c r="HG614" s="9" t="s">
        <v>507</v>
      </c>
      <c r="HH614" s="9" t="s">
        <v>4811</v>
      </c>
      <c r="HJ614" s="9" t="s">
        <v>4812</v>
      </c>
      <c r="HK614" s="9" t="s">
        <v>507</v>
      </c>
      <c r="ID614" s="8" t="s">
        <v>4813</v>
      </c>
      <c r="IE614" s="8" t="s">
        <v>507</v>
      </c>
      <c r="IF614" s="8" t="s">
        <v>445</v>
      </c>
      <c r="II614" s="8" t="s">
        <v>4814</v>
      </c>
      <c r="IJ614" s="8" t="s">
        <v>507</v>
      </c>
      <c r="IK614" s="8" t="s">
        <v>445</v>
      </c>
      <c r="IN614" s="9" t="s">
        <v>4815</v>
      </c>
      <c r="IO614" s="9" t="s">
        <v>507</v>
      </c>
      <c r="IP614" s="9" t="s">
        <v>445</v>
      </c>
      <c r="IR614" s="9"/>
      <c r="IS614" s="9" t="s">
        <v>4816</v>
      </c>
      <c r="IT614" s="9" t="s">
        <v>329</v>
      </c>
      <c r="IU614" s="9" t="s">
        <v>329</v>
      </c>
      <c r="IX614" s="9" t="s">
        <v>4817</v>
      </c>
      <c r="IY614" s="9" t="s">
        <v>507</v>
      </c>
      <c r="IZ614" s="9" t="s">
        <v>350</v>
      </c>
      <c r="JC614" s="9" t="s">
        <v>2697</v>
      </c>
      <c r="JD614" s="9" t="s">
        <v>1303</v>
      </c>
      <c r="JE614" s="9" t="s">
        <v>350</v>
      </c>
      <c r="JV614" s="7" t="s">
        <v>4818</v>
      </c>
      <c r="JX614" s="7" t="s">
        <v>320</v>
      </c>
      <c r="JY614" s="7" t="s">
        <v>354</v>
      </c>
      <c r="JZ614" s="7" t="s">
        <v>322</v>
      </c>
      <c r="KG614" s="4" t="s">
        <v>323</v>
      </c>
      <c r="KM614" s="4" t="s">
        <v>542</v>
      </c>
      <c r="KN614" s="4" t="s">
        <v>542</v>
      </c>
      <c r="KP614" s="5" t="s">
        <v>358</v>
      </c>
      <c r="KQ614" s="5" t="s">
        <v>4819</v>
      </c>
      <c r="KS614" s="5" t="s">
        <v>4820</v>
      </c>
      <c r="KT614" s="5" t="s">
        <v>4821</v>
      </c>
    </row>
    <row r="615" spans="1:306" ht="132" x14ac:dyDescent="0.25">
      <c r="A615" s="14" t="s">
        <v>4837</v>
      </c>
      <c r="B615" s="29" t="s">
        <v>424</v>
      </c>
      <c r="C615" s="30" t="s">
        <v>425</v>
      </c>
      <c r="D615" s="26" t="s">
        <v>426</v>
      </c>
      <c r="E615" s="29">
        <v>335921</v>
      </c>
      <c r="F615" s="29"/>
      <c r="G615" s="29" t="s">
        <v>296</v>
      </c>
      <c r="H615" s="31">
        <v>146.98677000000001</v>
      </c>
      <c r="I615" s="31">
        <v>-41.101599999999998</v>
      </c>
      <c r="J615" s="29" t="s">
        <v>4837</v>
      </c>
      <c r="K615" s="29" t="s">
        <v>298</v>
      </c>
      <c r="L615" s="29" t="s">
        <v>299</v>
      </c>
      <c r="M615" s="29" t="s">
        <v>300</v>
      </c>
      <c r="N615" s="29"/>
      <c r="O615" s="26"/>
      <c r="P615" s="29"/>
      <c r="Q615" s="26"/>
      <c r="R615" s="30"/>
      <c r="S615" s="27"/>
      <c r="T615" s="27"/>
      <c r="U615" s="27"/>
      <c r="V615" s="27"/>
      <c r="W615" s="27"/>
      <c r="X615" s="27"/>
      <c r="Y615" s="26"/>
      <c r="Z615" s="29" t="s">
        <v>424</v>
      </c>
      <c r="AA615" s="30" t="s">
        <v>425</v>
      </c>
      <c r="AB615" s="26" t="s">
        <v>426</v>
      </c>
      <c r="AC615" s="29" t="s">
        <v>301</v>
      </c>
      <c r="AD615" s="29" t="s">
        <v>375</v>
      </c>
      <c r="AE615" s="26">
        <v>390</v>
      </c>
      <c r="AF615" s="30"/>
      <c r="AG615" s="27" t="s">
        <v>379</v>
      </c>
      <c r="AH615" s="27" t="s">
        <v>380</v>
      </c>
      <c r="AI615" s="27"/>
      <c r="AJ615" s="27"/>
      <c r="AK615" s="27"/>
      <c r="AL615" s="27"/>
      <c r="AM615" s="26">
        <v>2</v>
      </c>
      <c r="AN615" s="29" t="s">
        <v>381</v>
      </c>
      <c r="AO615" s="29" t="s">
        <v>382</v>
      </c>
      <c r="AP615" s="29" t="s">
        <v>383</v>
      </c>
      <c r="AQ615" s="30" t="s">
        <v>403</v>
      </c>
      <c r="AR615" s="26" t="s">
        <v>434</v>
      </c>
      <c r="AS615" s="30">
        <v>0</v>
      </c>
      <c r="AT615" s="30">
        <v>0</v>
      </c>
      <c r="AU615" s="27" t="s">
        <v>303</v>
      </c>
      <c r="AV615" s="27" t="s">
        <v>406</v>
      </c>
      <c r="AW615" s="27"/>
      <c r="AX615" s="27"/>
      <c r="AY615" s="27"/>
      <c r="AZ615" s="27"/>
      <c r="BA615" s="26">
        <v>5</v>
      </c>
      <c r="BB615" s="29"/>
      <c r="BC615" s="29"/>
      <c r="BD615" s="29"/>
      <c r="BE615" s="30"/>
      <c r="BF615" s="26"/>
      <c r="BG615" s="27"/>
      <c r="BH615" s="27"/>
      <c r="BI615" s="27"/>
      <c r="BJ615" s="27"/>
      <c r="BK615" s="27"/>
      <c r="BL615" s="27"/>
      <c r="BM615" s="27"/>
      <c r="BN615" s="27"/>
      <c r="BO615" s="26"/>
      <c r="BP615" s="30">
        <f>0.168+0.616</f>
        <v>0.78400000000000003</v>
      </c>
      <c r="BQ615" s="31"/>
      <c r="BR615" s="31"/>
      <c r="BS615" s="31"/>
      <c r="BT615" s="31"/>
      <c r="BU615" s="26"/>
      <c r="BV615" s="30">
        <f>(31*0.168+2.5*0.616)/(0.168+0.616)</f>
        <v>8.6071428571428577</v>
      </c>
      <c r="BW615" s="31"/>
      <c r="BX615" s="31"/>
      <c r="BY615" s="31"/>
      <c r="BZ615" s="31"/>
      <c r="CA615" s="31"/>
      <c r="CB615" s="31"/>
      <c r="CC615" s="31"/>
      <c r="CD615" s="31"/>
      <c r="CE615" s="31"/>
      <c r="CF615" s="31"/>
      <c r="CG615" s="31"/>
      <c r="CH615" s="31"/>
      <c r="CI615" s="31"/>
      <c r="CJ615" s="31"/>
      <c r="CK615" s="31"/>
      <c r="CL615" s="31"/>
      <c r="CM615" s="31"/>
      <c r="CN615" s="31"/>
      <c r="CO615" s="31"/>
      <c r="CP615" s="31"/>
      <c r="CQ615" s="31"/>
      <c r="CR615" s="31"/>
      <c r="CS615" s="31"/>
      <c r="CT615" s="31"/>
      <c r="CU615" s="31"/>
      <c r="CV615" s="31"/>
      <c r="CW615" s="31"/>
      <c r="CX615" s="31"/>
      <c r="CY615" s="31"/>
      <c r="CZ615" s="31"/>
      <c r="DA615" s="31"/>
      <c r="DB615" s="31"/>
      <c r="DC615" s="31"/>
      <c r="DD615" s="31"/>
      <c r="DE615" s="31"/>
      <c r="DF615" s="31"/>
      <c r="DG615" s="31"/>
      <c r="DH615" s="31"/>
      <c r="DI615" s="31"/>
      <c r="DJ615" s="31"/>
      <c r="DK615" s="31"/>
      <c r="DL615" s="31"/>
      <c r="DM615" s="31"/>
      <c r="DN615" s="31"/>
      <c r="DO615" s="31"/>
      <c r="DP615" s="31"/>
      <c r="DQ615" s="31"/>
      <c r="DR615" s="31"/>
      <c r="DS615" s="31"/>
      <c r="DT615" s="31"/>
      <c r="DU615" s="31"/>
      <c r="DV615" s="31"/>
      <c r="DW615" s="31"/>
      <c r="DX615" s="31"/>
      <c r="DY615" s="31"/>
      <c r="DZ615" s="31"/>
      <c r="EA615" s="31"/>
      <c r="EB615" s="31"/>
      <c r="EC615" s="31"/>
      <c r="ED615" s="31"/>
      <c r="EE615" s="31"/>
      <c r="EF615" s="31"/>
      <c r="EG615" s="31"/>
      <c r="EH615" s="32"/>
      <c r="EI615" s="32"/>
      <c r="EJ615" s="32"/>
      <c r="EK615" s="32"/>
      <c r="EL615" s="30">
        <f>BP615*BV615</f>
        <v>6.7480000000000002</v>
      </c>
      <c r="EM615" s="31"/>
      <c r="EN615" s="31"/>
      <c r="EO615" s="31"/>
      <c r="EP615" s="31"/>
      <c r="EQ615" s="31"/>
      <c r="ER615" s="31"/>
      <c r="ES615" s="31"/>
      <c r="ET615" s="31"/>
      <c r="EU615" s="31"/>
      <c r="EV615" s="31"/>
      <c r="EW615" s="31"/>
      <c r="EX615" s="31"/>
      <c r="EY615" s="31"/>
      <c r="EZ615" s="31"/>
      <c r="FA615" s="31"/>
      <c r="FB615" s="31"/>
      <c r="FC615" s="31"/>
      <c r="FD615" s="31"/>
      <c r="FE615" s="31"/>
      <c r="FF615" s="31"/>
      <c r="FG615" s="31"/>
      <c r="FH615" s="31"/>
      <c r="FI615" s="31"/>
      <c r="FJ615" s="31"/>
      <c r="FK615" s="31"/>
      <c r="FL615" s="31"/>
      <c r="FM615" s="31"/>
      <c r="FN615" s="31"/>
      <c r="FO615" s="31"/>
      <c r="FP615" s="31"/>
      <c r="FQ615" s="31"/>
      <c r="FR615" s="31"/>
      <c r="FS615" s="31"/>
      <c r="FT615" s="31"/>
      <c r="FU615" s="31"/>
      <c r="FV615" s="31"/>
      <c r="FW615" s="31"/>
      <c r="FX615" s="31"/>
      <c r="FY615" s="31"/>
      <c r="FZ615" s="31"/>
      <c r="GA615" s="31"/>
      <c r="GB615" s="31"/>
      <c r="GC615" s="31"/>
      <c r="GD615" s="31"/>
      <c r="GE615" s="31"/>
      <c r="GF615" s="31"/>
      <c r="GG615" s="31"/>
      <c r="GH615" s="31"/>
      <c r="GI615" s="31"/>
      <c r="GJ615" s="31"/>
      <c r="GK615" s="31"/>
      <c r="GL615" s="31"/>
      <c r="GM615" s="31"/>
      <c r="GN615" s="31"/>
      <c r="GO615" s="31"/>
      <c r="GP615" s="32"/>
      <c r="GQ615" s="31"/>
      <c r="GR615" s="31"/>
      <c r="GS615" s="31"/>
      <c r="GT615" s="31"/>
      <c r="GU615" s="31"/>
      <c r="GV615" s="31"/>
      <c r="GW615" s="31"/>
      <c r="GX615" s="31"/>
      <c r="GY615" s="31" t="s">
        <v>309</v>
      </c>
      <c r="GZ615" s="31" t="s">
        <v>436</v>
      </c>
      <c r="HA615" s="31"/>
      <c r="HB615" s="31"/>
      <c r="HC615" s="31" t="s">
        <v>437</v>
      </c>
      <c r="HD615" s="26" t="s">
        <v>312</v>
      </c>
      <c r="HE615" s="26">
        <v>36812</v>
      </c>
      <c r="HF615" s="26" t="s">
        <v>313</v>
      </c>
      <c r="HG615" s="27" t="s">
        <v>314</v>
      </c>
      <c r="HH615" s="27" t="s">
        <v>4838</v>
      </c>
      <c r="HI615" s="26">
        <v>17376</v>
      </c>
      <c r="HJ615" s="27" t="s">
        <v>4839</v>
      </c>
      <c r="HK615" s="27" t="s">
        <v>466</v>
      </c>
      <c r="HL615" s="27" t="s">
        <v>4840</v>
      </c>
      <c r="HM615" s="26">
        <v>75366</v>
      </c>
      <c r="HN615" s="27" t="s">
        <v>4841</v>
      </c>
      <c r="HO615" s="27" t="s">
        <v>4842</v>
      </c>
      <c r="HP615" s="27"/>
      <c r="HQ615" s="27"/>
      <c r="HR615" s="27"/>
      <c r="HS615" s="27"/>
      <c r="HT615" s="27"/>
      <c r="HU615" s="27"/>
      <c r="HV615" s="27"/>
      <c r="HW615" s="27"/>
      <c r="HX615" s="27"/>
      <c r="HY615" s="27"/>
      <c r="HZ615" s="27"/>
      <c r="IA615" s="27"/>
      <c r="IB615" s="26"/>
      <c r="IC615" s="26"/>
      <c r="ID615" s="26"/>
      <c r="IE615" s="26"/>
      <c r="IF615" s="26"/>
      <c r="IG615" s="26"/>
      <c r="IH615" s="26"/>
      <c r="II615" s="26"/>
      <c r="IJ615" s="26"/>
      <c r="IK615" s="26"/>
      <c r="IL615" s="27"/>
      <c r="IM615" s="27"/>
      <c r="IN615" s="27"/>
      <c r="IO615" s="27"/>
      <c r="IP615" s="27"/>
      <c r="IQ615" s="27"/>
      <c r="IR615" s="27"/>
      <c r="IS615" s="27"/>
      <c r="IT615" s="27"/>
      <c r="IU615" s="27"/>
      <c r="IV615" s="27"/>
      <c r="IW615" s="27"/>
      <c r="IX615" s="27"/>
      <c r="IY615" s="27"/>
      <c r="IZ615" s="27"/>
      <c r="JA615" s="27"/>
      <c r="JB615" s="27"/>
      <c r="JC615" s="27"/>
      <c r="JD615" s="27"/>
      <c r="JE615" s="27"/>
      <c r="JF615" s="27"/>
      <c r="JG615" s="27"/>
      <c r="JH615" s="27"/>
      <c r="JI615" s="27"/>
      <c r="JJ615" s="27"/>
      <c r="JK615" s="27"/>
      <c r="JL615" s="27"/>
      <c r="JM615" s="27"/>
      <c r="JN615" s="27"/>
      <c r="JO615" s="27"/>
      <c r="JP615" s="27"/>
      <c r="JQ615" s="27"/>
      <c r="JR615" s="27"/>
      <c r="JS615" s="27"/>
      <c r="JT615" s="27"/>
      <c r="JU615" s="30"/>
      <c r="JV615" s="30"/>
      <c r="JW615" s="30"/>
      <c r="JX615" s="30"/>
      <c r="JY615" s="30"/>
      <c r="JZ615" s="30"/>
      <c r="KA615" s="30"/>
      <c r="KB615" s="30"/>
      <c r="KC615" s="30"/>
      <c r="KD615" s="30"/>
      <c r="KE615" s="30"/>
      <c r="KF615" s="30"/>
      <c r="KG615" s="29"/>
      <c r="KH615" s="29"/>
      <c r="KI615" s="29"/>
      <c r="KJ615" s="29"/>
      <c r="KK615" s="29"/>
      <c r="KL615" s="29"/>
      <c r="KM615" s="29"/>
      <c r="KN615" s="29"/>
      <c r="KO615" s="29"/>
      <c r="KP615" s="14" t="s">
        <v>4843</v>
      </c>
      <c r="KQ615" s="14" t="s">
        <v>4844</v>
      </c>
      <c r="KR615" s="14" t="s">
        <v>4624</v>
      </c>
      <c r="KS615" s="14" t="s">
        <v>324</v>
      </c>
      <c r="KT615" s="14" t="s">
        <v>4845</v>
      </c>
    </row>
    <row r="616" spans="1:306" ht="120" x14ac:dyDescent="0.2">
      <c r="A616" s="5" t="s">
        <v>4877</v>
      </c>
      <c r="B616" s="4" t="s">
        <v>424</v>
      </c>
      <c r="C616" s="7" t="s">
        <v>425</v>
      </c>
      <c r="D616" s="8" t="s">
        <v>426</v>
      </c>
      <c r="E616" s="44">
        <v>859615</v>
      </c>
      <c r="F616" s="4">
        <v>435927</v>
      </c>
      <c r="G616" s="4" t="s">
        <v>773</v>
      </c>
      <c r="H616" s="6">
        <v>143.54047815000001</v>
      </c>
      <c r="I616" s="6">
        <v>-37.723718441000003</v>
      </c>
      <c r="J616" s="4" t="s">
        <v>4878</v>
      </c>
      <c r="K616" s="4" t="s">
        <v>298</v>
      </c>
      <c r="L616" s="4" t="s">
        <v>299</v>
      </c>
      <c r="M616" s="4" t="s">
        <v>775</v>
      </c>
      <c r="N616" s="4" t="s">
        <v>776</v>
      </c>
      <c r="Q616" s="8"/>
      <c r="R616" s="8"/>
      <c r="Z616" s="4" t="s">
        <v>424</v>
      </c>
      <c r="AA616" s="7" t="s">
        <v>425</v>
      </c>
      <c r="AB616" s="8" t="s">
        <v>426</v>
      </c>
      <c r="AC616" s="4" t="s">
        <v>301</v>
      </c>
      <c r="AD616" s="4" t="s">
        <v>302</v>
      </c>
      <c r="AE616" s="8">
        <v>368.6</v>
      </c>
      <c r="AF616" s="8">
        <v>3.8</v>
      </c>
      <c r="AG616" s="9" t="s">
        <v>379</v>
      </c>
      <c r="AH616" s="9" t="s">
        <v>429</v>
      </c>
      <c r="AI616" s="9" t="s">
        <v>430</v>
      </c>
      <c r="AJ616" s="9" t="s">
        <v>431</v>
      </c>
      <c r="AK616" s="9" t="s">
        <v>432</v>
      </c>
      <c r="AM616" s="8">
        <v>3</v>
      </c>
      <c r="DZ616" s="31"/>
      <c r="EL616" s="6">
        <v>0.22</v>
      </c>
      <c r="EY616" s="6"/>
      <c r="FA616" s="6"/>
      <c r="GP616" s="32"/>
      <c r="GY616" s="6" t="s">
        <v>309</v>
      </c>
      <c r="GZ616" s="6" t="s">
        <v>436</v>
      </c>
      <c r="HC616" s="6" t="s">
        <v>437</v>
      </c>
      <c r="HD616" s="8" t="s">
        <v>4879</v>
      </c>
      <c r="HE616" s="8">
        <v>23952</v>
      </c>
      <c r="HF616" s="8" t="s">
        <v>4880</v>
      </c>
      <c r="HG616" s="9" t="s">
        <v>4881</v>
      </c>
      <c r="HQ616" s="9"/>
      <c r="HY616" s="9"/>
      <c r="IB616" s="8" t="s">
        <v>4882</v>
      </c>
      <c r="IC616" s="8">
        <v>12560</v>
      </c>
      <c r="ID616" s="8" t="s">
        <v>4883</v>
      </c>
      <c r="IE616" s="8" t="s">
        <v>318</v>
      </c>
      <c r="IF616" s="8" t="s">
        <v>810</v>
      </c>
      <c r="KP616" s="5" t="s">
        <v>4884</v>
      </c>
      <c r="KQ616" s="5" t="s">
        <v>4885</v>
      </c>
      <c r="KR616" s="5" t="s">
        <v>4886</v>
      </c>
      <c r="KS616" s="5" t="s">
        <v>4887</v>
      </c>
      <c r="KT616" s="14" t="s">
        <v>4888</v>
      </c>
    </row>
    <row r="617" spans="1:306" ht="72" x14ac:dyDescent="0.25">
      <c r="A617" s="14" t="s">
        <v>4896</v>
      </c>
      <c r="B617" s="29" t="s">
        <v>424</v>
      </c>
      <c r="C617" s="30" t="s">
        <v>425</v>
      </c>
      <c r="D617" s="26" t="s">
        <v>426</v>
      </c>
      <c r="E617" s="29">
        <v>334731</v>
      </c>
      <c r="F617" s="29"/>
      <c r="G617" s="29" t="s">
        <v>296</v>
      </c>
      <c r="H617" s="31">
        <v>147.32709</v>
      </c>
      <c r="I617" s="31">
        <v>-41.234610000000004</v>
      </c>
      <c r="J617" s="29" t="s">
        <v>4897</v>
      </c>
      <c r="K617" s="29" t="s">
        <v>298</v>
      </c>
      <c r="L617" s="29" t="s">
        <v>299</v>
      </c>
      <c r="M617" s="29" t="s">
        <v>300</v>
      </c>
      <c r="N617" s="29"/>
      <c r="O617" s="26"/>
      <c r="P617" s="29"/>
      <c r="Q617" s="26"/>
      <c r="R617" s="30"/>
      <c r="S617" s="27"/>
      <c r="T617" s="27"/>
      <c r="U617" s="27"/>
      <c r="V617" s="27"/>
      <c r="W617" s="27"/>
      <c r="X617" s="27"/>
      <c r="Y617" s="26"/>
      <c r="Z617" s="29" t="s">
        <v>424</v>
      </c>
      <c r="AA617" s="30" t="s">
        <v>425</v>
      </c>
      <c r="AB617" s="26" t="s">
        <v>426</v>
      </c>
      <c r="AC617" s="29" t="s">
        <v>301</v>
      </c>
      <c r="AD617" s="29" t="s">
        <v>382</v>
      </c>
      <c r="AE617" s="26">
        <v>390</v>
      </c>
      <c r="AF617" s="30"/>
      <c r="AG617" s="27" t="s">
        <v>379</v>
      </c>
      <c r="AH617" s="27" t="s">
        <v>380</v>
      </c>
      <c r="AI617" s="27"/>
      <c r="AJ617" s="27"/>
      <c r="AK617" s="27"/>
      <c r="AL617" s="27"/>
      <c r="AM617" s="26">
        <v>2</v>
      </c>
      <c r="AN617" s="29" t="s">
        <v>381</v>
      </c>
      <c r="AO617" s="29" t="s">
        <v>382</v>
      </c>
      <c r="AP617" s="29" t="s">
        <v>383</v>
      </c>
      <c r="AQ617" s="30" t="s">
        <v>384</v>
      </c>
      <c r="AR617" s="26" t="s">
        <v>433</v>
      </c>
      <c r="AS617" s="30">
        <v>0</v>
      </c>
      <c r="AT617" s="30">
        <v>0</v>
      </c>
      <c r="AU617" s="27" t="s">
        <v>303</v>
      </c>
      <c r="AV617" s="27" t="s">
        <v>406</v>
      </c>
      <c r="AW617" s="27"/>
      <c r="AX617" s="27"/>
      <c r="AY617" s="27"/>
      <c r="AZ617" s="27"/>
      <c r="BA617" s="26">
        <v>5</v>
      </c>
      <c r="BB617" s="29" t="s">
        <v>381</v>
      </c>
      <c r="BC617" s="29" t="s">
        <v>382</v>
      </c>
      <c r="BD617" s="29" t="s">
        <v>383</v>
      </c>
      <c r="BE617" s="30" t="s">
        <v>403</v>
      </c>
      <c r="BF617" s="26" t="s">
        <v>434</v>
      </c>
      <c r="BG617" s="30">
        <v>0</v>
      </c>
      <c r="BH617" s="30">
        <v>0</v>
      </c>
      <c r="BI617" s="27" t="s">
        <v>303</v>
      </c>
      <c r="BJ617" s="27" t="s">
        <v>406</v>
      </c>
      <c r="BK617" s="27"/>
      <c r="BL617" s="27"/>
      <c r="BM617" s="27"/>
      <c r="BN617" s="27"/>
      <c r="BO617" s="26">
        <v>5</v>
      </c>
      <c r="BP617" s="30"/>
      <c r="BQ617" s="31"/>
      <c r="BR617" s="31"/>
      <c r="BS617" s="31"/>
      <c r="BT617" s="31"/>
      <c r="BU617" s="26"/>
      <c r="BV617" s="31"/>
      <c r="BW617" s="31"/>
      <c r="BX617" s="31"/>
      <c r="BY617" s="31"/>
      <c r="BZ617" s="31"/>
      <c r="CA617" s="31"/>
      <c r="CB617" s="31"/>
      <c r="CC617" s="31"/>
      <c r="CD617" s="31"/>
      <c r="CE617" s="31"/>
      <c r="CF617" s="31"/>
      <c r="CG617" s="31"/>
      <c r="CH617" s="31"/>
      <c r="CI617" s="31"/>
      <c r="CJ617" s="31"/>
      <c r="CK617" s="31"/>
      <c r="CL617" s="31"/>
      <c r="CM617" s="31"/>
      <c r="CN617" s="31"/>
      <c r="CO617" s="31"/>
      <c r="CP617" s="31"/>
      <c r="CQ617" s="31"/>
      <c r="CR617" s="31"/>
      <c r="CS617" s="31"/>
      <c r="CT617" s="31"/>
      <c r="CU617" s="31"/>
      <c r="CV617" s="31"/>
      <c r="CW617" s="31"/>
      <c r="CX617" s="31"/>
      <c r="CY617" s="31"/>
      <c r="CZ617" s="31"/>
      <c r="DA617" s="31"/>
      <c r="DB617" s="31"/>
      <c r="DC617" s="31"/>
      <c r="DD617" s="31"/>
      <c r="DE617" s="31"/>
      <c r="DF617" s="31"/>
      <c r="DG617" s="31"/>
      <c r="DH617" s="31"/>
      <c r="DI617" s="31"/>
      <c r="DJ617" s="31"/>
      <c r="DK617" s="31"/>
      <c r="DL617" s="31"/>
      <c r="DM617" s="31"/>
      <c r="DN617" s="31"/>
      <c r="DO617" s="31"/>
      <c r="DP617" s="31"/>
      <c r="DQ617" s="31"/>
      <c r="DR617" s="31"/>
      <c r="DS617" s="31"/>
      <c r="DT617" s="31"/>
      <c r="DU617" s="31"/>
      <c r="DV617" s="31"/>
      <c r="DW617" s="31"/>
      <c r="DX617" s="31"/>
      <c r="DY617" s="31"/>
      <c r="DZ617" s="31"/>
      <c r="EA617" s="31"/>
      <c r="EB617" s="31"/>
      <c r="EC617" s="31"/>
      <c r="ED617" s="31"/>
      <c r="EE617" s="31"/>
      <c r="EF617" s="31"/>
      <c r="EG617" s="31"/>
      <c r="EH617" s="32"/>
      <c r="EI617" s="32"/>
      <c r="EJ617" s="32"/>
      <c r="EK617" s="32"/>
      <c r="EL617" s="26">
        <v>10</v>
      </c>
      <c r="EM617" s="31"/>
      <c r="EN617" s="31"/>
      <c r="EO617" s="31"/>
      <c r="EP617" s="31"/>
      <c r="EQ617" s="31"/>
      <c r="ER617" s="31"/>
      <c r="ES617" s="31"/>
      <c r="ET617" s="31"/>
      <c r="EU617" s="31"/>
      <c r="EV617" s="31"/>
      <c r="EW617" s="31"/>
      <c r="EX617" s="31"/>
      <c r="EY617" s="31"/>
      <c r="EZ617" s="31"/>
      <c r="FA617" s="31"/>
      <c r="FB617" s="31"/>
      <c r="FC617" s="31"/>
      <c r="FD617" s="31"/>
      <c r="FE617" s="31"/>
      <c r="FF617" s="31"/>
      <c r="FG617" s="31"/>
      <c r="FH617" s="31"/>
      <c r="FI617" s="31"/>
      <c r="FJ617" s="31"/>
      <c r="FK617" s="31"/>
      <c r="FL617" s="31"/>
      <c r="FM617" s="31"/>
      <c r="FN617" s="31"/>
      <c r="FO617" s="31"/>
      <c r="FP617" s="31"/>
      <c r="FQ617" s="31"/>
      <c r="FR617" s="31"/>
      <c r="FS617" s="31"/>
      <c r="FT617" s="31"/>
      <c r="FU617" s="31"/>
      <c r="FV617" s="31"/>
      <c r="FW617" s="31"/>
      <c r="FX617" s="31"/>
      <c r="FY617" s="31"/>
      <c r="FZ617" s="31"/>
      <c r="GA617" s="31"/>
      <c r="GB617" s="31"/>
      <c r="GC617" s="31"/>
      <c r="GD617" s="31"/>
      <c r="GE617" s="31"/>
      <c r="GF617" s="31"/>
      <c r="GG617" s="31"/>
      <c r="GH617" s="31"/>
      <c r="GI617" s="31"/>
      <c r="GJ617" s="31"/>
      <c r="GK617" s="31"/>
      <c r="GL617" s="31"/>
      <c r="GM617" s="31"/>
      <c r="GN617" s="31"/>
      <c r="GO617" s="31"/>
      <c r="GP617" s="32"/>
      <c r="GQ617" s="31"/>
      <c r="GR617" s="31"/>
      <c r="GS617" s="31"/>
      <c r="GT617" s="31"/>
      <c r="GU617" s="31"/>
      <c r="GV617" s="31"/>
      <c r="GW617" s="31"/>
      <c r="GX617" s="31"/>
      <c r="GY617" s="31" t="s">
        <v>309</v>
      </c>
      <c r="GZ617" s="31" t="s">
        <v>436</v>
      </c>
      <c r="HA617" s="31"/>
      <c r="HB617" s="31"/>
      <c r="HC617" s="31" t="s">
        <v>437</v>
      </c>
      <c r="HD617" s="26" t="s">
        <v>312</v>
      </c>
      <c r="HE617" s="26">
        <v>36812</v>
      </c>
      <c r="HF617" s="26" t="s">
        <v>313</v>
      </c>
      <c r="HG617" s="27" t="s">
        <v>314</v>
      </c>
      <c r="HH617" s="27"/>
      <c r="HI617" s="26"/>
      <c r="HJ617" s="27"/>
      <c r="HK617" s="27"/>
      <c r="HL617" s="27"/>
      <c r="HM617" s="26"/>
      <c r="HN617" s="27"/>
      <c r="HO617" s="27"/>
      <c r="HP617" s="27"/>
      <c r="HQ617" s="27"/>
      <c r="HR617" s="27"/>
      <c r="HS617" s="27"/>
      <c r="HT617" s="27"/>
      <c r="HU617" s="27"/>
      <c r="HV617" s="27"/>
      <c r="HW617" s="27"/>
      <c r="HX617" s="27"/>
      <c r="HY617" s="27"/>
      <c r="HZ617" s="27"/>
      <c r="IA617" s="27"/>
      <c r="IB617" s="26"/>
      <c r="IC617" s="26"/>
      <c r="ID617" s="26"/>
      <c r="IE617" s="26"/>
      <c r="IF617" s="26"/>
      <c r="IG617" s="26"/>
      <c r="IH617" s="26"/>
      <c r="II617" s="26"/>
      <c r="IJ617" s="26"/>
      <c r="IK617" s="26"/>
      <c r="IL617" s="27"/>
      <c r="IM617" s="27"/>
      <c r="IN617" s="27"/>
      <c r="IO617" s="27"/>
      <c r="IP617" s="27"/>
      <c r="IQ617" s="27"/>
      <c r="IR617" s="27"/>
      <c r="IS617" s="27"/>
      <c r="IT617" s="27"/>
      <c r="IU617" s="27"/>
      <c r="IV617" s="27"/>
      <c r="IW617" s="27"/>
      <c r="IX617" s="27"/>
      <c r="IY617" s="27"/>
      <c r="IZ617" s="27"/>
      <c r="JA617" s="27"/>
      <c r="JB617" s="27"/>
      <c r="JC617" s="27"/>
      <c r="JD617" s="27"/>
      <c r="JE617" s="27"/>
      <c r="JF617" s="27"/>
      <c r="JG617" s="27"/>
      <c r="JH617" s="27"/>
      <c r="JI617" s="27"/>
      <c r="JJ617" s="27"/>
      <c r="JK617" s="27"/>
      <c r="JL617" s="27"/>
      <c r="JM617" s="27"/>
      <c r="JN617" s="27"/>
      <c r="JO617" s="27"/>
      <c r="JP617" s="27"/>
      <c r="JQ617" s="27"/>
      <c r="JR617" s="27"/>
      <c r="JS617" s="27"/>
      <c r="JT617" s="27"/>
      <c r="JU617" s="30"/>
      <c r="JV617" s="30"/>
      <c r="JW617" s="30"/>
      <c r="JX617" s="30" t="s">
        <v>320</v>
      </c>
      <c r="JY617" s="30"/>
      <c r="JZ617" s="30"/>
      <c r="KA617" s="30"/>
      <c r="KB617" s="30"/>
      <c r="KC617" s="30"/>
      <c r="KD617" s="30"/>
      <c r="KE617" s="30"/>
      <c r="KF617" s="30"/>
      <c r="KG617" s="29" t="s">
        <v>323</v>
      </c>
      <c r="KH617" s="29"/>
      <c r="KI617" s="29"/>
      <c r="KJ617" s="29"/>
      <c r="KK617" s="29"/>
      <c r="KL617" s="29"/>
      <c r="KM617" s="29"/>
      <c r="KN617" s="29"/>
      <c r="KO617" s="29"/>
      <c r="KP617" s="14" t="s">
        <v>4898</v>
      </c>
      <c r="KQ617" s="14" t="s">
        <v>4844</v>
      </c>
      <c r="KR617" s="14" t="s">
        <v>4624</v>
      </c>
      <c r="KS617" s="14" t="s">
        <v>4899</v>
      </c>
      <c r="KT617" s="14" t="s">
        <v>4900</v>
      </c>
    </row>
    <row r="618" spans="1:306" ht="120" x14ac:dyDescent="0.25">
      <c r="A618" s="5" t="s">
        <v>4904</v>
      </c>
      <c r="B618" s="4" t="s">
        <v>424</v>
      </c>
      <c r="C618" s="7" t="s">
        <v>425</v>
      </c>
      <c r="D618" s="8" t="s">
        <v>426</v>
      </c>
      <c r="E618" s="4">
        <v>334281</v>
      </c>
      <c r="G618" s="4" t="s">
        <v>427</v>
      </c>
      <c r="H618" s="6">
        <v>149.16489999999999</v>
      </c>
      <c r="I618" s="6">
        <v>-33.347299999999997</v>
      </c>
      <c r="J618" s="4" t="s">
        <v>4904</v>
      </c>
      <c r="K618" s="4" t="s">
        <v>298</v>
      </c>
      <c r="L618" s="4" t="s">
        <v>299</v>
      </c>
      <c r="M618" s="4" t="s">
        <v>1359</v>
      </c>
      <c r="N618" s="4" t="s">
        <v>1545</v>
      </c>
      <c r="Q618" s="8"/>
      <c r="R618" s="7"/>
      <c r="Z618" s="4" t="s">
        <v>424</v>
      </c>
      <c r="AA618" s="7" t="s">
        <v>425</v>
      </c>
      <c r="AB618" s="8" t="s">
        <v>426</v>
      </c>
      <c r="AC618" s="4" t="s">
        <v>301</v>
      </c>
      <c r="AD618" s="4" t="s">
        <v>375</v>
      </c>
      <c r="AE618" s="8">
        <v>343</v>
      </c>
      <c r="AF618" s="7"/>
      <c r="AG618" s="9" t="s">
        <v>379</v>
      </c>
      <c r="AH618" s="9" t="s">
        <v>380</v>
      </c>
      <c r="AM618" s="8">
        <v>2</v>
      </c>
      <c r="AN618" s="4" t="s">
        <v>381</v>
      </c>
      <c r="AO618" s="4" t="s">
        <v>402</v>
      </c>
      <c r="AP618" s="4" t="s">
        <v>383</v>
      </c>
      <c r="AQ618" s="7" t="s">
        <v>403</v>
      </c>
      <c r="AR618" s="8" t="s">
        <v>434</v>
      </c>
      <c r="AS618" s="7">
        <v>0</v>
      </c>
      <c r="AT618" s="7">
        <v>0</v>
      </c>
      <c r="AU618" s="9" t="s">
        <v>303</v>
      </c>
      <c r="AV618" s="9" t="s">
        <v>406</v>
      </c>
      <c r="BA618" s="8">
        <v>5</v>
      </c>
      <c r="DZ618" s="31"/>
      <c r="EL618" s="6">
        <v>15.71</v>
      </c>
      <c r="GP618" s="32"/>
      <c r="GY618" s="6" t="s">
        <v>309</v>
      </c>
      <c r="GZ618" s="6" t="s">
        <v>436</v>
      </c>
      <c r="HC618" s="6" t="s">
        <v>437</v>
      </c>
      <c r="HD618" s="8" t="s">
        <v>1546</v>
      </c>
      <c r="HE618" s="8">
        <v>14461</v>
      </c>
      <c r="HF618" s="8" t="s">
        <v>1547</v>
      </c>
      <c r="HG618" s="9" t="s">
        <v>1548</v>
      </c>
      <c r="IB618" s="8" t="s">
        <v>1546</v>
      </c>
      <c r="IC618" s="8">
        <v>14461</v>
      </c>
      <c r="ID618" s="8" t="s">
        <v>1549</v>
      </c>
      <c r="IE618" s="9" t="s">
        <v>1550</v>
      </c>
      <c r="IF618" s="9" t="s">
        <v>445</v>
      </c>
      <c r="IH618" s="9"/>
      <c r="II618" s="9"/>
      <c r="IJ618" s="9"/>
      <c r="IM618" s="9"/>
      <c r="IW618" s="8"/>
      <c r="JB618" s="8"/>
      <c r="JX618" s="7" t="s">
        <v>320</v>
      </c>
      <c r="JY618" s="7" t="s">
        <v>470</v>
      </c>
      <c r="JZ618" s="7" t="s">
        <v>322</v>
      </c>
      <c r="KP618" s="5" t="s">
        <v>358</v>
      </c>
      <c r="KQ618" s="5" t="s">
        <v>1552</v>
      </c>
      <c r="KS618" s="5" t="s">
        <v>1552</v>
      </c>
      <c r="KT618" s="5" t="s">
        <v>1553</v>
      </c>
    </row>
    <row r="619" spans="1:306" ht="84" x14ac:dyDescent="0.25">
      <c r="A619" s="5" t="s">
        <v>4960</v>
      </c>
      <c r="B619" s="4" t="s">
        <v>424</v>
      </c>
      <c r="C619" s="7" t="s">
        <v>425</v>
      </c>
      <c r="D619" s="8" t="s">
        <v>426</v>
      </c>
      <c r="E619" s="4">
        <v>334737</v>
      </c>
      <c r="G619" s="4" t="s">
        <v>773</v>
      </c>
      <c r="H619" s="6">
        <v>144.08707000000001</v>
      </c>
      <c r="I619" s="6">
        <v>-37.018999999999998</v>
      </c>
      <c r="J619" s="4" t="s">
        <v>4961</v>
      </c>
      <c r="K619" s="4" t="s">
        <v>298</v>
      </c>
      <c r="L619" s="4" t="s">
        <v>299</v>
      </c>
      <c r="M619" s="4" t="s">
        <v>775</v>
      </c>
      <c r="N619" s="4" t="s">
        <v>1093</v>
      </c>
      <c r="Q619" s="8"/>
      <c r="R619" s="8"/>
      <c r="Z619" s="4" t="s">
        <v>424</v>
      </c>
      <c r="AA619" s="7" t="s">
        <v>425</v>
      </c>
      <c r="AB619" s="8" t="s">
        <v>426</v>
      </c>
      <c r="AC619" s="4" t="s">
        <v>301</v>
      </c>
      <c r="AD619" s="4" t="s">
        <v>375</v>
      </c>
      <c r="AE619" s="8">
        <v>373</v>
      </c>
      <c r="AF619" s="8">
        <v>4</v>
      </c>
      <c r="AG619" s="9" t="s">
        <v>379</v>
      </c>
      <c r="AH619" s="9" t="s">
        <v>429</v>
      </c>
      <c r="AI619" s="9" t="s">
        <v>653</v>
      </c>
      <c r="AJ619" s="9" t="s">
        <v>431</v>
      </c>
      <c r="AK619" s="9" t="s">
        <v>432</v>
      </c>
      <c r="AM619" s="8">
        <v>3</v>
      </c>
      <c r="AN619" s="4" t="s">
        <v>381</v>
      </c>
      <c r="AO619" s="4" t="s">
        <v>382</v>
      </c>
      <c r="AP619" s="4" t="s">
        <v>383</v>
      </c>
      <c r="AQ619" s="7" t="s">
        <v>403</v>
      </c>
      <c r="AR619" s="8" t="s">
        <v>434</v>
      </c>
      <c r="AS619" s="7">
        <v>0</v>
      </c>
      <c r="AT619" s="7">
        <v>0</v>
      </c>
      <c r="AU619" s="9" t="s">
        <v>303</v>
      </c>
      <c r="AV619" s="9" t="s">
        <v>406</v>
      </c>
      <c r="BA619" s="8">
        <v>5</v>
      </c>
      <c r="BE619" s="4"/>
      <c r="BF619" s="4"/>
      <c r="BG619" s="4"/>
      <c r="BH619" s="4"/>
      <c r="BI619" s="4"/>
      <c r="BJ619" s="4"/>
      <c r="BK619" s="4"/>
      <c r="BL619" s="4"/>
      <c r="BM619" s="4"/>
      <c r="BN619" s="4"/>
      <c r="BO619" s="4"/>
      <c r="BQ619" s="7"/>
      <c r="BR619" s="7"/>
      <c r="BS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c r="CW619" s="7"/>
      <c r="CX619" s="7"/>
      <c r="CY619" s="7"/>
      <c r="CZ619" s="7"/>
      <c r="DA619" s="7"/>
      <c r="DB619" s="7"/>
      <c r="DC619" s="7"/>
      <c r="DD619" s="7"/>
      <c r="DE619" s="7"/>
      <c r="DF619" s="7"/>
      <c r="DG619" s="7"/>
      <c r="DH619" s="7"/>
      <c r="DI619" s="7"/>
      <c r="DJ619" s="7"/>
      <c r="DK619" s="7"/>
      <c r="DL619" s="7"/>
      <c r="DM619" s="7"/>
      <c r="DN619" s="7"/>
      <c r="DO619" s="7"/>
      <c r="DP619" s="7"/>
      <c r="DQ619" s="7"/>
      <c r="DR619" s="7"/>
      <c r="DS619" s="7"/>
      <c r="DT619" s="7"/>
      <c r="DU619" s="7"/>
      <c r="DV619" s="7"/>
      <c r="DW619" s="7"/>
      <c r="DX619" s="7"/>
      <c r="DY619" s="7"/>
      <c r="DZ619" s="31"/>
      <c r="EA619" s="7"/>
      <c r="EB619" s="7"/>
      <c r="EC619" s="7"/>
      <c r="ED619" s="7"/>
      <c r="EE619" s="7"/>
      <c r="EF619" s="7"/>
      <c r="EG619" s="7"/>
      <c r="EL619" s="8">
        <v>65</v>
      </c>
      <c r="EY619" s="6"/>
      <c r="FA619" s="6"/>
      <c r="GP619" s="32"/>
      <c r="GY619" s="6" t="s">
        <v>309</v>
      </c>
      <c r="GZ619" s="6" t="s">
        <v>436</v>
      </c>
      <c r="HC619" s="6" t="s">
        <v>437</v>
      </c>
      <c r="HD619" s="4" t="s">
        <v>1095</v>
      </c>
      <c r="HE619" s="4">
        <v>36202</v>
      </c>
      <c r="HF619" s="4" t="s">
        <v>1096</v>
      </c>
      <c r="HG619" s="9" t="s">
        <v>466</v>
      </c>
      <c r="HQ619" s="9"/>
      <c r="HY619" s="9"/>
      <c r="IB619" s="8" t="s">
        <v>2050</v>
      </c>
      <c r="IC619" s="8">
        <v>8069</v>
      </c>
      <c r="ID619" s="8" t="s">
        <v>2051</v>
      </c>
      <c r="IE619" s="8" t="s">
        <v>318</v>
      </c>
      <c r="IF619" s="8" t="s">
        <v>319</v>
      </c>
      <c r="II619" s="8" t="s">
        <v>1174</v>
      </c>
      <c r="IK619" s="8" t="s">
        <v>329</v>
      </c>
      <c r="IN619" s="9" t="s">
        <v>4962</v>
      </c>
      <c r="IP619" s="9" t="s">
        <v>350</v>
      </c>
      <c r="IS619" s="9" t="s">
        <v>2946</v>
      </c>
      <c r="IU619" s="9" t="s">
        <v>350</v>
      </c>
      <c r="JV619" s="7" t="s">
        <v>4963</v>
      </c>
      <c r="JX619" s="7" t="s">
        <v>320</v>
      </c>
      <c r="JY619" s="7" t="s">
        <v>354</v>
      </c>
      <c r="JZ619" s="7" t="s">
        <v>738</v>
      </c>
      <c r="KG619" s="4" t="s">
        <v>323</v>
      </c>
      <c r="KM619" s="4" t="s">
        <v>391</v>
      </c>
      <c r="KN619" s="4" t="s">
        <v>391</v>
      </c>
      <c r="KP619" s="18" t="s">
        <v>4964</v>
      </c>
      <c r="KQ619" s="5" t="s">
        <v>4965</v>
      </c>
      <c r="KR619" s="5" t="s">
        <v>4966</v>
      </c>
      <c r="KS619" s="5" t="s">
        <v>786</v>
      </c>
      <c r="KT619" s="5" t="s">
        <v>4967</v>
      </c>
    </row>
    <row r="620" spans="1:306" ht="60" x14ac:dyDescent="0.2">
      <c r="A620" s="14" t="s">
        <v>4986</v>
      </c>
      <c r="B620" s="29" t="s">
        <v>424</v>
      </c>
      <c r="C620" s="30" t="s">
        <v>425</v>
      </c>
      <c r="D620" s="26" t="s">
        <v>426</v>
      </c>
      <c r="E620" s="44">
        <v>859617</v>
      </c>
      <c r="F620" s="29">
        <v>724110</v>
      </c>
      <c r="G620" s="29" t="s">
        <v>296</v>
      </c>
      <c r="H620" s="31">
        <v>147.88480999999999</v>
      </c>
      <c r="I620" s="31">
        <v>-41.607970000000002</v>
      </c>
      <c r="J620" s="29" t="s">
        <v>4987</v>
      </c>
      <c r="K620" s="29" t="s">
        <v>298</v>
      </c>
      <c r="L620" s="29" t="s">
        <v>299</v>
      </c>
      <c r="M620" s="29" t="s">
        <v>300</v>
      </c>
      <c r="N620" s="29"/>
      <c r="O620" s="26"/>
      <c r="P620" s="29"/>
      <c r="Q620" s="30"/>
      <c r="R620" s="30"/>
      <c r="S620" s="27"/>
      <c r="T620" s="27"/>
      <c r="U620" s="27"/>
      <c r="V620" s="27"/>
      <c r="W620" s="27"/>
      <c r="X620" s="27"/>
      <c r="Y620" s="26"/>
      <c r="Z620" s="29" t="s">
        <v>424</v>
      </c>
      <c r="AA620" s="30" t="s">
        <v>425</v>
      </c>
      <c r="AB620" s="26" t="s">
        <v>426</v>
      </c>
      <c r="AC620" s="29" t="s">
        <v>301</v>
      </c>
      <c r="AD620" s="29" t="s">
        <v>382</v>
      </c>
      <c r="AE620" s="30">
        <v>394.6</v>
      </c>
      <c r="AF620" s="30">
        <v>4.2</v>
      </c>
      <c r="AG620" s="27" t="s">
        <v>379</v>
      </c>
      <c r="AH620" s="27" t="s">
        <v>429</v>
      </c>
      <c r="AI620" s="27" t="s">
        <v>430</v>
      </c>
      <c r="AJ620" s="27" t="s">
        <v>431</v>
      </c>
      <c r="AK620" s="27" t="s">
        <v>432</v>
      </c>
      <c r="AL620" s="27"/>
      <c r="AM620" s="26">
        <v>4</v>
      </c>
      <c r="AN620" s="29" t="s">
        <v>381</v>
      </c>
      <c r="AO620" s="29" t="s">
        <v>382</v>
      </c>
      <c r="AP620" s="29" t="s">
        <v>383</v>
      </c>
      <c r="AQ620" s="30" t="s">
        <v>403</v>
      </c>
      <c r="AR620" s="26" t="s">
        <v>434</v>
      </c>
      <c r="AS620" s="30">
        <v>0</v>
      </c>
      <c r="AT620" s="30">
        <v>0</v>
      </c>
      <c r="AU620" s="27" t="s">
        <v>303</v>
      </c>
      <c r="AV620" s="27" t="s">
        <v>406</v>
      </c>
      <c r="AW620" s="27"/>
      <c r="AX620" s="27"/>
      <c r="AY620" s="27"/>
      <c r="AZ620" s="27"/>
      <c r="BA620" s="26">
        <v>5</v>
      </c>
      <c r="BB620" s="29"/>
      <c r="BC620" s="29"/>
      <c r="BD620" s="29"/>
      <c r="BE620" s="30"/>
      <c r="BF620" s="26"/>
      <c r="BG620" s="27"/>
      <c r="BH620" s="27"/>
      <c r="BI620" s="27"/>
      <c r="BJ620" s="27"/>
      <c r="BK620" s="27"/>
      <c r="BL620" s="27"/>
      <c r="BM620" s="27"/>
      <c r="BN620" s="27"/>
      <c r="BO620" s="26"/>
      <c r="BP620" s="30"/>
      <c r="BQ620" s="31"/>
      <c r="BR620" s="31"/>
      <c r="BS620" s="31"/>
      <c r="BT620" s="31"/>
      <c r="BU620" s="26"/>
      <c r="BV620" s="31"/>
      <c r="BW620" s="31"/>
      <c r="BX620" s="31"/>
      <c r="BY620" s="31"/>
      <c r="BZ620" s="31"/>
      <c r="CA620" s="31"/>
      <c r="CB620" s="31"/>
      <c r="CC620" s="31"/>
      <c r="CD620" s="31"/>
      <c r="CE620" s="31"/>
      <c r="CF620" s="31"/>
      <c r="CG620" s="31"/>
      <c r="CH620" s="31"/>
      <c r="CI620" s="31"/>
      <c r="CJ620" s="31"/>
      <c r="CK620" s="31"/>
      <c r="CL620" s="31"/>
      <c r="CM620" s="31"/>
      <c r="CN620" s="31"/>
      <c r="CO620" s="31"/>
      <c r="CP620" s="31"/>
      <c r="CQ620" s="31"/>
      <c r="CR620" s="31"/>
      <c r="CS620" s="31"/>
      <c r="CT620" s="31"/>
      <c r="CU620" s="31"/>
      <c r="CV620" s="31"/>
      <c r="CW620" s="31"/>
      <c r="CX620" s="31"/>
      <c r="CY620" s="31"/>
      <c r="CZ620" s="31"/>
      <c r="DA620" s="31"/>
      <c r="DB620" s="31"/>
      <c r="DC620" s="31"/>
      <c r="DD620" s="31"/>
      <c r="DE620" s="31"/>
      <c r="DF620" s="31"/>
      <c r="DG620" s="31"/>
      <c r="DH620" s="31"/>
      <c r="DI620" s="31"/>
      <c r="DJ620" s="31"/>
      <c r="DK620" s="31"/>
      <c r="DL620" s="31"/>
      <c r="DM620" s="31"/>
      <c r="DN620" s="31"/>
      <c r="DO620" s="31"/>
      <c r="DP620" s="31"/>
      <c r="DQ620" s="31"/>
      <c r="DR620" s="31"/>
      <c r="DS620" s="31"/>
      <c r="DT620" s="31"/>
      <c r="DU620" s="31"/>
      <c r="DV620" s="31"/>
      <c r="DW620" s="31"/>
      <c r="DX620" s="31"/>
      <c r="DY620" s="31"/>
      <c r="DZ620" s="31"/>
      <c r="EA620" s="31"/>
      <c r="EB620" s="31"/>
      <c r="EC620" s="31"/>
      <c r="ED620" s="31"/>
      <c r="EE620" s="31"/>
      <c r="EF620" s="31"/>
      <c r="EG620" s="31"/>
      <c r="EH620" s="32"/>
      <c r="EI620" s="32"/>
      <c r="EJ620" s="32"/>
      <c r="EK620" s="32"/>
      <c r="EL620" s="30">
        <v>0.5</v>
      </c>
      <c r="EM620" s="31"/>
      <c r="EN620" s="31"/>
      <c r="EO620" s="31"/>
      <c r="EP620" s="31"/>
      <c r="EQ620" s="31"/>
      <c r="ER620" s="31"/>
      <c r="ES620" s="31"/>
      <c r="ET620" s="31"/>
      <c r="EU620" s="31"/>
      <c r="EV620" s="31"/>
      <c r="EW620" s="31"/>
      <c r="EX620" s="31"/>
      <c r="EY620" s="31"/>
      <c r="EZ620" s="31"/>
      <c r="FA620" s="31"/>
      <c r="FB620" s="31"/>
      <c r="FC620" s="31"/>
      <c r="FD620" s="31"/>
      <c r="FE620" s="31"/>
      <c r="FF620" s="31"/>
      <c r="FG620" s="31"/>
      <c r="FH620" s="31"/>
      <c r="FI620" s="31"/>
      <c r="FJ620" s="31"/>
      <c r="FK620" s="31"/>
      <c r="FL620" s="31"/>
      <c r="FM620" s="31"/>
      <c r="FN620" s="31"/>
      <c r="FO620" s="31"/>
      <c r="FP620" s="31"/>
      <c r="FQ620" s="31"/>
      <c r="FR620" s="31"/>
      <c r="FS620" s="31"/>
      <c r="FT620" s="31"/>
      <c r="FU620" s="31"/>
      <c r="FV620" s="31"/>
      <c r="FW620" s="31"/>
      <c r="FX620" s="31"/>
      <c r="FY620" s="31"/>
      <c r="FZ620" s="31"/>
      <c r="GA620" s="31"/>
      <c r="GB620" s="31"/>
      <c r="GC620" s="31"/>
      <c r="GD620" s="31"/>
      <c r="GE620" s="31"/>
      <c r="GF620" s="31"/>
      <c r="GG620" s="31"/>
      <c r="GH620" s="31"/>
      <c r="GI620" s="31"/>
      <c r="GJ620" s="31"/>
      <c r="GK620" s="31"/>
      <c r="GL620" s="31"/>
      <c r="GM620" s="31"/>
      <c r="GN620" s="31"/>
      <c r="GO620" s="31"/>
      <c r="GP620" s="32"/>
      <c r="GQ620" s="31"/>
      <c r="GR620" s="31"/>
      <c r="GS620" s="31"/>
      <c r="GT620" s="31"/>
      <c r="GU620" s="31"/>
      <c r="GV620" s="31"/>
      <c r="GW620" s="31"/>
      <c r="GX620" s="31"/>
      <c r="GY620" s="31" t="s">
        <v>309</v>
      </c>
      <c r="GZ620" s="31" t="s">
        <v>436</v>
      </c>
      <c r="HA620" s="31"/>
      <c r="HB620" s="31"/>
      <c r="HC620" s="31" t="s">
        <v>437</v>
      </c>
      <c r="HD620" s="26" t="s">
        <v>312</v>
      </c>
      <c r="HE620" s="26">
        <v>36812</v>
      </c>
      <c r="HF620" s="26" t="s">
        <v>313</v>
      </c>
      <c r="HG620" s="27" t="s">
        <v>314</v>
      </c>
      <c r="HH620" s="27"/>
      <c r="HI620" s="26"/>
      <c r="HJ620" s="27"/>
      <c r="HK620" s="27"/>
      <c r="HL620" s="27"/>
      <c r="HM620" s="26"/>
      <c r="HN620" s="27"/>
      <c r="HO620" s="27"/>
      <c r="HP620" s="27"/>
      <c r="HQ620" s="27"/>
      <c r="HR620" s="27"/>
      <c r="HS620" s="27"/>
      <c r="HT620" s="27"/>
      <c r="HU620" s="27"/>
      <c r="HV620" s="27"/>
      <c r="HW620" s="27"/>
      <c r="HX620" s="27"/>
      <c r="HY620" s="27"/>
      <c r="HZ620" s="27"/>
      <c r="IA620" s="27"/>
      <c r="IB620" s="26"/>
      <c r="IC620" s="26"/>
      <c r="ID620" s="26"/>
      <c r="IE620" s="26"/>
      <c r="IF620" s="26"/>
      <c r="IG620" s="26"/>
      <c r="IH620" s="26"/>
      <c r="II620" s="26"/>
      <c r="IJ620" s="26"/>
      <c r="IK620" s="26"/>
      <c r="IL620" s="27"/>
      <c r="IM620" s="27"/>
      <c r="IN620" s="27"/>
      <c r="IO620" s="27"/>
      <c r="IP620" s="27"/>
      <c r="IQ620" s="27"/>
      <c r="IR620" s="27"/>
      <c r="IS620" s="27"/>
      <c r="IT620" s="27"/>
      <c r="IU620" s="27"/>
      <c r="IV620" s="27"/>
      <c r="IW620" s="27"/>
      <c r="IX620" s="27"/>
      <c r="IY620" s="27"/>
      <c r="IZ620" s="27"/>
      <c r="JA620" s="27"/>
      <c r="JB620" s="27"/>
      <c r="JC620" s="27"/>
      <c r="JD620" s="27"/>
      <c r="JE620" s="27"/>
      <c r="JF620" s="27"/>
      <c r="JG620" s="27"/>
      <c r="JH620" s="27"/>
      <c r="JI620" s="27"/>
      <c r="JJ620" s="27"/>
      <c r="JK620" s="27"/>
      <c r="JL620" s="27"/>
      <c r="JM620" s="27"/>
      <c r="JN620" s="27"/>
      <c r="JO620" s="27"/>
      <c r="JP620" s="27"/>
      <c r="JQ620" s="27"/>
      <c r="JR620" s="27"/>
      <c r="JS620" s="27"/>
      <c r="JT620" s="27"/>
      <c r="JU620" s="30"/>
      <c r="JV620" s="30" t="s">
        <v>2718</v>
      </c>
      <c r="JW620" s="30"/>
      <c r="JX620" s="30" t="s">
        <v>320</v>
      </c>
      <c r="JY620" s="30"/>
      <c r="JZ620" s="30"/>
      <c r="KA620" s="30"/>
      <c r="KB620" s="30"/>
      <c r="KC620" s="30"/>
      <c r="KD620" s="30"/>
      <c r="KE620" s="30"/>
      <c r="KF620" s="30"/>
      <c r="KG620" s="29" t="s">
        <v>323</v>
      </c>
      <c r="KH620" s="29"/>
      <c r="KI620" s="29"/>
      <c r="KJ620" s="29"/>
      <c r="KK620" s="29"/>
      <c r="KL620" s="29"/>
      <c r="KM620" s="29"/>
      <c r="KN620" s="29"/>
      <c r="KO620" s="29"/>
      <c r="KP620" s="14" t="s">
        <v>4988</v>
      </c>
      <c r="KQ620" s="14" t="s">
        <v>4844</v>
      </c>
      <c r="KR620" s="14" t="s">
        <v>4624</v>
      </c>
      <c r="KS620" s="14" t="s">
        <v>4989</v>
      </c>
      <c r="KT620" s="14" t="s">
        <v>4990</v>
      </c>
    </row>
    <row r="621" spans="1:306" ht="48" x14ac:dyDescent="0.25">
      <c r="A621" s="5" t="s">
        <v>5046</v>
      </c>
      <c r="B621" s="4" t="s">
        <v>424</v>
      </c>
      <c r="C621" s="7" t="s">
        <v>425</v>
      </c>
      <c r="D621" s="8" t="s">
        <v>426</v>
      </c>
      <c r="E621" s="4">
        <v>333871</v>
      </c>
      <c r="G621" s="4" t="s">
        <v>330</v>
      </c>
      <c r="H621" s="6">
        <v>119.4926</v>
      </c>
      <c r="I621" s="6">
        <v>-31.464600000000001</v>
      </c>
      <c r="J621" s="4" t="s">
        <v>1811</v>
      </c>
      <c r="K621" s="4" t="s">
        <v>331</v>
      </c>
      <c r="L621" s="4" t="s">
        <v>500</v>
      </c>
      <c r="M621" s="4" t="s">
        <v>676</v>
      </c>
      <c r="N621" s="4" t="s">
        <v>1811</v>
      </c>
      <c r="Q621" s="8"/>
      <c r="Z621" s="4" t="s">
        <v>424</v>
      </c>
      <c r="AA621" s="7" t="s">
        <v>425</v>
      </c>
      <c r="AB621" s="8" t="s">
        <v>426</v>
      </c>
      <c r="AC621" s="4" t="s">
        <v>301</v>
      </c>
      <c r="AD621" s="4" t="s">
        <v>375</v>
      </c>
      <c r="AE621" s="8">
        <v>2636</v>
      </c>
      <c r="AG621" s="9" t="s">
        <v>379</v>
      </c>
      <c r="AH621" s="9" t="s">
        <v>1156</v>
      </c>
      <c r="AM621" s="8">
        <v>2</v>
      </c>
      <c r="AN621" s="4" t="s">
        <v>381</v>
      </c>
      <c r="AO621" s="4" t="s">
        <v>382</v>
      </c>
      <c r="AP621" s="4" t="s">
        <v>383</v>
      </c>
      <c r="AQ621" s="7" t="s">
        <v>384</v>
      </c>
      <c r="AR621" s="7" t="s">
        <v>433</v>
      </c>
      <c r="AS621" s="7">
        <v>0</v>
      </c>
      <c r="AT621" s="7">
        <v>0</v>
      </c>
      <c r="AU621" s="4" t="s">
        <v>303</v>
      </c>
      <c r="AV621" s="4" t="s">
        <v>406</v>
      </c>
      <c r="AW621" s="4"/>
      <c r="AX621" s="4"/>
      <c r="AY621" s="4"/>
      <c r="AZ621" s="4"/>
      <c r="BA621" s="8">
        <v>5</v>
      </c>
      <c r="BG621" s="8"/>
      <c r="BQ621" s="7"/>
      <c r="DZ621" s="31"/>
      <c r="EL621" s="8">
        <v>63.12</v>
      </c>
      <c r="GP621" s="32"/>
      <c r="GY621" s="6" t="s">
        <v>338</v>
      </c>
      <c r="GZ621" s="6" t="s">
        <v>436</v>
      </c>
      <c r="HC621" s="6" t="s">
        <v>437</v>
      </c>
      <c r="HD621" s="8" t="s">
        <v>5047</v>
      </c>
      <c r="HE621" s="8">
        <v>23744</v>
      </c>
      <c r="HF621" s="8" t="s">
        <v>5048</v>
      </c>
      <c r="HG621" s="9" t="s">
        <v>507</v>
      </c>
      <c r="IB621" s="8" t="s">
        <v>5047</v>
      </c>
      <c r="IC621" s="8">
        <v>23744</v>
      </c>
      <c r="ID621" s="8" t="s">
        <v>960</v>
      </c>
      <c r="IE621" s="9" t="s">
        <v>507</v>
      </c>
      <c r="IF621" s="9" t="s">
        <v>445</v>
      </c>
      <c r="IG621" s="8" t="s">
        <v>5049</v>
      </c>
      <c r="II621" s="8" t="s">
        <v>5050</v>
      </c>
      <c r="IJ621" s="8" t="s">
        <v>507</v>
      </c>
      <c r="IN621" s="9" t="s">
        <v>658</v>
      </c>
      <c r="IO621" s="9" t="s">
        <v>1303</v>
      </c>
      <c r="IP621" s="9" t="s">
        <v>350</v>
      </c>
      <c r="IR621" s="9"/>
      <c r="JV621" s="7" t="s">
        <v>5051</v>
      </c>
      <c r="JW621" s="7" t="s">
        <v>910</v>
      </c>
      <c r="JX621" s="7" t="s">
        <v>320</v>
      </c>
      <c r="JY621" s="7" t="s">
        <v>470</v>
      </c>
      <c r="JZ621" s="7" t="s">
        <v>322</v>
      </c>
      <c r="KG621" s="4" t="s">
        <v>323</v>
      </c>
      <c r="KM621" s="4" t="s">
        <v>702</v>
      </c>
      <c r="KN621" s="4" t="s">
        <v>702</v>
      </c>
      <c r="KP621" s="5" t="s">
        <v>358</v>
      </c>
      <c r="KQ621" s="5" t="s">
        <v>5052</v>
      </c>
      <c r="KS621" s="5" t="s">
        <v>5053</v>
      </c>
      <c r="KT621" s="5" t="s">
        <v>5054</v>
      </c>
    </row>
    <row r="622" spans="1:306" ht="60" x14ac:dyDescent="0.2">
      <c r="A622" s="5" t="s">
        <v>5068</v>
      </c>
      <c r="B622" s="4" t="s">
        <v>424</v>
      </c>
      <c r="C622" s="7" t="s">
        <v>425</v>
      </c>
      <c r="D622" s="8" t="s">
        <v>426</v>
      </c>
      <c r="E622" s="44">
        <v>859572</v>
      </c>
      <c r="G622" s="4" t="s">
        <v>330</v>
      </c>
      <c r="H622" s="6">
        <v>127.5756712</v>
      </c>
      <c r="I622" s="6">
        <v>-18.477047289000001</v>
      </c>
      <c r="J622" s="4" t="s">
        <v>5069</v>
      </c>
      <c r="K622" s="4" t="s">
        <v>481</v>
      </c>
      <c r="L622" s="4" t="s">
        <v>863</v>
      </c>
      <c r="Q622" s="8"/>
      <c r="R622" s="8"/>
      <c r="Z622" s="4" t="s">
        <v>424</v>
      </c>
      <c r="AA622" s="7" t="s">
        <v>425</v>
      </c>
      <c r="AB622" s="8" t="s">
        <v>426</v>
      </c>
      <c r="AC622" s="4" t="s">
        <v>301</v>
      </c>
      <c r="AD622" s="4" t="s">
        <v>375</v>
      </c>
      <c r="AE622" s="8">
        <v>1838</v>
      </c>
      <c r="AF622" s="8"/>
      <c r="AG622" s="9" t="s">
        <v>379</v>
      </c>
      <c r="AH622" s="9" t="s">
        <v>380</v>
      </c>
      <c r="AM622" s="8">
        <v>4</v>
      </c>
      <c r="AN622" s="4" t="s">
        <v>381</v>
      </c>
      <c r="AO622" s="4" t="s">
        <v>382</v>
      </c>
      <c r="AP622" s="4" t="s">
        <v>383</v>
      </c>
      <c r="AQ622" s="7" t="s">
        <v>384</v>
      </c>
      <c r="AR622" s="8" t="s">
        <v>433</v>
      </c>
      <c r="AS622" s="7">
        <v>0</v>
      </c>
      <c r="AT622" s="7">
        <v>0</v>
      </c>
      <c r="AU622" s="4" t="s">
        <v>303</v>
      </c>
      <c r="AV622" s="4" t="s">
        <v>406</v>
      </c>
      <c r="AW622" s="4"/>
      <c r="AX622" s="4"/>
      <c r="AY622" s="4"/>
      <c r="AZ622" s="4"/>
      <c r="BA622" s="8">
        <v>5</v>
      </c>
      <c r="BG622" s="8"/>
      <c r="BH622" s="8"/>
      <c r="DZ622" s="31"/>
      <c r="EL622" s="6">
        <v>0.16750000000000001</v>
      </c>
      <c r="GP622" s="32"/>
      <c r="GY622" s="6" t="s">
        <v>309</v>
      </c>
      <c r="GZ622" s="6" t="s">
        <v>436</v>
      </c>
      <c r="HC622" s="6" t="s">
        <v>437</v>
      </c>
      <c r="HD622" s="8" t="s">
        <v>2527</v>
      </c>
      <c r="HE622" s="8">
        <v>14567</v>
      </c>
      <c r="HF622" s="8" t="s">
        <v>3644</v>
      </c>
      <c r="HG622" s="9" t="s">
        <v>538</v>
      </c>
      <c r="HH622" s="9" t="s">
        <v>3642</v>
      </c>
      <c r="HI622" s="8">
        <v>1737</v>
      </c>
      <c r="HJ622" s="8" t="s">
        <v>3643</v>
      </c>
      <c r="HK622" s="9" t="s">
        <v>538</v>
      </c>
      <c r="IB622" s="8" t="s">
        <v>3642</v>
      </c>
      <c r="IC622" s="8">
        <v>1737</v>
      </c>
      <c r="ID622" s="8" t="s">
        <v>3643</v>
      </c>
      <c r="IE622" s="9" t="s">
        <v>538</v>
      </c>
      <c r="IF622" s="8" t="s">
        <v>445</v>
      </c>
      <c r="KG622" s="4" t="s">
        <v>323</v>
      </c>
      <c r="KM622" s="4" t="s">
        <v>391</v>
      </c>
      <c r="KN622" s="4" t="s">
        <v>391</v>
      </c>
      <c r="KP622" s="5" t="s">
        <v>3816</v>
      </c>
      <c r="KQ622" s="5" t="s">
        <v>3817</v>
      </c>
      <c r="KS622" s="5" t="s">
        <v>3817</v>
      </c>
      <c r="KT622" s="5" t="s">
        <v>5070</v>
      </c>
    </row>
    <row r="623" spans="1:306" ht="132" x14ac:dyDescent="0.25">
      <c r="A623" s="5" t="s">
        <v>5075</v>
      </c>
      <c r="B623" s="4" t="s">
        <v>383</v>
      </c>
      <c r="C623" s="7" t="s">
        <v>403</v>
      </c>
      <c r="D623" s="8" t="s">
        <v>777</v>
      </c>
      <c r="E623" s="4">
        <v>334829</v>
      </c>
      <c r="G623" s="4" t="s">
        <v>773</v>
      </c>
      <c r="H623" s="6">
        <v>143.73982000000001</v>
      </c>
      <c r="I623" s="6">
        <v>-37.050109999999997</v>
      </c>
      <c r="J623" s="4" t="s">
        <v>5076</v>
      </c>
      <c r="K623" s="4" t="s">
        <v>298</v>
      </c>
      <c r="L623" s="4" t="s">
        <v>299</v>
      </c>
      <c r="M623" s="4" t="s">
        <v>775</v>
      </c>
      <c r="N623" s="4" t="s">
        <v>1093</v>
      </c>
      <c r="Q623" s="8"/>
      <c r="R623" s="8"/>
      <c r="Z623" s="4" t="s">
        <v>424</v>
      </c>
      <c r="AA623" s="7" t="s">
        <v>425</v>
      </c>
      <c r="AB623" s="8" t="s">
        <v>426</v>
      </c>
      <c r="AC623" s="4" t="s">
        <v>301</v>
      </c>
      <c r="AD623" s="4" t="s">
        <v>402</v>
      </c>
      <c r="AE623" s="8">
        <v>445</v>
      </c>
      <c r="AF623" s="8"/>
      <c r="AG623" s="9" t="s">
        <v>379</v>
      </c>
      <c r="AH623" s="9" t="s">
        <v>380</v>
      </c>
      <c r="AM623" s="8">
        <v>3</v>
      </c>
      <c r="AN623" s="4" t="s">
        <v>381</v>
      </c>
      <c r="AO623" s="4" t="s">
        <v>375</v>
      </c>
      <c r="AP623" s="4" t="s">
        <v>383</v>
      </c>
      <c r="AQ623" s="7" t="s">
        <v>403</v>
      </c>
      <c r="AR623" s="8" t="s">
        <v>777</v>
      </c>
      <c r="AS623" s="7"/>
      <c r="AT623" s="7"/>
      <c r="BE623" s="4"/>
      <c r="BF623" s="4"/>
      <c r="BG623" s="4"/>
      <c r="BH623" s="4"/>
      <c r="BI623" s="4"/>
      <c r="BJ623" s="4"/>
      <c r="BK623" s="4"/>
      <c r="BL623" s="4"/>
      <c r="BM623" s="4"/>
      <c r="BN623" s="4"/>
      <c r="BO623" s="4"/>
      <c r="BQ623" s="7"/>
      <c r="BR623" s="7"/>
      <c r="BS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c r="CW623" s="7"/>
      <c r="CX623" s="7"/>
      <c r="CY623" s="7"/>
      <c r="CZ623" s="7"/>
      <c r="DA623" s="7"/>
      <c r="DB623" s="7"/>
      <c r="DC623" s="7"/>
      <c r="DD623" s="7"/>
      <c r="DE623" s="7"/>
      <c r="DF623" s="7"/>
      <c r="DG623" s="7"/>
      <c r="DH623" s="7"/>
      <c r="DI623" s="7"/>
      <c r="DJ623" s="7"/>
      <c r="DK623" s="7"/>
      <c r="DL623" s="7"/>
      <c r="DM623" s="7"/>
      <c r="DN623" s="7"/>
      <c r="DO623" s="7"/>
      <c r="DP623" s="7"/>
      <c r="DQ623" s="7"/>
      <c r="DR623" s="7"/>
      <c r="DS623" s="7"/>
      <c r="DT623" s="7"/>
      <c r="DU623" s="7"/>
      <c r="DV623" s="7"/>
      <c r="DW623" s="7"/>
      <c r="DX623" s="7"/>
      <c r="DY623" s="7"/>
      <c r="DZ623" s="31"/>
      <c r="EA623" s="7"/>
      <c r="EB623" s="7"/>
      <c r="EC623" s="7"/>
      <c r="ED623" s="7"/>
      <c r="EE623" s="7"/>
      <c r="EF623" s="7"/>
      <c r="EG623" s="7"/>
      <c r="EL623" s="8">
        <v>32</v>
      </c>
      <c r="EY623" s="6"/>
      <c r="FA623" s="6"/>
      <c r="GP623" s="32"/>
      <c r="GY623" s="6" t="s">
        <v>309</v>
      </c>
      <c r="GZ623" s="6" t="s">
        <v>436</v>
      </c>
      <c r="HC623" s="6" t="s">
        <v>437</v>
      </c>
      <c r="HD623" s="9" t="s">
        <v>2232</v>
      </c>
      <c r="HE623" s="8">
        <v>19893</v>
      </c>
      <c r="HF623" s="9" t="s">
        <v>2233</v>
      </c>
      <c r="HG623" s="9" t="s">
        <v>949</v>
      </c>
      <c r="HH623" s="4" t="s">
        <v>1095</v>
      </c>
      <c r="HI623" s="4">
        <v>36202</v>
      </c>
      <c r="HJ623" s="4" t="s">
        <v>1096</v>
      </c>
      <c r="HK623" s="9" t="s">
        <v>466</v>
      </c>
      <c r="HQ623" s="9"/>
      <c r="HY623" s="9"/>
      <c r="KG623" s="4" t="s">
        <v>323</v>
      </c>
      <c r="KM623" s="4" t="s">
        <v>391</v>
      </c>
      <c r="KN623" s="4" t="s">
        <v>391</v>
      </c>
      <c r="KP623" s="18" t="s">
        <v>5077</v>
      </c>
      <c r="KQ623" s="5" t="s">
        <v>2238</v>
      </c>
      <c r="KS623" s="5" t="s">
        <v>786</v>
      </c>
      <c r="KT623" s="5" t="s">
        <v>5078</v>
      </c>
    </row>
    <row r="624" spans="1:306" ht="144" x14ac:dyDescent="0.25">
      <c r="A624" s="5" t="s">
        <v>5079</v>
      </c>
      <c r="B624" s="4" t="s">
        <v>424</v>
      </c>
      <c r="C624" s="7" t="s">
        <v>425</v>
      </c>
      <c r="D624" s="8" t="s">
        <v>426</v>
      </c>
      <c r="E624" s="4">
        <v>701282</v>
      </c>
      <c r="G624" s="4" t="s">
        <v>330</v>
      </c>
      <c r="H624" s="6">
        <v>119.44370000000001</v>
      </c>
      <c r="I624" s="6">
        <v>-25.3171</v>
      </c>
      <c r="J624" s="4" t="s">
        <v>5080</v>
      </c>
      <c r="K624" s="4" t="s">
        <v>331</v>
      </c>
      <c r="L624" s="4" t="s">
        <v>500</v>
      </c>
      <c r="M624" s="4" t="s">
        <v>501</v>
      </c>
      <c r="N624" s="4" t="s">
        <v>5079</v>
      </c>
      <c r="Q624" s="8"/>
      <c r="R624" s="8"/>
      <c r="Z624" s="4" t="s">
        <v>424</v>
      </c>
      <c r="AA624" s="7" t="s">
        <v>425</v>
      </c>
      <c r="AB624" s="8" t="s">
        <v>426</v>
      </c>
      <c r="AC624" s="4" t="s">
        <v>301</v>
      </c>
      <c r="AD624" s="4" t="s">
        <v>375</v>
      </c>
      <c r="AE624" s="8">
        <v>2670</v>
      </c>
      <c r="AF624" s="8">
        <v>50</v>
      </c>
      <c r="AG624" s="9" t="s">
        <v>379</v>
      </c>
      <c r="AH624" s="9" t="s">
        <v>335</v>
      </c>
      <c r="AI624" s="9" t="s">
        <v>1118</v>
      </c>
      <c r="AJ624" s="9" t="s">
        <v>1080</v>
      </c>
      <c r="AK624" s="9" t="s">
        <v>600</v>
      </c>
      <c r="AM624" s="8">
        <v>2</v>
      </c>
      <c r="AN624" s="4" t="s">
        <v>381</v>
      </c>
      <c r="AO624" s="4" t="s">
        <v>382</v>
      </c>
      <c r="AP624" s="4" t="s">
        <v>383</v>
      </c>
      <c r="AQ624" s="7" t="s">
        <v>384</v>
      </c>
      <c r="AR624" s="7" t="s">
        <v>433</v>
      </c>
      <c r="AS624" s="7">
        <v>0</v>
      </c>
      <c r="AT624" s="7">
        <v>0</v>
      </c>
      <c r="AU624" s="4" t="s">
        <v>303</v>
      </c>
      <c r="AV624" s="4" t="s">
        <v>406</v>
      </c>
      <c r="AW624" s="4"/>
      <c r="AX624" s="4"/>
      <c r="AY624" s="4"/>
      <c r="AZ624" s="4"/>
      <c r="BA624" s="8">
        <v>5</v>
      </c>
      <c r="BG624" s="8"/>
      <c r="BH624" s="8"/>
      <c r="BP624" s="7">
        <v>11.8</v>
      </c>
      <c r="BV624" s="6">
        <v>3.12</v>
      </c>
      <c r="DZ624" s="31"/>
      <c r="EL624" s="8">
        <v>36.770000000000003</v>
      </c>
      <c r="GP624" s="32"/>
      <c r="GY624" s="6" t="s">
        <v>338</v>
      </c>
      <c r="GZ624" s="6" t="s">
        <v>436</v>
      </c>
      <c r="HC624" s="6" t="s">
        <v>437</v>
      </c>
      <c r="HF624" s="9" t="s">
        <v>958</v>
      </c>
      <c r="HG624" s="9" t="s">
        <v>507</v>
      </c>
      <c r="HJ624" s="8" t="s">
        <v>5081</v>
      </c>
      <c r="HK624" s="9" t="s">
        <v>507</v>
      </c>
      <c r="ID624" s="8" t="s">
        <v>5081</v>
      </c>
      <c r="IE624" s="8" t="s">
        <v>507</v>
      </c>
      <c r="IF624" s="9" t="s">
        <v>445</v>
      </c>
      <c r="II624" s="8" t="s">
        <v>5082</v>
      </c>
      <c r="IJ624" s="8" t="s">
        <v>507</v>
      </c>
      <c r="IK624" s="8" t="s">
        <v>445</v>
      </c>
      <c r="IN624" s="9" t="s">
        <v>5083</v>
      </c>
      <c r="IO624" s="9" t="s">
        <v>507</v>
      </c>
      <c r="IP624" s="8" t="s">
        <v>445</v>
      </c>
      <c r="IQ624" s="8"/>
      <c r="IS624" s="8"/>
      <c r="IT624" s="8"/>
      <c r="IU624" s="8"/>
      <c r="IV624" s="8"/>
      <c r="IW624" s="8"/>
      <c r="IX624" s="8"/>
      <c r="IY624" s="8"/>
      <c r="IZ624" s="8"/>
      <c r="JA624" s="8"/>
      <c r="JB624" s="8"/>
      <c r="JC624" s="8"/>
      <c r="JD624" s="8"/>
      <c r="JE624" s="8"/>
      <c r="JF624" s="8"/>
      <c r="JG624" s="8"/>
      <c r="JH624" s="8"/>
      <c r="JI624" s="8"/>
      <c r="JJ624" s="8"/>
      <c r="JK624" s="8"/>
      <c r="JL624" s="8"/>
      <c r="JM624" s="8"/>
      <c r="JN624" s="8"/>
      <c r="JO624" s="8"/>
      <c r="JP624" s="8"/>
      <c r="JQ624" s="8"/>
      <c r="JR624" s="8"/>
      <c r="JS624" s="8"/>
      <c r="JT624" s="8"/>
      <c r="JV624" s="7" t="s">
        <v>5084</v>
      </c>
      <c r="JX624" s="7" t="s">
        <v>320</v>
      </c>
      <c r="JY624" s="7" t="s">
        <v>470</v>
      </c>
      <c r="JZ624" s="7" t="s">
        <v>322</v>
      </c>
      <c r="KG624" s="4" t="s">
        <v>323</v>
      </c>
      <c r="KM624" s="4" t="s">
        <v>702</v>
      </c>
      <c r="KN624" s="4" t="s">
        <v>702</v>
      </c>
      <c r="KP624" s="5" t="s">
        <v>358</v>
      </c>
      <c r="KQ624" s="5" t="s">
        <v>5085</v>
      </c>
      <c r="KR624" s="5" t="s">
        <v>5086</v>
      </c>
      <c r="KS624" s="5" t="s">
        <v>5087</v>
      </c>
      <c r="KT624" s="5" t="s">
        <v>5088</v>
      </c>
    </row>
    <row r="625" spans="1:306" ht="60" x14ac:dyDescent="0.25">
      <c r="A625" s="14" t="s">
        <v>4987</v>
      </c>
      <c r="B625" s="29" t="s">
        <v>424</v>
      </c>
      <c r="C625" s="30" t="s">
        <v>425</v>
      </c>
      <c r="D625" s="26" t="s">
        <v>426</v>
      </c>
      <c r="E625" s="29">
        <v>333574</v>
      </c>
      <c r="F625" s="29"/>
      <c r="G625" s="29" t="s">
        <v>296</v>
      </c>
      <c r="H625" s="31">
        <v>147.89559</v>
      </c>
      <c r="I625" s="31">
        <v>-41.488939999999999</v>
      </c>
      <c r="J625" s="29" t="s">
        <v>4987</v>
      </c>
      <c r="K625" s="29" t="s">
        <v>298</v>
      </c>
      <c r="L625" s="29" t="s">
        <v>299</v>
      </c>
      <c r="M625" s="29" t="s">
        <v>300</v>
      </c>
      <c r="N625" s="29"/>
      <c r="O625" s="26"/>
      <c r="P625" s="29"/>
      <c r="Q625" s="30"/>
      <c r="R625" s="30"/>
      <c r="S625" s="27"/>
      <c r="T625" s="27"/>
      <c r="U625" s="27"/>
      <c r="V625" s="27"/>
      <c r="W625" s="27"/>
      <c r="X625" s="27"/>
      <c r="Y625" s="26"/>
      <c r="Z625" s="29" t="s">
        <v>424</v>
      </c>
      <c r="AA625" s="30" t="s">
        <v>425</v>
      </c>
      <c r="AB625" s="26" t="s">
        <v>426</v>
      </c>
      <c r="AC625" s="29" t="s">
        <v>301</v>
      </c>
      <c r="AD625" s="29" t="s">
        <v>375</v>
      </c>
      <c r="AE625" s="30">
        <v>389.5</v>
      </c>
      <c r="AF625" s="30">
        <v>3</v>
      </c>
      <c r="AG625" s="27" t="s">
        <v>379</v>
      </c>
      <c r="AH625" s="27" t="s">
        <v>429</v>
      </c>
      <c r="AI625" s="27" t="s">
        <v>430</v>
      </c>
      <c r="AJ625" s="27" t="s">
        <v>431</v>
      </c>
      <c r="AK625" s="27" t="s">
        <v>432</v>
      </c>
      <c r="AL625" s="27"/>
      <c r="AM625" s="26">
        <v>4</v>
      </c>
      <c r="AN625" s="29" t="s">
        <v>381</v>
      </c>
      <c r="AO625" s="29" t="s">
        <v>382</v>
      </c>
      <c r="AP625" s="29" t="s">
        <v>383</v>
      </c>
      <c r="AQ625" s="30" t="s">
        <v>403</v>
      </c>
      <c r="AR625" s="26" t="s">
        <v>434</v>
      </c>
      <c r="AS625" s="30">
        <v>0</v>
      </c>
      <c r="AT625" s="30">
        <v>0</v>
      </c>
      <c r="AU625" s="27" t="s">
        <v>303</v>
      </c>
      <c r="AV625" s="27" t="s">
        <v>406</v>
      </c>
      <c r="AW625" s="27"/>
      <c r="AX625" s="27"/>
      <c r="AY625" s="27"/>
      <c r="AZ625" s="27"/>
      <c r="BA625" s="26">
        <v>5</v>
      </c>
      <c r="BB625" s="29"/>
      <c r="BC625" s="29"/>
      <c r="BD625" s="29"/>
      <c r="BE625" s="30"/>
      <c r="BF625" s="26"/>
      <c r="BG625" s="27"/>
      <c r="BH625" s="27"/>
      <c r="BI625" s="27"/>
      <c r="BJ625" s="27"/>
      <c r="BK625" s="27"/>
      <c r="BL625" s="27"/>
      <c r="BM625" s="27"/>
      <c r="BN625" s="27"/>
      <c r="BO625" s="26"/>
      <c r="BP625" s="30"/>
      <c r="BQ625" s="31"/>
      <c r="BR625" s="31"/>
      <c r="BS625" s="31"/>
      <c r="BT625" s="31"/>
      <c r="BU625" s="26"/>
      <c r="BV625" s="31"/>
      <c r="BW625" s="31"/>
      <c r="BX625" s="31"/>
      <c r="BY625" s="31"/>
      <c r="BZ625" s="31"/>
      <c r="CA625" s="31"/>
      <c r="CB625" s="31"/>
      <c r="CC625" s="31"/>
      <c r="CD625" s="31"/>
      <c r="CE625" s="31"/>
      <c r="CF625" s="31"/>
      <c r="CG625" s="31"/>
      <c r="CH625" s="31"/>
      <c r="CI625" s="31"/>
      <c r="CJ625" s="31"/>
      <c r="CK625" s="31"/>
      <c r="CL625" s="31"/>
      <c r="CM625" s="31"/>
      <c r="CN625" s="31"/>
      <c r="CO625" s="31"/>
      <c r="CP625" s="31"/>
      <c r="CQ625" s="31"/>
      <c r="CR625" s="31"/>
      <c r="CS625" s="31"/>
      <c r="CT625" s="31"/>
      <c r="CU625" s="31"/>
      <c r="CV625" s="31"/>
      <c r="CW625" s="31"/>
      <c r="CX625" s="31"/>
      <c r="CY625" s="31"/>
      <c r="CZ625" s="31"/>
      <c r="DA625" s="31"/>
      <c r="DB625" s="31"/>
      <c r="DC625" s="31"/>
      <c r="DD625" s="31"/>
      <c r="DE625" s="31"/>
      <c r="DF625" s="31"/>
      <c r="DG625" s="31"/>
      <c r="DH625" s="31"/>
      <c r="DI625" s="31"/>
      <c r="DJ625" s="31"/>
      <c r="DK625" s="31"/>
      <c r="DL625" s="31"/>
      <c r="DM625" s="31"/>
      <c r="DN625" s="31"/>
      <c r="DO625" s="31"/>
      <c r="DP625" s="31"/>
      <c r="DQ625" s="31"/>
      <c r="DR625" s="31"/>
      <c r="DS625" s="31"/>
      <c r="DT625" s="31"/>
      <c r="DU625" s="31"/>
      <c r="DV625" s="31"/>
      <c r="DW625" s="31"/>
      <c r="DX625" s="31"/>
      <c r="DY625" s="31"/>
      <c r="DZ625" s="31"/>
      <c r="EA625" s="31"/>
      <c r="EB625" s="31"/>
      <c r="EC625" s="31"/>
      <c r="ED625" s="31"/>
      <c r="EE625" s="31"/>
      <c r="EF625" s="31"/>
      <c r="EG625" s="31"/>
      <c r="EH625" s="32"/>
      <c r="EI625" s="32"/>
      <c r="EJ625" s="32"/>
      <c r="EK625" s="32"/>
      <c r="EL625" s="30">
        <f>8.8+0.059*13.4+0.153*2.3</f>
        <v>9.9425000000000008</v>
      </c>
      <c r="EM625" s="31"/>
      <c r="EN625" s="31"/>
      <c r="EO625" s="31"/>
      <c r="EP625" s="31"/>
      <c r="EQ625" s="31"/>
      <c r="ER625" s="31"/>
      <c r="ES625" s="31"/>
      <c r="ET625" s="31"/>
      <c r="EU625" s="31"/>
      <c r="EV625" s="31"/>
      <c r="EW625" s="31"/>
      <c r="EX625" s="31"/>
      <c r="EY625" s="31"/>
      <c r="EZ625" s="31"/>
      <c r="FA625" s="31"/>
      <c r="FB625" s="31"/>
      <c r="FC625" s="31"/>
      <c r="FD625" s="31"/>
      <c r="FE625" s="31"/>
      <c r="FF625" s="31"/>
      <c r="FG625" s="31"/>
      <c r="FH625" s="31"/>
      <c r="FI625" s="31"/>
      <c r="FJ625" s="31"/>
      <c r="FK625" s="31"/>
      <c r="FL625" s="31"/>
      <c r="FM625" s="31"/>
      <c r="FN625" s="31"/>
      <c r="FO625" s="31"/>
      <c r="FP625" s="31"/>
      <c r="FQ625" s="31"/>
      <c r="FR625" s="31"/>
      <c r="FS625" s="31"/>
      <c r="FT625" s="31"/>
      <c r="FU625" s="31"/>
      <c r="FV625" s="31"/>
      <c r="FW625" s="31"/>
      <c r="FX625" s="31"/>
      <c r="FY625" s="31"/>
      <c r="FZ625" s="31"/>
      <c r="GA625" s="31"/>
      <c r="GB625" s="31"/>
      <c r="GC625" s="31"/>
      <c r="GD625" s="31"/>
      <c r="GE625" s="31"/>
      <c r="GF625" s="31"/>
      <c r="GG625" s="31"/>
      <c r="GH625" s="31"/>
      <c r="GI625" s="31"/>
      <c r="GJ625" s="31"/>
      <c r="GK625" s="31"/>
      <c r="GL625" s="31"/>
      <c r="GM625" s="31"/>
      <c r="GN625" s="31"/>
      <c r="GO625" s="31"/>
      <c r="GP625" s="32"/>
      <c r="GQ625" s="31"/>
      <c r="GR625" s="31"/>
      <c r="GS625" s="31"/>
      <c r="GT625" s="31"/>
      <c r="GU625" s="31"/>
      <c r="GV625" s="31"/>
      <c r="GW625" s="31"/>
      <c r="GX625" s="31"/>
      <c r="GY625" s="31" t="s">
        <v>309</v>
      </c>
      <c r="GZ625" s="31" t="s">
        <v>436</v>
      </c>
      <c r="HA625" s="31"/>
      <c r="HB625" s="31"/>
      <c r="HC625" s="31" t="s">
        <v>437</v>
      </c>
      <c r="HD625" s="26" t="s">
        <v>312</v>
      </c>
      <c r="HE625" s="26">
        <v>36812</v>
      </c>
      <c r="HF625" s="26" t="s">
        <v>313</v>
      </c>
      <c r="HG625" s="27" t="s">
        <v>314</v>
      </c>
      <c r="HH625" s="27"/>
      <c r="HI625" s="26"/>
      <c r="HJ625" s="27"/>
      <c r="HK625" s="27"/>
      <c r="HL625" s="27"/>
      <c r="HM625" s="26"/>
      <c r="HN625" s="27"/>
      <c r="HO625" s="27"/>
      <c r="HP625" s="27"/>
      <c r="HQ625" s="27"/>
      <c r="HR625" s="27"/>
      <c r="HS625" s="27"/>
      <c r="HT625" s="27"/>
      <c r="HU625" s="27"/>
      <c r="HV625" s="27"/>
      <c r="HW625" s="27"/>
      <c r="HX625" s="27"/>
      <c r="HY625" s="27"/>
      <c r="HZ625" s="27"/>
      <c r="IA625" s="27"/>
      <c r="IB625" s="26"/>
      <c r="IC625" s="26"/>
      <c r="ID625" s="26"/>
      <c r="IE625" s="26"/>
      <c r="IF625" s="26"/>
      <c r="IG625" s="26"/>
      <c r="IH625" s="26"/>
      <c r="II625" s="26"/>
      <c r="IJ625" s="26"/>
      <c r="IK625" s="26"/>
      <c r="IL625" s="27"/>
      <c r="IM625" s="27"/>
      <c r="IN625" s="27"/>
      <c r="IO625" s="27"/>
      <c r="IP625" s="27"/>
      <c r="IQ625" s="27"/>
      <c r="IR625" s="27"/>
      <c r="IS625" s="27"/>
      <c r="IT625" s="27"/>
      <c r="IU625" s="27"/>
      <c r="IV625" s="27"/>
      <c r="IW625" s="27"/>
      <c r="IX625" s="27"/>
      <c r="IY625" s="27"/>
      <c r="IZ625" s="27"/>
      <c r="JA625" s="27"/>
      <c r="JB625" s="27"/>
      <c r="JC625" s="27"/>
      <c r="JD625" s="27"/>
      <c r="JE625" s="27"/>
      <c r="JF625" s="27"/>
      <c r="JG625" s="27"/>
      <c r="JH625" s="27"/>
      <c r="JI625" s="27"/>
      <c r="JJ625" s="27"/>
      <c r="JK625" s="27"/>
      <c r="JL625" s="27"/>
      <c r="JM625" s="27"/>
      <c r="JN625" s="27"/>
      <c r="JO625" s="27"/>
      <c r="JP625" s="27"/>
      <c r="JQ625" s="27"/>
      <c r="JR625" s="27"/>
      <c r="JS625" s="27"/>
      <c r="JT625" s="27"/>
      <c r="JU625" s="30"/>
      <c r="JV625" s="30" t="s">
        <v>5089</v>
      </c>
      <c r="JW625" s="30"/>
      <c r="JX625" s="30" t="s">
        <v>320</v>
      </c>
      <c r="JY625" s="30"/>
      <c r="JZ625" s="30"/>
      <c r="KA625" s="30"/>
      <c r="KB625" s="30"/>
      <c r="KC625" s="30"/>
      <c r="KD625" s="30"/>
      <c r="KE625" s="30"/>
      <c r="KF625" s="30"/>
      <c r="KG625" s="29" t="s">
        <v>323</v>
      </c>
      <c r="KH625" s="29"/>
      <c r="KI625" s="29"/>
      <c r="KJ625" s="29"/>
      <c r="KK625" s="29"/>
      <c r="KL625" s="29"/>
      <c r="KM625" s="29"/>
      <c r="KN625" s="29"/>
      <c r="KO625" s="29"/>
      <c r="KP625" s="14" t="s">
        <v>5090</v>
      </c>
      <c r="KQ625" s="14" t="s">
        <v>4844</v>
      </c>
      <c r="KR625" s="14" t="s">
        <v>4624</v>
      </c>
      <c r="KS625" s="14" t="s">
        <v>4989</v>
      </c>
      <c r="KT625" s="14" t="s">
        <v>5091</v>
      </c>
    </row>
    <row r="626" spans="1:306" ht="108" x14ac:dyDescent="0.25">
      <c r="A626" s="5" t="s">
        <v>5092</v>
      </c>
      <c r="B626" s="4" t="s">
        <v>424</v>
      </c>
      <c r="C626" s="7" t="s">
        <v>425</v>
      </c>
      <c r="D626" s="8" t="s">
        <v>426</v>
      </c>
      <c r="E626" s="4">
        <v>333998</v>
      </c>
      <c r="G626" s="4" t="s">
        <v>330</v>
      </c>
      <c r="H626" s="6">
        <v>120.2149</v>
      </c>
      <c r="I626" s="6">
        <v>-26.7575</v>
      </c>
      <c r="J626" s="4" t="s">
        <v>5093</v>
      </c>
      <c r="K626" s="4" t="s">
        <v>331</v>
      </c>
      <c r="L626" s="4" t="s">
        <v>500</v>
      </c>
      <c r="M626" s="4" t="s">
        <v>501</v>
      </c>
      <c r="N626" s="4" t="s">
        <v>1061</v>
      </c>
      <c r="Q626" s="8"/>
      <c r="R626" s="8"/>
      <c r="Z626" s="4" t="s">
        <v>424</v>
      </c>
      <c r="AA626" s="7" t="s">
        <v>425</v>
      </c>
      <c r="AB626" s="8" t="s">
        <v>426</v>
      </c>
      <c r="AC626" s="4" t="s">
        <v>301</v>
      </c>
      <c r="AD626" s="4" t="s">
        <v>375</v>
      </c>
      <c r="AE626" s="8">
        <v>2623</v>
      </c>
      <c r="AF626" s="8">
        <v>13</v>
      </c>
      <c r="AG626" s="9" t="s">
        <v>379</v>
      </c>
      <c r="AH626" s="9" t="s">
        <v>429</v>
      </c>
      <c r="AI626" s="9" t="s">
        <v>845</v>
      </c>
      <c r="AJ626" s="9" t="s">
        <v>431</v>
      </c>
      <c r="AK626" s="9" t="s">
        <v>432</v>
      </c>
      <c r="AM626" s="8">
        <v>3</v>
      </c>
      <c r="AN626" s="4" t="s">
        <v>381</v>
      </c>
      <c r="AO626" s="4" t="s">
        <v>382</v>
      </c>
      <c r="AP626" s="4" t="s">
        <v>383</v>
      </c>
      <c r="AQ626" s="7" t="s">
        <v>384</v>
      </c>
      <c r="AR626" s="8" t="s">
        <v>433</v>
      </c>
      <c r="AS626" s="7">
        <v>0</v>
      </c>
      <c r="AT626" s="7">
        <v>0</v>
      </c>
      <c r="AU626" s="4" t="s">
        <v>303</v>
      </c>
      <c r="AV626" s="4" t="s">
        <v>406</v>
      </c>
      <c r="AW626" s="4"/>
      <c r="AX626" s="4"/>
      <c r="AY626" s="4"/>
      <c r="AZ626" s="4"/>
      <c r="BA626" s="8">
        <v>5</v>
      </c>
      <c r="BG626" s="8"/>
      <c r="BH626" s="8"/>
      <c r="BP626" s="7">
        <v>16.758300000000002</v>
      </c>
      <c r="BQ626" s="7"/>
      <c r="BV626" s="6">
        <v>1.6110953975045199</v>
      </c>
      <c r="DZ626" s="31"/>
      <c r="EL626" s="7">
        <v>26.999219999999998</v>
      </c>
      <c r="GP626" s="32"/>
      <c r="GY626" s="6" t="s">
        <v>338</v>
      </c>
      <c r="GZ626" s="6" t="s">
        <v>436</v>
      </c>
      <c r="HC626" s="6" t="s">
        <v>437</v>
      </c>
      <c r="HF626" s="8" t="s">
        <v>5094</v>
      </c>
      <c r="HG626" s="9" t="s">
        <v>507</v>
      </c>
      <c r="ID626" s="8" t="s">
        <v>5094</v>
      </c>
      <c r="IE626" s="9" t="s">
        <v>507</v>
      </c>
      <c r="IF626" s="8" t="s">
        <v>445</v>
      </c>
      <c r="II626" s="8" t="s">
        <v>5095</v>
      </c>
      <c r="IJ626" s="8" t="s">
        <v>507</v>
      </c>
      <c r="IK626" s="8" t="s">
        <v>445</v>
      </c>
      <c r="IN626" s="9" t="s">
        <v>5096</v>
      </c>
      <c r="IO626" s="9" t="s">
        <v>507</v>
      </c>
      <c r="IP626" s="9" t="s">
        <v>329</v>
      </c>
      <c r="IR626" s="9"/>
      <c r="JV626" s="7" t="s">
        <v>5097</v>
      </c>
      <c r="JX626" s="7" t="s">
        <v>320</v>
      </c>
      <c r="KG626" s="4" t="s">
        <v>323</v>
      </c>
      <c r="KM626" s="4" t="s">
        <v>391</v>
      </c>
      <c r="KN626" s="4" t="s">
        <v>391</v>
      </c>
      <c r="KP626" s="5" t="s">
        <v>358</v>
      </c>
      <c r="KQ626" s="5" t="s">
        <v>5098</v>
      </c>
      <c r="KR626" s="5" t="s">
        <v>5099</v>
      </c>
      <c r="KS626" s="5" t="s">
        <v>5100</v>
      </c>
      <c r="KT626" s="5" t="s">
        <v>5101</v>
      </c>
    </row>
    <row r="627" spans="1:306" ht="132" x14ac:dyDescent="0.25">
      <c r="A627" s="5" t="s">
        <v>5102</v>
      </c>
      <c r="B627" s="4" t="s">
        <v>424</v>
      </c>
      <c r="C627" s="7" t="s">
        <v>425</v>
      </c>
      <c r="D627" s="8" t="s">
        <v>426</v>
      </c>
      <c r="E627" s="4">
        <v>334001</v>
      </c>
      <c r="G627" s="4" t="s">
        <v>530</v>
      </c>
      <c r="H627" s="6">
        <v>132.44</v>
      </c>
      <c r="I627" s="6">
        <v>-14.44</v>
      </c>
      <c r="J627" s="4" t="s">
        <v>5102</v>
      </c>
      <c r="K627" s="4" t="s">
        <v>481</v>
      </c>
      <c r="L627" s="4" t="s">
        <v>532</v>
      </c>
      <c r="Q627" s="8"/>
      <c r="R627" s="8"/>
      <c r="Z627" s="4" t="s">
        <v>424</v>
      </c>
      <c r="AA627" s="7" t="s">
        <v>425</v>
      </c>
      <c r="AB627" s="8" t="s">
        <v>426</v>
      </c>
      <c r="AC627" s="4" t="s">
        <v>301</v>
      </c>
      <c r="AD627" s="4" t="s">
        <v>375</v>
      </c>
      <c r="AE627" s="8">
        <v>1810</v>
      </c>
      <c r="AF627" s="8"/>
      <c r="AG627" s="9" t="s">
        <v>379</v>
      </c>
      <c r="AH627" s="9" t="s">
        <v>380</v>
      </c>
      <c r="AM627" s="8">
        <v>3</v>
      </c>
      <c r="AN627" s="4" t="s">
        <v>381</v>
      </c>
      <c r="AO627" s="4" t="s">
        <v>382</v>
      </c>
      <c r="AP627" s="4" t="s">
        <v>383</v>
      </c>
      <c r="AQ627" s="7" t="s">
        <v>384</v>
      </c>
      <c r="AR627" s="7" t="s">
        <v>433</v>
      </c>
      <c r="AS627" s="7">
        <v>0</v>
      </c>
      <c r="AT627" s="7">
        <v>0</v>
      </c>
      <c r="AU627" s="9" t="s">
        <v>303</v>
      </c>
      <c r="AV627" s="9" t="s">
        <v>406</v>
      </c>
      <c r="BA627" s="8">
        <v>5</v>
      </c>
      <c r="BP627" s="7">
        <f>8.48+0.173581+0.0004</f>
        <v>8.6539810000000017</v>
      </c>
      <c r="BU627" s="6"/>
      <c r="BV627" s="6">
        <f>(3.16*8.48+3.32*0.173581+42*0.0004)/(8.48+0.173581+0.0004)</f>
        <v>3.1650045129518998</v>
      </c>
      <c r="DZ627" s="31"/>
      <c r="EL627" s="7">
        <f>BP627*BV627</f>
        <v>27.389888920000001</v>
      </c>
      <c r="GP627" s="32"/>
      <c r="GY627" s="6" t="s">
        <v>435</v>
      </c>
      <c r="GZ627" s="6" t="s">
        <v>436</v>
      </c>
      <c r="HC627" s="6" t="s">
        <v>437</v>
      </c>
      <c r="HD627" s="9" t="s">
        <v>5015</v>
      </c>
      <c r="HE627" s="8">
        <v>27070</v>
      </c>
      <c r="HF627" s="8" t="s">
        <v>5016</v>
      </c>
      <c r="HG627" s="9" t="s">
        <v>538</v>
      </c>
      <c r="HH627" s="9" t="s">
        <v>5103</v>
      </c>
      <c r="HI627" s="8">
        <v>24374</v>
      </c>
      <c r="HJ627" s="9" t="s">
        <v>5104</v>
      </c>
      <c r="HK627" s="9" t="s">
        <v>538</v>
      </c>
      <c r="HL627" s="9" t="s">
        <v>5105</v>
      </c>
      <c r="HM627" s="8">
        <v>5639</v>
      </c>
      <c r="HN627" s="9" t="s">
        <v>5106</v>
      </c>
      <c r="HO627" s="9" t="s">
        <v>538</v>
      </c>
      <c r="IB627" s="9" t="s">
        <v>5103</v>
      </c>
      <c r="IC627" s="8">
        <v>24374</v>
      </c>
      <c r="ID627" s="9" t="s">
        <v>5104</v>
      </c>
      <c r="IE627" s="9" t="s">
        <v>538</v>
      </c>
      <c r="IF627" s="8" t="s">
        <v>445</v>
      </c>
      <c r="IG627" s="9" t="s">
        <v>5105</v>
      </c>
      <c r="IH627" s="8">
        <v>5639</v>
      </c>
      <c r="II627" s="9" t="s">
        <v>5106</v>
      </c>
      <c r="IJ627" s="9" t="s">
        <v>538</v>
      </c>
      <c r="IK627" s="8" t="s">
        <v>445</v>
      </c>
      <c r="IL627" s="8" t="s">
        <v>1576</v>
      </c>
      <c r="IM627" s="8">
        <v>30778</v>
      </c>
      <c r="IN627" s="8" t="s">
        <v>2203</v>
      </c>
      <c r="IO627" s="8" t="s">
        <v>538</v>
      </c>
      <c r="IP627" s="8" t="s">
        <v>1578</v>
      </c>
      <c r="IW627" s="8"/>
      <c r="JB627" s="8"/>
      <c r="JV627" s="7" t="s">
        <v>5107</v>
      </c>
      <c r="JX627" s="7" t="s">
        <v>320</v>
      </c>
      <c r="KG627" s="4" t="s">
        <v>323</v>
      </c>
      <c r="KM627" s="4" t="s">
        <v>836</v>
      </c>
      <c r="KN627" s="4" t="s">
        <v>836</v>
      </c>
      <c r="KP627" s="5" t="s">
        <v>358</v>
      </c>
      <c r="KQ627" s="5" t="s">
        <v>5108</v>
      </c>
      <c r="KS627" s="5" t="s">
        <v>5109</v>
      </c>
      <c r="KT627" s="5" t="s">
        <v>5110</v>
      </c>
    </row>
    <row r="628" spans="1:306" ht="132" x14ac:dyDescent="0.25">
      <c r="A628" s="5" t="s">
        <v>5250</v>
      </c>
      <c r="B628" s="4" t="s">
        <v>424</v>
      </c>
      <c r="C628" s="7" t="s">
        <v>425</v>
      </c>
      <c r="D628" s="8" t="s">
        <v>426</v>
      </c>
      <c r="E628" s="4">
        <v>336206</v>
      </c>
      <c r="G628" s="4" t="s">
        <v>479</v>
      </c>
      <c r="H628" s="6">
        <v>145.21191899999999</v>
      </c>
      <c r="I628" s="6">
        <v>-16.970184</v>
      </c>
      <c r="J628" s="4" t="s">
        <v>1019</v>
      </c>
      <c r="K628" s="4" t="s">
        <v>298</v>
      </c>
      <c r="L628" s="4" t="s">
        <v>1018</v>
      </c>
      <c r="M628" s="4" t="s">
        <v>1019</v>
      </c>
      <c r="Q628" s="8"/>
      <c r="R628" s="8"/>
      <c r="S628" s="4"/>
      <c r="Z628" s="4" t="s">
        <v>424</v>
      </c>
      <c r="AA628" s="7" t="s">
        <v>425</v>
      </c>
      <c r="AB628" s="8" t="s">
        <v>426</v>
      </c>
      <c r="AC628" s="4" t="s">
        <v>301</v>
      </c>
      <c r="AE628" s="8">
        <v>340.8</v>
      </c>
      <c r="AF628" s="8">
        <v>0.8</v>
      </c>
      <c r="AG628" s="4" t="s">
        <v>379</v>
      </c>
      <c r="AH628" s="9" t="s">
        <v>429</v>
      </c>
      <c r="AI628" s="9" t="s">
        <v>430</v>
      </c>
      <c r="AJ628" s="9" t="s">
        <v>431</v>
      </c>
      <c r="AK628" s="9" t="s">
        <v>5251</v>
      </c>
      <c r="AM628" s="8">
        <v>3</v>
      </c>
      <c r="DZ628" s="31"/>
      <c r="EL628" s="6">
        <v>0.8</v>
      </c>
      <c r="EY628" s="6"/>
      <c r="FA628" s="6"/>
      <c r="GP628" s="32"/>
      <c r="GY628" s="6" t="s">
        <v>309</v>
      </c>
      <c r="HC628" s="6" t="s">
        <v>437</v>
      </c>
      <c r="HD628" s="8" t="s">
        <v>1023</v>
      </c>
      <c r="HE628" s="8">
        <v>8404</v>
      </c>
      <c r="HF628" s="8" t="s">
        <v>1024</v>
      </c>
      <c r="HG628" s="8" t="s">
        <v>1025</v>
      </c>
      <c r="HY628" s="9"/>
      <c r="IR628" s="9"/>
      <c r="JV628" s="7" t="s">
        <v>2718</v>
      </c>
      <c r="JX628" s="7" t="s">
        <v>320</v>
      </c>
      <c r="KG628" s="4" t="s">
        <v>323</v>
      </c>
      <c r="KM628" s="4" t="s">
        <v>391</v>
      </c>
      <c r="KN628" s="4" t="s">
        <v>391</v>
      </c>
      <c r="KP628" s="5" t="s">
        <v>358</v>
      </c>
      <c r="KQ628" s="5" t="s">
        <v>5252</v>
      </c>
      <c r="KR628" s="5" t="s">
        <v>5252</v>
      </c>
      <c r="KS628" s="5" t="s">
        <v>4647</v>
      </c>
      <c r="KT628" s="5" t="s">
        <v>5253</v>
      </c>
    </row>
    <row r="629" spans="1:306" s="14" customFormat="1" ht="108" x14ac:dyDescent="0.25">
      <c r="A629" s="5" t="s">
        <v>5254</v>
      </c>
      <c r="B629" s="4" t="s">
        <v>424</v>
      </c>
      <c r="C629" s="7" t="s">
        <v>425</v>
      </c>
      <c r="D629" s="8" t="s">
        <v>426</v>
      </c>
      <c r="E629" s="4">
        <v>333753</v>
      </c>
      <c r="F629" s="4"/>
      <c r="G629" s="4" t="s">
        <v>530</v>
      </c>
      <c r="H629" s="6">
        <v>130.54560000000001</v>
      </c>
      <c r="I629" s="6">
        <v>-20.352399999999999</v>
      </c>
      <c r="J629" s="4" t="s">
        <v>5254</v>
      </c>
      <c r="K629" s="4" t="s">
        <v>481</v>
      </c>
      <c r="L629" s="4" t="s">
        <v>863</v>
      </c>
      <c r="M629" s="4"/>
      <c r="N629" s="4"/>
      <c r="O629" s="8"/>
      <c r="P629" s="4"/>
      <c r="Q629" s="8"/>
      <c r="R629" s="8"/>
      <c r="S629" s="9"/>
      <c r="T629" s="9"/>
      <c r="U629" s="9"/>
      <c r="V629" s="9"/>
      <c r="W629" s="9"/>
      <c r="X629" s="9"/>
      <c r="Y629" s="8"/>
      <c r="Z629" s="4" t="s">
        <v>424</v>
      </c>
      <c r="AA629" s="7" t="s">
        <v>425</v>
      </c>
      <c r="AB629" s="8" t="s">
        <v>426</v>
      </c>
      <c r="AC629" s="4" t="s">
        <v>301</v>
      </c>
      <c r="AD629" s="4" t="s">
        <v>302</v>
      </c>
      <c r="AE629" s="8">
        <v>1809</v>
      </c>
      <c r="AF629" s="8"/>
      <c r="AG629" s="9" t="s">
        <v>379</v>
      </c>
      <c r="AH629" s="9" t="s">
        <v>380</v>
      </c>
      <c r="AI629" s="9"/>
      <c r="AJ629" s="9"/>
      <c r="AK629" s="9"/>
      <c r="AL629" s="9"/>
      <c r="AM629" s="8">
        <v>2</v>
      </c>
      <c r="AN629" s="4"/>
      <c r="AO629" s="4"/>
      <c r="AP629" s="4"/>
      <c r="AQ629" s="7"/>
      <c r="AR629" s="8"/>
      <c r="AS629" s="7"/>
      <c r="AT629" s="7"/>
      <c r="AU629" s="9"/>
      <c r="AV629" s="9"/>
      <c r="AW629" s="9"/>
      <c r="AX629" s="9"/>
      <c r="AY629" s="9"/>
      <c r="AZ629" s="9"/>
      <c r="BA629" s="8"/>
      <c r="BB629" s="4"/>
      <c r="BC629" s="4"/>
      <c r="BD629" s="4"/>
      <c r="BE629" s="7"/>
      <c r="BF629" s="8"/>
      <c r="BG629" s="9"/>
      <c r="BH629" s="9"/>
      <c r="BI629" s="9"/>
      <c r="BJ629" s="9"/>
      <c r="BK629" s="9"/>
      <c r="BL629" s="9"/>
      <c r="BM629" s="9"/>
      <c r="BN629" s="9"/>
      <c r="BO629" s="8"/>
      <c r="BP629" s="7">
        <f>0.83+0.665</f>
        <v>1.4950000000000001</v>
      </c>
      <c r="BQ629" s="6"/>
      <c r="BR629" s="6"/>
      <c r="BS629" s="6"/>
      <c r="BT629" s="6"/>
      <c r="BU629" s="8"/>
      <c r="BV629" s="6">
        <f>(0.83*2.9+0.665*2.52)/(0.83+0.665)</f>
        <v>2.7309698996655523</v>
      </c>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31"/>
      <c r="EA629" s="6"/>
      <c r="EB629" s="6"/>
      <c r="EC629" s="6"/>
      <c r="ED629" s="6"/>
      <c r="EE629" s="6"/>
      <c r="EF629" s="6"/>
      <c r="EG629" s="6"/>
      <c r="EH629" s="10"/>
      <c r="EI629" s="10"/>
      <c r="EJ629" s="10"/>
      <c r="EK629" s="10"/>
      <c r="EL629" s="6">
        <f>BP629*BV629</f>
        <v>4.0828000000000007</v>
      </c>
      <c r="EM629" s="6"/>
      <c r="EN629" s="6"/>
      <c r="EO629" s="6"/>
      <c r="EP629" s="6"/>
      <c r="EQ629" s="6"/>
      <c r="ER629" s="6"/>
      <c r="ES629" s="6"/>
      <c r="ET629" s="6"/>
      <c r="EU629" s="6"/>
      <c r="EV629" s="6"/>
      <c r="EW629" s="6"/>
      <c r="EX629" s="6"/>
      <c r="EY629" s="8"/>
      <c r="EZ629" s="6"/>
      <c r="FA629" s="10"/>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32"/>
      <c r="GQ629" s="6"/>
      <c r="GR629" s="6"/>
      <c r="GS629" s="6"/>
      <c r="GT629" s="6"/>
      <c r="GU629" s="6"/>
      <c r="GV629" s="6"/>
      <c r="GW629" s="6"/>
      <c r="GX629" s="6"/>
      <c r="GY629" s="6" t="s">
        <v>309</v>
      </c>
      <c r="GZ629" s="6" t="s">
        <v>436</v>
      </c>
      <c r="HA629" s="6"/>
      <c r="HB629" s="6"/>
      <c r="HC629" s="6" t="s">
        <v>437</v>
      </c>
      <c r="HD629" s="8" t="s">
        <v>5255</v>
      </c>
      <c r="HE629" s="8">
        <v>35396</v>
      </c>
      <c r="HF629" s="8" t="s">
        <v>5256</v>
      </c>
      <c r="HG629" s="9" t="s">
        <v>538</v>
      </c>
      <c r="HH629" s="9"/>
      <c r="HI629" s="8"/>
      <c r="HJ629" s="9"/>
      <c r="HK629" s="9"/>
      <c r="HL629" s="9"/>
      <c r="HM629" s="8"/>
      <c r="HN629" s="9"/>
      <c r="HO629" s="9"/>
      <c r="HP629" s="9"/>
      <c r="HQ629" s="8"/>
      <c r="HR629" s="9"/>
      <c r="HS629" s="9"/>
      <c r="HT629" s="9"/>
      <c r="HU629" s="9"/>
      <c r="HV629" s="9"/>
      <c r="HW629" s="9"/>
      <c r="HX629" s="9"/>
      <c r="HY629" s="8"/>
      <c r="HZ629" s="9"/>
      <c r="IA629" s="9"/>
      <c r="IB629" s="8" t="s">
        <v>2498</v>
      </c>
      <c r="IC629" s="8">
        <v>40137</v>
      </c>
      <c r="ID629" s="8" t="s">
        <v>2499</v>
      </c>
      <c r="IE629" s="8" t="s">
        <v>538</v>
      </c>
      <c r="IF629" s="8" t="s">
        <v>319</v>
      </c>
      <c r="IG629" s="8"/>
      <c r="IH629" s="8"/>
      <c r="II629" s="8"/>
      <c r="IJ629" s="8"/>
      <c r="IK629" s="8"/>
      <c r="IL629" s="9"/>
      <c r="IM629" s="8"/>
      <c r="IN629" s="9"/>
      <c r="IO629" s="9"/>
      <c r="IP629" s="9"/>
      <c r="IQ629" s="9"/>
      <c r="IR629" s="8"/>
      <c r="IS629" s="9"/>
      <c r="IT629" s="9"/>
      <c r="IU629" s="9"/>
      <c r="IV629" s="9"/>
      <c r="IW629" s="8"/>
      <c r="IX629" s="9"/>
      <c r="IY629" s="9"/>
      <c r="IZ629" s="9"/>
      <c r="JA629" s="9"/>
      <c r="JB629" s="8"/>
      <c r="JC629" s="9"/>
      <c r="JD629" s="9"/>
      <c r="JE629" s="9"/>
      <c r="JF629" s="9"/>
      <c r="JG629" s="9"/>
      <c r="JH629" s="9"/>
      <c r="JI629" s="9"/>
      <c r="JJ629" s="9"/>
      <c r="JK629" s="9"/>
      <c r="JL629" s="9"/>
      <c r="JM629" s="9"/>
      <c r="JN629" s="9"/>
      <c r="JO629" s="9"/>
      <c r="JP629" s="9"/>
      <c r="JQ629" s="9"/>
      <c r="JR629" s="9"/>
      <c r="JS629" s="9"/>
      <c r="JT629" s="9"/>
      <c r="JU629" s="7"/>
      <c r="JV629" s="7"/>
      <c r="JW629" s="7"/>
      <c r="JX629" s="7" t="s">
        <v>322</v>
      </c>
      <c r="JY629" s="7" t="s">
        <v>470</v>
      </c>
      <c r="JZ629" s="7" t="s">
        <v>320</v>
      </c>
      <c r="KA629" s="7"/>
      <c r="KB629" s="7"/>
      <c r="KC629" s="7"/>
      <c r="KD629" s="7"/>
      <c r="KE629" s="7"/>
      <c r="KF629" s="7"/>
      <c r="KG629" s="4" t="s">
        <v>323</v>
      </c>
      <c r="KH629" s="4"/>
      <c r="KI629" s="4"/>
      <c r="KJ629" s="4"/>
      <c r="KK629" s="4"/>
      <c r="KL629" s="4"/>
      <c r="KM629" s="4" t="s">
        <v>521</v>
      </c>
      <c r="KN629" s="4" t="s">
        <v>522</v>
      </c>
      <c r="KO629" s="4"/>
      <c r="KP629" s="5" t="s">
        <v>358</v>
      </c>
      <c r="KQ629" s="5" t="s">
        <v>2500</v>
      </c>
      <c r="KR629" s="5"/>
      <c r="KS629" s="5" t="s">
        <v>586</v>
      </c>
      <c r="KT629" s="5" t="s">
        <v>5257</v>
      </c>
    </row>
    <row r="630" spans="1:306" s="14" customFormat="1" ht="144" x14ac:dyDescent="0.25">
      <c r="A630" s="5" t="s">
        <v>5279</v>
      </c>
      <c r="B630" s="4" t="s">
        <v>424</v>
      </c>
      <c r="C630" s="7" t="s">
        <v>425</v>
      </c>
      <c r="D630" s="8" t="s">
        <v>426</v>
      </c>
      <c r="E630" s="4">
        <v>333974</v>
      </c>
      <c r="F630" s="4"/>
      <c r="G630" s="4" t="s">
        <v>530</v>
      </c>
      <c r="H630" s="6">
        <v>132.15</v>
      </c>
      <c r="I630" s="6">
        <v>-13.667199999999999</v>
      </c>
      <c r="J630" s="4" t="s">
        <v>5280</v>
      </c>
      <c r="K630" s="4" t="s">
        <v>481</v>
      </c>
      <c r="L630" s="4" t="s">
        <v>532</v>
      </c>
      <c r="M630" s="4"/>
      <c r="N630" s="4"/>
      <c r="O630" s="8"/>
      <c r="P630" s="4"/>
      <c r="Q630" s="8"/>
      <c r="R630" s="8"/>
      <c r="S630" s="9"/>
      <c r="T630" s="9"/>
      <c r="U630" s="9"/>
      <c r="V630" s="9"/>
      <c r="W630" s="9"/>
      <c r="X630" s="9"/>
      <c r="Y630" s="8"/>
      <c r="Z630" s="4" t="s">
        <v>424</v>
      </c>
      <c r="AA630" s="7" t="s">
        <v>425</v>
      </c>
      <c r="AB630" s="8" t="s">
        <v>426</v>
      </c>
      <c r="AC630" s="4" t="s">
        <v>301</v>
      </c>
      <c r="AD630" s="4" t="s">
        <v>375</v>
      </c>
      <c r="AE630" s="8">
        <v>1810</v>
      </c>
      <c r="AF630" s="8"/>
      <c r="AG630" s="9" t="s">
        <v>379</v>
      </c>
      <c r="AH630" s="9" t="s">
        <v>380</v>
      </c>
      <c r="AI630" s="9"/>
      <c r="AJ630" s="9"/>
      <c r="AK630" s="9"/>
      <c r="AL630" s="9"/>
      <c r="AM630" s="8">
        <v>3</v>
      </c>
      <c r="AN630" s="4" t="s">
        <v>381</v>
      </c>
      <c r="AO630" s="4" t="s">
        <v>382</v>
      </c>
      <c r="AP630" s="4" t="s">
        <v>383</v>
      </c>
      <c r="AQ630" s="7" t="s">
        <v>384</v>
      </c>
      <c r="AR630" s="7" t="s">
        <v>433</v>
      </c>
      <c r="AS630" s="7">
        <v>0</v>
      </c>
      <c r="AT630" s="7">
        <v>0</v>
      </c>
      <c r="AU630" s="9" t="s">
        <v>303</v>
      </c>
      <c r="AV630" s="9" t="s">
        <v>406</v>
      </c>
      <c r="AW630" s="9"/>
      <c r="AX630" s="9"/>
      <c r="AY630" s="9"/>
      <c r="AZ630" s="9"/>
      <c r="BA630" s="8">
        <v>5</v>
      </c>
      <c r="BB630" s="4"/>
      <c r="BC630" s="4"/>
      <c r="BD630" s="4"/>
      <c r="BE630" s="7"/>
      <c r="BF630" s="8"/>
      <c r="BG630" s="9"/>
      <c r="BH630" s="9"/>
      <c r="BI630" s="9"/>
      <c r="BJ630" s="9"/>
      <c r="BK630" s="9"/>
      <c r="BL630" s="9"/>
      <c r="BM630" s="9"/>
      <c r="BN630" s="9"/>
      <c r="BO630" s="8"/>
      <c r="BP630" s="7">
        <v>2.181</v>
      </c>
      <c r="BQ630" s="9"/>
      <c r="BR630" s="6"/>
      <c r="BS630" s="6"/>
      <c r="BT630" s="6"/>
      <c r="BU630" s="6"/>
      <c r="BV630" s="6">
        <v>3.0894773039889958</v>
      </c>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31"/>
      <c r="EA630" s="6"/>
      <c r="EB630" s="6"/>
      <c r="EC630" s="6"/>
      <c r="ED630" s="6"/>
      <c r="EE630" s="6"/>
      <c r="EF630" s="6"/>
      <c r="EG630" s="6"/>
      <c r="EH630" s="10"/>
      <c r="EI630" s="10"/>
      <c r="EJ630" s="10"/>
      <c r="EK630" s="10"/>
      <c r="EL630" s="6">
        <f>BP630*BV630</f>
        <v>6.7381500000000001</v>
      </c>
      <c r="EM630" s="6"/>
      <c r="EN630" s="6"/>
      <c r="EO630" s="6"/>
      <c r="EP630" s="6"/>
      <c r="EQ630" s="6"/>
      <c r="ER630" s="6"/>
      <c r="ES630" s="6"/>
      <c r="ET630" s="6"/>
      <c r="EU630" s="6"/>
      <c r="EV630" s="6"/>
      <c r="EW630" s="6"/>
      <c r="EX630" s="6"/>
      <c r="EY630" s="8"/>
      <c r="EZ630" s="6"/>
      <c r="FA630" s="10"/>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32"/>
      <c r="GQ630" s="6"/>
      <c r="GR630" s="6"/>
      <c r="GS630" s="6"/>
      <c r="GT630" s="6"/>
      <c r="GU630" s="6"/>
      <c r="GV630" s="6"/>
      <c r="GW630" s="6"/>
      <c r="GX630" s="6"/>
      <c r="GY630" s="31" t="s">
        <v>407</v>
      </c>
      <c r="GZ630" s="6" t="s">
        <v>436</v>
      </c>
      <c r="HA630" s="6"/>
      <c r="HB630" s="6"/>
      <c r="HC630" s="6" t="s">
        <v>437</v>
      </c>
      <c r="HD630" s="9" t="s">
        <v>3183</v>
      </c>
      <c r="HE630" s="8">
        <v>27066</v>
      </c>
      <c r="HF630" s="9" t="s">
        <v>5281</v>
      </c>
      <c r="HG630" s="9" t="s">
        <v>538</v>
      </c>
      <c r="HH630" s="9"/>
      <c r="HI630" s="8"/>
      <c r="HJ630" s="9"/>
      <c r="HK630" s="9"/>
      <c r="HL630" s="9"/>
      <c r="HM630" s="8"/>
      <c r="HN630" s="9"/>
      <c r="HO630" s="9"/>
      <c r="HP630" s="9"/>
      <c r="HQ630" s="8"/>
      <c r="HR630" s="9"/>
      <c r="HS630" s="9"/>
      <c r="HT630" s="9"/>
      <c r="HU630" s="9"/>
      <c r="HV630" s="9"/>
      <c r="HW630" s="9"/>
      <c r="HX630" s="9"/>
      <c r="HY630" s="8"/>
      <c r="HZ630" s="9"/>
      <c r="IA630" s="9"/>
      <c r="IB630" s="8" t="s">
        <v>1576</v>
      </c>
      <c r="IC630" s="8">
        <v>30778</v>
      </c>
      <c r="ID630" s="8" t="s">
        <v>2203</v>
      </c>
      <c r="IE630" s="8" t="s">
        <v>538</v>
      </c>
      <c r="IF630" s="8" t="s">
        <v>1578</v>
      </c>
      <c r="IG630" s="8"/>
      <c r="IH630" s="8"/>
      <c r="II630" s="8"/>
      <c r="IJ630" s="8"/>
      <c r="IK630" s="8"/>
      <c r="IL630" s="9"/>
      <c r="IM630" s="8"/>
      <c r="IN630" s="9"/>
      <c r="IO630" s="9"/>
      <c r="IP630" s="9"/>
      <c r="IQ630" s="9"/>
      <c r="IR630" s="8"/>
      <c r="IS630" s="9"/>
      <c r="IT630" s="9"/>
      <c r="IU630" s="9"/>
      <c r="IV630" s="9"/>
      <c r="IW630" s="8"/>
      <c r="IX630" s="9"/>
      <c r="IY630" s="9"/>
      <c r="IZ630" s="9"/>
      <c r="JA630" s="9"/>
      <c r="JB630" s="8"/>
      <c r="JC630" s="9"/>
      <c r="JD630" s="9"/>
      <c r="JE630" s="9"/>
      <c r="JF630" s="9"/>
      <c r="JG630" s="9"/>
      <c r="JH630" s="9"/>
      <c r="JI630" s="9"/>
      <c r="JJ630" s="9"/>
      <c r="JK630" s="9"/>
      <c r="JL630" s="9"/>
      <c r="JM630" s="9"/>
      <c r="JN630" s="9"/>
      <c r="JO630" s="9"/>
      <c r="JP630" s="9"/>
      <c r="JQ630" s="9"/>
      <c r="JR630" s="9"/>
      <c r="JS630" s="9"/>
      <c r="JT630" s="9"/>
      <c r="JU630" s="7"/>
      <c r="JV630" s="7" t="s">
        <v>5282</v>
      </c>
      <c r="JW630" s="7" t="s">
        <v>1772</v>
      </c>
      <c r="JX630" s="7" t="s">
        <v>320</v>
      </c>
      <c r="JY630" s="7" t="s">
        <v>354</v>
      </c>
      <c r="JZ630" s="7" t="s">
        <v>322</v>
      </c>
      <c r="KA630" s="7"/>
      <c r="KB630" s="7"/>
      <c r="KC630" s="7"/>
      <c r="KD630" s="7"/>
      <c r="KE630" s="7"/>
      <c r="KF630" s="7"/>
      <c r="KG630" s="4" t="s">
        <v>323</v>
      </c>
      <c r="KH630" s="4"/>
      <c r="KI630" s="4"/>
      <c r="KJ630" s="4"/>
      <c r="KK630" s="4"/>
      <c r="KL630" s="4"/>
      <c r="KM630" s="4" t="s">
        <v>836</v>
      </c>
      <c r="KN630" s="4" t="s">
        <v>836</v>
      </c>
      <c r="KO630" s="4"/>
      <c r="KP630" s="5" t="s">
        <v>358</v>
      </c>
      <c r="KQ630" s="5" t="s">
        <v>739</v>
      </c>
      <c r="KR630" s="5"/>
      <c r="KS630" s="5" t="s">
        <v>739</v>
      </c>
      <c r="KT630" s="5" t="s">
        <v>5283</v>
      </c>
    </row>
    <row r="631" spans="1:306" s="14" customFormat="1" ht="36" x14ac:dyDescent="0.25">
      <c r="A631" s="5" t="s">
        <v>5327</v>
      </c>
      <c r="B631" s="4" t="s">
        <v>424</v>
      </c>
      <c r="C631" s="7" t="s">
        <v>425</v>
      </c>
      <c r="D631" s="8" t="s">
        <v>426</v>
      </c>
      <c r="E631" s="4">
        <v>637304</v>
      </c>
      <c r="F631" s="4"/>
      <c r="G631" s="4" t="s">
        <v>330</v>
      </c>
      <c r="H631" s="6">
        <v>123.6264</v>
      </c>
      <c r="I631" s="6">
        <v>-28.085429999999999</v>
      </c>
      <c r="J631" s="4" t="s">
        <v>569</v>
      </c>
      <c r="K631" s="4" t="s">
        <v>331</v>
      </c>
      <c r="L631" s="4" t="s">
        <v>500</v>
      </c>
      <c r="M631" s="4" t="s">
        <v>501</v>
      </c>
      <c r="N631" s="4" t="s">
        <v>570</v>
      </c>
      <c r="O631" s="8"/>
      <c r="P631" s="4"/>
      <c r="Q631" s="8"/>
      <c r="R631" s="9"/>
      <c r="S631" s="9"/>
      <c r="T631" s="9"/>
      <c r="U631" s="9"/>
      <c r="V631" s="9"/>
      <c r="W631" s="9"/>
      <c r="X631" s="9"/>
      <c r="Y631" s="8"/>
      <c r="Z631" s="4" t="s">
        <v>424</v>
      </c>
      <c r="AA631" s="7" t="s">
        <v>425</v>
      </c>
      <c r="AB631" s="8" t="s">
        <v>426</v>
      </c>
      <c r="AC631" s="4" t="s">
        <v>301</v>
      </c>
      <c r="AD631" s="4" t="s">
        <v>375</v>
      </c>
      <c r="AE631" s="8">
        <v>2620</v>
      </c>
      <c r="AF631" s="9"/>
      <c r="AG631" s="9" t="s">
        <v>379</v>
      </c>
      <c r="AH631" s="9" t="s">
        <v>380</v>
      </c>
      <c r="AI631" s="9"/>
      <c r="AJ631" s="9"/>
      <c r="AK631" s="9"/>
      <c r="AL631" s="9"/>
      <c r="AM631" s="8">
        <v>2</v>
      </c>
      <c r="AN631" s="4" t="s">
        <v>381</v>
      </c>
      <c r="AO631" s="4" t="s">
        <v>382</v>
      </c>
      <c r="AP631" s="4" t="s">
        <v>383</v>
      </c>
      <c r="AQ631" s="7" t="s">
        <v>384</v>
      </c>
      <c r="AR631" s="8" t="s">
        <v>433</v>
      </c>
      <c r="AS631" s="7">
        <v>0</v>
      </c>
      <c r="AT631" s="7">
        <v>0</v>
      </c>
      <c r="AU631" s="4" t="s">
        <v>303</v>
      </c>
      <c r="AV631" s="4" t="s">
        <v>406</v>
      </c>
      <c r="AW631" s="4"/>
      <c r="AX631" s="4"/>
      <c r="AY631" s="4"/>
      <c r="AZ631" s="4"/>
      <c r="BA631" s="8">
        <v>5</v>
      </c>
      <c r="BB631" s="4"/>
      <c r="BC631" s="4"/>
      <c r="BD631" s="4"/>
      <c r="BE631" s="7"/>
      <c r="BF631" s="8"/>
      <c r="BG631" s="8"/>
      <c r="BH631" s="9"/>
      <c r="BI631" s="9"/>
      <c r="BJ631" s="9"/>
      <c r="BK631" s="9"/>
      <c r="BL631" s="9"/>
      <c r="BM631" s="9"/>
      <c r="BN631" s="9"/>
      <c r="BO631" s="8"/>
      <c r="BP631" s="7">
        <v>3.27</v>
      </c>
      <c r="BQ631" s="6"/>
      <c r="BR631" s="6"/>
      <c r="BS631" s="6"/>
      <c r="BT631" s="6"/>
      <c r="BU631" s="8"/>
      <c r="BV631" s="6">
        <v>1.27</v>
      </c>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31"/>
      <c r="EA631" s="6"/>
      <c r="EB631" s="6"/>
      <c r="EC631" s="6"/>
      <c r="ED631" s="6"/>
      <c r="EE631" s="6"/>
      <c r="EF631" s="6"/>
      <c r="EG631" s="6"/>
      <c r="EH631" s="10"/>
      <c r="EI631" s="10"/>
      <c r="EJ631" s="10"/>
      <c r="EK631" s="10"/>
      <c r="EL631" s="6">
        <f>BP631*BV631</f>
        <v>4.1528999999999998</v>
      </c>
      <c r="EM631" s="6"/>
      <c r="EN631" s="6"/>
      <c r="EO631" s="6"/>
      <c r="EP631" s="6"/>
      <c r="EQ631" s="6"/>
      <c r="ER631" s="6"/>
      <c r="ES631" s="6"/>
      <c r="ET631" s="6"/>
      <c r="EU631" s="6"/>
      <c r="EV631" s="6"/>
      <c r="EW631" s="6"/>
      <c r="EX631" s="6"/>
      <c r="EY631" s="8"/>
      <c r="EZ631" s="6"/>
      <c r="FA631" s="10"/>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32"/>
      <c r="GQ631" s="6"/>
      <c r="GR631" s="6"/>
      <c r="GS631" s="6"/>
      <c r="GT631" s="6"/>
      <c r="GU631" s="6"/>
      <c r="GV631" s="6"/>
      <c r="GW631" s="6"/>
      <c r="GX631" s="6"/>
      <c r="GY631" s="6" t="s">
        <v>338</v>
      </c>
      <c r="GZ631" s="6" t="s">
        <v>436</v>
      </c>
      <c r="HA631" s="6"/>
      <c r="HB631" s="6"/>
      <c r="HC631" s="6" t="s">
        <v>437</v>
      </c>
      <c r="HD631" s="8"/>
      <c r="HE631" s="8"/>
      <c r="HF631" s="8" t="s">
        <v>571</v>
      </c>
      <c r="HG631" s="9" t="s">
        <v>507</v>
      </c>
      <c r="HH631" s="9"/>
      <c r="HI631" s="8"/>
      <c r="HJ631" s="9"/>
      <c r="HK631" s="9"/>
      <c r="HL631" s="9"/>
      <c r="HM631" s="8"/>
      <c r="HN631" s="9"/>
      <c r="HO631" s="9"/>
      <c r="HP631" s="9"/>
      <c r="HQ631" s="8"/>
      <c r="HR631" s="9"/>
      <c r="HS631" s="9"/>
      <c r="HT631" s="9"/>
      <c r="HU631" s="9"/>
      <c r="HV631" s="9"/>
      <c r="HW631" s="9"/>
      <c r="HX631" s="9"/>
      <c r="HY631" s="8"/>
      <c r="HZ631" s="9"/>
      <c r="IA631" s="9"/>
      <c r="IB631" s="8"/>
      <c r="IC631" s="8"/>
      <c r="ID631" s="8"/>
      <c r="IE631" s="8"/>
      <c r="IF631" s="8"/>
      <c r="IG631" s="8"/>
      <c r="IH631" s="8"/>
      <c r="II631" s="8"/>
      <c r="IJ631" s="8"/>
      <c r="IK631" s="8"/>
      <c r="IL631" s="9"/>
      <c r="IM631" s="8"/>
      <c r="IN631" s="9"/>
      <c r="IO631" s="9"/>
      <c r="IP631" s="9"/>
      <c r="IQ631" s="9"/>
      <c r="IR631" s="9"/>
      <c r="IS631" s="9"/>
      <c r="IT631" s="9"/>
      <c r="IU631" s="9"/>
      <c r="IV631" s="9"/>
      <c r="IW631" s="9"/>
      <c r="IX631" s="9"/>
      <c r="IY631" s="9"/>
      <c r="IZ631" s="9"/>
      <c r="JA631" s="9"/>
      <c r="JB631" s="9"/>
      <c r="JC631" s="9"/>
      <c r="JD631" s="9"/>
      <c r="JE631" s="9"/>
      <c r="JF631" s="9"/>
      <c r="JG631" s="9"/>
      <c r="JH631" s="9"/>
      <c r="JI631" s="9"/>
      <c r="JJ631" s="9"/>
      <c r="JK631" s="9"/>
      <c r="JL631" s="9"/>
      <c r="JM631" s="9"/>
      <c r="JN631" s="9"/>
      <c r="JO631" s="9"/>
      <c r="JP631" s="9"/>
      <c r="JQ631" s="9"/>
      <c r="JR631" s="9"/>
      <c r="JS631" s="9"/>
      <c r="JT631" s="9"/>
      <c r="JU631" s="7"/>
      <c r="JV631" s="7"/>
      <c r="JW631" s="7"/>
      <c r="JX631" s="7"/>
      <c r="JY631" s="7"/>
      <c r="JZ631" s="7"/>
      <c r="KA631" s="7"/>
      <c r="KB631" s="7"/>
      <c r="KC631" s="7"/>
      <c r="KD631" s="7"/>
      <c r="KE631" s="7"/>
      <c r="KF631" s="7"/>
      <c r="KG631" s="4"/>
      <c r="KH631" s="4"/>
      <c r="KI631" s="4"/>
      <c r="KJ631" s="4"/>
      <c r="KK631" s="4"/>
      <c r="KL631" s="4"/>
      <c r="KM631" s="4" t="s">
        <v>391</v>
      </c>
      <c r="KN631" s="4" t="s">
        <v>391</v>
      </c>
      <c r="KO631" s="4"/>
      <c r="KP631" s="5" t="s">
        <v>358</v>
      </c>
      <c r="KQ631" s="5" t="s">
        <v>572</v>
      </c>
      <c r="KR631" s="5" t="s">
        <v>573</v>
      </c>
      <c r="KS631" s="5" t="s">
        <v>574</v>
      </c>
      <c r="KT631" s="5" t="s">
        <v>575</v>
      </c>
    </row>
    <row r="632" spans="1:306" s="14" customFormat="1" ht="108" x14ac:dyDescent="0.2">
      <c r="A632" s="5" t="s">
        <v>5328</v>
      </c>
      <c r="B632" s="4" t="s">
        <v>424</v>
      </c>
      <c r="C632" s="7" t="s">
        <v>425</v>
      </c>
      <c r="D632" s="8" t="s">
        <v>426</v>
      </c>
      <c r="E632" s="44">
        <v>865586</v>
      </c>
      <c r="F632" s="4"/>
      <c r="G632" s="4" t="s">
        <v>479</v>
      </c>
      <c r="H632" s="6">
        <v>143.25</v>
      </c>
      <c r="I632" s="6">
        <v>-18.64</v>
      </c>
      <c r="J632" s="4"/>
      <c r="K632" s="4" t="s">
        <v>481</v>
      </c>
      <c r="L632" s="4" t="s">
        <v>482</v>
      </c>
      <c r="M632" s="4"/>
      <c r="N632" s="4"/>
      <c r="O632" s="8"/>
      <c r="P632" s="4"/>
      <c r="Q632" s="7"/>
      <c r="R632" s="7"/>
      <c r="S632" s="9"/>
      <c r="T632" s="9"/>
      <c r="U632" s="9"/>
      <c r="V632" s="9"/>
      <c r="W632" s="9"/>
      <c r="X632" s="9"/>
      <c r="Y632" s="8"/>
      <c r="Z632" s="4" t="s">
        <v>424</v>
      </c>
      <c r="AA632" s="7" t="s">
        <v>425</v>
      </c>
      <c r="AB632" s="8" t="s">
        <v>426</v>
      </c>
      <c r="AC632" s="4" t="s">
        <v>301</v>
      </c>
      <c r="AD632" s="4" t="s">
        <v>375</v>
      </c>
      <c r="AE632" s="7">
        <v>378.7</v>
      </c>
      <c r="AF632" s="7">
        <v>8.6999999999999993</v>
      </c>
      <c r="AG632" s="9" t="s">
        <v>379</v>
      </c>
      <c r="AH632" s="9" t="s">
        <v>429</v>
      </c>
      <c r="AI632" s="9" t="s">
        <v>430</v>
      </c>
      <c r="AJ632" s="9" t="s">
        <v>1238</v>
      </c>
      <c r="AK632" s="9"/>
      <c r="AL632" s="9"/>
      <c r="AM632" s="8">
        <v>3</v>
      </c>
      <c r="AN632" s="4" t="s">
        <v>381</v>
      </c>
      <c r="AO632" s="4" t="s">
        <v>402</v>
      </c>
      <c r="AP632" s="4" t="s">
        <v>383</v>
      </c>
      <c r="AQ632" s="7" t="s">
        <v>384</v>
      </c>
      <c r="AR632" s="8" t="s">
        <v>433</v>
      </c>
      <c r="AS632" s="7">
        <v>0</v>
      </c>
      <c r="AT632" s="7">
        <v>0</v>
      </c>
      <c r="AU632" s="9" t="s">
        <v>303</v>
      </c>
      <c r="AV632" s="9" t="s">
        <v>406</v>
      </c>
      <c r="AW632" s="9"/>
      <c r="AX632" s="9"/>
      <c r="AY632" s="9"/>
      <c r="AZ632" s="9"/>
      <c r="BA632" s="8">
        <v>5</v>
      </c>
      <c r="BB632" s="4"/>
      <c r="BC632" s="4"/>
      <c r="BD632" s="4"/>
      <c r="BE632" s="7"/>
      <c r="BF632" s="8"/>
      <c r="BG632" s="9"/>
      <c r="BH632" s="9"/>
      <c r="BI632" s="9"/>
      <c r="BJ632" s="9"/>
      <c r="BK632" s="9"/>
      <c r="BL632" s="9"/>
      <c r="BM632" s="9"/>
      <c r="BN632" s="9"/>
      <c r="BO632" s="8"/>
      <c r="BP632" s="7"/>
      <c r="BQ632" s="6"/>
      <c r="BR632" s="6"/>
      <c r="BS632" s="6"/>
      <c r="BT632" s="6"/>
      <c r="BU632" s="8"/>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31"/>
      <c r="EA632" s="6"/>
      <c r="EB632" s="6"/>
      <c r="EC632" s="6"/>
      <c r="ED632" s="6"/>
      <c r="EE632" s="6"/>
      <c r="EF632" s="6"/>
      <c r="EG632" s="6"/>
      <c r="EH632" s="10"/>
      <c r="EI632" s="10"/>
      <c r="EJ632" s="10"/>
      <c r="EK632" s="10"/>
      <c r="EL632" s="6">
        <v>6.9400000000000003E-2</v>
      </c>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32"/>
      <c r="GQ632" s="6"/>
      <c r="GR632" s="6"/>
      <c r="GS632" s="6"/>
      <c r="GT632" s="6"/>
      <c r="GU632" s="6"/>
      <c r="GV632" s="6"/>
      <c r="GW632" s="6"/>
      <c r="GX632" s="6"/>
      <c r="GY632" s="6" t="s">
        <v>309</v>
      </c>
      <c r="GZ632" s="6" t="s">
        <v>436</v>
      </c>
      <c r="HA632" s="6"/>
      <c r="HB632" s="6"/>
      <c r="HC632" s="6" t="s">
        <v>437</v>
      </c>
      <c r="HD632" s="8" t="s">
        <v>4209</v>
      </c>
      <c r="HE632" s="8">
        <v>24353</v>
      </c>
      <c r="HF632" s="8" t="s">
        <v>4210</v>
      </c>
      <c r="HG632" s="4" t="s">
        <v>490</v>
      </c>
      <c r="HH632" s="8" t="s">
        <v>5329</v>
      </c>
      <c r="HI632" s="8">
        <v>27055</v>
      </c>
      <c r="HJ632" s="8" t="s">
        <v>5330</v>
      </c>
      <c r="HK632" s="8" t="s">
        <v>487</v>
      </c>
      <c r="HL632" s="9"/>
      <c r="HM632" s="8"/>
      <c r="HN632" s="9"/>
      <c r="HO632" s="9"/>
      <c r="HP632" s="9"/>
      <c r="HQ632" s="8"/>
      <c r="HR632" s="9"/>
      <c r="HS632" s="9"/>
      <c r="HT632" s="9"/>
      <c r="HU632" s="9"/>
      <c r="HV632" s="9"/>
      <c r="HW632" s="9"/>
      <c r="HX632" s="9"/>
      <c r="HY632" s="9"/>
      <c r="HZ632" s="9"/>
      <c r="IA632" s="9"/>
      <c r="IB632" s="8" t="s">
        <v>5329</v>
      </c>
      <c r="IC632" s="8">
        <v>27055</v>
      </c>
      <c r="ID632" s="8" t="s">
        <v>5330</v>
      </c>
      <c r="IE632" s="8" t="s">
        <v>487</v>
      </c>
      <c r="IF632" s="8" t="s">
        <v>445</v>
      </c>
      <c r="IG632" s="8"/>
      <c r="IH632" s="8"/>
      <c r="II632" s="8"/>
      <c r="IJ632" s="8"/>
      <c r="IK632" s="8"/>
      <c r="IL632" s="9"/>
      <c r="IM632" s="8"/>
      <c r="IN632" s="9"/>
      <c r="IO632" s="8"/>
      <c r="IP632" s="8"/>
      <c r="IQ632" s="9"/>
      <c r="IR632" s="9"/>
      <c r="IS632" s="9"/>
      <c r="IT632" s="9"/>
      <c r="IU632" s="9"/>
      <c r="IV632" s="9"/>
      <c r="IW632" s="9"/>
      <c r="IX632" s="9"/>
      <c r="IY632" s="9"/>
      <c r="IZ632" s="9"/>
      <c r="JA632" s="9"/>
      <c r="JB632" s="9"/>
      <c r="JC632" s="9"/>
      <c r="JD632" s="9"/>
      <c r="JE632" s="9"/>
      <c r="JF632" s="9"/>
      <c r="JG632" s="9"/>
      <c r="JH632" s="9"/>
      <c r="JI632" s="9"/>
      <c r="JJ632" s="9"/>
      <c r="JK632" s="9"/>
      <c r="JL632" s="9"/>
      <c r="JM632" s="9"/>
      <c r="JN632" s="9"/>
      <c r="JO632" s="9"/>
      <c r="JP632" s="9"/>
      <c r="JQ632" s="9"/>
      <c r="JR632" s="9"/>
      <c r="JS632" s="9"/>
      <c r="JT632" s="9"/>
      <c r="JU632" s="7"/>
      <c r="JV632" s="7" t="s">
        <v>3825</v>
      </c>
      <c r="JW632" s="7"/>
      <c r="JX632" s="7" t="s">
        <v>320</v>
      </c>
      <c r="JY632" s="7"/>
      <c r="JZ632" s="7"/>
      <c r="KA632" s="7"/>
      <c r="KB632" s="7"/>
      <c r="KC632" s="7"/>
      <c r="KD632" s="7"/>
      <c r="KE632" s="7"/>
      <c r="KF632" s="7"/>
      <c r="KG632" s="4" t="s">
        <v>323</v>
      </c>
      <c r="KH632" s="4"/>
      <c r="KI632" s="4"/>
      <c r="KJ632" s="4"/>
      <c r="KK632" s="4"/>
      <c r="KL632" s="4"/>
      <c r="KM632" s="4"/>
      <c r="KN632" s="4"/>
      <c r="KO632" s="4"/>
      <c r="KP632" s="5" t="s">
        <v>495</v>
      </c>
      <c r="KQ632" s="5" t="s">
        <v>495</v>
      </c>
      <c r="KR632" s="5" t="s">
        <v>495</v>
      </c>
      <c r="KS632" s="5" t="s">
        <v>495</v>
      </c>
      <c r="KT632" s="5" t="s">
        <v>5331</v>
      </c>
    </row>
    <row r="633" spans="1:306" s="14" customFormat="1" ht="36" x14ac:dyDescent="0.25">
      <c r="A633" s="5" t="s">
        <v>5332</v>
      </c>
      <c r="B633" s="4" t="s">
        <v>424</v>
      </c>
      <c r="C633" s="7" t="s">
        <v>425</v>
      </c>
      <c r="D633" s="8" t="s">
        <v>426</v>
      </c>
      <c r="E633" s="4">
        <v>333475</v>
      </c>
      <c r="F633" s="4"/>
      <c r="G633" s="4" t="s">
        <v>330</v>
      </c>
      <c r="H633" s="6">
        <v>122.3479</v>
      </c>
      <c r="I633" s="6">
        <v>-27.6112</v>
      </c>
      <c r="J633" s="4" t="s">
        <v>3326</v>
      </c>
      <c r="K633" s="4" t="s">
        <v>331</v>
      </c>
      <c r="L633" s="4" t="s">
        <v>500</v>
      </c>
      <c r="M633" s="4" t="s">
        <v>501</v>
      </c>
      <c r="N633" s="4" t="s">
        <v>625</v>
      </c>
      <c r="O633" s="8"/>
      <c r="P633" s="4"/>
      <c r="Q633" s="8"/>
      <c r="R633" s="9"/>
      <c r="S633" s="9"/>
      <c r="T633" s="9"/>
      <c r="U633" s="9"/>
      <c r="V633" s="9"/>
      <c r="W633" s="9"/>
      <c r="X633" s="9"/>
      <c r="Y633" s="8"/>
      <c r="Z633" s="4" t="s">
        <v>424</v>
      </c>
      <c r="AA633" s="7" t="s">
        <v>425</v>
      </c>
      <c r="AB633" s="8" t="s">
        <v>426</v>
      </c>
      <c r="AC633" s="4" t="s">
        <v>301</v>
      </c>
      <c r="AD633" s="4" t="s">
        <v>375</v>
      </c>
      <c r="AE633" s="8">
        <v>2650</v>
      </c>
      <c r="AF633" s="9"/>
      <c r="AG633" s="9" t="s">
        <v>379</v>
      </c>
      <c r="AH633" s="9" t="s">
        <v>380</v>
      </c>
      <c r="AI633" s="9"/>
      <c r="AJ633" s="9"/>
      <c r="AK633" s="9"/>
      <c r="AL633" s="9"/>
      <c r="AM633" s="8">
        <v>2</v>
      </c>
      <c r="AN633" s="4" t="s">
        <v>381</v>
      </c>
      <c r="AO633" s="4" t="s">
        <v>382</v>
      </c>
      <c r="AP633" s="4" t="s">
        <v>383</v>
      </c>
      <c r="AQ633" s="7" t="s">
        <v>384</v>
      </c>
      <c r="AR633" s="7" t="s">
        <v>433</v>
      </c>
      <c r="AS633" s="7">
        <v>0</v>
      </c>
      <c r="AT633" s="7">
        <v>0</v>
      </c>
      <c r="AU633" s="4" t="s">
        <v>303</v>
      </c>
      <c r="AV633" s="4" t="s">
        <v>406</v>
      </c>
      <c r="AW633" s="4"/>
      <c r="AX633" s="4"/>
      <c r="AY633" s="4"/>
      <c r="AZ633" s="4"/>
      <c r="BA633" s="8">
        <v>5</v>
      </c>
      <c r="BB633" s="4"/>
      <c r="BC633" s="4"/>
      <c r="BD633" s="4"/>
      <c r="BE633" s="7"/>
      <c r="BF633" s="8"/>
      <c r="BG633" s="8"/>
      <c r="BH633" s="9"/>
      <c r="BI633" s="9"/>
      <c r="BJ633" s="9"/>
      <c r="BK633" s="9"/>
      <c r="BL633" s="9"/>
      <c r="BM633" s="9"/>
      <c r="BN633" s="9"/>
      <c r="BO633" s="8"/>
      <c r="BP633" s="7">
        <v>59.2</v>
      </c>
      <c r="BQ633" s="7"/>
      <c r="BR633" s="6"/>
      <c r="BS633" s="6"/>
      <c r="BT633" s="6"/>
      <c r="BU633" s="8"/>
      <c r="BV633" s="6">
        <v>0.85</v>
      </c>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31"/>
      <c r="EA633" s="6"/>
      <c r="EB633" s="6"/>
      <c r="EC633" s="6"/>
      <c r="ED633" s="6"/>
      <c r="EE633" s="6"/>
      <c r="EF633" s="6"/>
      <c r="EG633" s="6"/>
      <c r="EH633" s="10"/>
      <c r="EI633" s="10"/>
      <c r="EJ633" s="10"/>
      <c r="EK633" s="10"/>
      <c r="EL633" s="7">
        <f>BP633*BV633</f>
        <v>50.32</v>
      </c>
      <c r="EM633" s="6"/>
      <c r="EN633" s="6"/>
      <c r="EO633" s="6"/>
      <c r="EP633" s="6"/>
      <c r="EQ633" s="6"/>
      <c r="ER633" s="6"/>
      <c r="ES633" s="6"/>
      <c r="ET633" s="6"/>
      <c r="EU633" s="6"/>
      <c r="EV633" s="6"/>
      <c r="EW633" s="6"/>
      <c r="EX633" s="6"/>
      <c r="EY633" s="8"/>
      <c r="EZ633" s="6"/>
      <c r="FA633" s="10"/>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32"/>
      <c r="GQ633" s="6"/>
      <c r="GR633" s="6"/>
      <c r="GS633" s="6"/>
      <c r="GT633" s="6"/>
      <c r="GU633" s="6"/>
      <c r="GV633" s="6"/>
      <c r="GW633" s="6"/>
      <c r="GX633" s="6"/>
      <c r="GY633" s="6" t="s">
        <v>338</v>
      </c>
      <c r="GZ633" s="6" t="s">
        <v>436</v>
      </c>
      <c r="HA633" s="6"/>
      <c r="HB633" s="6"/>
      <c r="HC633" s="6" t="s">
        <v>437</v>
      </c>
      <c r="HD633" s="8"/>
      <c r="HE633" s="8"/>
      <c r="HF633" s="8" t="s">
        <v>2946</v>
      </c>
      <c r="HG633" s="9" t="s">
        <v>507</v>
      </c>
      <c r="HH633" s="9"/>
      <c r="HI633" s="8"/>
      <c r="HJ633" s="9" t="s">
        <v>658</v>
      </c>
      <c r="HK633" s="9" t="s">
        <v>507</v>
      </c>
      <c r="HL633" s="9"/>
      <c r="HM633" s="8"/>
      <c r="HN633" s="9" t="s">
        <v>960</v>
      </c>
      <c r="HO633" s="9" t="s">
        <v>507</v>
      </c>
      <c r="HP633" s="9"/>
      <c r="HQ633" s="8"/>
      <c r="HR633" s="9"/>
      <c r="HS633" s="9"/>
      <c r="HT633" s="9"/>
      <c r="HU633" s="9"/>
      <c r="HV633" s="9"/>
      <c r="HW633" s="9"/>
      <c r="HX633" s="9"/>
      <c r="HY633" s="8"/>
      <c r="HZ633" s="9"/>
      <c r="IA633" s="9"/>
      <c r="IB633" s="8"/>
      <c r="IC633" s="8"/>
      <c r="ID633" s="8" t="s">
        <v>2946</v>
      </c>
      <c r="IE633" s="9" t="s">
        <v>507</v>
      </c>
      <c r="IF633" s="9"/>
      <c r="IG633" s="9"/>
      <c r="IH633" s="8"/>
      <c r="II633" s="9" t="s">
        <v>658</v>
      </c>
      <c r="IJ633" s="9" t="s">
        <v>507</v>
      </c>
      <c r="IK633" s="9"/>
      <c r="IL633" s="9"/>
      <c r="IM633" s="8"/>
      <c r="IN633" s="9" t="s">
        <v>960</v>
      </c>
      <c r="IO633" s="9" t="s">
        <v>507</v>
      </c>
      <c r="IP633" s="9"/>
      <c r="IQ633" s="9"/>
      <c r="IR633" s="9"/>
      <c r="IS633" s="9"/>
      <c r="IT633" s="9"/>
      <c r="IU633" s="9"/>
      <c r="IV633" s="9"/>
      <c r="IW633" s="9"/>
      <c r="IX633" s="9"/>
      <c r="IY633" s="9"/>
      <c r="IZ633" s="9"/>
      <c r="JA633" s="9"/>
      <c r="JB633" s="9"/>
      <c r="JC633" s="9"/>
      <c r="JD633" s="9"/>
      <c r="JE633" s="9"/>
      <c r="JF633" s="9"/>
      <c r="JG633" s="9"/>
      <c r="JH633" s="9"/>
      <c r="JI633" s="9"/>
      <c r="JJ633" s="9"/>
      <c r="JK633" s="9"/>
      <c r="JL633" s="9"/>
      <c r="JM633" s="9"/>
      <c r="JN633" s="9"/>
      <c r="JO633" s="9"/>
      <c r="JP633" s="9"/>
      <c r="JQ633" s="9"/>
      <c r="JR633" s="9"/>
      <c r="JS633" s="9"/>
      <c r="JT633" s="9"/>
      <c r="JU633" s="7"/>
      <c r="JV633" s="7" t="s">
        <v>5333</v>
      </c>
      <c r="JW633" s="7"/>
      <c r="JX633" s="7"/>
      <c r="JY633" s="7"/>
      <c r="JZ633" s="7"/>
      <c r="KA633" s="7"/>
      <c r="KB633" s="7"/>
      <c r="KC633" s="7"/>
      <c r="KD633" s="7"/>
      <c r="KE633" s="7"/>
      <c r="KF633" s="7"/>
      <c r="KG633" s="4" t="s">
        <v>323</v>
      </c>
      <c r="KH633" s="4"/>
      <c r="KI633" s="4"/>
      <c r="KJ633" s="4"/>
      <c r="KK633" s="4"/>
      <c r="KL633" s="4"/>
      <c r="KM633" s="4" t="s">
        <v>391</v>
      </c>
      <c r="KN633" s="4" t="s">
        <v>391</v>
      </c>
      <c r="KO633" s="4"/>
      <c r="KP633" s="5" t="s">
        <v>358</v>
      </c>
      <c r="KQ633" s="5" t="s">
        <v>3409</v>
      </c>
      <c r="KR633" s="5"/>
      <c r="KS633" s="5" t="s">
        <v>3409</v>
      </c>
      <c r="KT633" s="5" t="s">
        <v>5334</v>
      </c>
    </row>
    <row r="634" spans="1:306" s="14" customFormat="1" ht="156" x14ac:dyDescent="0.25">
      <c r="A634" s="5" t="s">
        <v>5349</v>
      </c>
      <c r="B634" s="4" t="s">
        <v>383</v>
      </c>
      <c r="C634" s="7" t="s">
        <v>384</v>
      </c>
      <c r="D634" s="7" t="s">
        <v>433</v>
      </c>
      <c r="E634" s="4">
        <v>333660</v>
      </c>
      <c r="F634" s="4"/>
      <c r="G634" s="4" t="s">
        <v>330</v>
      </c>
      <c r="H634" s="6">
        <v>120.2916</v>
      </c>
      <c r="I634" s="6">
        <v>-21.878399999999999</v>
      </c>
      <c r="J634" s="4" t="s">
        <v>5350</v>
      </c>
      <c r="K634" s="4" t="s">
        <v>331</v>
      </c>
      <c r="L634" s="4" t="s">
        <v>368</v>
      </c>
      <c r="M634" s="4" t="s">
        <v>1210</v>
      </c>
      <c r="N634" s="4"/>
      <c r="O634" s="8"/>
      <c r="P634" s="4"/>
      <c r="Q634" s="8"/>
      <c r="R634" s="7"/>
      <c r="S634" s="4"/>
      <c r="T634" s="4"/>
      <c r="U634" s="4"/>
      <c r="V634" s="4"/>
      <c r="W634" s="4"/>
      <c r="X634" s="9"/>
      <c r="Y634" s="8"/>
      <c r="Z634" s="4" t="s">
        <v>424</v>
      </c>
      <c r="AA634" s="7" t="s">
        <v>425</v>
      </c>
      <c r="AB634" s="8" t="s">
        <v>426</v>
      </c>
      <c r="AC634" s="4" t="s">
        <v>301</v>
      </c>
      <c r="AD634" s="4" t="s">
        <v>382</v>
      </c>
      <c r="AE634" s="8">
        <v>2905</v>
      </c>
      <c r="AF634" s="7"/>
      <c r="AG634" s="4" t="s">
        <v>303</v>
      </c>
      <c r="AH634" s="4" t="s">
        <v>304</v>
      </c>
      <c r="AI634" s="4" t="s">
        <v>1118</v>
      </c>
      <c r="AJ634" s="4" t="s">
        <v>1080</v>
      </c>
      <c r="AK634" s="4" t="s">
        <v>600</v>
      </c>
      <c r="AL634" s="9"/>
      <c r="AM634" s="8">
        <v>3</v>
      </c>
      <c r="AN634" s="4" t="s">
        <v>381</v>
      </c>
      <c r="AO634" s="4" t="s">
        <v>375</v>
      </c>
      <c r="AP634" s="4" t="s">
        <v>383</v>
      </c>
      <c r="AQ634" s="7" t="s">
        <v>384</v>
      </c>
      <c r="AR634" s="7" t="s">
        <v>433</v>
      </c>
      <c r="AS634" s="7">
        <v>0</v>
      </c>
      <c r="AT634" s="7">
        <v>0</v>
      </c>
      <c r="AU634" s="4" t="s">
        <v>303</v>
      </c>
      <c r="AV634" s="4" t="s">
        <v>406</v>
      </c>
      <c r="AW634" s="4"/>
      <c r="AX634" s="4"/>
      <c r="AY634" s="4"/>
      <c r="AZ634" s="4"/>
      <c r="BA634" s="8">
        <v>5</v>
      </c>
      <c r="BB634" s="4"/>
      <c r="BC634" s="4"/>
      <c r="BD634" s="4"/>
      <c r="BE634" s="7"/>
      <c r="BF634" s="8"/>
      <c r="BG634" s="8"/>
      <c r="BH634" s="7"/>
      <c r="BI634" s="4"/>
      <c r="BJ634" s="4"/>
      <c r="BK634" s="4"/>
      <c r="BL634" s="4"/>
      <c r="BM634" s="4"/>
      <c r="BN634" s="9"/>
      <c r="BO634" s="8"/>
      <c r="BP634" s="7"/>
      <c r="BQ634" s="6"/>
      <c r="BR634" s="6"/>
      <c r="BS634" s="6"/>
      <c r="BT634" s="6"/>
      <c r="BU634" s="8"/>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31"/>
      <c r="EA634" s="6"/>
      <c r="EB634" s="6"/>
      <c r="EC634" s="6"/>
      <c r="ED634" s="6"/>
      <c r="EE634" s="6"/>
      <c r="EF634" s="6"/>
      <c r="EG634" s="6"/>
      <c r="EH634" s="10"/>
      <c r="EI634" s="10"/>
      <c r="EJ634" s="10"/>
      <c r="EK634" s="10"/>
      <c r="EL634" s="7">
        <f>5.263+10.95*1.6+22.85*1.6+0.242*24.3</f>
        <v>65.223600000000005</v>
      </c>
      <c r="EM634" s="6"/>
      <c r="EN634" s="6"/>
      <c r="EO634" s="6"/>
      <c r="EP634" s="6"/>
      <c r="EQ634" s="6"/>
      <c r="ER634" s="6"/>
      <c r="ES634" s="6"/>
      <c r="ET634" s="6"/>
      <c r="EU634" s="6"/>
      <c r="EV634" s="6"/>
      <c r="EW634" s="6"/>
      <c r="EX634" s="6"/>
      <c r="EY634" s="8"/>
      <c r="EZ634" s="6"/>
      <c r="FA634" s="6"/>
      <c r="FB634" s="6"/>
      <c r="FC634" s="6"/>
      <c r="FD634" s="6"/>
      <c r="FE634" s="6"/>
      <c r="FF634" s="6"/>
      <c r="FG634" s="6"/>
      <c r="FH634" s="6"/>
      <c r="FI634" s="6"/>
      <c r="FJ634" s="6"/>
      <c r="FK634" s="6"/>
      <c r="FL634" s="6"/>
      <c r="FM634" s="6"/>
      <c r="FN634" s="6"/>
      <c r="FO634" s="6">
        <f>1.522+1000*(0.242*1.6/100)</f>
        <v>5.3940000000000001</v>
      </c>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32"/>
      <c r="GQ634" s="6"/>
      <c r="GR634" s="6"/>
      <c r="GS634" s="6"/>
      <c r="GT634" s="6"/>
      <c r="GU634" s="6"/>
      <c r="GV634" s="6"/>
      <c r="GW634" s="6"/>
      <c r="GX634" s="6"/>
      <c r="GY634" s="6" t="s">
        <v>435</v>
      </c>
      <c r="GZ634" s="6" t="s">
        <v>436</v>
      </c>
      <c r="HA634" s="6"/>
      <c r="HB634" s="6" t="s">
        <v>5351</v>
      </c>
      <c r="HC634" s="6" t="s">
        <v>2419</v>
      </c>
      <c r="HD634" s="8" t="s">
        <v>5352</v>
      </c>
      <c r="HE634" s="8">
        <v>12410</v>
      </c>
      <c r="HF634" s="8" t="s">
        <v>2340</v>
      </c>
      <c r="HG634" s="9" t="s">
        <v>389</v>
      </c>
      <c r="HH634" s="9"/>
      <c r="HI634" s="8"/>
      <c r="HJ634" s="9"/>
      <c r="HK634" s="9"/>
      <c r="HL634" s="9"/>
      <c r="HM634" s="8"/>
      <c r="HN634" s="9"/>
      <c r="HO634" s="9"/>
      <c r="HP634" s="9"/>
      <c r="HQ634" s="8"/>
      <c r="HR634" s="9"/>
      <c r="HS634" s="9"/>
      <c r="HT634" s="9"/>
      <c r="HU634" s="9"/>
      <c r="HV634" s="9"/>
      <c r="HW634" s="9"/>
      <c r="HX634" s="9"/>
      <c r="HY634" s="8"/>
      <c r="HZ634" s="9"/>
      <c r="IA634" s="9"/>
      <c r="IB634" s="8"/>
      <c r="IC634" s="8"/>
      <c r="ID634" s="8"/>
      <c r="IE634" s="8"/>
      <c r="IF634" s="8"/>
      <c r="IG634" s="8"/>
      <c r="IH634" s="8"/>
      <c r="II634" s="8"/>
      <c r="IJ634" s="8"/>
      <c r="IK634" s="8"/>
      <c r="IL634" s="9"/>
      <c r="IM634" s="9"/>
      <c r="IN634" s="9"/>
      <c r="IO634" s="9"/>
      <c r="IP634" s="9"/>
      <c r="IQ634" s="9"/>
      <c r="IR634" s="9"/>
      <c r="IS634" s="9"/>
      <c r="IT634" s="9"/>
      <c r="IU634" s="9"/>
      <c r="IV634" s="9"/>
      <c r="IW634" s="9"/>
      <c r="IX634" s="9"/>
      <c r="IY634" s="9"/>
      <c r="IZ634" s="9"/>
      <c r="JA634" s="9"/>
      <c r="JB634" s="9"/>
      <c r="JC634" s="9"/>
      <c r="JD634" s="9"/>
      <c r="JE634" s="9"/>
      <c r="JF634" s="9"/>
      <c r="JG634" s="9"/>
      <c r="JH634" s="9"/>
      <c r="JI634" s="9"/>
      <c r="JJ634" s="9"/>
      <c r="JK634" s="9"/>
      <c r="JL634" s="9"/>
      <c r="JM634" s="9"/>
      <c r="JN634" s="9"/>
      <c r="JO634" s="9"/>
      <c r="JP634" s="9"/>
      <c r="JQ634" s="9"/>
      <c r="JR634" s="9"/>
      <c r="JS634" s="9"/>
      <c r="JT634" s="9"/>
      <c r="JU634" s="7"/>
      <c r="JV634" s="7" t="s">
        <v>5353</v>
      </c>
      <c r="JW634" s="7"/>
      <c r="JX634" s="7" t="s">
        <v>320</v>
      </c>
      <c r="JY634" s="7"/>
      <c r="JZ634" s="7"/>
      <c r="KA634" s="7"/>
      <c r="KB634" s="7"/>
      <c r="KC634" s="7"/>
      <c r="KD634" s="7"/>
      <c r="KE634" s="7"/>
      <c r="KF634" s="7"/>
      <c r="KG634" s="4" t="s">
        <v>323</v>
      </c>
      <c r="KH634" s="4"/>
      <c r="KI634" s="4"/>
      <c r="KJ634" s="4"/>
      <c r="KK634" s="4"/>
      <c r="KL634" s="4"/>
      <c r="KM634" s="4" t="s">
        <v>391</v>
      </c>
      <c r="KN634" s="4" t="s">
        <v>391</v>
      </c>
      <c r="KO634" s="4"/>
      <c r="KP634" s="5" t="s">
        <v>358</v>
      </c>
      <c r="KQ634" s="5" t="s">
        <v>5354</v>
      </c>
      <c r="KR634" s="5" t="s">
        <v>1125</v>
      </c>
      <c r="KS634" s="5" t="s">
        <v>5355</v>
      </c>
      <c r="KT634" s="14" t="s">
        <v>5356</v>
      </c>
    </row>
    <row r="635" spans="1:306" s="14" customFormat="1" ht="84" x14ac:dyDescent="0.25">
      <c r="A635" s="5" t="s">
        <v>5357</v>
      </c>
      <c r="B635" s="4" t="s">
        <v>424</v>
      </c>
      <c r="C635" s="7" t="s">
        <v>425</v>
      </c>
      <c r="D635" s="8" t="s">
        <v>426</v>
      </c>
      <c r="E635" s="4">
        <v>335866</v>
      </c>
      <c r="F635" s="4"/>
      <c r="G635" s="4" t="s">
        <v>427</v>
      </c>
      <c r="H635" s="6">
        <v>147.91630000000001</v>
      </c>
      <c r="I635" s="6">
        <v>-35.198300000000003</v>
      </c>
      <c r="J635" s="4" t="s">
        <v>423</v>
      </c>
      <c r="K635" s="4" t="s">
        <v>298</v>
      </c>
      <c r="L635" s="4" t="s">
        <v>299</v>
      </c>
      <c r="M635" s="4" t="s">
        <v>428</v>
      </c>
      <c r="N635" s="4" t="s">
        <v>800</v>
      </c>
      <c r="O635" s="8"/>
      <c r="P635" s="4"/>
      <c r="Q635" s="8"/>
      <c r="R635" s="8"/>
      <c r="S635" s="9"/>
      <c r="T635" s="9"/>
      <c r="U635" s="9"/>
      <c r="V635" s="9"/>
      <c r="W635" s="9"/>
      <c r="X635" s="9"/>
      <c r="Y635" s="8"/>
      <c r="Z635" s="4" t="s">
        <v>424</v>
      </c>
      <c r="AA635" s="7" t="s">
        <v>425</v>
      </c>
      <c r="AB635" s="8" t="s">
        <v>426</v>
      </c>
      <c r="AC635" s="4" t="s">
        <v>301</v>
      </c>
      <c r="AD635" s="4" t="s">
        <v>375</v>
      </c>
      <c r="AE635" s="8">
        <v>392.79999999999995</v>
      </c>
      <c r="AF635" s="8"/>
      <c r="AG635" s="9" t="s">
        <v>379</v>
      </c>
      <c r="AH635" s="9" t="s">
        <v>380</v>
      </c>
      <c r="AI635" s="9"/>
      <c r="AJ635" s="9"/>
      <c r="AK635" s="9"/>
      <c r="AL635" s="9"/>
      <c r="AM635" s="8">
        <v>2</v>
      </c>
      <c r="AN635" s="4" t="s">
        <v>381</v>
      </c>
      <c r="AO635" s="4" t="s">
        <v>402</v>
      </c>
      <c r="AP635" s="4" t="s">
        <v>383</v>
      </c>
      <c r="AQ635" s="7" t="s">
        <v>384</v>
      </c>
      <c r="AR635" s="8" t="s">
        <v>433</v>
      </c>
      <c r="AS635" s="7">
        <v>0</v>
      </c>
      <c r="AT635" s="7">
        <v>0</v>
      </c>
      <c r="AU635" s="9" t="s">
        <v>303</v>
      </c>
      <c r="AV635" s="9" t="s">
        <v>406</v>
      </c>
      <c r="AW635" s="9"/>
      <c r="AX635" s="9"/>
      <c r="AY635" s="9"/>
      <c r="AZ635" s="9"/>
      <c r="BA635" s="8">
        <v>5</v>
      </c>
      <c r="BB635" s="4"/>
      <c r="BC635" s="4"/>
      <c r="BD635" s="4"/>
      <c r="BE635" s="7"/>
      <c r="BF635" s="8"/>
      <c r="BG635" s="9"/>
      <c r="BH635" s="9"/>
      <c r="BI635" s="9"/>
      <c r="BJ635" s="9"/>
      <c r="BK635" s="9"/>
      <c r="BL635" s="9"/>
      <c r="BM635" s="9"/>
      <c r="BN635" s="9"/>
      <c r="BO635" s="8"/>
      <c r="BP635" s="7">
        <v>20.5</v>
      </c>
      <c r="BQ635" s="6"/>
      <c r="BR635" s="6"/>
      <c r="BS635" s="6"/>
      <c r="BT635" s="6"/>
      <c r="BU635" s="8"/>
      <c r="BV635" s="7">
        <v>1.1000000000000001</v>
      </c>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31"/>
      <c r="EA635" s="6"/>
      <c r="EB635" s="6"/>
      <c r="EC635" s="6"/>
      <c r="ED635" s="6"/>
      <c r="EE635" s="6"/>
      <c r="EF635" s="6"/>
      <c r="EG635" s="6"/>
      <c r="EH635" s="10"/>
      <c r="EI635" s="10"/>
      <c r="EJ635" s="10"/>
      <c r="EK635" s="10"/>
      <c r="EL635" s="6">
        <f>BP635*BV635</f>
        <v>22.55</v>
      </c>
      <c r="EM635" s="6"/>
      <c r="EN635" s="6"/>
      <c r="EO635" s="6"/>
      <c r="EP635" s="6"/>
      <c r="EQ635" s="6"/>
      <c r="ER635" s="6"/>
      <c r="ES635" s="6"/>
      <c r="ET635" s="6"/>
      <c r="EU635" s="6"/>
      <c r="EV635" s="6"/>
      <c r="EW635" s="6"/>
      <c r="EX635" s="6"/>
      <c r="EY635" s="8"/>
      <c r="EZ635" s="6"/>
      <c r="FA635" s="10"/>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32"/>
      <c r="GQ635" s="6"/>
      <c r="GR635" s="6"/>
      <c r="GS635" s="6"/>
      <c r="GT635" s="6"/>
      <c r="GU635" s="6"/>
      <c r="GV635" s="6"/>
      <c r="GW635" s="6"/>
      <c r="GX635" s="6"/>
      <c r="GY635" s="6" t="s">
        <v>338</v>
      </c>
      <c r="GZ635" s="6" t="s">
        <v>436</v>
      </c>
      <c r="HA635" s="6"/>
      <c r="HB635" s="6"/>
      <c r="HC635" s="6" t="s">
        <v>437</v>
      </c>
      <c r="HD635" s="8" t="s">
        <v>5358</v>
      </c>
      <c r="HE635" s="8"/>
      <c r="HF635" s="8" t="s">
        <v>5359</v>
      </c>
      <c r="HG635" s="9" t="s">
        <v>782</v>
      </c>
      <c r="HH635" s="9"/>
      <c r="HI635" s="8"/>
      <c r="HJ635" s="9"/>
      <c r="HK635" s="9"/>
      <c r="HL635" s="9"/>
      <c r="HM635" s="8"/>
      <c r="HN635" s="9"/>
      <c r="HO635" s="9"/>
      <c r="HP635" s="9"/>
      <c r="HQ635" s="8"/>
      <c r="HR635" s="9"/>
      <c r="HS635" s="9"/>
      <c r="HT635" s="9"/>
      <c r="HU635" s="9"/>
      <c r="HV635" s="9"/>
      <c r="HW635" s="9"/>
      <c r="HX635" s="9"/>
      <c r="HY635" s="8"/>
      <c r="HZ635" s="9"/>
      <c r="IA635" s="9"/>
      <c r="IB635" s="8" t="s">
        <v>5358</v>
      </c>
      <c r="IC635" s="8"/>
      <c r="ID635" s="8" t="s">
        <v>5359</v>
      </c>
      <c r="IE635" s="9" t="s">
        <v>782</v>
      </c>
      <c r="IF635" s="8" t="s">
        <v>445</v>
      </c>
      <c r="IG635" s="8"/>
      <c r="IH635" s="8"/>
      <c r="II635" s="8"/>
      <c r="IJ635" s="8"/>
      <c r="IK635" s="8"/>
      <c r="IL635" s="9"/>
      <c r="IM635" s="8"/>
      <c r="IN635" s="9"/>
      <c r="IO635" s="9"/>
      <c r="IP635" s="9"/>
      <c r="IQ635" s="9"/>
      <c r="IR635" s="8"/>
      <c r="IS635" s="9"/>
      <c r="IT635" s="9"/>
      <c r="IU635" s="9"/>
      <c r="IV635" s="9"/>
      <c r="IW635" s="8"/>
      <c r="IX635" s="9"/>
      <c r="IY635" s="9"/>
      <c r="IZ635" s="9"/>
      <c r="JA635" s="9"/>
      <c r="JB635" s="8"/>
      <c r="JC635" s="9"/>
      <c r="JD635" s="9"/>
      <c r="JE635" s="9"/>
      <c r="JF635" s="9"/>
      <c r="JG635" s="9"/>
      <c r="JH635" s="9"/>
      <c r="JI635" s="9"/>
      <c r="JJ635" s="9"/>
      <c r="JK635" s="9"/>
      <c r="JL635" s="9"/>
      <c r="JM635" s="9"/>
      <c r="JN635" s="9"/>
      <c r="JO635" s="9"/>
      <c r="JP635" s="9"/>
      <c r="JQ635" s="9"/>
      <c r="JR635" s="9"/>
      <c r="JS635" s="9"/>
      <c r="JT635" s="9"/>
      <c r="JU635" s="7"/>
      <c r="JV635" s="7" t="s">
        <v>5360</v>
      </c>
      <c r="JW635" s="7"/>
      <c r="JX635" s="7" t="s">
        <v>320</v>
      </c>
      <c r="JY635" s="7"/>
      <c r="JZ635" s="7"/>
      <c r="KA635" s="7"/>
      <c r="KB635" s="7"/>
      <c r="KC635" s="7"/>
      <c r="KD635" s="7"/>
      <c r="KE635" s="7"/>
      <c r="KF635" s="7"/>
      <c r="KG635" s="4" t="s">
        <v>323</v>
      </c>
      <c r="KH635" s="4"/>
      <c r="KI635" s="4"/>
      <c r="KJ635" s="4"/>
      <c r="KK635" s="4"/>
      <c r="KL635" s="4"/>
      <c r="KM635" s="4"/>
      <c r="KN635" s="4"/>
      <c r="KO635" s="4"/>
      <c r="KP635" s="5" t="s">
        <v>358</v>
      </c>
      <c r="KQ635" s="5" t="s">
        <v>5361</v>
      </c>
      <c r="KR635" s="5" t="s">
        <v>5362</v>
      </c>
      <c r="KS635" s="5" t="s">
        <v>5363</v>
      </c>
      <c r="KT635" s="5" t="s">
        <v>5364</v>
      </c>
    </row>
    <row r="636" spans="1:306" s="14" customFormat="1" ht="144" x14ac:dyDescent="0.25">
      <c r="A636" s="5" t="s">
        <v>5412</v>
      </c>
      <c r="B636" s="8" t="s">
        <v>424</v>
      </c>
      <c r="C636" s="8" t="s">
        <v>425</v>
      </c>
      <c r="D636" s="8" t="s">
        <v>426</v>
      </c>
      <c r="E636" s="4">
        <v>333766</v>
      </c>
      <c r="F636" s="4"/>
      <c r="G636" s="4" t="s">
        <v>427</v>
      </c>
      <c r="H636" s="6">
        <v>146.31610000000001</v>
      </c>
      <c r="I636" s="6">
        <v>-31.561800000000002</v>
      </c>
      <c r="J636" s="4" t="s">
        <v>5413</v>
      </c>
      <c r="K636" s="4" t="s">
        <v>298</v>
      </c>
      <c r="L636" s="4" t="s">
        <v>299</v>
      </c>
      <c r="M636" s="4" t="s">
        <v>428</v>
      </c>
      <c r="N636" s="4" t="s">
        <v>990</v>
      </c>
      <c r="O636" s="8"/>
      <c r="P636" s="4"/>
      <c r="Q636" s="8"/>
      <c r="R636" s="9"/>
      <c r="S636" s="9"/>
      <c r="T636" s="9"/>
      <c r="U636" s="9"/>
      <c r="V636" s="9"/>
      <c r="W636" s="9"/>
      <c r="X636" s="9"/>
      <c r="Y636" s="8"/>
      <c r="Z636" s="8" t="s">
        <v>424</v>
      </c>
      <c r="AA636" s="8" t="s">
        <v>425</v>
      </c>
      <c r="AB636" s="8" t="s">
        <v>426</v>
      </c>
      <c r="AC636" s="4" t="s">
        <v>301</v>
      </c>
      <c r="AD636" s="4" t="s">
        <v>375</v>
      </c>
      <c r="AE636" s="8">
        <v>385</v>
      </c>
      <c r="AF636" s="9"/>
      <c r="AG636" s="9" t="s">
        <v>379</v>
      </c>
      <c r="AH636" s="9" t="s">
        <v>460</v>
      </c>
      <c r="AI636" s="9"/>
      <c r="AJ636" s="9"/>
      <c r="AK636" s="9"/>
      <c r="AL636" s="9"/>
      <c r="AM636" s="8">
        <v>2</v>
      </c>
      <c r="AN636" s="4" t="s">
        <v>381</v>
      </c>
      <c r="AO636" s="4" t="s">
        <v>382</v>
      </c>
      <c r="AP636" s="4" t="s">
        <v>383</v>
      </c>
      <c r="AQ636" s="7" t="s">
        <v>384</v>
      </c>
      <c r="AR636" s="8" t="s">
        <v>433</v>
      </c>
      <c r="AS636" s="7">
        <v>0</v>
      </c>
      <c r="AT636" s="7">
        <v>0</v>
      </c>
      <c r="AU636" s="9" t="s">
        <v>303</v>
      </c>
      <c r="AV636" s="9" t="s">
        <v>406</v>
      </c>
      <c r="AW636" s="9"/>
      <c r="AX636" s="9"/>
      <c r="AY636" s="9"/>
      <c r="AZ636" s="9"/>
      <c r="BA636" s="8">
        <v>5</v>
      </c>
      <c r="BB636" s="4"/>
      <c r="BC636" s="4"/>
      <c r="BD636" s="4"/>
      <c r="BE636" s="7"/>
      <c r="BF636" s="8"/>
      <c r="BG636" s="9"/>
      <c r="BH636" s="9"/>
      <c r="BI636" s="9"/>
      <c r="BJ636" s="9"/>
      <c r="BK636" s="9"/>
      <c r="BL636" s="9"/>
      <c r="BM636" s="9"/>
      <c r="BN636" s="9"/>
      <c r="BO636" s="8"/>
      <c r="BP636" s="7"/>
      <c r="BQ636" s="6"/>
      <c r="BR636" s="6"/>
      <c r="BS636" s="6"/>
      <c r="BT636" s="6"/>
      <c r="BU636" s="8"/>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31"/>
      <c r="EA636" s="6"/>
      <c r="EB636" s="6"/>
      <c r="EC636" s="6"/>
      <c r="ED636" s="6"/>
      <c r="EE636" s="6"/>
      <c r="EF636" s="6"/>
      <c r="EG636" s="6"/>
      <c r="EH636" s="10"/>
      <c r="EI636" s="10"/>
      <c r="EJ636" s="10"/>
      <c r="EK636" s="10"/>
      <c r="EL636" s="6">
        <f>(0.52146+0.018575)*31.1+4.28*1.19</f>
        <v>21.888288500000002</v>
      </c>
      <c r="EM636" s="6"/>
      <c r="EN636" s="6"/>
      <c r="EO636" s="6"/>
      <c r="EP636" s="6"/>
      <c r="EQ636" s="6"/>
      <c r="ER636" s="6"/>
      <c r="ES636" s="6"/>
      <c r="ET636" s="6"/>
      <c r="EU636" s="6"/>
      <c r="EV636" s="6"/>
      <c r="EW636" s="6"/>
      <c r="EX636" s="6"/>
      <c r="EY636" s="8"/>
      <c r="EZ636" s="6"/>
      <c r="FA636" s="10"/>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32"/>
      <c r="GQ636" s="6"/>
      <c r="GR636" s="6"/>
      <c r="GS636" s="6"/>
      <c r="GT636" s="6"/>
      <c r="GU636" s="6"/>
      <c r="GV636" s="6"/>
      <c r="GW636" s="6"/>
      <c r="GX636" s="6"/>
      <c r="GY636" s="6" t="s">
        <v>435</v>
      </c>
      <c r="GZ636" s="6" t="s">
        <v>436</v>
      </c>
      <c r="HA636" s="6"/>
      <c r="HB636" s="6"/>
      <c r="HC636" s="6" t="s">
        <v>437</v>
      </c>
      <c r="HD636" s="8" t="s">
        <v>5414</v>
      </c>
      <c r="HE636" s="8">
        <v>954</v>
      </c>
      <c r="HF636" s="8" t="s">
        <v>5415</v>
      </c>
      <c r="HG636" s="9" t="s">
        <v>1074</v>
      </c>
      <c r="HH636" s="9"/>
      <c r="HI636" s="8"/>
      <c r="HJ636" s="9"/>
      <c r="HK636" s="9"/>
      <c r="HL636" s="9"/>
      <c r="HM636" s="8"/>
      <c r="HN636" s="9"/>
      <c r="HO636" s="9"/>
      <c r="HP636" s="9"/>
      <c r="HQ636" s="8"/>
      <c r="HR636" s="9"/>
      <c r="HS636" s="9"/>
      <c r="HT636" s="9"/>
      <c r="HU636" s="9"/>
      <c r="HV636" s="9"/>
      <c r="HW636" s="9"/>
      <c r="HX636" s="9"/>
      <c r="HY636" s="8"/>
      <c r="HZ636" s="9"/>
      <c r="IA636" s="9"/>
      <c r="IB636" s="8"/>
      <c r="IC636" s="8"/>
      <c r="ID636" s="8"/>
      <c r="IE636" s="8"/>
      <c r="IF636" s="8"/>
      <c r="IG636" s="8"/>
      <c r="IH636" s="8"/>
      <c r="II636" s="8"/>
      <c r="IJ636" s="8"/>
      <c r="IK636" s="8"/>
      <c r="IL636" s="9"/>
      <c r="IM636" s="8"/>
      <c r="IN636" s="9"/>
      <c r="IO636" s="9"/>
      <c r="IP636" s="9"/>
      <c r="IQ636" s="9"/>
      <c r="IR636" s="8"/>
      <c r="IS636" s="9"/>
      <c r="IT636" s="9"/>
      <c r="IU636" s="9"/>
      <c r="IV636" s="9"/>
      <c r="IW636" s="8"/>
      <c r="IX636" s="9"/>
      <c r="IY636" s="9"/>
      <c r="IZ636" s="9"/>
      <c r="JA636" s="9"/>
      <c r="JB636" s="8"/>
      <c r="JC636" s="9"/>
      <c r="JD636" s="9"/>
      <c r="JE636" s="9"/>
      <c r="JF636" s="9"/>
      <c r="JG636" s="9"/>
      <c r="JH636" s="9"/>
      <c r="JI636" s="9"/>
      <c r="JJ636" s="9"/>
      <c r="JK636" s="9"/>
      <c r="JL636" s="9"/>
      <c r="JM636" s="9"/>
      <c r="JN636" s="9"/>
      <c r="JO636" s="9"/>
      <c r="JP636" s="9"/>
      <c r="JQ636" s="9"/>
      <c r="JR636" s="9"/>
      <c r="JS636" s="9"/>
      <c r="JT636" s="9"/>
      <c r="JU636" s="7"/>
      <c r="JV636" s="7" t="s">
        <v>5416</v>
      </c>
      <c r="JW636" s="7"/>
      <c r="JX636" s="7" t="s">
        <v>320</v>
      </c>
      <c r="JY636" s="7"/>
      <c r="JZ636" s="7"/>
      <c r="KA636" s="7"/>
      <c r="KB636" s="7"/>
      <c r="KC636" s="7"/>
      <c r="KD636" s="7"/>
      <c r="KE636" s="7"/>
      <c r="KF636" s="7"/>
      <c r="KG636" s="4" t="s">
        <v>323</v>
      </c>
      <c r="KH636" s="4"/>
      <c r="KI636" s="4"/>
      <c r="KJ636" s="4"/>
      <c r="KK636" s="4"/>
      <c r="KL636" s="4"/>
      <c r="KM636" s="4"/>
      <c r="KN636" s="4"/>
      <c r="KO636" s="4"/>
      <c r="KP636" s="5" t="s">
        <v>358</v>
      </c>
      <c r="KQ636" s="5" t="s">
        <v>5417</v>
      </c>
      <c r="KR636" s="5"/>
      <c r="KS636" s="5" t="s">
        <v>5418</v>
      </c>
      <c r="KT636" s="5" t="s">
        <v>5419</v>
      </c>
    </row>
    <row r="637" spans="1:306" s="14" customFormat="1" ht="144" x14ac:dyDescent="0.25">
      <c r="A637" s="5" t="s">
        <v>5475</v>
      </c>
      <c r="B637" s="4" t="s">
        <v>424</v>
      </c>
      <c r="C637" s="7" t="s">
        <v>425</v>
      </c>
      <c r="D637" s="8" t="s">
        <v>426</v>
      </c>
      <c r="E637" s="4">
        <v>335204</v>
      </c>
      <c r="F637" s="4"/>
      <c r="G637" s="4" t="s">
        <v>330</v>
      </c>
      <c r="H637" s="6">
        <v>121.48090000000001</v>
      </c>
      <c r="I637" s="6">
        <v>-30.746400000000001</v>
      </c>
      <c r="J637" s="4" t="s">
        <v>3522</v>
      </c>
      <c r="K637" s="4" t="s">
        <v>331</v>
      </c>
      <c r="L637" s="4" t="s">
        <v>500</v>
      </c>
      <c r="M637" s="4" t="s">
        <v>501</v>
      </c>
      <c r="N637" s="4" t="s">
        <v>1061</v>
      </c>
      <c r="O637" s="8"/>
      <c r="P637" s="4"/>
      <c r="Q637" s="8"/>
      <c r="R637" s="8"/>
      <c r="S637" s="9"/>
      <c r="T637" s="9"/>
      <c r="U637" s="9"/>
      <c r="V637" s="9"/>
      <c r="W637" s="9"/>
      <c r="X637" s="9"/>
      <c r="Y637" s="8"/>
      <c r="Z637" s="4" t="s">
        <v>424</v>
      </c>
      <c r="AA637" s="7" t="s">
        <v>425</v>
      </c>
      <c r="AB637" s="8" t="s">
        <v>426</v>
      </c>
      <c r="AC637" s="4" t="s">
        <v>301</v>
      </c>
      <c r="AD637" s="4" t="s">
        <v>375</v>
      </c>
      <c r="AE637" s="8">
        <v>2644</v>
      </c>
      <c r="AF637" s="8">
        <v>11</v>
      </c>
      <c r="AG637" s="9" t="s">
        <v>379</v>
      </c>
      <c r="AH637" s="9" t="s">
        <v>335</v>
      </c>
      <c r="AI637" s="9" t="s">
        <v>336</v>
      </c>
      <c r="AJ637" s="9" t="s">
        <v>306</v>
      </c>
      <c r="AK637" s="9" t="s">
        <v>307</v>
      </c>
      <c r="AL637" s="9" t="s">
        <v>337</v>
      </c>
      <c r="AM637" s="8">
        <v>4</v>
      </c>
      <c r="AN637" s="4" t="s">
        <v>381</v>
      </c>
      <c r="AO637" s="4" t="s">
        <v>382</v>
      </c>
      <c r="AP637" s="4" t="s">
        <v>383</v>
      </c>
      <c r="AQ637" s="7" t="s">
        <v>384</v>
      </c>
      <c r="AR637" s="7" t="s">
        <v>433</v>
      </c>
      <c r="AS637" s="7">
        <v>0</v>
      </c>
      <c r="AT637" s="7">
        <v>0</v>
      </c>
      <c r="AU637" s="4" t="s">
        <v>303</v>
      </c>
      <c r="AV637" s="4" t="s">
        <v>406</v>
      </c>
      <c r="AW637" s="4"/>
      <c r="AX637" s="4"/>
      <c r="AY637" s="4"/>
      <c r="AZ637" s="4"/>
      <c r="BA637" s="8">
        <v>5</v>
      </c>
      <c r="BB637" s="4"/>
      <c r="BC637" s="4"/>
      <c r="BD637" s="4"/>
      <c r="BE637" s="7"/>
      <c r="BF637" s="8"/>
      <c r="BG637" s="8"/>
      <c r="BH637" s="8"/>
      <c r="BI637" s="9"/>
      <c r="BJ637" s="9"/>
      <c r="BK637" s="9"/>
      <c r="BL637" s="9"/>
      <c r="BM637" s="9"/>
      <c r="BN637" s="9"/>
      <c r="BO637" s="8"/>
      <c r="BP637" s="7"/>
      <c r="BQ637" s="6"/>
      <c r="BR637" s="6"/>
      <c r="BS637" s="6"/>
      <c r="BT637" s="6"/>
      <c r="BU637" s="8"/>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31"/>
      <c r="EA637" s="6"/>
      <c r="EB637" s="6"/>
      <c r="EC637" s="6"/>
      <c r="ED637" s="6"/>
      <c r="EE637" s="6"/>
      <c r="EF637" s="6"/>
      <c r="EG637" s="6"/>
      <c r="EH637" s="10"/>
      <c r="EI637" s="10"/>
      <c r="EJ637" s="10"/>
      <c r="EK637" s="10"/>
      <c r="EL637" s="8">
        <v>146</v>
      </c>
      <c r="EM637" s="6"/>
      <c r="EN637" s="6"/>
      <c r="EO637" s="6"/>
      <c r="EP637" s="6"/>
      <c r="EQ637" s="6"/>
      <c r="ER637" s="6"/>
      <c r="ES637" s="6"/>
      <c r="ET637" s="6"/>
      <c r="EU637" s="6"/>
      <c r="EV637" s="6"/>
      <c r="EW637" s="6"/>
      <c r="EX637" s="6"/>
      <c r="EY637" s="8"/>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32"/>
      <c r="GQ637" s="6"/>
      <c r="GR637" s="6"/>
      <c r="GS637" s="6"/>
      <c r="GT637" s="6"/>
      <c r="GU637" s="6"/>
      <c r="GV637" s="6"/>
      <c r="GW637" s="6"/>
      <c r="GX637" s="6"/>
      <c r="GY637" s="6" t="s">
        <v>338</v>
      </c>
      <c r="GZ637" s="6" t="s">
        <v>436</v>
      </c>
      <c r="HA637" s="6"/>
      <c r="HB637" s="6"/>
      <c r="HC637" s="6" t="s">
        <v>437</v>
      </c>
      <c r="HD637" s="8" t="s">
        <v>3523</v>
      </c>
      <c r="HE637" s="8">
        <v>26586</v>
      </c>
      <c r="HF637" s="8" t="s">
        <v>3524</v>
      </c>
      <c r="HG637" s="9" t="s">
        <v>507</v>
      </c>
      <c r="HH637" s="9"/>
      <c r="HI637" s="8"/>
      <c r="HJ637" s="9"/>
      <c r="HK637" s="9"/>
      <c r="HL637" s="9"/>
      <c r="HM637" s="8"/>
      <c r="HN637" s="9"/>
      <c r="HO637" s="9"/>
      <c r="HP637" s="9"/>
      <c r="HQ637" s="8"/>
      <c r="HR637" s="9"/>
      <c r="HS637" s="9"/>
      <c r="HT637" s="9"/>
      <c r="HU637" s="9"/>
      <c r="HV637" s="9"/>
      <c r="HW637" s="9"/>
      <c r="HX637" s="9"/>
      <c r="HY637" s="8"/>
      <c r="HZ637" s="9"/>
      <c r="IA637" s="9"/>
      <c r="IB637" s="8" t="s">
        <v>3523</v>
      </c>
      <c r="IC637" s="8">
        <v>26586</v>
      </c>
      <c r="ID637" s="8" t="s">
        <v>3525</v>
      </c>
      <c r="IE637" s="9" t="s">
        <v>507</v>
      </c>
      <c r="IF637" s="9" t="s">
        <v>445</v>
      </c>
      <c r="IG637" s="8"/>
      <c r="IH637" s="8"/>
      <c r="II637" s="8"/>
      <c r="IJ637" s="8"/>
      <c r="IK637" s="8"/>
      <c r="IL637" s="9"/>
      <c r="IM637" s="9"/>
      <c r="IN637" s="9"/>
      <c r="IO637" s="9"/>
      <c r="IP637" s="9"/>
      <c r="IQ637" s="9"/>
      <c r="IR637" s="9"/>
      <c r="IS637" s="9"/>
      <c r="IT637" s="9"/>
      <c r="IU637" s="9"/>
      <c r="IV637" s="9"/>
      <c r="IW637" s="9"/>
      <c r="IX637" s="9"/>
      <c r="IY637" s="9"/>
      <c r="IZ637" s="9"/>
      <c r="JA637" s="9"/>
      <c r="JB637" s="9"/>
      <c r="JC637" s="9"/>
      <c r="JD637" s="9"/>
      <c r="JE637" s="9"/>
      <c r="JF637" s="9"/>
      <c r="JG637" s="9"/>
      <c r="JH637" s="9"/>
      <c r="JI637" s="9"/>
      <c r="JJ637" s="9"/>
      <c r="JK637" s="9"/>
      <c r="JL637" s="9"/>
      <c r="JM637" s="9"/>
      <c r="JN637" s="9"/>
      <c r="JO637" s="9"/>
      <c r="JP637" s="9"/>
      <c r="JQ637" s="9"/>
      <c r="JR637" s="9"/>
      <c r="JS637" s="9"/>
      <c r="JT637" s="9"/>
      <c r="JU637" s="7" t="s">
        <v>3526</v>
      </c>
      <c r="JV637" s="7" t="s">
        <v>5476</v>
      </c>
      <c r="JW637" s="7"/>
      <c r="JX637" s="7" t="s">
        <v>320</v>
      </c>
      <c r="JY637" s="7" t="s">
        <v>354</v>
      </c>
      <c r="JZ637" s="7" t="s">
        <v>322</v>
      </c>
      <c r="KA637" s="7"/>
      <c r="KB637" s="7"/>
      <c r="KC637" s="7"/>
      <c r="KD637" s="7"/>
      <c r="KE637" s="7"/>
      <c r="KF637" s="7"/>
      <c r="KG637" s="4" t="s">
        <v>323</v>
      </c>
      <c r="KH637" s="4"/>
      <c r="KI637" s="4"/>
      <c r="KJ637" s="4"/>
      <c r="KK637" s="4"/>
      <c r="KL637" s="4"/>
      <c r="KM637" s="4" t="s">
        <v>391</v>
      </c>
      <c r="KN637" s="4" t="s">
        <v>391</v>
      </c>
      <c r="KO637" s="4"/>
      <c r="KP637" s="5" t="s">
        <v>358</v>
      </c>
      <c r="KQ637" s="5" t="s">
        <v>5477</v>
      </c>
      <c r="KR637" s="5" t="s">
        <v>5478</v>
      </c>
      <c r="KS637" s="5" t="s">
        <v>5479</v>
      </c>
      <c r="KT637" s="5" t="s">
        <v>5480</v>
      </c>
    </row>
    <row r="638" spans="1:306" s="14" customFormat="1" ht="36" x14ac:dyDescent="0.2">
      <c r="A638" s="5" t="s">
        <v>5534</v>
      </c>
      <c r="B638" s="4" t="s">
        <v>424</v>
      </c>
      <c r="C638" s="7" t="s">
        <v>425</v>
      </c>
      <c r="D638" s="8" t="s">
        <v>426</v>
      </c>
      <c r="E638" s="44">
        <v>859573</v>
      </c>
      <c r="F638" s="4"/>
      <c r="G638" s="4" t="s">
        <v>330</v>
      </c>
      <c r="H638" s="6">
        <v>127.200401</v>
      </c>
      <c r="I638" s="6">
        <v>-18.846340000000001</v>
      </c>
      <c r="J638" s="4" t="s">
        <v>5535</v>
      </c>
      <c r="K638" s="4" t="s">
        <v>481</v>
      </c>
      <c r="L638" s="4" t="s">
        <v>863</v>
      </c>
      <c r="M638" s="4"/>
      <c r="N638" s="4"/>
      <c r="O638" s="8"/>
      <c r="P638" s="4"/>
      <c r="Q638" s="8"/>
      <c r="R638" s="8"/>
      <c r="S638" s="9"/>
      <c r="T638" s="9"/>
      <c r="U638" s="9"/>
      <c r="V638" s="9"/>
      <c r="W638" s="9"/>
      <c r="X638" s="9"/>
      <c r="Y638" s="8"/>
      <c r="Z638" s="4" t="s">
        <v>424</v>
      </c>
      <c r="AA638" s="7" t="s">
        <v>425</v>
      </c>
      <c r="AB638" s="8" t="s">
        <v>426</v>
      </c>
      <c r="AC638" s="4" t="s">
        <v>301</v>
      </c>
      <c r="AD638" s="4" t="s">
        <v>375</v>
      </c>
      <c r="AE638" s="8">
        <v>1838</v>
      </c>
      <c r="AF638" s="8"/>
      <c r="AG638" s="9" t="s">
        <v>379</v>
      </c>
      <c r="AH638" s="9" t="s">
        <v>380</v>
      </c>
      <c r="AI638" s="9"/>
      <c r="AJ638" s="9"/>
      <c r="AK638" s="9"/>
      <c r="AL638" s="9"/>
      <c r="AM638" s="8">
        <v>2</v>
      </c>
      <c r="AN638" s="4" t="s">
        <v>381</v>
      </c>
      <c r="AO638" s="4" t="s">
        <v>382</v>
      </c>
      <c r="AP638" s="4" t="s">
        <v>383</v>
      </c>
      <c r="AQ638" s="7" t="s">
        <v>384</v>
      </c>
      <c r="AR638" s="8" t="s">
        <v>433</v>
      </c>
      <c r="AS638" s="7">
        <v>0</v>
      </c>
      <c r="AT638" s="7">
        <v>0</v>
      </c>
      <c r="AU638" s="4" t="s">
        <v>303</v>
      </c>
      <c r="AV638" s="4" t="s">
        <v>406</v>
      </c>
      <c r="AW638" s="4"/>
      <c r="AX638" s="4"/>
      <c r="AY638" s="4"/>
      <c r="AZ638" s="4"/>
      <c r="BA638" s="8">
        <v>5</v>
      </c>
      <c r="BB638" s="4"/>
      <c r="BC638" s="4"/>
      <c r="BD638" s="4"/>
      <c r="BE638" s="7"/>
      <c r="BF638" s="8"/>
      <c r="BG638" s="8"/>
      <c r="BH638" s="8"/>
      <c r="BI638" s="9"/>
      <c r="BJ638" s="9"/>
      <c r="BK638" s="9"/>
      <c r="BL638" s="9"/>
      <c r="BM638" s="9"/>
      <c r="BN638" s="9"/>
      <c r="BO638" s="8"/>
      <c r="BP638" s="7"/>
      <c r="BQ638" s="6"/>
      <c r="BR638" s="6"/>
      <c r="BS638" s="6"/>
      <c r="BT638" s="6"/>
      <c r="BU638" s="8"/>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31"/>
      <c r="EA638" s="6"/>
      <c r="EB638" s="6"/>
      <c r="EC638" s="6"/>
      <c r="ED638" s="6"/>
      <c r="EE638" s="6"/>
      <c r="EF638" s="6"/>
      <c r="EG638" s="6"/>
      <c r="EH638" s="10"/>
      <c r="EI638" s="10"/>
      <c r="EJ638" s="10"/>
      <c r="EK638" s="10"/>
      <c r="EL638" s="6">
        <v>0.26910000000000001</v>
      </c>
      <c r="EM638" s="6"/>
      <c r="EN638" s="6"/>
      <c r="EO638" s="6"/>
      <c r="EP638" s="6"/>
      <c r="EQ638" s="6"/>
      <c r="ER638" s="6"/>
      <c r="ES638" s="6"/>
      <c r="ET638" s="6"/>
      <c r="EU638" s="6"/>
      <c r="EV638" s="6"/>
      <c r="EW638" s="6"/>
      <c r="EX638" s="6"/>
      <c r="EY638" s="8"/>
      <c r="EZ638" s="6"/>
      <c r="FA638" s="10"/>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32"/>
      <c r="GQ638" s="6"/>
      <c r="GR638" s="6"/>
      <c r="GS638" s="6"/>
      <c r="GT638" s="6"/>
      <c r="GU638" s="6"/>
      <c r="GV638" s="6"/>
      <c r="GW638" s="6"/>
      <c r="GX638" s="6"/>
      <c r="GY638" s="6" t="s">
        <v>309</v>
      </c>
      <c r="GZ638" s="6" t="s">
        <v>436</v>
      </c>
      <c r="HA638" s="6"/>
      <c r="HB638" s="6"/>
      <c r="HC638" s="6" t="s">
        <v>437</v>
      </c>
      <c r="HD638" s="8" t="s">
        <v>2527</v>
      </c>
      <c r="HE638" s="8">
        <v>14567</v>
      </c>
      <c r="HF638" s="8" t="s">
        <v>3644</v>
      </c>
      <c r="HG638" s="9" t="s">
        <v>538</v>
      </c>
      <c r="HH638" s="9"/>
      <c r="HI638" s="8"/>
      <c r="HJ638" s="9"/>
      <c r="HK638" s="9"/>
      <c r="HL638" s="9"/>
      <c r="HM638" s="8"/>
      <c r="HN638" s="9"/>
      <c r="HO638" s="9"/>
      <c r="HP638" s="9"/>
      <c r="HQ638" s="8"/>
      <c r="HR638" s="9"/>
      <c r="HS638" s="9"/>
      <c r="HT638" s="9"/>
      <c r="HU638" s="9"/>
      <c r="HV638" s="9"/>
      <c r="HW638" s="9"/>
      <c r="HX638" s="9"/>
      <c r="HY638" s="8"/>
      <c r="HZ638" s="9"/>
      <c r="IA638" s="9"/>
      <c r="IB638" s="8"/>
      <c r="IC638" s="8"/>
      <c r="ID638" s="8"/>
      <c r="IE638" s="8"/>
      <c r="IF638" s="8"/>
      <c r="IG638" s="8"/>
      <c r="IH638" s="8"/>
      <c r="II638" s="8"/>
      <c r="IJ638" s="8"/>
      <c r="IK638" s="8"/>
      <c r="IL638" s="9"/>
      <c r="IM638" s="8"/>
      <c r="IN638" s="9"/>
      <c r="IO638" s="9"/>
      <c r="IP638" s="9"/>
      <c r="IQ638" s="9"/>
      <c r="IR638" s="8"/>
      <c r="IS638" s="9"/>
      <c r="IT638" s="9"/>
      <c r="IU638" s="9"/>
      <c r="IV638" s="9"/>
      <c r="IW638" s="9"/>
      <c r="IX638" s="9"/>
      <c r="IY638" s="9"/>
      <c r="IZ638" s="9"/>
      <c r="JA638" s="9"/>
      <c r="JB638" s="9"/>
      <c r="JC638" s="9"/>
      <c r="JD638" s="9"/>
      <c r="JE638" s="9"/>
      <c r="JF638" s="9"/>
      <c r="JG638" s="9"/>
      <c r="JH638" s="9"/>
      <c r="JI638" s="9"/>
      <c r="JJ638" s="9"/>
      <c r="JK638" s="9"/>
      <c r="JL638" s="9"/>
      <c r="JM638" s="9"/>
      <c r="JN638" s="9"/>
      <c r="JO638" s="9"/>
      <c r="JP638" s="9"/>
      <c r="JQ638" s="9"/>
      <c r="JR638" s="9"/>
      <c r="JS638" s="9"/>
      <c r="JT638" s="9"/>
      <c r="JU638" s="7"/>
      <c r="JV638" s="7"/>
      <c r="JW638" s="7"/>
      <c r="JX638" s="7"/>
      <c r="JY638" s="7"/>
      <c r="JZ638" s="7"/>
      <c r="KA638" s="7"/>
      <c r="KB638" s="7"/>
      <c r="KC638" s="7"/>
      <c r="KD638" s="7"/>
      <c r="KE638" s="7"/>
      <c r="KF638" s="7"/>
      <c r="KG638" s="4" t="s">
        <v>323</v>
      </c>
      <c r="KH638" s="4"/>
      <c r="KI638" s="4"/>
      <c r="KJ638" s="4"/>
      <c r="KK638" s="4"/>
      <c r="KL638" s="4"/>
      <c r="KM638" s="4" t="s">
        <v>391</v>
      </c>
      <c r="KN638" s="4" t="s">
        <v>391</v>
      </c>
      <c r="KO638" s="4"/>
      <c r="KP638" s="5" t="s">
        <v>3816</v>
      </c>
      <c r="KQ638" s="5" t="s">
        <v>3817</v>
      </c>
      <c r="KR638" s="5"/>
      <c r="KS638" s="5" t="s">
        <v>3817</v>
      </c>
      <c r="KT638" s="5" t="s">
        <v>5536</v>
      </c>
    </row>
    <row r="639" spans="1:306" s="14" customFormat="1" ht="84" x14ac:dyDescent="0.25">
      <c r="A639" s="5" t="s">
        <v>5613</v>
      </c>
      <c r="B639" s="4" t="s">
        <v>424</v>
      </c>
      <c r="C639" s="7" t="s">
        <v>425</v>
      </c>
      <c r="D639" s="8" t="s">
        <v>426</v>
      </c>
      <c r="E639" s="4">
        <v>335933</v>
      </c>
      <c r="F639" s="4"/>
      <c r="G639" s="4" t="s">
        <v>330</v>
      </c>
      <c r="H639" s="6">
        <v>117.15819999999999</v>
      </c>
      <c r="I639" s="6">
        <v>-29.7745</v>
      </c>
      <c r="J639" s="4" t="s">
        <v>5606</v>
      </c>
      <c r="K639" s="4" t="s">
        <v>331</v>
      </c>
      <c r="L639" s="4" t="s">
        <v>500</v>
      </c>
      <c r="M639" s="4" t="s">
        <v>676</v>
      </c>
      <c r="N639" s="4" t="s">
        <v>677</v>
      </c>
      <c r="O639" s="8"/>
      <c r="P639" s="4"/>
      <c r="Q639" s="8"/>
      <c r="R639" s="8"/>
      <c r="S639" s="9"/>
      <c r="T639" s="9"/>
      <c r="U639" s="9"/>
      <c r="V639" s="9"/>
      <c r="W639" s="9"/>
      <c r="X639" s="9"/>
      <c r="Y639" s="8"/>
      <c r="Z639" s="4" t="s">
        <v>424</v>
      </c>
      <c r="AA639" s="7" t="s">
        <v>425</v>
      </c>
      <c r="AB639" s="8" t="s">
        <v>426</v>
      </c>
      <c r="AC639" s="4" t="s">
        <v>301</v>
      </c>
      <c r="AD639" s="4" t="s">
        <v>375</v>
      </c>
      <c r="AE639" s="8">
        <v>2628</v>
      </c>
      <c r="AF639" s="8">
        <v>9</v>
      </c>
      <c r="AG639" s="9" t="s">
        <v>379</v>
      </c>
      <c r="AH639" s="9" t="s">
        <v>335</v>
      </c>
      <c r="AI639" s="9" t="s">
        <v>598</v>
      </c>
      <c r="AJ639" s="9" t="s">
        <v>599</v>
      </c>
      <c r="AK639" s="9" t="s">
        <v>600</v>
      </c>
      <c r="AL639" s="9"/>
      <c r="AM639" s="8">
        <v>4</v>
      </c>
      <c r="AN639" s="4" t="s">
        <v>381</v>
      </c>
      <c r="AO639" s="4" t="s">
        <v>382</v>
      </c>
      <c r="AP639" s="4" t="s">
        <v>383</v>
      </c>
      <c r="AQ639" s="7" t="s">
        <v>384</v>
      </c>
      <c r="AR639" s="7" t="s">
        <v>433</v>
      </c>
      <c r="AS639" s="7">
        <v>0</v>
      </c>
      <c r="AT639" s="7">
        <v>0</v>
      </c>
      <c r="AU639" s="4" t="s">
        <v>303</v>
      </c>
      <c r="AV639" s="4" t="s">
        <v>406</v>
      </c>
      <c r="AW639" s="4"/>
      <c r="AX639" s="4"/>
      <c r="AY639" s="4"/>
      <c r="AZ639" s="4"/>
      <c r="BA639" s="8">
        <v>5</v>
      </c>
      <c r="BB639" s="4"/>
      <c r="BC639" s="4"/>
      <c r="BD639" s="4"/>
      <c r="BE639" s="7"/>
      <c r="BF639" s="7"/>
      <c r="BG639" s="8"/>
      <c r="BH639" s="8"/>
      <c r="BI639" s="9"/>
      <c r="BJ639" s="9"/>
      <c r="BK639" s="9"/>
      <c r="BL639" s="9"/>
      <c r="BM639" s="9"/>
      <c r="BN639" s="9"/>
      <c r="BO639" s="8"/>
      <c r="BP639" s="7"/>
      <c r="BQ639" s="6"/>
      <c r="BR639" s="7"/>
      <c r="BS639" s="7"/>
      <c r="BT639" s="7"/>
      <c r="BU639" s="8"/>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c r="CW639" s="7"/>
      <c r="CX639" s="7"/>
      <c r="CY639" s="7"/>
      <c r="CZ639" s="7"/>
      <c r="DA639" s="7"/>
      <c r="DB639" s="7"/>
      <c r="DC639" s="7"/>
      <c r="DD639" s="7"/>
      <c r="DE639" s="7"/>
      <c r="DF639" s="7"/>
      <c r="DG639" s="7"/>
      <c r="DH639" s="7"/>
      <c r="DI639" s="7"/>
      <c r="DJ639" s="7"/>
      <c r="DK639" s="7"/>
      <c r="DL639" s="7"/>
      <c r="DM639" s="7"/>
      <c r="DN639" s="7"/>
      <c r="DO639" s="7"/>
      <c r="DP639" s="7"/>
      <c r="DQ639" s="7"/>
      <c r="DR639" s="7"/>
      <c r="DS639" s="7"/>
      <c r="DT639" s="7"/>
      <c r="DU639" s="7"/>
      <c r="DV639" s="7"/>
      <c r="DW639" s="7"/>
      <c r="DX639" s="7"/>
      <c r="DY639" s="7"/>
      <c r="DZ639" s="31"/>
      <c r="EA639" s="7"/>
      <c r="EB639" s="7"/>
      <c r="EC639" s="7"/>
      <c r="ED639" s="7"/>
      <c r="EE639" s="7"/>
      <c r="EF639" s="7"/>
      <c r="EG639" s="7"/>
      <c r="EH639" s="10"/>
      <c r="EI639" s="10"/>
      <c r="EJ639" s="10"/>
      <c r="EK639" s="10"/>
      <c r="EL639" s="8">
        <v>148.75</v>
      </c>
      <c r="EM639" s="6"/>
      <c r="EN639" s="6"/>
      <c r="EO639" s="6"/>
      <c r="EP639" s="6"/>
      <c r="EQ639" s="6"/>
      <c r="ER639" s="6"/>
      <c r="ES639" s="6"/>
      <c r="ET639" s="6"/>
      <c r="EU639" s="6"/>
      <c r="EV639" s="6"/>
      <c r="EW639" s="6"/>
      <c r="EX639" s="6"/>
      <c r="EY639" s="8"/>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32"/>
      <c r="GQ639" s="6"/>
      <c r="GR639" s="6"/>
      <c r="GS639" s="6"/>
      <c r="GT639" s="6"/>
      <c r="GU639" s="6"/>
      <c r="GV639" s="6"/>
      <c r="GW639" s="6"/>
      <c r="GX639" s="6"/>
      <c r="GY639" s="6" t="s">
        <v>338</v>
      </c>
      <c r="GZ639" s="6" t="s">
        <v>436</v>
      </c>
      <c r="HA639" s="6"/>
      <c r="HB639" s="6"/>
      <c r="HC639" s="6" t="s">
        <v>437</v>
      </c>
      <c r="HD639" s="8" t="s">
        <v>5614</v>
      </c>
      <c r="HE639" s="8"/>
      <c r="HF639" s="8" t="s">
        <v>5615</v>
      </c>
      <c r="HG639" s="9" t="s">
        <v>389</v>
      </c>
      <c r="HH639" s="9"/>
      <c r="HI639" s="8"/>
      <c r="HJ639" s="9"/>
      <c r="HK639" s="9"/>
      <c r="HL639" s="9"/>
      <c r="HM639" s="8"/>
      <c r="HN639" s="9"/>
      <c r="HO639" s="9"/>
      <c r="HP639" s="9"/>
      <c r="HQ639" s="8"/>
      <c r="HR639" s="9"/>
      <c r="HS639" s="9"/>
      <c r="HT639" s="9"/>
      <c r="HU639" s="9"/>
      <c r="HV639" s="9"/>
      <c r="HW639" s="9"/>
      <c r="HX639" s="9"/>
      <c r="HY639" s="8"/>
      <c r="HZ639" s="9"/>
      <c r="IA639" s="9"/>
      <c r="IB639" s="8" t="s">
        <v>5616</v>
      </c>
      <c r="IC639" s="8"/>
      <c r="ID639" s="8" t="s">
        <v>5607</v>
      </c>
      <c r="IE639" s="9" t="s">
        <v>389</v>
      </c>
      <c r="IF639" s="9" t="s">
        <v>445</v>
      </c>
      <c r="IG639" s="8" t="s">
        <v>5617</v>
      </c>
      <c r="IH639" s="8"/>
      <c r="II639" s="8" t="s">
        <v>5618</v>
      </c>
      <c r="IJ639" s="8" t="s">
        <v>507</v>
      </c>
      <c r="IK639" s="8"/>
      <c r="IL639" s="9"/>
      <c r="IM639" s="9"/>
      <c r="IN639" s="8" t="s">
        <v>5619</v>
      </c>
      <c r="IO639" s="8" t="s">
        <v>507</v>
      </c>
      <c r="IP639" s="8" t="s">
        <v>329</v>
      </c>
      <c r="IQ639" s="9"/>
      <c r="IR639" s="9"/>
      <c r="IS639" s="9"/>
      <c r="IT639" s="9"/>
      <c r="IU639" s="9"/>
      <c r="IV639" s="9"/>
      <c r="IW639" s="9"/>
      <c r="IX639" s="9"/>
      <c r="IY639" s="9"/>
      <c r="IZ639" s="9"/>
      <c r="JA639" s="9"/>
      <c r="JB639" s="9"/>
      <c r="JC639" s="9"/>
      <c r="JD639" s="9"/>
      <c r="JE639" s="9"/>
      <c r="JF639" s="9"/>
      <c r="JG639" s="9"/>
      <c r="JH639" s="9"/>
      <c r="JI639" s="9"/>
      <c r="JJ639" s="9"/>
      <c r="JK639" s="9"/>
      <c r="JL639" s="9"/>
      <c r="JM639" s="9"/>
      <c r="JN639" s="9"/>
      <c r="JO639" s="9"/>
      <c r="JP639" s="9"/>
      <c r="JQ639" s="9"/>
      <c r="JR639" s="9"/>
      <c r="JS639" s="9"/>
      <c r="JT639" s="9"/>
      <c r="JU639" s="7"/>
      <c r="JV639" s="7" t="s">
        <v>5620</v>
      </c>
      <c r="JW639" s="7"/>
      <c r="JX639" s="7" t="s">
        <v>322</v>
      </c>
      <c r="JY639" s="7" t="s">
        <v>470</v>
      </c>
      <c r="JZ639" s="7" t="s">
        <v>320</v>
      </c>
      <c r="KA639" s="7"/>
      <c r="KB639" s="7"/>
      <c r="KC639" s="7"/>
      <c r="KD639" s="7"/>
      <c r="KE639" s="7"/>
      <c r="KF639" s="7"/>
      <c r="KG639" s="4" t="s">
        <v>323</v>
      </c>
      <c r="KH639" s="4"/>
      <c r="KI639" s="4"/>
      <c r="KJ639" s="4"/>
      <c r="KK639" s="4"/>
      <c r="KL639" s="4"/>
      <c r="KM639" s="4" t="s">
        <v>1439</v>
      </c>
      <c r="KN639" s="4" t="s">
        <v>1439</v>
      </c>
      <c r="KO639" s="4"/>
      <c r="KP639" s="5" t="s">
        <v>358</v>
      </c>
      <c r="KQ639" s="5" t="s">
        <v>5621</v>
      </c>
      <c r="KR639" s="5" t="s">
        <v>5622</v>
      </c>
      <c r="KS639" s="5" t="s">
        <v>5623</v>
      </c>
      <c r="KT639" s="5" t="s">
        <v>5624</v>
      </c>
    </row>
    <row r="640" spans="1:306" s="14" customFormat="1" ht="60" x14ac:dyDescent="0.25">
      <c r="A640" s="5" t="s">
        <v>5659</v>
      </c>
      <c r="B640" s="4" t="s">
        <v>424</v>
      </c>
      <c r="C640" s="7" t="s">
        <v>425</v>
      </c>
      <c r="D640" s="8" t="s">
        <v>426</v>
      </c>
      <c r="E640" s="4">
        <v>335757</v>
      </c>
      <c r="F640" s="4"/>
      <c r="G640" s="4" t="s">
        <v>479</v>
      </c>
      <c r="H640" s="6">
        <v>143.81700000000001</v>
      </c>
      <c r="I640" s="6">
        <v>-19.1721</v>
      </c>
      <c r="J640" s="4" t="s">
        <v>3466</v>
      </c>
      <c r="K640" s="4" t="s">
        <v>481</v>
      </c>
      <c r="L640" s="4" t="s">
        <v>482</v>
      </c>
      <c r="M640" s="4"/>
      <c r="N640" s="4"/>
      <c r="O640" s="8"/>
      <c r="P640" s="4"/>
      <c r="Q640" s="8"/>
      <c r="R640" s="8"/>
      <c r="S640" s="9"/>
      <c r="T640" s="9"/>
      <c r="U640" s="9"/>
      <c r="V640" s="9"/>
      <c r="W640" s="9"/>
      <c r="X640" s="9"/>
      <c r="Y640" s="8"/>
      <c r="Z640" s="4" t="s">
        <v>424</v>
      </c>
      <c r="AA640" s="7" t="s">
        <v>425</v>
      </c>
      <c r="AB640" s="8" t="s">
        <v>426</v>
      </c>
      <c r="AC640" s="4" t="s">
        <v>301</v>
      </c>
      <c r="AD640" s="4" t="s">
        <v>375</v>
      </c>
      <c r="AE640" s="8">
        <v>404</v>
      </c>
      <c r="AF640" s="8">
        <v>3</v>
      </c>
      <c r="AG640" s="9" t="s">
        <v>379</v>
      </c>
      <c r="AH640" s="9" t="s">
        <v>429</v>
      </c>
      <c r="AI640" s="9" t="s">
        <v>430</v>
      </c>
      <c r="AJ640" s="9" t="s">
        <v>431</v>
      </c>
      <c r="AK640" s="9" t="s">
        <v>432</v>
      </c>
      <c r="AL640" s="9"/>
      <c r="AM640" s="8">
        <v>4</v>
      </c>
      <c r="AN640" s="4" t="s">
        <v>381</v>
      </c>
      <c r="AO640" s="4" t="s">
        <v>402</v>
      </c>
      <c r="AP640" s="4" t="s">
        <v>383</v>
      </c>
      <c r="AQ640" s="7" t="s">
        <v>384</v>
      </c>
      <c r="AR640" s="8" t="s">
        <v>711</v>
      </c>
      <c r="AS640" s="7">
        <v>0</v>
      </c>
      <c r="AT640" s="7">
        <v>0</v>
      </c>
      <c r="AU640" s="9" t="s">
        <v>303</v>
      </c>
      <c r="AV640" s="9" t="s">
        <v>406</v>
      </c>
      <c r="AW640" s="9"/>
      <c r="AX640" s="9"/>
      <c r="AY640" s="9"/>
      <c r="AZ640" s="9"/>
      <c r="BA640" s="8">
        <v>5</v>
      </c>
      <c r="BB640" s="4"/>
      <c r="BC640" s="4"/>
      <c r="BD640" s="4"/>
      <c r="BE640" s="7"/>
      <c r="BF640" s="8"/>
      <c r="BG640" s="9"/>
      <c r="BH640" s="9"/>
      <c r="BI640" s="9"/>
      <c r="BJ640" s="9"/>
      <c r="BK640" s="9"/>
      <c r="BL640" s="9"/>
      <c r="BM640" s="9"/>
      <c r="BN640" s="9"/>
      <c r="BO640" s="8"/>
      <c r="BP640" s="7">
        <f>2.53/5.2+0.137</f>
        <v>0.62353846153846149</v>
      </c>
      <c r="BQ640" s="6"/>
      <c r="BR640" s="6"/>
      <c r="BS640" s="6"/>
      <c r="BT640" s="6"/>
      <c r="BU640" s="8"/>
      <c r="BV640" s="6">
        <f>(5.2*(2.53/5.2)+5.51*0.137)/(2.53/5.2+0.137)</f>
        <v>5.2681112755983222</v>
      </c>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31"/>
      <c r="EA640" s="6"/>
      <c r="EB640" s="6"/>
      <c r="EC640" s="6"/>
      <c r="ED640" s="6"/>
      <c r="EE640" s="6"/>
      <c r="EF640" s="6"/>
      <c r="EG640" s="6"/>
      <c r="EH640" s="10"/>
      <c r="EI640" s="10"/>
      <c r="EJ640" s="10"/>
      <c r="EK640" s="10"/>
      <c r="EL640" s="6">
        <f>BP640*BV640</f>
        <v>3.2848699999999997</v>
      </c>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32"/>
      <c r="GQ640" s="6"/>
      <c r="GR640" s="6"/>
      <c r="GS640" s="6"/>
      <c r="GT640" s="6"/>
      <c r="GU640" s="6"/>
      <c r="GV640" s="6"/>
      <c r="GW640" s="6"/>
      <c r="GX640" s="6"/>
      <c r="GY640" s="6" t="s">
        <v>309</v>
      </c>
      <c r="GZ640" s="6" t="s">
        <v>436</v>
      </c>
      <c r="HA640" s="6"/>
      <c r="HB640" s="6"/>
      <c r="HC640" s="6" t="s">
        <v>437</v>
      </c>
      <c r="HD640" s="8" t="s">
        <v>5660</v>
      </c>
      <c r="HE640" s="8">
        <v>24400</v>
      </c>
      <c r="HF640" s="8" t="s">
        <v>5661</v>
      </c>
      <c r="HG640" s="9" t="s">
        <v>487</v>
      </c>
      <c r="HH640" s="9"/>
      <c r="HI640" s="8"/>
      <c r="HJ640" s="9"/>
      <c r="HK640" s="9"/>
      <c r="HL640" s="9"/>
      <c r="HM640" s="8"/>
      <c r="HN640" s="9"/>
      <c r="HO640" s="9"/>
      <c r="HP640" s="9"/>
      <c r="HQ640" s="8"/>
      <c r="HR640" s="9"/>
      <c r="HS640" s="9"/>
      <c r="HT640" s="9"/>
      <c r="HU640" s="9"/>
      <c r="HV640" s="9"/>
      <c r="HW640" s="9"/>
      <c r="HX640" s="9"/>
      <c r="HY640" s="9"/>
      <c r="HZ640" s="9"/>
      <c r="IA640" s="9"/>
      <c r="IB640" s="8" t="s">
        <v>5660</v>
      </c>
      <c r="IC640" s="8">
        <v>24400</v>
      </c>
      <c r="ID640" s="8" t="s">
        <v>5661</v>
      </c>
      <c r="IE640" s="9" t="s">
        <v>487</v>
      </c>
      <c r="IF640" s="8" t="s">
        <v>445</v>
      </c>
      <c r="IG640" s="8"/>
      <c r="IH640" s="8"/>
      <c r="II640" s="8" t="s">
        <v>2476</v>
      </c>
      <c r="IJ640" s="8" t="s">
        <v>2475</v>
      </c>
      <c r="IK640" s="8" t="s">
        <v>350</v>
      </c>
      <c r="IL640" s="9"/>
      <c r="IM640" s="8"/>
      <c r="IN640" s="9" t="s">
        <v>5662</v>
      </c>
      <c r="IO640" s="8" t="s">
        <v>2475</v>
      </c>
      <c r="IP640" s="8" t="s">
        <v>350</v>
      </c>
      <c r="IQ640" s="9"/>
      <c r="IR640" s="9"/>
      <c r="IS640" s="9"/>
      <c r="IT640" s="9"/>
      <c r="IU640" s="9"/>
      <c r="IV640" s="9"/>
      <c r="IW640" s="9"/>
      <c r="IX640" s="9"/>
      <c r="IY640" s="9"/>
      <c r="IZ640" s="9"/>
      <c r="JA640" s="9"/>
      <c r="JB640" s="9"/>
      <c r="JC640" s="9"/>
      <c r="JD640" s="9"/>
      <c r="JE640" s="9"/>
      <c r="JF640" s="9"/>
      <c r="JG640" s="9"/>
      <c r="JH640" s="9"/>
      <c r="JI640" s="9"/>
      <c r="JJ640" s="9"/>
      <c r="JK640" s="9"/>
      <c r="JL640" s="9"/>
      <c r="JM640" s="9"/>
      <c r="JN640" s="9"/>
      <c r="JO640" s="9"/>
      <c r="JP640" s="9"/>
      <c r="JQ640" s="9"/>
      <c r="JR640" s="9"/>
      <c r="JS640" s="9"/>
      <c r="JT640" s="9"/>
      <c r="JU640" s="7"/>
      <c r="JV640" s="7" t="s">
        <v>5663</v>
      </c>
      <c r="JW640" s="7"/>
      <c r="JX640" s="7" t="s">
        <v>320</v>
      </c>
      <c r="JY640" s="7"/>
      <c r="JZ640" s="7"/>
      <c r="KA640" s="7"/>
      <c r="KB640" s="7"/>
      <c r="KC640" s="7"/>
      <c r="KD640" s="7"/>
      <c r="KE640" s="7"/>
      <c r="KF640" s="7"/>
      <c r="KG640" s="4" t="s">
        <v>323</v>
      </c>
      <c r="KH640" s="4"/>
      <c r="KI640" s="4"/>
      <c r="KJ640" s="4"/>
      <c r="KK640" s="4"/>
      <c r="KL640" s="4"/>
      <c r="KM640" s="4"/>
      <c r="KN640" s="4"/>
      <c r="KO640" s="4"/>
      <c r="KP640" s="5" t="s">
        <v>358</v>
      </c>
      <c r="KQ640" s="5" t="s">
        <v>5664</v>
      </c>
      <c r="KR640" s="5" t="s">
        <v>2839</v>
      </c>
      <c r="KS640" s="5" t="s">
        <v>495</v>
      </c>
      <c r="KT640" s="5" t="s">
        <v>5665</v>
      </c>
    </row>
    <row r="641" spans="1:306" s="14" customFormat="1" ht="108" x14ac:dyDescent="0.25">
      <c r="A641" s="5" t="s">
        <v>5774</v>
      </c>
      <c r="B641" s="4" t="s">
        <v>424</v>
      </c>
      <c r="C641" s="7" t="s">
        <v>425</v>
      </c>
      <c r="D641" s="8" t="s">
        <v>426</v>
      </c>
      <c r="E641" s="4">
        <v>701872</v>
      </c>
      <c r="F641" s="4"/>
      <c r="G641" s="4" t="s">
        <v>330</v>
      </c>
      <c r="H641" s="6">
        <v>117.82259999999999</v>
      </c>
      <c r="I641" s="6">
        <v>-28.045100000000001</v>
      </c>
      <c r="J641" s="4" t="s">
        <v>5775</v>
      </c>
      <c r="K641" s="4" t="s">
        <v>331</v>
      </c>
      <c r="L641" s="4" t="s">
        <v>500</v>
      </c>
      <c r="M641" s="4" t="s">
        <v>676</v>
      </c>
      <c r="N641" s="4" t="s">
        <v>677</v>
      </c>
      <c r="O641" s="8"/>
      <c r="P641" s="4"/>
      <c r="Q641" s="9"/>
      <c r="R641" s="9"/>
      <c r="S641" s="9"/>
      <c r="T641" s="9"/>
      <c r="U641" s="9"/>
      <c r="V641" s="9"/>
      <c r="W641" s="9"/>
      <c r="X641" s="9"/>
      <c r="Y641" s="8"/>
      <c r="Z641" s="4" t="s">
        <v>424</v>
      </c>
      <c r="AA641" s="7" t="s">
        <v>425</v>
      </c>
      <c r="AB641" s="8" t="s">
        <v>426</v>
      </c>
      <c r="AC641" s="4" t="s">
        <v>301</v>
      </c>
      <c r="AD641" s="4" t="s">
        <v>375</v>
      </c>
      <c r="AE641" s="9"/>
      <c r="AF641" s="9"/>
      <c r="AG641" s="9"/>
      <c r="AH641" s="9"/>
      <c r="AI641" s="9"/>
      <c r="AJ641" s="9"/>
      <c r="AK641" s="9"/>
      <c r="AL641" s="9"/>
      <c r="AM641" s="8"/>
      <c r="AN641" s="4" t="s">
        <v>381</v>
      </c>
      <c r="AO641" s="4" t="s">
        <v>382</v>
      </c>
      <c r="AP641" s="4" t="s">
        <v>383</v>
      </c>
      <c r="AQ641" s="7" t="s">
        <v>384</v>
      </c>
      <c r="AR641" s="7" t="s">
        <v>433</v>
      </c>
      <c r="AS641" s="7">
        <v>0</v>
      </c>
      <c r="AT641" s="7">
        <v>0</v>
      </c>
      <c r="AU641" s="4" t="s">
        <v>303</v>
      </c>
      <c r="AV641" s="4" t="s">
        <v>406</v>
      </c>
      <c r="AW641" s="4"/>
      <c r="AX641" s="4"/>
      <c r="AY641" s="4"/>
      <c r="AZ641" s="4"/>
      <c r="BA641" s="8">
        <v>5</v>
      </c>
      <c r="BB641" s="4"/>
      <c r="BC641" s="4"/>
      <c r="BD641" s="4"/>
      <c r="BE641" s="7"/>
      <c r="BF641" s="8"/>
      <c r="BG641" s="9"/>
      <c r="BH641" s="9"/>
      <c r="BI641" s="9"/>
      <c r="BJ641" s="9"/>
      <c r="BK641" s="9"/>
      <c r="BL641" s="9"/>
      <c r="BM641" s="9"/>
      <c r="BN641" s="9"/>
      <c r="BO641" s="8"/>
      <c r="BP641" s="7">
        <v>139.4</v>
      </c>
      <c r="BQ641" s="6"/>
      <c r="BR641" s="6"/>
      <c r="BS641" s="6"/>
      <c r="BT641" s="6"/>
      <c r="BU641" s="8"/>
      <c r="BV641" s="4">
        <v>1.85</v>
      </c>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31"/>
      <c r="EA641" s="6"/>
      <c r="EB641" s="6"/>
      <c r="EC641" s="6"/>
      <c r="ED641" s="6"/>
      <c r="EE641" s="6"/>
      <c r="EF641" s="6"/>
      <c r="EG641" s="6"/>
      <c r="EH641" s="10"/>
      <c r="EI641" s="10"/>
      <c r="EJ641" s="10"/>
      <c r="EK641" s="10"/>
      <c r="EL641" s="7">
        <v>257.99</v>
      </c>
      <c r="EM641" s="6"/>
      <c r="EN641" s="6"/>
      <c r="EO641" s="6"/>
      <c r="EP641" s="6"/>
      <c r="EQ641" s="6"/>
      <c r="ER641" s="6"/>
      <c r="ES641" s="6"/>
      <c r="ET641" s="6"/>
      <c r="EU641" s="6"/>
      <c r="EV641" s="6"/>
      <c r="EW641" s="6"/>
      <c r="EX641" s="6"/>
      <c r="EY641" s="8"/>
      <c r="EZ641" s="6"/>
      <c r="FA641" s="10"/>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32"/>
      <c r="GQ641" s="6"/>
      <c r="GR641" s="6"/>
      <c r="GS641" s="6"/>
      <c r="GT641" s="6"/>
      <c r="GU641" s="6"/>
      <c r="GV641" s="6"/>
      <c r="GW641" s="6"/>
      <c r="GX641" s="6"/>
      <c r="GY641" s="6" t="s">
        <v>338</v>
      </c>
      <c r="GZ641" s="6" t="s">
        <v>436</v>
      </c>
      <c r="HA641" s="6"/>
      <c r="HB641" s="6"/>
      <c r="HC641" s="6" t="s">
        <v>437</v>
      </c>
      <c r="HD641" s="8" t="s">
        <v>5776</v>
      </c>
      <c r="HE641" s="8">
        <v>22851</v>
      </c>
      <c r="HF641" s="8" t="s">
        <v>5777</v>
      </c>
      <c r="HG641" s="9" t="s">
        <v>507</v>
      </c>
      <c r="HH641" s="9" t="s">
        <v>5778</v>
      </c>
      <c r="HI641" s="8">
        <v>23744</v>
      </c>
      <c r="HJ641" s="8" t="s">
        <v>5779</v>
      </c>
      <c r="HK641" s="9" t="s">
        <v>507</v>
      </c>
      <c r="HL641" s="9"/>
      <c r="HM641" s="8"/>
      <c r="HN641" s="9"/>
      <c r="HO641" s="9"/>
      <c r="HP641" s="9"/>
      <c r="HQ641" s="8"/>
      <c r="HR641" s="9"/>
      <c r="HS641" s="9"/>
      <c r="HT641" s="9"/>
      <c r="HU641" s="9"/>
      <c r="HV641" s="9"/>
      <c r="HW641" s="9"/>
      <c r="HX641" s="9"/>
      <c r="HY641" s="8"/>
      <c r="HZ641" s="9"/>
      <c r="IA641" s="9"/>
      <c r="IB641" s="8" t="s">
        <v>5776</v>
      </c>
      <c r="IC641" s="8">
        <v>22851</v>
      </c>
      <c r="ID641" s="8" t="s">
        <v>5777</v>
      </c>
      <c r="IE641" s="9" t="s">
        <v>507</v>
      </c>
      <c r="IF641" s="8" t="s">
        <v>445</v>
      </c>
      <c r="IG641" s="9" t="s">
        <v>5778</v>
      </c>
      <c r="IH641" s="8">
        <v>23744</v>
      </c>
      <c r="II641" s="8" t="s">
        <v>5779</v>
      </c>
      <c r="IJ641" s="9" t="s">
        <v>507</v>
      </c>
      <c r="IK641" s="8" t="s">
        <v>445</v>
      </c>
      <c r="IL641" s="9" t="s">
        <v>5780</v>
      </c>
      <c r="IM641" s="8"/>
      <c r="IN641" s="9" t="s">
        <v>5050</v>
      </c>
      <c r="IO641" s="9" t="s">
        <v>389</v>
      </c>
      <c r="IP641" s="9" t="s">
        <v>445</v>
      </c>
      <c r="IQ641" s="9" t="s">
        <v>5781</v>
      </c>
      <c r="IR641" s="9"/>
      <c r="IS641" s="9" t="s">
        <v>5782</v>
      </c>
      <c r="IT641" s="9" t="s">
        <v>507</v>
      </c>
      <c r="IU641" s="9" t="s">
        <v>329</v>
      </c>
      <c r="IV641" s="9"/>
      <c r="IW641" s="9"/>
      <c r="IX641" s="9" t="s">
        <v>5783</v>
      </c>
      <c r="IY641" s="9" t="s">
        <v>507</v>
      </c>
      <c r="IZ641" s="9" t="s">
        <v>329</v>
      </c>
      <c r="JA641" s="9"/>
      <c r="JB641" s="9"/>
      <c r="JC641" s="9" t="s">
        <v>5784</v>
      </c>
      <c r="JD641" s="9" t="s">
        <v>1303</v>
      </c>
      <c r="JE641" s="9" t="s">
        <v>350</v>
      </c>
      <c r="JF641" s="9"/>
      <c r="JG641" s="9"/>
      <c r="JH641" s="9"/>
      <c r="JI641" s="9"/>
      <c r="JJ641" s="9"/>
      <c r="JK641" s="9"/>
      <c r="JL641" s="9"/>
      <c r="JM641" s="9"/>
      <c r="JN641" s="9"/>
      <c r="JO641" s="9"/>
      <c r="JP641" s="9"/>
      <c r="JQ641" s="9"/>
      <c r="JR641" s="9"/>
      <c r="JS641" s="9"/>
      <c r="JT641" s="9"/>
      <c r="JU641" s="7"/>
      <c r="JV641" s="7" t="s">
        <v>5785</v>
      </c>
      <c r="JW641" s="7"/>
      <c r="JX641" s="7" t="s">
        <v>322</v>
      </c>
      <c r="JY641" s="7" t="s">
        <v>448</v>
      </c>
      <c r="JZ641" s="7" t="s">
        <v>320</v>
      </c>
      <c r="KA641" s="7"/>
      <c r="KB641" s="7"/>
      <c r="KC641" s="7"/>
      <c r="KD641" s="7"/>
      <c r="KE641" s="7"/>
      <c r="KF641" s="7"/>
      <c r="KG641" s="4" t="s">
        <v>323</v>
      </c>
      <c r="KH641" s="4"/>
      <c r="KI641" s="4"/>
      <c r="KJ641" s="4"/>
      <c r="KK641" s="4"/>
      <c r="KL641" s="4"/>
      <c r="KM641" s="4" t="s">
        <v>836</v>
      </c>
      <c r="KN641" s="4" t="s">
        <v>702</v>
      </c>
      <c r="KO641" s="4"/>
      <c r="KP641" s="5" t="s">
        <v>358</v>
      </c>
      <c r="KQ641" s="5" t="s">
        <v>5786</v>
      </c>
      <c r="KR641" s="5"/>
      <c r="KS641" s="5" t="s">
        <v>5787</v>
      </c>
      <c r="KT641" s="5" t="s">
        <v>5788</v>
      </c>
    </row>
    <row r="642" spans="1:306" s="14" customFormat="1" ht="132" x14ac:dyDescent="0.25">
      <c r="A642" s="5" t="s">
        <v>5795</v>
      </c>
      <c r="B642" s="4" t="s">
        <v>424</v>
      </c>
      <c r="C642" s="7" t="s">
        <v>425</v>
      </c>
      <c r="D642" s="8" t="s">
        <v>426</v>
      </c>
      <c r="E642" s="4">
        <v>335033</v>
      </c>
      <c r="F642" s="4"/>
      <c r="G642" s="4" t="s">
        <v>330</v>
      </c>
      <c r="H642" s="6">
        <v>120.9717</v>
      </c>
      <c r="I642" s="6">
        <v>-27.560700000000001</v>
      </c>
      <c r="J642" s="4" t="s">
        <v>5796</v>
      </c>
      <c r="K642" s="4" t="s">
        <v>331</v>
      </c>
      <c r="L642" s="4" t="s">
        <v>500</v>
      </c>
      <c r="M642" s="4" t="s">
        <v>501</v>
      </c>
      <c r="N642" s="4" t="s">
        <v>1061</v>
      </c>
      <c r="O642" s="8"/>
      <c r="P642" s="4"/>
      <c r="Q642" s="8"/>
      <c r="R642" s="8"/>
      <c r="S642" s="9"/>
      <c r="T642" s="9"/>
      <c r="U642" s="9"/>
      <c r="V642" s="9"/>
      <c r="W642" s="9"/>
      <c r="X642" s="9"/>
      <c r="Y642" s="8"/>
      <c r="Z642" s="4" t="s">
        <v>424</v>
      </c>
      <c r="AA642" s="7" t="s">
        <v>425</v>
      </c>
      <c r="AB642" s="8" t="s">
        <v>426</v>
      </c>
      <c r="AC642" s="4" t="s">
        <v>301</v>
      </c>
      <c r="AD642" s="4" t="s">
        <v>375</v>
      </c>
      <c r="AE642" s="8">
        <v>2656</v>
      </c>
      <c r="AF642" s="8">
        <v>4</v>
      </c>
      <c r="AG642" s="9" t="s">
        <v>379</v>
      </c>
      <c r="AH642" s="9" t="s">
        <v>460</v>
      </c>
      <c r="AI642" s="9" t="s">
        <v>373</v>
      </c>
      <c r="AJ642" s="9" t="s">
        <v>306</v>
      </c>
      <c r="AK642" s="9" t="s">
        <v>307</v>
      </c>
      <c r="AL642" s="9" t="s">
        <v>337</v>
      </c>
      <c r="AM642" s="8">
        <v>2</v>
      </c>
      <c r="AN642" s="4" t="s">
        <v>381</v>
      </c>
      <c r="AO642" s="4" t="s">
        <v>382</v>
      </c>
      <c r="AP642" s="4" t="s">
        <v>383</v>
      </c>
      <c r="AQ642" s="7" t="s">
        <v>384</v>
      </c>
      <c r="AR642" s="7" t="s">
        <v>433</v>
      </c>
      <c r="AS642" s="7">
        <v>0</v>
      </c>
      <c r="AT642" s="7">
        <v>0</v>
      </c>
      <c r="AU642" s="4" t="s">
        <v>303</v>
      </c>
      <c r="AV642" s="4" t="s">
        <v>406</v>
      </c>
      <c r="AW642" s="4"/>
      <c r="AX642" s="4"/>
      <c r="AY642" s="4"/>
      <c r="AZ642" s="4"/>
      <c r="BA642" s="8">
        <v>5</v>
      </c>
      <c r="BB642" s="4"/>
      <c r="BC642" s="4"/>
      <c r="BD642" s="4"/>
      <c r="BE642" s="7"/>
      <c r="BF642" s="8"/>
      <c r="BG642" s="8"/>
      <c r="BH642" s="8"/>
      <c r="BI642" s="9"/>
      <c r="BJ642" s="9"/>
      <c r="BK642" s="9"/>
      <c r="BL642" s="9"/>
      <c r="BM642" s="9"/>
      <c r="BN642" s="9"/>
      <c r="BO642" s="8"/>
      <c r="BP642" s="7">
        <v>6.452</v>
      </c>
      <c r="BQ642" s="9"/>
      <c r="BR642" s="6"/>
      <c r="BS642" s="6"/>
      <c r="BT642" s="6"/>
      <c r="BU642" s="8"/>
      <c r="BV642" s="7">
        <v>2.5</v>
      </c>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31"/>
      <c r="EA642" s="6"/>
      <c r="EB642" s="6"/>
      <c r="EC642" s="6"/>
      <c r="ED642" s="6"/>
      <c r="EE642" s="6"/>
      <c r="EF642" s="6"/>
      <c r="EG642" s="6"/>
      <c r="EH642" s="10"/>
      <c r="EI642" s="10"/>
      <c r="EJ642" s="10"/>
      <c r="EK642" s="10"/>
      <c r="EL642" s="7">
        <v>16.149999999999999</v>
      </c>
      <c r="EM642" s="6"/>
      <c r="EN642" s="6"/>
      <c r="EO642" s="6"/>
      <c r="EP642" s="6"/>
      <c r="EQ642" s="6"/>
      <c r="ER642" s="6"/>
      <c r="ES642" s="6"/>
      <c r="ET642" s="6"/>
      <c r="EU642" s="6"/>
      <c r="EV642" s="6"/>
      <c r="EW642" s="6"/>
      <c r="EX642" s="6"/>
      <c r="EY642" s="8"/>
      <c r="EZ642" s="6"/>
      <c r="FA642" s="10"/>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32"/>
      <c r="GQ642" s="6"/>
      <c r="GR642" s="6"/>
      <c r="GS642" s="6"/>
      <c r="GT642" s="6"/>
      <c r="GU642" s="6"/>
      <c r="GV642" s="6"/>
      <c r="GW642" s="6"/>
      <c r="GX642" s="6"/>
      <c r="GY642" s="6" t="s">
        <v>338</v>
      </c>
      <c r="GZ642" s="6" t="s">
        <v>436</v>
      </c>
      <c r="HA642" s="6"/>
      <c r="HB642" s="6"/>
      <c r="HC642" s="6" t="s">
        <v>437</v>
      </c>
      <c r="HD642" s="8" t="s">
        <v>5797</v>
      </c>
      <c r="HE642" s="8"/>
      <c r="HF642" s="8" t="s">
        <v>5798</v>
      </c>
      <c r="HG642" s="9" t="s">
        <v>507</v>
      </c>
      <c r="HH642" s="9"/>
      <c r="HI642" s="8"/>
      <c r="HJ642" s="9" t="s">
        <v>5799</v>
      </c>
      <c r="HK642" s="9" t="s">
        <v>507</v>
      </c>
      <c r="HL642" s="9"/>
      <c r="HM642" s="8"/>
      <c r="HN642" s="9" t="s">
        <v>5800</v>
      </c>
      <c r="HO642" s="9" t="s">
        <v>507</v>
      </c>
      <c r="HP642" s="9"/>
      <c r="HQ642" s="8"/>
      <c r="HR642" s="9"/>
      <c r="HS642" s="9"/>
      <c r="HT642" s="9"/>
      <c r="HU642" s="9"/>
      <c r="HV642" s="9"/>
      <c r="HW642" s="9"/>
      <c r="HX642" s="9"/>
      <c r="HY642" s="8"/>
      <c r="HZ642" s="9"/>
      <c r="IA642" s="9"/>
      <c r="IB642" s="8" t="s">
        <v>5797</v>
      </c>
      <c r="IC642" s="8"/>
      <c r="ID642" s="8" t="s">
        <v>5801</v>
      </c>
      <c r="IE642" s="8" t="s">
        <v>507</v>
      </c>
      <c r="IF642" s="8" t="s">
        <v>445</v>
      </c>
      <c r="IG642" s="8"/>
      <c r="IH642" s="8"/>
      <c r="II642" s="9" t="s">
        <v>5802</v>
      </c>
      <c r="IJ642" s="9" t="s">
        <v>507</v>
      </c>
      <c r="IK642" s="9" t="s">
        <v>445</v>
      </c>
      <c r="IL642" s="9"/>
      <c r="IM642" s="8"/>
      <c r="IN642" s="9" t="s">
        <v>5803</v>
      </c>
      <c r="IO642" s="9" t="s">
        <v>507</v>
      </c>
      <c r="IP642" s="9" t="s">
        <v>445</v>
      </c>
      <c r="IQ642" s="9"/>
      <c r="IR642" s="9"/>
      <c r="IS642" s="9" t="s">
        <v>5804</v>
      </c>
      <c r="IT642" s="9" t="s">
        <v>507</v>
      </c>
      <c r="IU642" s="9" t="s">
        <v>350</v>
      </c>
      <c r="IV642" s="9"/>
      <c r="IW642" s="9"/>
      <c r="IX642" s="9"/>
      <c r="IY642" s="9"/>
      <c r="IZ642" s="9"/>
      <c r="JA642" s="9"/>
      <c r="JB642" s="9"/>
      <c r="JC642" s="9"/>
      <c r="JD642" s="9"/>
      <c r="JE642" s="9"/>
      <c r="JF642" s="9"/>
      <c r="JG642" s="9"/>
      <c r="JH642" s="9"/>
      <c r="JI642" s="9"/>
      <c r="JJ642" s="9"/>
      <c r="JK642" s="9"/>
      <c r="JL642" s="9"/>
      <c r="JM642" s="9"/>
      <c r="JN642" s="9"/>
      <c r="JO642" s="9"/>
      <c r="JP642" s="9"/>
      <c r="JQ642" s="9"/>
      <c r="JR642" s="9"/>
      <c r="JS642" s="9"/>
      <c r="JT642" s="9"/>
      <c r="JU642" s="7"/>
      <c r="JV642" s="7" t="s">
        <v>5805</v>
      </c>
      <c r="JW642" s="7"/>
      <c r="JX642" s="7" t="s">
        <v>320</v>
      </c>
      <c r="JY642" s="7" t="s">
        <v>354</v>
      </c>
      <c r="JZ642" s="7" t="s">
        <v>322</v>
      </c>
      <c r="KA642" s="7"/>
      <c r="KB642" s="7"/>
      <c r="KC642" s="7"/>
      <c r="KD642" s="7"/>
      <c r="KE642" s="7"/>
      <c r="KF642" s="7"/>
      <c r="KG642" s="4" t="s">
        <v>323</v>
      </c>
      <c r="KH642" s="4"/>
      <c r="KI642" s="4"/>
      <c r="KJ642" s="4"/>
      <c r="KK642" s="4"/>
      <c r="KL642" s="4"/>
      <c r="KM642" s="4" t="s">
        <v>836</v>
      </c>
      <c r="KN642" s="4" t="s">
        <v>542</v>
      </c>
      <c r="KO642" s="4"/>
      <c r="KP642" s="5" t="s">
        <v>358</v>
      </c>
      <c r="KQ642" s="5" t="s">
        <v>5806</v>
      </c>
      <c r="KR642" s="5" t="s">
        <v>5807</v>
      </c>
      <c r="KS642" s="5" t="s">
        <v>5808</v>
      </c>
      <c r="KT642" s="5" t="s">
        <v>5809</v>
      </c>
    </row>
    <row r="643" spans="1:306" s="14" customFormat="1" ht="72" x14ac:dyDescent="0.25">
      <c r="A643" s="5" t="s">
        <v>5814</v>
      </c>
      <c r="B643" s="4" t="s">
        <v>424</v>
      </c>
      <c r="C643" s="7" t="s">
        <v>425</v>
      </c>
      <c r="D643" s="8" t="s">
        <v>426</v>
      </c>
      <c r="E643" s="4">
        <v>576139</v>
      </c>
      <c r="F643" s="4"/>
      <c r="G643" s="4" t="s">
        <v>330</v>
      </c>
      <c r="H643" s="6">
        <v>121.93</v>
      </c>
      <c r="I643" s="6">
        <v>-31.001999999999999</v>
      </c>
      <c r="J643" s="4" t="s">
        <v>5815</v>
      </c>
      <c r="K643" s="4" t="s">
        <v>331</v>
      </c>
      <c r="L643" s="4" t="s">
        <v>500</v>
      </c>
      <c r="M643" s="4" t="s">
        <v>501</v>
      </c>
      <c r="N643" s="4" t="s">
        <v>625</v>
      </c>
      <c r="O643" s="8"/>
      <c r="P643" s="4"/>
      <c r="Q643" s="8"/>
      <c r="R643" s="9"/>
      <c r="S643" s="9"/>
      <c r="T643" s="9"/>
      <c r="U643" s="9"/>
      <c r="V643" s="9"/>
      <c r="W643" s="9"/>
      <c r="X643" s="9"/>
      <c r="Y643" s="8"/>
      <c r="Z643" s="4" t="s">
        <v>424</v>
      </c>
      <c r="AA643" s="7" t="s">
        <v>425</v>
      </c>
      <c r="AB643" s="8" t="s">
        <v>426</v>
      </c>
      <c r="AC643" s="4" t="s">
        <v>301</v>
      </c>
      <c r="AD643" s="4" t="s">
        <v>375</v>
      </c>
      <c r="AE643" s="8">
        <v>2650</v>
      </c>
      <c r="AF643" s="9"/>
      <c r="AG643" s="9" t="s">
        <v>379</v>
      </c>
      <c r="AH643" s="9" t="s">
        <v>380</v>
      </c>
      <c r="AI643" s="9"/>
      <c r="AJ643" s="9"/>
      <c r="AK643" s="9"/>
      <c r="AL643" s="9"/>
      <c r="AM643" s="8">
        <v>2</v>
      </c>
      <c r="AN643" s="4" t="s">
        <v>381</v>
      </c>
      <c r="AO643" s="4" t="s">
        <v>382</v>
      </c>
      <c r="AP643" s="4" t="s">
        <v>383</v>
      </c>
      <c r="AQ643" s="7" t="s">
        <v>384</v>
      </c>
      <c r="AR643" s="7" t="s">
        <v>433</v>
      </c>
      <c r="AS643" s="7">
        <v>0</v>
      </c>
      <c r="AT643" s="7">
        <v>0</v>
      </c>
      <c r="AU643" s="4" t="s">
        <v>303</v>
      </c>
      <c r="AV643" s="4" t="s">
        <v>406</v>
      </c>
      <c r="AW643" s="4"/>
      <c r="AX643" s="4"/>
      <c r="AY643" s="4"/>
      <c r="AZ643" s="4"/>
      <c r="BA643" s="8">
        <v>5</v>
      </c>
      <c r="BB643" s="4"/>
      <c r="BC643" s="4"/>
      <c r="BD643" s="4"/>
      <c r="BE643" s="7"/>
      <c r="BF643" s="8"/>
      <c r="BG643" s="8"/>
      <c r="BH643" s="9"/>
      <c r="BI643" s="9"/>
      <c r="BJ643" s="9"/>
      <c r="BK643" s="9"/>
      <c r="BL643" s="9"/>
      <c r="BM643" s="9"/>
      <c r="BN643" s="9"/>
      <c r="BO643" s="8"/>
      <c r="BP643" s="7">
        <v>56.011000000000003</v>
      </c>
      <c r="BQ643" s="6"/>
      <c r="BR643" s="6"/>
      <c r="BS643" s="6"/>
      <c r="BT643" s="6"/>
      <c r="BU643" s="8"/>
      <c r="BV643" s="6">
        <v>3.38</v>
      </c>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31"/>
      <c r="EA643" s="6"/>
      <c r="EB643" s="6"/>
      <c r="EC643" s="6"/>
      <c r="ED643" s="6"/>
      <c r="EE643" s="6"/>
      <c r="EF643" s="6"/>
      <c r="EG643" s="6"/>
      <c r="EH643" s="10"/>
      <c r="EI643" s="10"/>
      <c r="EJ643" s="10"/>
      <c r="EK643" s="10"/>
      <c r="EL643" s="8">
        <v>189.15</v>
      </c>
      <c r="EM643" s="6"/>
      <c r="EN643" s="6"/>
      <c r="EO643" s="6"/>
      <c r="EP643" s="6"/>
      <c r="EQ643" s="6"/>
      <c r="ER643" s="6"/>
      <c r="ES643" s="6"/>
      <c r="ET643" s="6"/>
      <c r="EU643" s="6"/>
      <c r="EV643" s="6"/>
      <c r="EW643" s="6"/>
      <c r="EX643" s="6"/>
      <c r="EY643" s="8"/>
      <c r="EZ643" s="6"/>
      <c r="FA643" s="10"/>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32"/>
      <c r="GQ643" s="6"/>
      <c r="GR643" s="6"/>
      <c r="GS643" s="6"/>
      <c r="GT643" s="6"/>
      <c r="GU643" s="6"/>
      <c r="GV643" s="6"/>
      <c r="GW643" s="6"/>
      <c r="GX643" s="6"/>
      <c r="GY643" s="6" t="s">
        <v>338</v>
      </c>
      <c r="GZ643" s="6" t="s">
        <v>436</v>
      </c>
      <c r="HA643" s="6"/>
      <c r="HB643" s="6"/>
      <c r="HC643" s="6" t="s">
        <v>437</v>
      </c>
      <c r="HD643" s="8" t="s">
        <v>5816</v>
      </c>
      <c r="HE643" s="8">
        <v>35605</v>
      </c>
      <c r="HF643" s="8" t="s">
        <v>5817</v>
      </c>
      <c r="HG643" s="9" t="s">
        <v>507</v>
      </c>
      <c r="HH643" s="9" t="s">
        <v>5818</v>
      </c>
      <c r="HI643" s="8"/>
      <c r="HJ643" s="9" t="s">
        <v>5819</v>
      </c>
      <c r="HK643" s="9" t="s">
        <v>507</v>
      </c>
      <c r="HL643" s="8" t="s">
        <v>5820</v>
      </c>
      <c r="HM643" s="8"/>
      <c r="HN643" s="8" t="s">
        <v>5821</v>
      </c>
      <c r="HO643" s="8" t="s">
        <v>507</v>
      </c>
      <c r="HP643" s="8"/>
      <c r="HQ643" s="8"/>
      <c r="HR643" s="8"/>
      <c r="HS643" s="8"/>
      <c r="HT643" s="8"/>
      <c r="HU643" s="8"/>
      <c r="HV643" s="8"/>
      <c r="HW643" s="8"/>
      <c r="HX643" s="8"/>
      <c r="HY643" s="8"/>
      <c r="HZ643" s="8"/>
      <c r="IA643" s="8"/>
      <c r="IB643" s="8" t="s">
        <v>5822</v>
      </c>
      <c r="IC643" s="8"/>
      <c r="ID643" s="8" t="s">
        <v>5821</v>
      </c>
      <c r="IE643" s="8" t="s">
        <v>507</v>
      </c>
      <c r="IF643" s="8"/>
      <c r="IG643" s="8" t="s">
        <v>5823</v>
      </c>
      <c r="IH643" s="8"/>
      <c r="II643" s="8" t="s">
        <v>5821</v>
      </c>
      <c r="IJ643" s="8" t="s">
        <v>507</v>
      </c>
      <c r="IK643" s="8"/>
      <c r="IL643" s="8" t="s">
        <v>5824</v>
      </c>
      <c r="IM643" s="8"/>
      <c r="IN643" s="8" t="s">
        <v>5825</v>
      </c>
      <c r="IO643" s="8" t="s">
        <v>507</v>
      </c>
      <c r="IP643" s="8"/>
      <c r="IQ643" s="8"/>
      <c r="IR643" s="8"/>
      <c r="IS643" s="8"/>
      <c r="IT643" s="8"/>
      <c r="IU643" s="8"/>
      <c r="IV643" s="8"/>
      <c r="IW643" s="8"/>
      <c r="IX643" s="8"/>
      <c r="IY643" s="8"/>
      <c r="IZ643" s="8"/>
      <c r="JA643" s="8"/>
      <c r="JB643" s="8"/>
      <c r="JC643" s="8"/>
      <c r="JD643" s="8"/>
      <c r="JE643" s="8"/>
      <c r="JF643" s="8"/>
      <c r="JG643" s="8"/>
      <c r="JH643" s="8"/>
      <c r="JI643" s="8"/>
      <c r="JJ643" s="8"/>
      <c r="JK643" s="8"/>
      <c r="JL643" s="8"/>
      <c r="JM643" s="8"/>
      <c r="JN643" s="8"/>
      <c r="JO643" s="8"/>
      <c r="JP643" s="8"/>
      <c r="JQ643" s="8"/>
      <c r="JR643" s="8"/>
      <c r="JS643" s="8"/>
      <c r="JT643" s="8"/>
      <c r="JU643" s="7"/>
      <c r="JV643" s="7" t="s">
        <v>5826</v>
      </c>
      <c r="JW643" s="7"/>
      <c r="JX643" s="7" t="s">
        <v>320</v>
      </c>
      <c r="JY643" s="7" t="s">
        <v>321</v>
      </c>
      <c r="JZ643" s="7" t="s">
        <v>322</v>
      </c>
      <c r="KA643" s="7"/>
      <c r="KB643" s="7"/>
      <c r="KC643" s="7"/>
      <c r="KD643" s="7"/>
      <c r="KE643" s="7"/>
      <c r="KF643" s="7"/>
      <c r="KG643" s="4" t="s">
        <v>323</v>
      </c>
      <c r="KH643" s="4"/>
      <c r="KI643" s="4"/>
      <c r="KJ643" s="4"/>
      <c r="KK643" s="4"/>
      <c r="KL643" s="4"/>
      <c r="KM643" s="4"/>
      <c r="KN643" s="4"/>
      <c r="KO643" s="4"/>
      <c r="KP643" s="5" t="s">
        <v>358</v>
      </c>
      <c r="KQ643" s="5" t="s">
        <v>5827</v>
      </c>
      <c r="KR643" s="5"/>
      <c r="KS643" s="5" t="s">
        <v>5828</v>
      </c>
      <c r="KT643" s="5" t="s">
        <v>5829</v>
      </c>
    </row>
    <row r="644" spans="1:306" s="14" customFormat="1" ht="60" x14ac:dyDescent="0.25">
      <c r="A644" s="5" t="s">
        <v>5837</v>
      </c>
      <c r="B644" s="4" t="s">
        <v>424</v>
      </c>
      <c r="C644" s="7" t="s">
        <v>425</v>
      </c>
      <c r="D644" s="8" t="s">
        <v>426</v>
      </c>
      <c r="E644" s="4">
        <v>576105</v>
      </c>
      <c r="F644" s="4"/>
      <c r="G644" s="4" t="s">
        <v>330</v>
      </c>
      <c r="H644" s="6">
        <v>122.0772</v>
      </c>
      <c r="I644" s="6">
        <v>-28.765000000000001</v>
      </c>
      <c r="J644" s="4" t="s">
        <v>3622</v>
      </c>
      <c r="K644" s="4" t="s">
        <v>331</v>
      </c>
      <c r="L644" s="4" t="s">
        <v>500</v>
      </c>
      <c r="M644" s="4" t="s">
        <v>501</v>
      </c>
      <c r="N644" s="4" t="s">
        <v>625</v>
      </c>
      <c r="O644" s="8"/>
      <c r="P644" s="4"/>
      <c r="Q644" s="8"/>
      <c r="R644" s="8"/>
      <c r="S644" s="9"/>
      <c r="T644" s="9"/>
      <c r="U644" s="9"/>
      <c r="V644" s="9"/>
      <c r="W644" s="9"/>
      <c r="X644" s="9"/>
      <c r="Y644" s="8"/>
      <c r="Z644" s="4" t="s">
        <v>424</v>
      </c>
      <c r="AA644" s="7" t="s">
        <v>425</v>
      </c>
      <c r="AB644" s="8" t="s">
        <v>426</v>
      </c>
      <c r="AC644" s="4" t="s">
        <v>301</v>
      </c>
      <c r="AD644" s="4" t="s">
        <v>375</v>
      </c>
      <c r="AE644" s="8">
        <v>2650</v>
      </c>
      <c r="AF644" s="8">
        <v>7</v>
      </c>
      <c r="AG644" s="9" t="s">
        <v>379</v>
      </c>
      <c r="AH644" s="9" t="s">
        <v>335</v>
      </c>
      <c r="AI644" s="9" t="s">
        <v>504</v>
      </c>
      <c r="AJ644" s="9" t="s">
        <v>306</v>
      </c>
      <c r="AK644" s="9" t="s">
        <v>307</v>
      </c>
      <c r="AL644" s="9" t="s">
        <v>337</v>
      </c>
      <c r="AM644" s="8">
        <v>4</v>
      </c>
      <c r="AN644" s="4" t="s">
        <v>381</v>
      </c>
      <c r="AO644" s="4" t="s">
        <v>382</v>
      </c>
      <c r="AP644" s="4" t="s">
        <v>383</v>
      </c>
      <c r="AQ644" s="7" t="s">
        <v>384</v>
      </c>
      <c r="AR644" s="7" t="s">
        <v>433</v>
      </c>
      <c r="AS644" s="7">
        <v>0</v>
      </c>
      <c r="AT644" s="7">
        <v>0</v>
      </c>
      <c r="AU644" s="4" t="s">
        <v>303</v>
      </c>
      <c r="AV644" s="4" t="s">
        <v>406</v>
      </c>
      <c r="AW644" s="4"/>
      <c r="AX644" s="4"/>
      <c r="AY644" s="4"/>
      <c r="AZ644" s="4"/>
      <c r="BA644" s="8">
        <v>5</v>
      </c>
      <c r="BB644" s="4"/>
      <c r="BC644" s="4"/>
      <c r="BD644" s="4"/>
      <c r="BE644" s="7"/>
      <c r="BF644" s="8"/>
      <c r="BG644" s="8"/>
      <c r="BH644" s="8"/>
      <c r="BI644" s="9"/>
      <c r="BJ644" s="9"/>
      <c r="BK644" s="9"/>
      <c r="BL644" s="9"/>
      <c r="BM644" s="9"/>
      <c r="BN644" s="9"/>
      <c r="BO644" s="8"/>
      <c r="BP644" s="7"/>
      <c r="BQ644" s="6"/>
      <c r="BR644" s="6"/>
      <c r="BS644" s="6"/>
      <c r="BT644" s="6"/>
      <c r="BU644" s="8"/>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31"/>
      <c r="EA644" s="6"/>
      <c r="EB644" s="6"/>
      <c r="EC644" s="6"/>
      <c r="ED644" s="6"/>
      <c r="EE644" s="6"/>
      <c r="EF644" s="6"/>
      <c r="EG644" s="6"/>
      <c r="EH644" s="10"/>
      <c r="EI644" s="10"/>
      <c r="EJ644" s="10"/>
      <c r="EK644" s="10"/>
      <c r="EL644" s="8">
        <v>32</v>
      </c>
      <c r="EM644" s="6"/>
      <c r="EN644" s="6"/>
      <c r="EO644" s="6"/>
      <c r="EP644" s="6"/>
      <c r="EQ644" s="6"/>
      <c r="ER644" s="6"/>
      <c r="ES644" s="6"/>
      <c r="ET644" s="6"/>
      <c r="EU644" s="6"/>
      <c r="EV644" s="6"/>
      <c r="EW644" s="6"/>
      <c r="EX644" s="6"/>
      <c r="EY644" s="8"/>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32"/>
      <c r="GQ644" s="6"/>
      <c r="GR644" s="6"/>
      <c r="GS644" s="6"/>
      <c r="GT644" s="6"/>
      <c r="GU644" s="6"/>
      <c r="GV644" s="6"/>
      <c r="GW644" s="6"/>
      <c r="GX644" s="6"/>
      <c r="GY644" s="6" t="s">
        <v>338</v>
      </c>
      <c r="GZ644" s="6" t="s">
        <v>436</v>
      </c>
      <c r="HA644" s="6"/>
      <c r="HB644" s="6"/>
      <c r="HC644" s="6" t="s">
        <v>437</v>
      </c>
      <c r="HD644" s="8"/>
      <c r="HE644" s="8"/>
      <c r="HF644" s="8" t="s">
        <v>958</v>
      </c>
      <c r="HG644" s="9" t="s">
        <v>507</v>
      </c>
      <c r="HH644" s="9"/>
      <c r="HI644" s="8"/>
      <c r="HJ644" s="9" t="s">
        <v>960</v>
      </c>
      <c r="HK644" s="9" t="s">
        <v>507</v>
      </c>
      <c r="HL644" s="9"/>
      <c r="HM644" s="8"/>
      <c r="HN644" s="9"/>
      <c r="HO644" s="9"/>
      <c r="HP644" s="9"/>
      <c r="HQ644" s="8"/>
      <c r="HR644" s="9"/>
      <c r="HS644" s="9"/>
      <c r="HT644" s="9"/>
      <c r="HU644" s="9"/>
      <c r="HV644" s="9"/>
      <c r="HW644" s="9"/>
      <c r="HX644" s="9"/>
      <c r="HY644" s="8"/>
      <c r="HZ644" s="9"/>
      <c r="IA644" s="9"/>
      <c r="IB644" s="8"/>
      <c r="IC644" s="8"/>
      <c r="ID644" s="8" t="s">
        <v>960</v>
      </c>
      <c r="IE644" s="8" t="s">
        <v>507</v>
      </c>
      <c r="IF644" s="8" t="s">
        <v>445</v>
      </c>
      <c r="IG644" s="8"/>
      <c r="IH644" s="8"/>
      <c r="II644" s="8"/>
      <c r="IJ644" s="8"/>
      <c r="IK644" s="8"/>
      <c r="IL644" s="9"/>
      <c r="IM644" s="9"/>
      <c r="IN644" s="9"/>
      <c r="IO644" s="9"/>
      <c r="IP644" s="9"/>
      <c r="IQ644" s="9"/>
      <c r="IR644" s="9"/>
      <c r="IS644" s="9"/>
      <c r="IT644" s="9"/>
      <c r="IU644" s="9"/>
      <c r="IV644" s="9"/>
      <c r="IW644" s="9"/>
      <c r="IX644" s="9"/>
      <c r="IY644" s="9"/>
      <c r="IZ644" s="9"/>
      <c r="JA644" s="9"/>
      <c r="JB644" s="9"/>
      <c r="JC644" s="9"/>
      <c r="JD644" s="9"/>
      <c r="JE644" s="9"/>
      <c r="JF644" s="9"/>
      <c r="JG644" s="9"/>
      <c r="JH644" s="9"/>
      <c r="JI644" s="9"/>
      <c r="JJ644" s="9"/>
      <c r="JK644" s="9"/>
      <c r="JL644" s="9"/>
      <c r="JM644" s="9"/>
      <c r="JN644" s="9"/>
      <c r="JO644" s="9"/>
      <c r="JP644" s="9"/>
      <c r="JQ644" s="9"/>
      <c r="JR644" s="9"/>
      <c r="JS644" s="9"/>
      <c r="JT644" s="9"/>
      <c r="JU644" s="7"/>
      <c r="JV644" s="7" t="s">
        <v>5838</v>
      </c>
      <c r="JW644" s="7"/>
      <c r="JX644" s="7" t="s">
        <v>320</v>
      </c>
      <c r="JY644" s="7" t="s">
        <v>354</v>
      </c>
      <c r="JZ644" s="7" t="s">
        <v>322</v>
      </c>
      <c r="KA644" s="7"/>
      <c r="KB644" s="7"/>
      <c r="KC644" s="7"/>
      <c r="KD644" s="7"/>
      <c r="KE644" s="7"/>
      <c r="KF644" s="7"/>
      <c r="KG644" s="4" t="s">
        <v>323</v>
      </c>
      <c r="KH644" s="4"/>
      <c r="KI644" s="4"/>
      <c r="KJ644" s="4"/>
      <c r="KK644" s="4"/>
      <c r="KL644" s="4"/>
      <c r="KM644" s="4" t="s">
        <v>522</v>
      </c>
      <c r="KN644" s="4" t="s">
        <v>522</v>
      </c>
      <c r="KO644" s="4"/>
      <c r="KP644" s="5" t="s">
        <v>358</v>
      </c>
      <c r="KQ644" s="5" t="s">
        <v>4334</v>
      </c>
      <c r="KR644" s="5" t="s">
        <v>4334</v>
      </c>
      <c r="KS644" s="5" t="s">
        <v>4334</v>
      </c>
      <c r="KT644" s="5" t="s">
        <v>5839</v>
      </c>
    </row>
    <row r="645" spans="1:306" s="14" customFormat="1" ht="120" x14ac:dyDescent="0.25">
      <c r="A645" s="5" t="s">
        <v>5891</v>
      </c>
      <c r="B645" s="4" t="s">
        <v>424</v>
      </c>
      <c r="C645" s="7" t="s">
        <v>425</v>
      </c>
      <c r="D645" s="8" t="s">
        <v>426</v>
      </c>
      <c r="E645" s="4">
        <v>334803</v>
      </c>
      <c r="F645" s="4"/>
      <c r="G645" s="4" t="s">
        <v>530</v>
      </c>
      <c r="H645" s="6">
        <v>131.821</v>
      </c>
      <c r="I645" s="6">
        <v>-13.634</v>
      </c>
      <c r="J645" s="4"/>
      <c r="K645" s="4" t="s">
        <v>481</v>
      </c>
      <c r="L645" s="4" t="s">
        <v>532</v>
      </c>
      <c r="M645" s="4"/>
      <c r="N645" s="4"/>
      <c r="O645" s="8"/>
      <c r="P645" s="4"/>
      <c r="Q645" s="8"/>
      <c r="R645" s="8"/>
      <c r="S645" s="9"/>
      <c r="T645" s="9"/>
      <c r="U645" s="9"/>
      <c r="V645" s="9"/>
      <c r="W645" s="9"/>
      <c r="X645" s="9"/>
      <c r="Y645" s="8"/>
      <c r="Z645" s="4" t="s">
        <v>424</v>
      </c>
      <c r="AA645" s="7" t="s">
        <v>425</v>
      </c>
      <c r="AB645" s="8" t="s">
        <v>426</v>
      </c>
      <c r="AC645" s="4" t="s">
        <v>301</v>
      </c>
      <c r="AD645" s="4" t="s">
        <v>375</v>
      </c>
      <c r="AE645" s="8">
        <v>1810</v>
      </c>
      <c r="AF645" s="8"/>
      <c r="AG645" s="9" t="s">
        <v>379</v>
      </c>
      <c r="AH645" s="9" t="s">
        <v>380</v>
      </c>
      <c r="AI645" s="9"/>
      <c r="AJ645" s="9"/>
      <c r="AK645" s="9"/>
      <c r="AL645" s="9"/>
      <c r="AM645" s="8">
        <v>3</v>
      </c>
      <c r="AN645" s="4" t="s">
        <v>381</v>
      </c>
      <c r="AO645" s="4" t="s">
        <v>382</v>
      </c>
      <c r="AP645" s="4" t="s">
        <v>383</v>
      </c>
      <c r="AQ645" s="7" t="s">
        <v>384</v>
      </c>
      <c r="AR645" s="7" t="s">
        <v>433</v>
      </c>
      <c r="AS645" s="7">
        <v>0</v>
      </c>
      <c r="AT645" s="7">
        <v>0</v>
      </c>
      <c r="AU645" s="9" t="s">
        <v>303</v>
      </c>
      <c r="AV645" s="9" t="s">
        <v>406</v>
      </c>
      <c r="AW645" s="9"/>
      <c r="AX645" s="9"/>
      <c r="AY645" s="9"/>
      <c r="AZ645" s="9"/>
      <c r="BA645" s="8">
        <v>5</v>
      </c>
      <c r="BB645" s="4"/>
      <c r="BC645" s="4"/>
      <c r="BD645" s="4"/>
      <c r="BE645" s="7"/>
      <c r="BF645" s="8"/>
      <c r="BG645" s="9"/>
      <c r="BH645" s="9"/>
      <c r="BI645" s="9"/>
      <c r="BJ645" s="9"/>
      <c r="BK645" s="9"/>
      <c r="BL645" s="9"/>
      <c r="BM645" s="9"/>
      <c r="BN645" s="9"/>
      <c r="BO645" s="8"/>
      <c r="BP645" s="7">
        <v>0.68100000000000005</v>
      </c>
      <c r="BQ645" s="9"/>
      <c r="BR645" s="6"/>
      <c r="BS645" s="6"/>
      <c r="BT645" s="6"/>
      <c r="BU645" s="8"/>
      <c r="BV645" s="6">
        <v>2.2000000000000002</v>
      </c>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31"/>
      <c r="EA645" s="6"/>
      <c r="EB645" s="6"/>
      <c r="EC645" s="6"/>
      <c r="ED645" s="6"/>
      <c r="EE645" s="6"/>
      <c r="EF645" s="6"/>
      <c r="EG645" s="6"/>
      <c r="EH645" s="10"/>
      <c r="EI645" s="10"/>
      <c r="EJ645" s="10"/>
      <c r="EK645" s="10"/>
      <c r="EL645" s="7">
        <f>BP645*BV645</f>
        <v>1.4982000000000002</v>
      </c>
      <c r="EM645" s="6"/>
      <c r="EN645" s="6"/>
      <c r="EO645" s="6"/>
      <c r="EP645" s="6"/>
      <c r="EQ645" s="6"/>
      <c r="ER645" s="6"/>
      <c r="ES645" s="6"/>
      <c r="ET645" s="6"/>
      <c r="EU645" s="6"/>
      <c r="EV645" s="6"/>
      <c r="EW645" s="6"/>
      <c r="EX645" s="6"/>
      <c r="EY645" s="8"/>
      <c r="EZ645" s="6"/>
      <c r="FA645" s="10"/>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32"/>
      <c r="GQ645" s="6"/>
      <c r="GR645" s="6"/>
      <c r="GS645" s="6"/>
      <c r="GT645" s="6"/>
      <c r="GU645" s="6"/>
      <c r="GV645" s="6"/>
      <c r="GW645" s="6"/>
      <c r="GX645" s="6"/>
      <c r="GY645" s="6" t="s">
        <v>338</v>
      </c>
      <c r="GZ645" s="6" t="s">
        <v>436</v>
      </c>
      <c r="HA645" s="6"/>
      <c r="HB645" s="6"/>
      <c r="HC645" s="6" t="s">
        <v>437</v>
      </c>
      <c r="HD645" s="9" t="s">
        <v>1640</v>
      </c>
      <c r="HE645" s="8">
        <v>25130</v>
      </c>
      <c r="HF645" s="8" t="s">
        <v>1641</v>
      </c>
      <c r="HG645" s="9" t="s">
        <v>538</v>
      </c>
      <c r="HH645" s="9"/>
      <c r="HI645" s="8"/>
      <c r="HJ645" s="9"/>
      <c r="HK645" s="9"/>
      <c r="HL645" s="9"/>
      <c r="HM645" s="8"/>
      <c r="HN645" s="9"/>
      <c r="HO645" s="9"/>
      <c r="HP645" s="9"/>
      <c r="HQ645" s="8"/>
      <c r="HR645" s="9"/>
      <c r="HS645" s="9"/>
      <c r="HT645" s="9"/>
      <c r="HU645" s="9"/>
      <c r="HV645" s="9"/>
      <c r="HW645" s="9"/>
      <c r="HX645" s="9"/>
      <c r="HY645" s="8"/>
      <c r="HZ645" s="9"/>
      <c r="IA645" s="9"/>
      <c r="IB645" s="8" t="s">
        <v>1576</v>
      </c>
      <c r="IC645" s="8">
        <v>30778</v>
      </c>
      <c r="ID645" s="8" t="s">
        <v>2203</v>
      </c>
      <c r="IE645" s="8" t="s">
        <v>538</v>
      </c>
      <c r="IF645" s="8" t="s">
        <v>1578</v>
      </c>
      <c r="IG645" s="8"/>
      <c r="IH645" s="8"/>
      <c r="II645" s="8"/>
      <c r="IJ645" s="8"/>
      <c r="IK645" s="8"/>
      <c r="IL645" s="9"/>
      <c r="IM645" s="8"/>
      <c r="IN645" s="9"/>
      <c r="IO645" s="9"/>
      <c r="IP645" s="9"/>
      <c r="IQ645" s="9"/>
      <c r="IR645" s="8"/>
      <c r="IS645" s="9"/>
      <c r="IT645" s="9"/>
      <c r="IU645" s="9"/>
      <c r="IV645" s="9"/>
      <c r="IW645" s="8"/>
      <c r="IX645" s="9"/>
      <c r="IY645" s="9"/>
      <c r="IZ645" s="9"/>
      <c r="JA645" s="9"/>
      <c r="JB645" s="8"/>
      <c r="JC645" s="9"/>
      <c r="JD645" s="9"/>
      <c r="JE645" s="9"/>
      <c r="JF645" s="9"/>
      <c r="JG645" s="9"/>
      <c r="JH645" s="9"/>
      <c r="JI645" s="9"/>
      <c r="JJ645" s="9"/>
      <c r="JK645" s="9"/>
      <c r="JL645" s="9"/>
      <c r="JM645" s="9"/>
      <c r="JN645" s="9"/>
      <c r="JO645" s="9"/>
      <c r="JP645" s="9"/>
      <c r="JQ645" s="9"/>
      <c r="JR645" s="9"/>
      <c r="JS645" s="9"/>
      <c r="JT645" s="9"/>
      <c r="JU645" s="7"/>
      <c r="JV645" s="7"/>
      <c r="JW645" s="7"/>
      <c r="JX645" s="7"/>
      <c r="JY645" s="7"/>
      <c r="JZ645" s="7"/>
      <c r="KA645" s="7"/>
      <c r="KB645" s="7"/>
      <c r="KC645" s="7"/>
      <c r="KD645" s="7"/>
      <c r="KE645" s="7"/>
      <c r="KF645" s="7"/>
      <c r="KG645" s="4"/>
      <c r="KH645" s="4"/>
      <c r="KI645" s="4"/>
      <c r="KJ645" s="4"/>
      <c r="KK645" s="4"/>
      <c r="KL645" s="4"/>
      <c r="KM645" s="4" t="s">
        <v>836</v>
      </c>
      <c r="KN645" s="4" t="s">
        <v>836</v>
      </c>
      <c r="KO645" s="4"/>
      <c r="KP645" s="5" t="s">
        <v>358</v>
      </c>
      <c r="KQ645" s="5" t="s">
        <v>5892</v>
      </c>
      <c r="KR645" s="5"/>
      <c r="KS645" s="5" t="s">
        <v>5893</v>
      </c>
      <c r="KT645" s="5" t="s">
        <v>3186</v>
      </c>
    </row>
    <row r="646" spans="1:306" s="14" customFormat="1" ht="132" x14ac:dyDescent="0.25">
      <c r="A646" s="5" t="s">
        <v>5930</v>
      </c>
      <c r="B646" s="4" t="s">
        <v>424</v>
      </c>
      <c r="C646" s="7" t="s">
        <v>425</v>
      </c>
      <c r="D646" s="8" t="s">
        <v>426</v>
      </c>
      <c r="E646" s="4">
        <v>596938</v>
      </c>
      <c r="F646" s="4"/>
      <c r="G646" s="4" t="s">
        <v>530</v>
      </c>
      <c r="H646" s="6">
        <v>132.1</v>
      </c>
      <c r="I646" s="6">
        <v>-14.13</v>
      </c>
      <c r="J646" s="4" t="s">
        <v>5931</v>
      </c>
      <c r="K646" s="4" t="s">
        <v>481</v>
      </c>
      <c r="L646" s="4" t="s">
        <v>532</v>
      </c>
      <c r="M646" s="4" t="s">
        <v>2483</v>
      </c>
      <c r="N646" s="4"/>
      <c r="O646" s="8"/>
      <c r="P646" s="4"/>
      <c r="Q646" s="8"/>
      <c r="R646" s="8"/>
      <c r="S646" s="9"/>
      <c r="T646" s="9"/>
      <c r="U646" s="9"/>
      <c r="V646" s="9"/>
      <c r="W646" s="9"/>
      <c r="X646" s="9"/>
      <c r="Y646" s="8"/>
      <c r="Z646" s="4" t="s">
        <v>424</v>
      </c>
      <c r="AA646" s="7" t="s">
        <v>425</v>
      </c>
      <c r="AB646" s="8" t="s">
        <v>426</v>
      </c>
      <c r="AC646" s="4" t="s">
        <v>301</v>
      </c>
      <c r="AD646" s="4" t="s">
        <v>375</v>
      </c>
      <c r="AE646" s="8">
        <v>1819</v>
      </c>
      <c r="AF646" s="8">
        <v>8</v>
      </c>
      <c r="AG646" s="9" t="s">
        <v>379</v>
      </c>
      <c r="AH646" s="9" t="s">
        <v>335</v>
      </c>
      <c r="AI646" s="9" t="s">
        <v>336</v>
      </c>
      <c r="AJ646" s="9" t="s">
        <v>306</v>
      </c>
      <c r="AK646" s="9" t="s">
        <v>307</v>
      </c>
      <c r="AL646" s="9" t="s">
        <v>337</v>
      </c>
      <c r="AM646" s="8">
        <v>4</v>
      </c>
      <c r="AN646" s="4" t="s">
        <v>381</v>
      </c>
      <c r="AO646" s="4" t="s">
        <v>382</v>
      </c>
      <c r="AP646" s="4" t="s">
        <v>383</v>
      </c>
      <c r="AQ646" s="7" t="s">
        <v>384</v>
      </c>
      <c r="AR646" s="7" t="s">
        <v>433</v>
      </c>
      <c r="AS646" s="7">
        <v>0</v>
      </c>
      <c r="AT646" s="7">
        <v>0</v>
      </c>
      <c r="AU646" s="9" t="s">
        <v>303</v>
      </c>
      <c r="AV646" s="9" t="s">
        <v>406</v>
      </c>
      <c r="AW646" s="9"/>
      <c r="AX646" s="9"/>
      <c r="AY646" s="9"/>
      <c r="AZ646" s="9"/>
      <c r="BA646" s="8">
        <v>5</v>
      </c>
      <c r="BB646" s="4"/>
      <c r="BC646" s="4"/>
      <c r="BD646" s="4"/>
      <c r="BE646" s="7"/>
      <c r="BF646" s="8"/>
      <c r="BG646" s="9"/>
      <c r="BH646" s="9"/>
      <c r="BI646" s="9"/>
      <c r="BJ646" s="9"/>
      <c r="BK646" s="9"/>
      <c r="BL646" s="9"/>
      <c r="BM646" s="9"/>
      <c r="BN646" s="9"/>
      <c r="BO646" s="8"/>
      <c r="BP646" s="7">
        <v>638.77099999999996</v>
      </c>
      <c r="BQ646" s="8"/>
      <c r="BR646" s="6"/>
      <c r="BS646" s="6"/>
      <c r="BT646" s="6"/>
      <c r="BU646" s="8"/>
      <c r="BV646" s="6">
        <v>0.7964</v>
      </c>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31"/>
      <c r="EA646" s="6"/>
      <c r="EB646" s="6"/>
      <c r="EC646" s="6"/>
      <c r="ED646" s="6"/>
      <c r="EE646" s="6"/>
      <c r="EF646" s="6"/>
      <c r="EG646" s="6"/>
      <c r="EH646" s="10"/>
      <c r="EI646" s="10"/>
      <c r="EJ646" s="10"/>
      <c r="EK646" s="10"/>
      <c r="EL646" s="8">
        <f>BP646*BV646</f>
        <v>508.71722439999996</v>
      </c>
      <c r="EM646" s="6"/>
      <c r="EN646" s="6"/>
      <c r="EO646" s="6"/>
      <c r="EP646" s="6"/>
      <c r="EQ646" s="6"/>
      <c r="ER646" s="6"/>
      <c r="ES646" s="6"/>
      <c r="ET646" s="6"/>
      <c r="EU646" s="6"/>
      <c r="EV646" s="6"/>
      <c r="EW646" s="6"/>
      <c r="EX646" s="6"/>
      <c r="EY646" s="8"/>
      <c r="EZ646" s="6"/>
      <c r="FA646" s="10"/>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32"/>
      <c r="GQ646" s="6"/>
      <c r="GR646" s="6"/>
      <c r="GS646" s="6"/>
      <c r="GT646" s="6"/>
      <c r="GU646" s="6"/>
      <c r="GV646" s="6"/>
      <c r="GW646" s="6"/>
      <c r="GX646" s="6"/>
      <c r="GY646" s="6" t="s">
        <v>338</v>
      </c>
      <c r="GZ646" s="6" t="s">
        <v>436</v>
      </c>
      <c r="HA646" s="6"/>
      <c r="HB646" s="6"/>
      <c r="HC646" s="6" t="s">
        <v>437</v>
      </c>
      <c r="HD646" s="9" t="s">
        <v>5015</v>
      </c>
      <c r="HE646" s="8">
        <v>27070</v>
      </c>
      <c r="HF646" s="8" t="s">
        <v>5016</v>
      </c>
      <c r="HG646" s="9" t="s">
        <v>538</v>
      </c>
      <c r="HH646" s="9"/>
      <c r="HI646" s="8"/>
      <c r="HJ646" s="9"/>
      <c r="HK646" s="9"/>
      <c r="HL646" s="9"/>
      <c r="HM646" s="8"/>
      <c r="HN646" s="9"/>
      <c r="HO646" s="9"/>
      <c r="HP646" s="9"/>
      <c r="HQ646" s="8"/>
      <c r="HR646" s="9"/>
      <c r="HS646" s="9"/>
      <c r="HT646" s="9"/>
      <c r="HU646" s="9"/>
      <c r="HV646" s="9"/>
      <c r="HW646" s="9"/>
      <c r="HX646" s="9"/>
      <c r="HY646" s="8"/>
      <c r="HZ646" s="9"/>
      <c r="IA646" s="9"/>
      <c r="IB646" s="8" t="s">
        <v>1576</v>
      </c>
      <c r="IC646" s="8">
        <v>30778</v>
      </c>
      <c r="ID646" s="8" t="s">
        <v>2203</v>
      </c>
      <c r="IE646" s="8" t="s">
        <v>538</v>
      </c>
      <c r="IF646" s="8" t="s">
        <v>1578</v>
      </c>
      <c r="IG646" s="8"/>
      <c r="IH646" s="8"/>
      <c r="II646" s="8"/>
      <c r="IJ646" s="8"/>
      <c r="IK646" s="8"/>
      <c r="IL646" s="9"/>
      <c r="IM646" s="8"/>
      <c r="IN646" s="9"/>
      <c r="IO646" s="9"/>
      <c r="IP646" s="9"/>
      <c r="IQ646" s="9"/>
      <c r="IR646" s="8"/>
      <c r="IS646" s="9"/>
      <c r="IT646" s="9"/>
      <c r="IU646" s="9"/>
      <c r="IV646" s="9"/>
      <c r="IW646" s="8"/>
      <c r="IX646" s="9"/>
      <c r="IY646" s="9"/>
      <c r="IZ646" s="9"/>
      <c r="JA646" s="9"/>
      <c r="JB646" s="8"/>
      <c r="JC646" s="9"/>
      <c r="JD646" s="9"/>
      <c r="JE646" s="9"/>
      <c r="JF646" s="9"/>
      <c r="JG646" s="9"/>
      <c r="JH646" s="9"/>
      <c r="JI646" s="9"/>
      <c r="JJ646" s="9"/>
      <c r="JK646" s="9"/>
      <c r="JL646" s="9"/>
      <c r="JM646" s="9"/>
      <c r="JN646" s="9"/>
      <c r="JO646" s="9"/>
      <c r="JP646" s="9"/>
      <c r="JQ646" s="9"/>
      <c r="JR646" s="9"/>
      <c r="JS646" s="9"/>
      <c r="JT646" s="9"/>
      <c r="JU646" s="7"/>
      <c r="JV646" s="7"/>
      <c r="JW646" s="7"/>
      <c r="JX646" s="7" t="s">
        <v>320</v>
      </c>
      <c r="JY646" s="7" t="s">
        <v>448</v>
      </c>
      <c r="JZ646" s="7" t="s">
        <v>738</v>
      </c>
      <c r="KA646" s="7" t="s">
        <v>470</v>
      </c>
      <c r="KB646" s="7" t="s">
        <v>322</v>
      </c>
      <c r="KC646" s="7"/>
      <c r="KD646" s="7"/>
      <c r="KE646" s="7"/>
      <c r="KF646" s="7"/>
      <c r="KG646" s="4" t="s">
        <v>323</v>
      </c>
      <c r="KH646" s="4"/>
      <c r="KI646" s="4"/>
      <c r="KJ646" s="4"/>
      <c r="KK646" s="4"/>
      <c r="KL646" s="4"/>
      <c r="KM646" s="4" t="s">
        <v>391</v>
      </c>
      <c r="KN646" s="4" t="s">
        <v>391</v>
      </c>
      <c r="KO646" s="4"/>
      <c r="KP646" s="5" t="s">
        <v>358</v>
      </c>
      <c r="KQ646" s="5" t="s">
        <v>5932</v>
      </c>
      <c r="KR646" s="5" t="s">
        <v>5933</v>
      </c>
      <c r="KS646" s="5" t="s">
        <v>5934</v>
      </c>
      <c r="KT646" s="5" t="s">
        <v>5935</v>
      </c>
    </row>
    <row r="647" spans="1:306" s="14" customFormat="1" ht="132" x14ac:dyDescent="0.25">
      <c r="A647" s="5" t="s">
        <v>6027</v>
      </c>
      <c r="B647" s="4" t="s">
        <v>424</v>
      </c>
      <c r="C647" s="7" t="s">
        <v>425</v>
      </c>
      <c r="D647" s="8" t="s">
        <v>426</v>
      </c>
      <c r="E647" s="4">
        <v>333439</v>
      </c>
      <c r="F647" s="4"/>
      <c r="G647" s="4" t="s">
        <v>330</v>
      </c>
      <c r="H647" s="6">
        <v>118.900334</v>
      </c>
      <c r="I647" s="6">
        <v>-21.090631999999999</v>
      </c>
      <c r="J647" s="4" t="s">
        <v>6028</v>
      </c>
      <c r="K647" s="4" t="s">
        <v>331</v>
      </c>
      <c r="L647" s="4" t="s">
        <v>368</v>
      </c>
      <c r="M647" s="4" t="s">
        <v>369</v>
      </c>
      <c r="N647" s="4"/>
      <c r="O647" s="8"/>
      <c r="P647" s="4"/>
      <c r="Q647" s="8"/>
      <c r="R647" s="8"/>
      <c r="S647" s="4"/>
      <c r="T647" s="9"/>
      <c r="U647" s="9"/>
      <c r="V647" s="9"/>
      <c r="W647" s="9"/>
      <c r="X647" s="9"/>
      <c r="Y647" s="8"/>
      <c r="Z647" s="4" t="s">
        <v>424</v>
      </c>
      <c r="AA647" s="7" t="s">
        <v>425</v>
      </c>
      <c r="AB647" s="8" t="s">
        <v>426</v>
      </c>
      <c r="AC647" s="4" t="s">
        <v>301</v>
      </c>
      <c r="AD647" s="4" t="s">
        <v>375</v>
      </c>
      <c r="AE647" s="8">
        <v>2888</v>
      </c>
      <c r="AF647" s="8">
        <v>6</v>
      </c>
      <c r="AG647" s="4" t="s">
        <v>303</v>
      </c>
      <c r="AH647" s="9" t="s">
        <v>304</v>
      </c>
      <c r="AI647" s="9" t="s">
        <v>5056</v>
      </c>
      <c r="AJ647" s="9" t="s">
        <v>1080</v>
      </c>
      <c r="AK647" s="9" t="s">
        <v>1081</v>
      </c>
      <c r="AL647" s="9"/>
      <c r="AM647" s="8">
        <v>4</v>
      </c>
      <c r="AN647" s="4" t="s">
        <v>381</v>
      </c>
      <c r="AO647" s="4" t="s">
        <v>382</v>
      </c>
      <c r="AP647" s="4" t="s">
        <v>383</v>
      </c>
      <c r="AQ647" s="7" t="s">
        <v>384</v>
      </c>
      <c r="AR647" s="7" t="s">
        <v>433</v>
      </c>
      <c r="AS647" s="7">
        <v>0</v>
      </c>
      <c r="AT647" s="7">
        <v>0</v>
      </c>
      <c r="AU647" s="4" t="s">
        <v>303</v>
      </c>
      <c r="AV647" s="4" t="s">
        <v>406</v>
      </c>
      <c r="AW647" s="4"/>
      <c r="AX647" s="4"/>
      <c r="AY647" s="4"/>
      <c r="AZ647" s="4"/>
      <c r="BA647" s="8">
        <v>5</v>
      </c>
      <c r="BB647" s="4"/>
      <c r="BC647" s="4"/>
      <c r="BD647" s="4"/>
      <c r="BE647" s="7"/>
      <c r="BF647" s="8"/>
      <c r="BG647" s="8"/>
      <c r="BH647" s="8"/>
      <c r="BI647" s="4"/>
      <c r="BJ647" s="9"/>
      <c r="BK647" s="9"/>
      <c r="BL647" s="9"/>
      <c r="BM647" s="9"/>
      <c r="BN647" s="9"/>
      <c r="BO647" s="8"/>
      <c r="BP647" s="7">
        <v>49.24</v>
      </c>
      <c r="BQ647" s="6"/>
      <c r="BR647" s="6"/>
      <c r="BS647" s="6"/>
      <c r="BT647" s="6"/>
      <c r="BU647" s="8"/>
      <c r="BV647" s="6">
        <v>1.02</v>
      </c>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31"/>
      <c r="EA647" s="6"/>
      <c r="EB647" s="6"/>
      <c r="EC647" s="6"/>
      <c r="ED647" s="6"/>
      <c r="EE647" s="6"/>
      <c r="EF647" s="6"/>
      <c r="EG647" s="6"/>
      <c r="EH647" s="10"/>
      <c r="EI647" s="10"/>
      <c r="EJ647" s="10"/>
      <c r="EK647" s="10"/>
      <c r="EL647" s="6">
        <f>3.844+50.325</f>
        <v>54.169000000000004</v>
      </c>
      <c r="EM647" s="6"/>
      <c r="EN647" s="6"/>
      <c r="EO647" s="6"/>
      <c r="EP647" s="6"/>
      <c r="EQ647" s="6"/>
      <c r="ER647" s="6"/>
      <c r="ES647" s="6"/>
      <c r="ET647" s="6"/>
      <c r="EU647" s="6"/>
      <c r="EV647" s="6"/>
      <c r="EW647" s="6"/>
      <c r="EX647" s="6"/>
      <c r="EY647" s="8"/>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32"/>
      <c r="GQ647" s="6"/>
      <c r="GR647" s="6"/>
      <c r="GS647" s="6"/>
      <c r="GT647" s="6"/>
      <c r="GU647" s="6"/>
      <c r="GV647" s="6"/>
      <c r="GW647" s="6"/>
      <c r="GX647" s="6"/>
      <c r="GY647" s="6" t="s">
        <v>338</v>
      </c>
      <c r="GZ647" s="6" t="s">
        <v>436</v>
      </c>
      <c r="HA647" s="6"/>
      <c r="HB647" s="6"/>
      <c r="HC647" s="6" t="s">
        <v>437</v>
      </c>
      <c r="HD647" s="8" t="s">
        <v>6029</v>
      </c>
      <c r="HE647" s="8">
        <v>27151</v>
      </c>
      <c r="HF647" s="8" t="s">
        <v>6030</v>
      </c>
      <c r="HG647" s="9" t="s">
        <v>792</v>
      </c>
      <c r="HH647" s="9" t="s">
        <v>6031</v>
      </c>
      <c r="HI647" s="8">
        <v>27160</v>
      </c>
      <c r="HJ647" s="9" t="s">
        <v>6032</v>
      </c>
      <c r="HK647" s="9" t="s">
        <v>389</v>
      </c>
      <c r="HL647" s="9"/>
      <c r="HM647" s="8"/>
      <c r="HN647" s="9"/>
      <c r="HO647" s="9"/>
      <c r="HP647" s="9"/>
      <c r="HQ647" s="8"/>
      <c r="HR647" s="9"/>
      <c r="HS647" s="9"/>
      <c r="HT647" s="9"/>
      <c r="HU647" s="9"/>
      <c r="HV647" s="9"/>
      <c r="HW647" s="9"/>
      <c r="HX647" s="9"/>
      <c r="HY647" s="8"/>
      <c r="HZ647" s="9"/>
      <c r="IA647" s="9"/>
      <c r="IB647" s="8" t="s">
        <v>6033</v>
      </c>
      <c r="IC647" s="8">
        <v>27151</v>
      </c>
      <c r="ID647" s="8" t="s">
        <v>6034</v>
      </c>
      <c r="IE647" s="9" t="s">
        <v>792</v>
      </c>
      <c r="IF647" s="8" t="s">
        <v>445</v>
      </c>
      <c r="IG647" s="8"/>
      <c r="IH647" s="8"/>
      <c r="II647" s="8"/>
      <c r="IJ647" s="8"/>
      <c r="IK647" s="8"/>
      <c r="IL647" s="9"/>
      <c r="IM647" s="9"/>
      <c r="IN647" s="9"/>
      <c r="IO647" s="9"/>
      <c r="IP647" s="9"/>
      <c r="IQ647" s="9"/>
      <c r="IR647" s="9"/>
      <c r="IS647" s="9"/>
      <c r="IT647" s="9"/>
      <c r="IU647" s="9"/>
      <c r="IV647" s="9"/>
      <c r="IW647" s="9"/>
      <c r="IX647" s="9"/>
      <c r="IY647" s="9"/>
      <c r="IZ647" s="9"/>
      <c r="JA647" s="9"/>
      <c r="JB647" s="9"/>
      <c r="JC647" s="9"/>
      <c r="JD647" s="9"/>
      <c r="JE647" s="9"/>
      <c r="JF647" s="9"/>
      <c r="JG647" s="9"/>
      <c r="JH647" s="9"/>
      <c r="JI647" s="9"/>
      <c r="JJ647" s="9"/>
      <c r="JK647" s="9"/>
      <c r="JL647" s="9"/>
      <c r="JM647" s="9"/>
      <c r="JN647" s="9"/>
      <c r="JO647" s="9"/>
      <c r="JP647" s="9"/>
      <c r="JQ647" s="9"/>
      <c r="JR647" s="9"/>
      <c r="JS647" s="9"/>
      <c r="JT647" s="9"/>
      <c r="JU647" s="7"/>
      <c r="JV647" s="7" t="s">
        <v>6035</v>
      </c>
      <c r="JW647" s="7"/>
      <c r="JX647" s="7" t="s">
        <v>322</v>
      </c>
      <c r="JY647" s="7" t="s">
        <v>354</v>
      </c>
      <c r="JZ647" s="7" t="s">
        <v>320</v>
      </c>
      <c r="KA647" s="7" t="s">
        <v>354</v>
      </c>
      <c r="KB647" s="7" t="s">
        <v>353</v>
      </c>
      <c r="KC647" s="7"/>
      <c r="KD647" s="7"/>
      <c r="KE647" s="7"/>
      <c r="KF647" s="7"/>
      <c r="KG647" s="4" t="s">
        <v>323</v>
      </c>
      <c r="KH647" s="4"/>
      <c r="KI647" s="4"/>
      <c r="KJ647" s="4"/>
      <c r="KK647" s="4"/>
      <c r="KL647" s="4"/>
      <c r="KM647" s="4" t="s">
        <v>521</v>
      </c>
      <c r="KN647" s="4" t="s">
        <v>702</v>
      </c>
      <c r="KO647" s="4"/>
      <c r="KP647" s="5" t="s">
        <v>358</v>
      </c>
      <c r="KQ647" s="5" t="s">
        <v>6036</v>
      </c>
      <c r="KR647" s="5" t="s">
        <v>6037</v>
      </c>
      <c r="KS647" s="5" t="s">
        <v>6038</v>
      </c>
      <c r="KT647" s="5" t="s">
        <v>6039</v>
      </c>
    </row>
    <row r="648" spans="1:306" s="14" customFormat="1" ht="96" x14ac:dyDescent="0.25">
      <c r="A648" s="5" t="s">
        <v>6040</v>
      </c>
      <c r="B648" s="4" t="s">
        <v>424</v>
      </c>
      <c r="C648" s="7" t="s">
        <v>425</v>
      </c>
      <c r="D648" s="8" t="s">
        <v>426</v>
      </c>
      <c r="E648" s="4">
        <v>546524</v>
      </c>
      <c r="F648" s="4"/>
      <c r="G648" s="4" t="s">
        <v>479</v>
      </c>
      <c r="H648" s="6">
        <v>144.1069</v>
      </c>
      <c r="I648" s="6">
        <v>-17.114599999999999</v>
      </c>
      <c r="J648" s="4"/>
      <c r="K648" s="4" t="s">
        <v>481</v>
      </c>
      <c r="L648" s="4" t="s">
        <v>482</v>
      </c>
      <c r="M648" s="4"/>
      <c r="N648" s="4"/>
      <c r="O648" s="8"/>
      <c r="P648" s="4"/>
      <c r="Q648" s="7"/>
      <c r="R648" s="7"/>
      <c r="S648" s="9"/>
      <c r="T648" s="9"/>
      <c r="U648" s="9"/>
      <c r="V648" s="9"/>
      <c r="W648" s="9"/>
      <c r="X648" s="9"/>
      <c r="Y648" s="8"/>
      <c r="Z648" s="4" t="s">
        <v>424</v>
      </c>
      <c r="AA648" s="7" t="s">
        <v>425</v>
      </c>
      <c r="AB648" s="8" t="s">
        <v>426</v>
      </c>
      <c r="AC648" s="4" t="s">
        <v>301</v>
      </c>
      <c r="AD648" s="4" t="s">
        <v>382</v>
      </c>
      <c r="AE648" s="7">
        <v>291.39999999999998</v>
      </c>
      <c r="AF648" s="7">
        <v>9</v>
      </c>
      <c r="AG648" s="9" t="s">
        <v>379</v>
      </c>
      <c r="AH648" s="9" t="s">
        <v>429</v>
      </c>
      <c r="AI648" s="9" t="s">
        <v>430</v>
      </c>
      <c r="AJ648" s="9" t="s">
        <v>1238</v>
      </c>
      <c r="AK648" s="9"/>
      <c r="AL648" s="9"/>
      <c r="AM648" s="8">
        <v>3</v>
      </c>
      <c r="AN648" s="4" t="s">
        <v>301</v>
      </c>
      <c r="AO648" s="4" t="s">
        <v>382</v>
      </c>
      <c r="AP648" s="4" t="s">
        <v>1899</v>
      </c>
      <c r="AQ648" s="7" t="s">
        <v>1557</v>
      </c>
      <c r="AR648" s="8" t="s">
        <v>1558</v>
      </c>
      <c r="AS648" s="7">
        <v>268.5</v>
      </c>
      <c r="AT648" s="7">
        <v>6.2</v>
      </c>
      <c r="AU648" s="9" t="s">
        <v>379</v>
      </c>
      <c r="AV648" s="9" t="s">
        <v>429</v>
      </c>
      <c r="AW648" s="9" t="s">
        <v>430</v>
      </c>
      <c r="AX648" s="9" t="s">
        <v>1238</v>
      </c>
      <c r="AY648" s="9"/>
      <c r="AZ648" s="9"/>
      <c r="BA648" s="8">
        <v>3</v>
      </c>
      <c r="BB648" s="4" t="s">
        <v>381</v>
      </c>
      <c r="BC648" s="4" t="s">
        <v>402</v>
      </c>
      <c r="BD648" s="4" t="s">
        <v>383</v>
      </c>
      <c r="BE648" s="7" t="s">
        <v>384</v>
      </c>
      <c r="BF648" s="8" t="s">
        <v>433</v>
      </c>
      <c r="BG648" s="7">
        <v>0</v>
      </c>
      <c r="BH648" s="7">
        <v>0</v>
      </c>
      <c r="BI648" s="9" t="s">
        <v>303</v>
      </c>
      <c r="BJ648" s="9" t="s">
        <v>406</v>
      </c>
      <c r="BK648" s="9"/>
      <c r="BL648" s="9"/>
      <c r="BM648" s="9"/>
      <c r="BN648" s="9"/>
      <c r="BO648" s="8">
        <v>5</v>
      </c>
      <c r="BP648" s="7"/>
      <c r="BQ648" s="6"/>
      <c r="BR648" s="6"/>
      <c r="BS648" s="6"/>
      <c r="BT648" s="6"/>
      <c r="BU648" s="8"/>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31"/>
      <c r="EA648" s="6"/>
      <c r="EB648" s="6"/>
      <c r="EC648" s="6"/>
      <c r="ED648" s="6"/>
      <c r="EE648" s="6"/>
      <c r="EF648" s="6"/>
      <c r="EG648" s="6"/>
      <c r="EH648" s="10"/>
      <c r="EI648" s="10"/>
      <c r="EJ648" s="10"/>
      <c r="EK648" s="10"/>
      <c r="EL648" s="6">
        <v>4.5999999999999999E-2</v>
      </c>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32"/>
      <c r="GQ648" s="6"/>
      <c r="GR648" s="6"/>
      <c r="GS648" s="6"/>
      <c r="GT648" s="6"/>
      <c r="GU648" s="6"/>
      <c r="GV648" s="6"/>
      <c r="GW648" s="6"/>
      <c r="GX648" s="6"/>
      <c r="GY648" s="6" t="s">
        <v>309</v>
      </c>
      <c r="GZ648" s="6" t="s">
        <v>436</v>
      </c>
      <c r="HA648" s="6"/>
      <c r="HB648" s="6"/>
      <c r="HC648" s="6" t="s">
        <v>437</v>
      </c>
      <c r="HD648" s="9" t="s">
        <v>3467</v>
      </c>
      <c r="HE648" s="8">
        <v>26300</v>
      </c>
      <c r="HF648" s="9" t="s">
        <v>3468</v>
      </c>
      <c r="HG648" s="9" t="s">
        <v>490</v>
      </c>
      <c r="HH648" s="8" t="s">
        <v>4340</v>
      </c>
      <c r="HI648" s="8">
        <v>5474</v>
      </c>
      <c r="HJ648" s="8" t="s">
        <v>4341</v>
      </c>
      <c r="HK648" s="8" t="s">
        <v>487</v>
      </c>
      <c r="HL648" s="9"/>
      <c r="HM648" s="8"/>
      <c r="HN648" s="8" t="s">
        <v>2476</v>
      </c>
      <c r="HO648" s="8" t="s">
        <v>493</v>
      </c>
      <c r="HP648" s="9"/>
      <c r="HQ648" s="8"/>
      <c r="HR648" s="9"/>
      <c r="HS648" s="9"/>
      <c r="HT648" s="9"/>
      <c r="HU648" s="9"/>
      <c r="HV648" s="9"/>
      <c r="HW648" s="9"/>
      <c r="HX648" s="9"/>
      <c r="HY648" s="9"/>
      <c r="HZ648" s="9"/>
      <c r="IA648" s="9"/>
      <c r="IB648" s="8" t="s">
        <v>4340</v>
      </c>
      <c r="IC648" s="8">
        <v>5474</v>
      </c>
      <c r="ID648" s="8" t="s">
        <v>4341</v>
      </c>
      <c r="IE648" s="8" t="s">
        <v>487</v>
      </c>
      <c r="IF648" s="8" t="s">
        <v>445</v>
      </c>
      <c r="IG648" s="8"/>
      <c r="IH648" s="8"/>
      <c r="II648" s="8" t="s">
        <v>2476</v>
      </c>
      <c r="IJ648" s="8" t="s">
        <v>493</v>
      </c>
      <c r="IK648" s="8" t="s">
        <v>6041</v>
      </c>
      <c r="IL648" s="9"/>
      <c r="IM648" s="8"/>
      <c r="IN648" s="9"/>
      <c r="IO648" s="8"/>
      <c r="IP648" s="8"/>
      <c r="IQ648" s="9"/>
      <c r="IR648" s="9"/>
      <c r="IS648" s="9"/>
      <c r="IT648" s="9"/>
      <c r="IU648" s="9"/>
      <c r="IV648" s="9"/>
      <c r="IW648" s="9"/>
      <c r="IX648" s="9"/>
      <c r="IY648" s="9"/>
      <c r="IZ648" s="9"/>
      <c r="JA648" s="9"/>
      <c r="JB648" s="9"/>
      <c r="JC648" s="9"/>
      <c r="JD648" s="9"/>
      <c r="JE648" s="9"/>
      <c r="JF648" s="9"/>
      <c r="JG648" s="9"/>
      <c r="JH648" s="9"/>
      <c r="JI648" s="9"/>
      <c r="JJ648" s="9"/>
      <c r="JK648" s="9"/>
      <c r="JL648" s="9"/>
      <c r="JM648" s="9"/>
      <c r="JN648" s="9"/>
      <c r="JO648" s="9"/>
      <c r="JP648" s="9"/>
      <c r="JQ648" s="9"/>
      <c r="JR648" s="9"/>
      <c r="JS648" s="9"/>
      <c r="JT648" s="9"/>
      <c r="JU648" s="7"/>
      <c r="JV648" s="7" t="s">
        <v>6042</v>
      </c>
      <c r="JW648" s="7"/>
      <c r="JX648" s="7" t="s">
        <v>320</v>
      </c>
      <c r="JY648" s="7"/>
      <c r="JZ648" s="7"/>
      <c r="KA648" s="7"/>
      <c r="KB648" s="7"/>
      <c r="KC648" s="7"/>
      <c r="KD648" s="7"/>
      <c r="KE648" s="7"/>
      <c r="KF648" s="7"/>
      <c r="KG648" s="4" t="s">
        <v>323</v>
      </c>
      <c r="KH648" s="4"/>
      <c r="KI648" s="4"/>
      <c r="KJ648" s="4"/>
      <c r="KK648" s="4"/>
      <c r="KL648" s="4"/>
      <c r="KM648" s="4"/>
      <c r="KN648" s="4"/>
      <c r="KO648" s="4"/>
      <c r="KP648" s="5" t="s">
        <v>358</v>
      </c>
      <c r="KQ648" s="5" t="s">
        <v>495</v>
      </c>
      <c r="KR648" s="5" t="s">
        <v>495</v>
      </c>
      <c r="KS648" s="5" t="s">
        <v>495</v>
      </c>
      <c r="KT648" s="14" t="s">
        <v>6043</v>
      </c>
    </row>
    <row r="649" spans="1:306" s="14" customFormat="1" ht="48" x14ac:dyDescent="0.25">
      <c r="A649" s="5" t="s">
        <v>6173</v>
      </c>
      <c r="B649" s="4" t="s">
        <v>424</v>
      </c>
      <c r="C649" s="7" t="s">
        <v>425</v>
      </c>
      <c r="D649" s="8" t="s">
        <v>426</v>
      </c>
      <c r="E649" s="4">
        <v>335934</v>
      </c>
      <c r="F649" s="4"/>
      <c r="G649" s="4" t="s">
        <v>330</v>
      </c>
      <c r="H649" s="6">
        <v>119.5835</v>
      </c>
      <c r="I649" s="6">
        <v>-31.506699999999999</v>
      </c>
      <c r="J649" s="4" t="s">
        <v>1811</v>
      </c>
      <c r="K649" s="4" t="s">
        <v>331</v>
      </c>
      <c r="L649" s="4" t="s">
        <v>500</v>
      </c>
      <c r="M649" s="4" t="s">
        <v>676</v>
      </c>
      <c r="N649" s="4" t="s">
        <v>1811</v>
      </c>
      <c r="O649" s="8"/>
      <c r="P649" s="4"/>
      <c r="Q649" s="7"/>
      <c r="R649" s="7"/>
      <c r="S649" s="9"/>
      <c r="T649" s="9"/>
      <c r="U649" s="9"/>
      <c r="V649" s="9"/>
      <c r="W649" s="9"/>
      <c r="X649" s="9"/>
      <c r="Y649" s="8"/>
      <c r="Z649" s="4" t="s">
        <v>424</v>
      </c>
      <c r="AA649" s="7" t="s">
        <v>425</v>
      </c>
      <c r="AB649" s="8" t="s">
        <v>426</v>
      </c>
      <c r="AC649" s="4" t="s">
        <v>301</v>
      </c>
      <c r="AD649" s="4" t="s">
        <v>375</v>
      </c>
      <c r="AE649" s="7">
        <v>2635.7</v>
      </c>
      <c r="AF649" s="7">
        <v>1.2</v>
      </c>
      <c r="AG649" s="9" t="s">
        <v>379</v>
      </c>
      <c r="AH649" s="9" t="s">
        <v>335</v>
      </c>
      <c r="AI649" s="9" t="s">
        <v>4052</v>
      </c>
      <c r="AJ649" s="9" t="s">
        <v>306</v>
      </c>
      <c r="AK649" s="9" t="s">
        <v>307</v>
      </c>
      <c r="AL649" s="9" t="s">
        <v>1295</v>
      </c>
      <c r="AM649" s="8">
        <v>4</v>
      </c>
      <c r="AN649" s="4" t="s">
        <v>381</v>
      </c>
      <c r="AO649" s="4" t="s">
        <v>382</v>
      </c>
      <c r="AP649" s="4" t="s">
        <v>383</v>
      </c>
      <c r="AQ649" s="7" t="s">
        <v>384</v>
      </c>
      <c r="AR649" s="7" t="s">
        <v>433</v>
      </c>
      <c r="AS649" s="7">
        <v>0</v>
      </c>
      <c r="AT649" s="7">
        <v>0</v>
      </c>
      <c r="AU649" s="4" t="s">
        <v>303</v>
      </c>
      <c r="AV649" s="4" t="s">
        <v>406</v>
      </c>
      <c r="AW649" s="4"/>
      <c r="AX649" s="4"/>
      <c r="AY649" s="4"/>
      <c r="AZ649" s="4"/>
      <c r="BA649" s="8">
        <v>5</v>
      </c>
      <c r="BB649" s="4"/>
      <c r="BC649" s="4"/>
      <c r="BD649" s="4"/>
      <c r="BE649" s="7"/>
      <c r="BF649" s="8"/>
      <c r="BG649" s="7"/>
      <c r="BH649" s="7"/>
      <c r="BI649" s="9"/>
      <c r="BJ649" s="9"/>
      <c r="BK649" s="9"/>
      <c r="BL649" s="9"/>
      <c r="BM649" s="9"/>
      <c r="BN649" s="9"/>
      <c r="BO649" s="8"/>
      <c r="BP649" s="7">
        <v>5.1393780000000007</v>
      </c>
      <c r="BQ649" s="6"/>
      <c r="BR649" s="6"/>
      <c r="BS649" s="6"/>
      <c r="BT649" s="6"/>
      <c r="BU649" s="8"/>
      <c r="BV649" s="6">
        <v>3.941145080202312</v>
      </c>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31"/>
      <c r="EA649" s="6"/>
      <c r="EB649" s="6"/>
      <c r="EC649" s="6"/>
      <c r="ED649" s="6"/>
      <c r="EE649" s="6"/>
      <c r="EF649" s="6"/>
      <c r="EG649" s="6"/>
      <c r="EH649" s="10"/>
      <c r="EI649" s="10"/>
      <c r="EJ649" s="10"/>
      <c r="EK649" s="10"/>
      <c r="EL649" s="6">
        <f>BP649*BV649</f>
        <v>20.25503432</v>
      </c>
      <c r="EM649" s="6"/>
      <c r="EN649" s="6"/>
      <c r="EO649" s="6"/>
      <c r="EP649" s="6"/>
      <c r="EQ649" s="6"/>
      <c r="ER649" s="6"/>
      <c r="ES649" s="6"/>
      <c r="ET649" s="6"/>
      <c r="EU649" s="6"/>
      <c r="EV649" s="6"/>
      <c r="EW649" s="6"/>
      <c r="EX649" s="6"/>
      <c r="EY649" s="8"/>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32"/>
      <c r="GQ649" s="6"/>
      <c r="GR649" s="6"/>
      <c r="GS649" s="6"/>
      <c r="GT649" s="6"/>
      <c r="GU649" s="6"/>
      <c r="GV649" s="6"/>
      <c r="GW649" s="6"/>
      <c r="GX649" s="6"/>
      <c r="GY649" s="6" t="s">
        <v>338</v>
      </c>
      <c r="GZ649" s="6" t="s">
        <v>436</v>
      </c>
      <c r="HA649" s="6"/>
      <c r="HB649" s="6"/>
      <c r="HC649" s="6" t="s">
        <v>437</v>
      </c>
      <c r="HD649" s="8" t="s">
        <v>6174</v>
      </c>
      <c r="HE649" s="8">
        <v>23744</v>
      </c>
      <c r="HF649" s="8" t="s">
        <v>958</v>
      </c>
      <c r="HG649" s="9" t="s">
        <v>507</v>
      </c>
      <c r="HH649" s="8" t="s">
        <v>6174</v>
      </c>
      <c r="HI649" s="8">
        <v>23744</v>
      </c>
      <c r="HJ649" s="9" t="s">
        <v>6175</v>
      </c>
      <c r="HK649" s="9" t="s">
        <v>507</v>
      </c>
      <c r="HL649" s="9"/>
      <c r="HM649" s="8"/>
      <c r="HN649" s="9"/>
      <c r="HO649" s="9"/>
      <c r="HP649" s="9"/>
      <c r="HQ649" s="8"/>
      <c r="HR649" s="9"/>
      <c r="HS649" s="9"/>
      <c r="HT649" s="9"/>
      <c r="HU649" s="9"/>
      <c r="HV649" s="9"/>
      <c r="HW649" s="9"/>
      <c r="HX649" s="9"/>
      <c r="HY649" s="8"/>
      <c r="HZ649" s="9"/>
      <c r="IA649" s="9"/>
      <c r="IB649" s="8" t="s">
        <v>6174</v>
      </c>
      <c r="IC649" s="8">
        <v>23744</v>
      </c>
      <c r="ID649" s="8" t="s">
        <v>702</v>
      </c>
      <c r="IE649" s="9" t="s">
        <v>507</v>
      </c>
      <c r="IF649" s="9" t="s">
        <v>445</v>
      </c>
      <c r="IG649" s="8" t="s">
        <v>6176</v>
      </c>
      <c r="IH649" s="8"/>
      <c r="II649" s="8" t="s">
        <v>6177</v>
      </c>
      <c r="IJ649" s="8" t="s">
        <v>507</v>
      </c>
      <c r="IK649" s="8"/>
      <c r="IL649" s="9"/>
      <c r="IM649" s="9"/>
      <c r="IN649" s="9"/>
      <c r="IO649" s="9"/>
      <c r="IP649" s="9"/>
      <c r="IQ649" s="9"/>
      <c r="IR649" s="9"/>
      <c r="IS649" s="9"/>
      <c r="IT649" s="9"/>
      <c r="IU649" s="9"/>
      <c r="IV649" s="9"/>
      <c r="IW649" s="9"/>
      <c r="IX649" s="9"/>
      <c r="IY649" s="9"/>
      <c r="IZ649" s="9"/>
      <c r="JA649" s="9"/>
      <c r="JB649" s="9"/>
      <c r="JC649" s="9"/>
      <c r="JD649" s="9"/>
      <c r="JE649" s="9"/>
      <c r="JF649" s="9"/>
      <c r="JG649" s="9"/>
      <c r="JH649" s="9"/>
      <c r="JI649" s="9"/>
      <c r="JJ649" s="9"/>
      <c r="JK649" s="9"/>
      <c r="JL649" s="9"/>
      <c r="JM649" s="9"/>
      <c r="JN649" s="9"/>
      <c r="JO649" s="9"/>
      <c r="JP649" s="9"/>
      <c r="JQ649" s="9"/>
      <c r="JR649" s="9"/>
      <c r="JS649" s="9"/>
      <c r="JT649" s="9"/>
      <c r="JU649" s="7"/>
      <c r="JV649" s="7" t="s">
        <v>6178</v>
      </c>
      <c r="JW649" s="7"/>
      <c r="JX649" s="7" t="s">
        <v>322</v>
      </c>
      <c r="JY649" s="7" t="s">
        <v>448</v>
      </c>
      <c r="JZ649" s="7" t="s">
        <v>320</v>
      </c>
      <c r="KA649" s="7"/>
      <c r="KB649" s="7"/>
      <c r="KC649" s="7"/>
      <c r="KD649" s="7"/>
      <c r="KE649" s="7"/>
      <c r="KF649" s="7"/>
      <c r="KG649" s="4" t="s">
        <v>323</v>
      </c>
      <c r="KH649" s="4"/>
      <c r="KI649" s="4"/>
      <c r="KJ649" s="4"/>
      <c r="KK649" s="4"/>
      <c r="KL649" s="4"/>
      <c r="KM649" s="4" t="s">
        <v>1439</v>
      </c>
      <c r="KN649" s="4" t="s">
        <v>1192</v>
      </c>
      <c r="KO649" s="4"/>
      <c r="KP649" s="5" t="s">
        <v>358</v>
      </c>
      <c r="KQ649" s="5" t="s">
        <v>6179</v>
      </c>
      <c r="KR649" s="5" t="s">
        <v>6180</v>
      </c>
      <c r="KS649" s="5" t="s">
        <v>6181</v>
      </c>
      <c r="KT649" s="5" t="s">
        <v>6182</v>
      </c>
    </row>
    <row r="650" spans="1:306" s="14" customFormat="1" ht="132" x14ac:dyDescent="0.25">
      <c r="A650" s="5" t="s">
        <v>6187</v>
      </c>
      <c r="B650" s="4" t="s">
        <v>424</v>
      </c>
      <c r="C650" s="7" t="s">
        <v>425</v>
      </c>
      <c r="D650" s="8" t="s">
        <v>426</v>
      </c>
      <c r="E650" s="4">
        <v>333589</v>
      </c>
      <c r="F650" s="4"/>
      <c r="G650" s="4" t="s">
        <v>330</v>
      </c>
      <c r="H650" s="6">
        <v>121.60250000000001</v>
      </c>
      <c r="I650" s="6">
        <v>-31.025700000000001</v>
      </c>
      <c r="J650" s="4" t="s">
        <v>6188</v>
      </c>
      <c r="K650" s="4" t="s">
        <v>331</v>
      </c>
      <c r="L650" s="4" t="s">
        <v>500</v>
      </c>
      <c r="M650" s="4" t="s">
        <v>501</v>
      </c>
      <c r="N650" s="4" t="s">
        <v>1061</v>
      </c>
      <c r="O650" s="8"/>
      <c r="P650" s="4"/>
      <c r="Q650" s="9"/>
      <c r="R650" s="9"/>
      <c r="S650" s="9"/>
      <c r="T650" s="9"/>
      <c r="U650" s="9"/>
      <c r="V650" s="9"/>
      <c r="W650" s="9"/>
      <c r="X650" s="9"/>
      <c r="Y650" s="8"/>
      <c r="Z650" s="4" t="s">
        <v>424</v>
      </c>
      <c r="AA650" s="7" t="s">
        <v>425</v>
      </c>
      <c r="AB650" s="8" t="s">
        <v>426</v>
      </c>
      <c r="AC650" s="4" t="s">
        <v>301</v>
      </c>
      <c r="AD650" s="4" t="s">
        <v>375</v>
      </c>
      <c r="AE650" s="9"/>
      <c r="AF650" s="9"/>
      <c r="AG650" s="9"/>
      <c r="AH650" s="9"/>
      <c r="AI650" s="9"/>
      <c r="AJ650" s="9"/>
      <c r="AK650" s="9"/>
      <c r="AL650" s="9"/>
      <c r="AM650" s="8"/>
      <c r="AN650" s="4" t="s">
        <v>381</v>
      </c>
      <c r="AO650" s="4" t="s">
        <v>382</v>
      </c>
      <c r="AP650" s="4" t="s">
        <v>383</v>
      </c>
      <c r="AQ650" s="7" t="s">
        <v>384</v>
      </c>
      <c r="AR650" s="7" t="s">
        <v>433</v>
      </c>
      <c r="AS650" s="7">
        <v>0</v>
      </c>
      <c r="AT650" s="7">
        <v>0</v>
      </c>
      <c r="AU650" s="4" t="s">
        <v>303</v>
      </c>
      <c r="AV650" s="4" t="s">
        <v>406</v>
      </c>
      <c r="AW650" s="4"/>
      <c r="AX650" s="4"/>
      <c r="AY650" s="4"/>
      <c r="AZ650" s="4"/>
      <c r="BA650" s="8">
        <v>5</v>
      </c>
      <c r="BB650" s="4"/>
      <c r="BC650" s="4"/>
      <c r="BD650" s="4"/>
      <c r="BE650" s="7"/>
      <c r="BF650" s="8"/>
      <c r="BG650" s="9"/>
      <c r="BH650" s="9"/>
      <c r="BI650" s="9"/>
      <c r="BJ650" s="9"/>
      <c r="BK650" s="9"/>
      <c r="BL650" s="9"/>
      <c r="BM650" s="9"/>
      <c r="BN650" s="9"/>
      <c r="BO650" s="8"/>
      <c r="BP650" s="7">
        <v>30.200000000000003</v>
      </c>
      <c r="BQ650" s="7"/>
      <c r="BR650" s="6"/>
      <c r="BS650" s="6"/>
      <c r="BT650" s="6"/>
      <c r="BU650" s="8"/>
      <c r="BV650" s="6">
        <v>2.2062251655629135</v>
      </c>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31"/>
      <c r="EA650" s="6"/>
      <c r="EB650" s="6"/>
      <c r="EC650" s="6"/>
      <c r="ED650" s="6"/>
      <c r="EE650" s="6"/>
      <c r="EF650" s="6"/>
      <c r="EG650" s="6"/>
      <c r="EH650" s="10"/>
      <c r="EI650" s="10"/>
      <c r="EJ650" s="10"/>
      <c r="EK650" s="10"/>
      <c r="EL650" s="7">
        <v>66.628</v>
      </c>
      <c r="EM650" s="6"/>
      <c r="EN650" s="6"/>
      <c r="EO650" s="6"/>
      <c r="EP650" s="6"/>
      <c r="EQ650" s="6"/>
      <c r="ER650" s="6"/>
      <c r="ES650" s="6"/>
      <c r="ET650" s="6"/>
      <c r="EU650" s="6"/>
      <c r="EV650" s="6"/>
      <c r="EW650" s="6"/>
      <c r="EX650" s="6"/>
      <c r="EY650" s="8"/>
      <c r="EZ650" s="6"/>
      <c r="FA650" s="10"/>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32"/>
      <c r="GQ650" s="6"/>
      <c r="GR650" s="6"/>
      <c r="GS650" s="6"/>
      <c r="GT650" s="6"/>
      <c r="GU650" s="6"/>
      <c r="GV650" s="6"/>
      <c r="GW650" s="6"/>
      <c r="GX650" s="6"/>
      <c r="GY650" s="6" t="s">
        <v>338</v>
      </c>
      <c r="GZ650" s="6" t="s">
        <v>436</v>
      </c>
      <c r="HA650" s="6"/>
      <c r="HB650" s="6"/>
      <c r="HC650" s="6" t="s">
        <v>437</v>
      </c>
      <c r="HD650" s="8" t="s">
        <v>6189</v>
      </c>
      <c r="HE650" s="8">
        <v>26841</v>
      </c>
      <c r="HF650" s="8" t="s">
        <v>6190</v>
      </c>
      <c r="HG650" s="9" t="s">
        <v>507</v>
      </c>
      <c r="HH650" s="9" t="s">
        <v>6191</v>
      </c>
      <c r="HI650" s="8">
        <v>9165</v>
      </c>
      <c r="HJ650" s="9" t="s">
        <v>6192</v>
      </c>
      <c r="HK650" s="9" t="s">
        <v>507</v>
      </c>
      <c r="HL650" s="9" t="s">
        <v>6193</v>
      </c>
      <c r="HM650" s="8"/>
      <c r="HN650" s="9" t="s">
        <v>1264</v>
      </c>
      <c r="HO650" s="9" t="s">
        <v>507</v>
      </c>
      <c r="HP650" s="9"/>
      <c r="HQ650" s="8"/>
      <c r="HR650" s="9"/>
      <c r="HS650" s="9"/>
      <c r="HT650" s="9"/>
      <c r="HU650" s="9"/>
      <c r="HV650" s="9"/>
      <c r="HW650" s="9"/>
      <c r="HX650" s="9"/>
      <c r="HY650" s="8"/>
      <c r="HZ650" s="9"/>
      <c r="IA650" s="9"/>
      <c r="IB650" s="8" t="s">
        <v>6189</v>
      </c>
      <c r="IC650" s="8">
        <v>26841</v>
      </c>
      <c r="ID650" s="8" t="s">
        <v>2640</v>
      </c>
      <c r="IE650" s="9" t="s">
        <v>507</v>
      </c>
      <c r="IF650" s="8" t="s">
        <v>445</v>
      </c>
      <c r="IG650" s="9" t="s">
        <v>6191</v>
      </c>
      <c r="IH650" s="8">
        <v>9165</v>
      </c>
      <c r="II650" s="9" t="s">
        <v>6194</v>
      </c>
      <c r="IJ650" s="9" t="s">
        <v>507</v>
      </c>
      <c r="IK650" s="8" t="s">
        <v>445</v>
      </c>
      <c r="IL650" s="9" t="s">
        <v>6195</v>
      </c>
      <c r="IM650" s="8"/>
      <c r="IN650" s="9" t="s">
        <v>6196</v>
      </c>
      <c r="IO650" s="9" t="s">
        <v>507</v>
      </c>
      <c r="IP650" s="9" t="s">
        <v>445</v>
      </c>
      <c r="IQ650" s="9" t="s">
        <v>6193</v>
      </c>
      <c r="IR650" s="8"/>
      <c r="IS650" s="9" t="s">
        <v>1264</v>
      </c>
      <c r="IT650" s="9" t="s">
        <v>507</v>
      </c>
      <c r="IU650" s="9" t="s">
        <v>445</v>
      </c>
      <c r="IV650" s="9"/>
      <c r="IW650" s="9"/>
      <c r="IX650" s="9"/>
      <c r="IY650" s="9"/>
      <c r="IZ650" s="9"/>
      <c r="JA650" s="9"/>
      <c r="JB650" s="9"/>
      <c r="JC650" s="9"/>
      <c r="JD650" s="9"/>
      <c r="JE650" s="9"/>
      <c r="JF650" s="9"/>
      <c r="JG650" s="9"/>
      <c r="JH650" s="9"/>
      <c r="JI650" s="9"/>
      <c r="JJ650" s="9"/>
      <c r="JK650" s="9"/>
      <c r="JL650" s="9"/>
      <c r="JM650" s="9"/>
      <c r="JN650" s="9"/>
      <c r="JO650" s="9"/>
      <c r="JP650" s="9"/>
      <c r="JQ650" s="9"/>
      <c r="JR650" s="9"/>
      <c r="JS650" s="9"/>
      <c r="JT650" s="9"/>
      <c r="JU650" s="7"/>
      <c r="JV650" s="7" t="s">
        <v>6197</v>
      </c>
      <c r="JW650" s="7"/>
      <c r="JX650" s="7" t="s">
        <v>320</v>
      </c>
      <c r="JY650" s="7" t="s">
        <v>448</v>
      </c>
      <c r="JZ650" s="7" t="s">
        <v>322</v>
      </c>
      <c r="KA650" s="7"/>
      <c r="KB650" s="7"/>
      <c r="KC650" s="7"/>
      <c r="KD650" s="7"/>
      <c r="KE650" s="7"/>
      <c r="KF650" s="7"/>
      <c r="KG650" s="4" t="s">
        <v>356</v>
      </c>
      <c r="KH650" s="4" t="s">
        <v>402</v>
      </c>
      <c r="KI650" s="4"/>
      <c r="KJ650" s="4"/>
      <c r="KK650" s="4"/>
      <c r="KL650" s="4"/>
      <c r="KM650" s="4" t="s">
        <v>391</v>
      </c>
      <c r="KN650" s="4" t="s">
        <v>391</v>
      </c>
      <c r="KO650" s="4"/>
      <c r="KP650" s="5" t="s">
        <v>358</v>
      </c>
      <c r="KQ650" s="5" t="s">
        <v>6198</v>
      </c>
      <c r="KR650" s="5"/>
      <c r="KS650" s="5" t="s">
        <v>6199</v>
      </c>
      <c r="KT650" s="5" t="s">
        <v>6200</v>
      </c>
    </row>
    <row r="651" spans="1:306" s="14" customFormat="1" ht="72" x14ac:dyDescent="0.25">
      <c r="A651" s="5" t="s">
        <v>6211</v>
      </c>
      <c r="B651" s="4" t="s">
        <v>424</v>
      </c>
      <c r="C651" s="7" t="s">
        <v>425</v>
      </c>
      <c r="D651" s="8" t="s">
        <v>426</v>
      </c>
      <c r="E651" s="4">
        <v>335000</v>
      </c>
      <c r="F651" s="4"/>
      <c r="G651" s="4" t="s">
        <v>330</v>
      </c>
      <c r="H651" s="6">
        <v>127.3567</v>
      </c>
      <c r="I651" s="6">
        <v>-18.409600000000001</v>
      </c>
      <c r="J651" s="4" t="s">
        <v>6212</v>
      </c>
      <c r="K651" s="4" t="s">
        <v>481</v>
      </c>
      <c r="L651" s="4" t="s">
        <v>3050</v>
      </c>
      <c r="M651" s="4"/>
      <c r="N651" s="4"/>
      <c r="O651" s="8"/>
      <c r="P651" s="4"/>
      <c r="Q651" s="8"/>
      <c r="R651" s="8"/>
      <c r="S651" s="9"/>
      <c r="T651" s="9"/>
      <c r="U651" s="9"/>
      <c r="V651" s="9"/>
      <c r="W651" s="9"/>
      <c r="X651" s="9"/>
      <c r="Y651" s="8"/>
      <c r="Z651" s="4" t="s">
        <v>424</v>
      </c>
      <c r="AA651" s="7" t="s">
        <v>425</v>
      </c>
      <c r="AB651" s="8" t="s">
        <v>426</v>
      </c>
      <c r="AC651" s="4" t="s">
        <v>301</v>
      </c>
      <c r="AD651" s="4" t="s">
        <v>375</v>
      </c>
      <c r="AE651" s="8">
        <v>1826</v>
      </c>
      <c r="AF651" s="8">
        <v>5</v>
      </c>
      <c r="AG651" s="9" t="s">
        <v>379</v>
      </c>
      <c r="AH651" s="9" t="s">
        <v>429</v>
      </c>
      <c r="AI651" s="9" t="s">
        <v>845</v>
      </c>
      <c r="AJ651" s="9" t="s">
        <v>431</v>
      </c>
      <c r="AK651" s="9" t="s">
        <v>432</v>
      </c>
      <c r="AL651" s="9"/>
      <c r="AM651" s="8">
        <v>4</v>
      </c>
      <c r="AN651" s="4" t="s">
        <v>381</v>
      </c>
      <c r="AO651" s="4" t="s">
        <v>382</v>
      </c>
      <c r="AP651" s="4" t="s">
        <v>383</v>
      </c>
      <c r="AQ651" s="7" t="s">
        <v>384</v>
      </c>
      <c r="AR651" s="8" t="s">
        <v>433</v>
      </c>
      <c r="AS651" s="7">
        <v>0</v>
      </c>
      <c r="AT651" s="7">
        <v>0</v>
      </c>
      <c r="AU651" s="4" t="s">
        <v>303</v>
      </c>
      <c r="AV651" s="4" t="s">
        <v>406</v>
      </c>
      <c r="AW651" s="4"/>
      <c r="AX651" s="4"/>
      <c r="AY651" s="4"/>
      <c r="AZ651" s="4"/>
      <c r="BA651" s="8">
        <v>5</v>
      </c>
      <c r="BB651" s="4"/>
      <c r="BC651" s="4"/>
      <c r="BD651" s="4"/>
      <c r="BE651" s="7"/>
      <c r="BF651" s="8"/>
      <c r="BG651" s="8"/>
      <c r="BH651" s="8"/>
      <c r="BI651" s="9"/>
      <c r="BJ651" s="9"/>
      <c r="BK651" s="9"/>
      <c r="BL651" s="9"/>
      <c r="BM651" s="9"/>
      <c r="BN651" s="9"/>
      <c r="BO651" s="8"/>
      <c r="BP651" s="7"/>
      <c r="BQ651" s="6"/>
      <c r="BR651" s="6"/>
      <c r="BS651" s="6"/>
      <c r="BT651" s="6"/>
      <c r="BU651" s="8"/>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31"/>
      <c r="EA651" s="6"/>
      <c r="EB651" s="6"/>
      <c r="EC651" s="6"/>
      <c r="ED651" s="6"/>
      <c r="EE651" s="6"/>
      <c r="EF651" s="6"/>
      <c r="EG651" s="6"/>
      <c r="EH651" s="10"/>
      <c r="EI651" s="10"/>
      <c r="EJ651" s="10"/>
      <c r="EK651" s="10"/>
      <c r="EL651" s="6">
        <f>0.0762+8.63+0.429*6.1+0.342*5.8</f>
        <v>13.306699999999999</v>
      </c>
      <c r="EM651" s="6"/>
      <c r="EN651" s="6"/>
      <c r="EO651" s="6"/>
      <c r="EP651" s="6"/>
      <c r="EQ651" s="6"/>
      <c r="ER651" s="6"/>
      <c r="ES651" s="6"/>
      <c r="ET651" s="6"/>
      <c r="EU651" s="6"/>
      <c r="EV651" s="6"/>
      <c r="EW651" s="6"/>
      <c r="EX651" s="6"/>
      <c r="EY651" s="8"/>
      <c r="EZ651" s="6"/>
      <c r="FA651" s="10"/>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32"/>
      <c r="GQ651" s="6"/>
      <c r="GR651" s="6"/>
      <c r="GS651" s="6"/>
      <c r="GT651" s="6"/>
      <c r="GU651" s="6"/>
      <c r="GV651" s="6"/>
      <c r="GW651" s="6"/>
      <c r="GX651" s="6"/>
      <c r="GY651" s="6" t="s">
        <v>435</v>
      </c>
      <c r="GZ651" s="6" t="s">
        <v>436</v>
      </c>
      <c r="HA651" s="6"/>
      <c r="HB651" s="6"/>
      <c r="HC651" s="6" t="s">
        <v>437</v>
      </c>
      <c r="HD651" s="8" t="s">
        <v>4682</v>
      </c>
      <c r="HE651" s="8">
        <v>9793</v>
      </c>
      <c r="HF651" s="8" t="s">
        <v>6213</v>
      </c>
      <c r="HG651" s="9" t="s">
        <v>538</v>
      </c>
      <c r="HH651" s="9" t="s">
        <v>6214</v>
      </c>
      <c r="HI651" s="8">
        <v>22208</v>
      </c>
      <c r="HJ651" s="9" t="s">
        <v>6215</v>
      </c>
      <c r="HK651" s="9" t="s">
        <v>538</v>
      </c>
      <c r="HL651" s="9" t="s">
        <v>6216</v>
      </c>
      <c r="HM651" s="8">
        <v>34448</v>
      </c>
      <c r="HN651" s="9" t="s">
        <v>6217</v>
      </c>
      <c r="HO651" s="9"/>
      <c r="HP651" s="9"/>
      <c r="HQ651" s="8"/>
      <c r="HR651" s="9"/>
      <c r="HS651" s="9"/>
      <c r="HT651" s="9"/>
      <c r="HU651" s="9"/>
      <c r="HV651" s="9"/>
      <c r="HW651" s="9"/>
      <c r="HX651" s="9"/>
      <c r="HY651" s="8"/>
      <c r="HZ651" s="9"/>
      <c r="IA651" s="9"/>
      <c r="IB651" s="8" t="s">
        <v>4682</v>
      </c>
      <c r="IC651" s="8">
        <v>9793</v>
      </c>
      <c r="ID651" s="8" t="s">
        <v>6213</v>
      </c>
      <c r="IE651" s="9" t="s">
        <v>538</v>
      </c>
      <c r="IF651" s="9" t="s">
        <v>445</v>
      </c>
      <c r="IG651" s="9" t="s">
        <v>6214</v>
      </c>
      <c r="IH651" s="8">
        <v>22208</v>
      </c>
      <c r="II651" s="9" t="s">
        <v>6215</v>
      </c>
      <c r="IJ651" s="9" t="s">
        <v>538</v>
      </c>
      <c r="IK651" s="9" t="s">
        <v>445</v>
      </c>
      <c r="IL651" s="9" t="s">
        <v>6216</v>
      </c>
      <c r="IM651" s="8">
        <v>34448</v>
      </c>
      <c r="IN651" s="9" t="s">
        <v>6217</v>
      </c>
      <c r="IO651" s="9" t="s">
        <v>538</v>
      </c>
      <c r="IP651" s="9" t="s">
        <v>445</v>
      </c>
      <c r="IQ651" s="9"/>
      <c r="IR651" s="8"/>
      <c r="IS651" s="9"/>
      <c r="IT651" s="9"/>
      <c r="IU651" s="9"/>
      <c r="IV651" s="9"/>
      <c r="IW651" s="9"/>
      <c r="IX651" s="9"/>
      <c r="IY651" s="9"/>
      <c r="IZ651" s="9"/>
      <c r="JA651" s="9"/>
      <c r="JB651" s="9"/>
      <c r="JC651" s="9"/>
      <c r="JD651" s="9"/>
      <c r="JE651" s="9"/>
      <c r="JF651" s="9"/>
      <c r="JG651" s="9"/>
      <c r="JH651" s="9"/>
      <c r="JI651" s="9"/>
      <c r="JJ651" s="9"/>
      <c r="JK651" s="9"/>
      <c r="JL651" s="9"/>
      <c r="JM651" s="9"/>
      <c r="JN651" s="9"/>
      <c r="JO651" s="9"/>
      <c r="JP651" s="9"/>
      <c r="JQ651" s="9"/>
      <c r="JR651" s="9"/>
      <c r="JS651" s="9"/>
      <c r="JT651" s="9"/>
      <c r="JU651" s="7"/>
      <c r="JV651" s="7" t="s">
        <v>563</v>
      </c>
      <c r="JW651" s="7"/>
      <c r="JX651" s="7" t="s">
        <v>320</v>
      </c>
      <c r="JY651" s="7"/>
      <c r="JZ651" s="7"/>
      <c r="KA651" s="7"/>
      <c r="KB651" s="7"/>
      <c r="KC651" s="7"/>
      <c r="KD651" s="7"/>
      <c r="KE651" s="7"/>
      <c r="KF651" s="7"/>
      <c r="KG651" s="4" t="s">
        <v>323</v>
      </c>
      <c r="KH651" s="4"/>
      <c r="KI651" s="4"/>
      <c r="KJ651" s="4"/>
      <c r="KK651" s="4"/>
      <c r="KL651" s="4"/>
      <c r="KM651" s="4" t="s">
        <v>391</v>
      </c>
      <c r="KN651" s="4" t="s">
        <v>391</v>
      </c>
      <c r="KO651" s="4"/>
      <c r="KP651" s="5" t="s">
        <v>358</v>
      </c>
      <c r="KQ651" s="5" t="s">
        <v>6218</v>
      </c>
      <c r="KR651" s="5"/>
      <c r="KS651" s="5" t="s">
        <v>6219</v>
      </c>
      <c r="KT651" s="5" t="s">
        <v>6220</v>
      </c>
    </row>
    <row r="652" spans="1:306" s="14" customFormat="1" ht="36" x14ac:dyDescent="0.2">
      <c r="A652" s="5" t="s">
        <v>6267</v>
      </c>
      <c r="B652" s="4" t="s">
        <v>424</v>
      </c>
      <c r="C652" s="7" t="s">
        <v>425</v>
      </c>
      <c r="D652" s="8" t="s">
        <v>426</v>
      </c>
      <c r="E652" s="44">
        <v>859653</v>
      </c>
      <c r="F652" s="4"/>
      <c r="G652" s="4" t="s">
        <v>330</v>
      </c>
      <c r="H652" s="6">
        <v>119.406049</v>
      </c>
      <c r="I652" s="6">
        <v>-21.097239999999999</v>
      </c>
      <c r="J652" s="4" t="s">
        <v>2825</v>
      </c>
      <c r="K652" s="4" t="s">
        <v>331</v>
      </c>
      <c r="L652" s="4" t="s">
        <v>368</v>
      </c>
      <c r="M652" s="4" t="s">
        <v>369</v>
      </c>
      <c r="N652" s="4"/>
      <c r="O652" s="8"/>
      <c r="P652" s="4"/>
      <c r="Q652" s="8"/>
      <c r="R652" s="7"/>
      <c r="S652" s="4"/>
      <c r="T652" s="4"/>
      <c r="U652" s="4"/>
      <c r="V652" s="4"/>
      <c r="W652" s="4"/>
      <c r="X652" s="9"/>
      <c r="Y652" s="8"/>
      <c r="Z652" s="4" t="s">
        <v>424</v>
      </c>
      <c r="AA652" s="7" t="s">
        <v>425</v>
      </c>
      <c r="AB652" s="8" t="s">
        <v>426</v>
      </c>
      <c r="AC652" s="4" t="s">
        <v>301</v>
      </c>
      <c r="AD652" s="4" t="s">
        <v>375</v>
      </c>
      <c r="AE652" s="8">
        <v>3406</v>
      </c>
      <c r="AF652" s="7"/>
      <c r="AG652" s="4" t="s">
        <v>303</v>
      </c>
      <c r="AH652" s="4" t="s">
        <v>304</v>
      </c>
      <c r="AI652" s="4" t="s">
        <v>1118</v>
      </c>
      <c r="AJ652" s="4" t="s">
        <v>1080</v>
      </c>
      <c r="AK652" s="4" t="s">
        <v>600</v>
      </c>
      <c r="AL652" s="9"/>
      <c r="AM652" s="8">
        <v>3</v>
      </c>
      <c r="AN652" s="4" t="s">
        <v>381</v>
      </c>
      <c r="AO652" s="4" t="s">
        <v>382</v>
      </c>
      <c r="AP652" s="4" t="s">
        <v>383</v>
      </c>
      <c r="AQ652" s="7" t="s">
        <v>384</v>
      </c>
      <c r="AR652" s="7" t="s">
        <v>433</v>
      </c>
      <c r="AS652" s="7">
        <v>0</v>
      </c>
      <c r="AT652" s="7">
        <v>0</v>
      </c>
      <c r="AU652" s="4" t="s">
        <v>303</v>
      </c>
      <c r="AV652" s="4" t="s">
        <v>406</v>
      </c>
      <c r="AW652" s="4"/>
      <c r="AX652" s="4"/>
      <c r="AY652" s="4"/>
      <c r="AZ652" s="4"/>
      <c r="BA652" s="8">
        <v>5</v>
      </c>
      <c r="BB652" s="4"/>
      <c r="BC652" s="4"/>
      <c r="BD652" s="4"/>
      <c r="BE652" s="7"/>
      <c r="BF652" s="8"/>
      <c r="BG652" s="8"/>
      <c r="BH652" s="7"/>
      <c r="BI652" s="4"/>
      <c r="BJ652" s="4"/>
      <c r="BK652" s="4"/>
      <c r="BL652" s="4"/>
      <c r="BM652" s="4"/>
      <c r="BN652" s="9"/>
      <c r="BO652" s="8"/>
      <c r="BP652" s="7"/>
      <c r="BQ652" s="6"/>
      <c r="BR652" s="6"/>
      <c r="BS652" s="6"/>
      <c r="BT652" s="6"/>
      <c r="BU652" s="8"/>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31"/>
      <c r="EA652" s="6"/>
      <c r="EB652" s="6"/>
      <c r="EC652" s="6"/>
      <c r="ED652" s="6"/>
      <c r="EE652" s="6"/>
      <c r="EF652" s="6"/>
      <c r="EG652" s="6"/>
      <c r="EH652" s="10"/>
      <c r="EI652" s="10"/>
      <c r="EJ652" s="10"/>
      <c r="EK652" s="10"/>
      <c r="EL652" s="6">
        <f>0.475+0.162*16</f>
        <v>3.0670000000000002</v>
      </c>
      <c r="EM652" s="6"/>
      <c r="EN652" s="6"/>
      <c r="EO652" s="6"/>
      <c r="EP652" s="6"/>
      <c r="EQ652" s="6"/>
      <c r="ER652" s="6"/>
      <c r="ES652" s="6"/>
      <c r="ET652" s="6"/>
      <c r="EU652" s="6"/>
      <c r="EV652" s="6"/>
      <c r="EW652" s="6"/>
      <c r="EX652" s="6"/>
      <c r="EY652" s="8"/>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32"/>
      <c r="GQ652" s="6"/>
      <c r="GR652" s="6"/>
      <c r="GS652" s="6"/>
      <c r="GT652" s="6"/>
      <c r="GU652" s="6"/>
      <c r="GV652" s="6"/>
      <c r="GW652" s="6"/>
      <c r="GX652" s="6"/>
      <c r="GY652" s="6" t="s">
        <v>435</v>
      </c>
      <c r="GZ652" s="6" t="s">
        <v>436</v>
      </c>
      <c r="HA652" s="6"/>
      <c r="HB652" s="6"/>
      <c r="HC652" s="6" t="s">
        <v>437</v>
      </c>
      <c r="HD652" s="8" t="s">
        <v>6268</v>
      </c>
      <c r="HE652" s="8">
        <v>14281</v>
      </c>
      <c r="HF652" s="8" t="s">
        <v>6269</v>
      </c>
      <c r="HG652" s="9" t="s">
        <v>792</v>
      </c>
      <c r="HH652" s="9"/>
      <c r="HI652" s="8"/>
      <c r="HJ652" s="9"/>
      <c r="HK652" s="9"/>
      <c r="HL652" s="9"/>
      <c r="HM652" s="8"/>
      <c r="HN652" s="9"/>
      <c r="HO652" s="9"/>
      <c r="HP652" s="9"/>
      <c r="HQ652" s="8"/>
      <c r="HR652" s="9"/>
      <c r="HS652" s="9"/>
      <c r="HT652" s="9"/>
      <c r="HU652" s="9"/>
      <c r="HV652" s="9"/>
      <c r="HW652" s="9"/>
      <c r="HX652" s="9"/>
      <c r="HY652" s="8"/>
      <c r="HZ652" s="9"/>
      <c r="IA652" s="9"/>
      <c r="IB652" s="8" t="s">
        <v>6268</v>
      </c>
      <c r="IC652" s="8">
        <v>14281</v>
      </c>
      <c r="ID652" s="8" t="s">
        <v>6269</v>
      </c>
      <c r="IE652" s="8" t="s">
        <v>792</v>
      </c>
      <c r="IF652" s="8" t="s">
        <v>445</v>
      </c>
      <c r="IG652" s="8" t="s">
        <v>6270</v>
      </c>
      <c r="IH652" s="8">
        <v>36956</v>
      </c>
      <c r="II652" s="8" t="s">
        <v>6271</v>
      </c>
      <c r="IJ652" s="8" t="s">
        <v>792</v>
      </c>
      <c r="IK652" s="8" t="s">
        <v>329</v>
      </c>
      <c r="IL652" s="9"/>
      <c r="IM652" s="9"/>
      <c r="IN652" s="9"/>
      <c r="IO652" s="9"/>
      <c r="IP652" s="9"/>
      <c r="IQ652" s="9"/>
      <c r="IR652" s="9"/>
      <c r="IS652" s="9"/>
      <c r="IT652" s="9"/>
      <c r="IU652" s="9"/>
      <c r="IV652" s="9"/>
      <c r="IW652" s="9"/>
      <c r="IX652" s="9"/>
      <c r="IY652" s="9"/>
      <c r="IZ652" s="9"/>
      <c r="JA652" s="9"/>
      <c r="JB652" s="9"/>
      <c r="JC652" s="9"/>
      <c r="JD652" s="9"/>
      <c r="JE652" s="9"/>
      <c r="JF652" s="9"/>
      <c r="JG652" s="9"/>
      <c r="JH652" s="9"/>
      <c r="JI652" s="9"/>
      <c r="JJ652" s="9"/>
      <c r="JK652" s="9"/>
      <c r="JL652" s="9"/>
      <c r="JM652" s="9"/>
      <c r="JN652" s="9"/>
      <c r="JO652" s="9"/>
      <c r="JP652" s="9"/>
      <c r="JQ652" s="9"/>
      <c r="JR652" s="9"/>
      <c r="JS652" s="9"/>
      <c r="JT652" s="9"/>
      <c r="JU652" s="7"/>
      <c r="JV652" s="7"/>
      <c r="JW652" s="7"/>
      <c r="JX652" s="7" t="s">
        <v>320</v>
      </c>
      <c r="JY652" s="7"/>
      <c r="JZ652" s="7"/>
      <c r="KA652" s="7"/>
      <c r="KB652" s="7"/>
      <c r="KC652" s="7"/>
      <c r="KD652" s="7"/>
      <c r="KE652" s="7"/>
      <c r="KF652" s="7"/>
      <c r="KG652" s="4" t="s">
        <v>323</v>
      </c>
      <c r="KH652" s="4"/>
      <c r="KI652" s="4"/>
      <c r="KJ652" s="4"/>
      <c r="KK652" s="4"/>
      <c r="KL652" s="4"/>
      <c r="KM652" s="4" t="s">
        <v>471</v>
      </c>
      <c r="KN652" s="4" t="s">
        <v>471</v>
      </c>
      <c r="KO652" s="4"/>
      <c r="KP652" s="5"/>
      <c r="KQ652" s="5" t="s">
        <v>6272</v>
      </c>
      <c r="KR652" s="5" t="s">
        <v>1125</v>
      </c>
      <c r="KS652" s="5" t="s">
        <v>6273</v>
      </c>
      <c r="KT652" s="5" t="s">
        <v>6274</v>
      </c>
    </row>
    <row r="653" spans="1:306" s="14" customFormat="1" ht="60" x14ac:dyDescent="0.25">
      <c r="A653" s="5" t="s">
        <v>6275</v>
      </c>
      <c r="B653" s="4" t="s">
        <v>424</v>
      </c>
      <c r="C653" s="7" t="s">
        <v>425</v>
      </c>
      <c r="D653" s="8" t="s">
        <v>426</v>
      </c>
      <c r="E653" s="4">
        <v>333874</v>
      </c>
      <c r="F653" s="4"/>
      <c r="G653" s="4" t="s">
        <v>330</v>
      </c>
      <c r="H653" s="6">
        <v>121.7941</v>
      </c>
      <c r="I653" s="6">
        <v>-32.196399999999997</v>
      </c>
      <c r="J653" s="4" t="s">
        <v>6276</v>
      </c>
      <c r="K653" s="4" t="s">
        <v>331</v>
      </c>
      <c r="L653" s="4" t="s">
        <v>500</v>
      </c>
      <c r="M653" s="4" t="s">
        <v>501</v>
      </c>
      <c r="N653" s="4" t="s">
        <v>1061</v>
      </c>
      <c r="O653" s="8"/>
      <c r="P653" s="4"/>
      <c r="Q653" s="9"/>
      <c r="R653" s="9"/>
      <c r="S653" s="9"/>
      <c r="T653" s="9"/>
      <c r="U653" s="9"/>
      <c r="V653" s="9"/>
      <c r="W653" s="9"/>
      <c r="X653" s="9"/>
      <c r="Y653" s="8"/>
      <c r="Z653" s="4" t="s">
        <v>424</v>
      </c>
      <c r="AA653" s="7" t="s">
        <v>425</v>
      </c>
      <c r="AB653" s="8" t="s">
        <v>426</v>
      </c>
      <c r="AC653" s="4" t="s">
        <v>301</v>
      </c>
      <c r="AD653" s="4" t="s">
        <v>375</v>
      </c>
      <c r="AE653" s="9"/>
      <c r="AF653" s="9"/>
      <c r="AG653" s="9"/>
      <c r="AH653" s="9"/>
      <c r="AI653" s="9"/>
      <c r="AJ653" s="9"/>
      <c r="AK653" s="9"/>
      <c r="AL653" s="9"/>
      <c r="AM653" s="8"/>
      <c r="AN653" s="4" t="s">
        <v>381</v>
      </c>
      <c r="AO653" s="4" t="s">
        <v>382</v>
      </c>
      <c r="AP653" s="4" t="s">
        <v>383</v>
      </c>
      <c r="AQ653" s="7" t="s">
        <v>384</v>
      </c>
      <c r="AR653" s="7" t="s">
        <v>433</v>
      </c>
      <c r="AS653" s="7">
        <v>0</v>
      </c>
      <c r="AT653" s="7">
        <v>0</v>
      </c>
      <c r="AU653" s="4" t="s">
        <v>303</v>
      </c>
      <c r="AV653" s="4" t="s">
        <v>406</v>
      </c>
      <c r="AW653" s="4"/>
      <c r="AX653" s="4"/>
      <c r="AY653" s="4"/>
      <c r="AZ653" s="4"/>
      <c r="BA653" s="8">
        <v>5</v>
      </c>
      <c r="BB653" s="4"/>
      <c r="BC653" s="4"/>
      <c r="BD653" s="4"/>
      <c r="BE653" s="7"/>
      <c r="BF653" s="8"/>
      <c r="BG653" s="9"/>
      <c r="BH653" s="9"/>
      <c r="BI653" s="9"/>
      <c r="BJ653" s="9"/>
      <c r="BK653" s="9"/>
      <c r="BL653" s="9"/>
      <c r="BM653" s="9"/>
      <c r="BN653" s="9"/>
      <c r="BO653" s="8"/>
      <c r="BP653" s="7"/>
      <c r="BQ653" s="6"/>
      <c r="BR653" s="6"/>
      <c r="BS653" s="6"/>
      <c r="BT653" s="6"/>
      <c r="BU653" s="8"/>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31"/>
      <c r="EA653" s="6"/>
      <c r="EB653" s="6"/>
      <c r="EC653" s="6"/>
      <c r="ED653" s="6"/>
      <c r="EE653" s="6"/>
      <c r="EF653" s="6"/>
      <c r="EG653" s="6"/>
      <c r="EH653" s="10"/>
      <c r="EI653" s="10"/>
      <c r="EJ653" s="10"/>
      <c r="EK653" s="10"/>
      <c r="EL653" s="8">
        <v>350.62</v>
      </c>
      <c r="EM653" s="6"/>
      <c r="EN653" s="6"/>
      <c r="EO653" s="6"/>
      <c r="EP653" s="6"/>
      <c r="EQ653" s="6"/>
      <c r="ER653" s="6"/>
      <c r="ES653" s="6"/>
      <c r="ET653" s="6"/>
      <c r="EU653" s="6"/>
      <c r="EV653" s="6"/>
      <c r="EW653" s="6"/>
      <c r="EX653" s="6"/>
      <c r="EY653" s="8"/>
      <c r="EZ653" s="6"/>
      <c r="FA653" s="10"/>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32"/>
      <c r="GQ653" s="6"/>
      <c r="GR653" s="6"/>
      <c r="GS653" s="6"/>
      <c r="GT653" s="6"/>
      <c r="GU653" s="6"/>
      <c r="GV653" s="6"/>
      <c r="GW653" s="6"/>
      <c r="GX653" s="6"/>
      <c r="GY653" s="6" t="s">
        <v>338</v>
      </c>
      <c r="GZ653" s="6" t="s">
        <v>436</v>
      </c>
      <c r="HA653" s="6"/>
      <c r="HB653" s="6"/>
      <c r="HC653" s="6" t="s">
        <v>437</v>
      </c>
      <c r="HD653" s="8" t="s">
        <v>6277</v>
      </c>
      <c r="HE653" s="8">
        <v>20591</v>
      </c>
      <c r="HF653" s="8" t="s">
        <v>960</v>
      </c>
      <c r="HG653" s="9" t="s">
        <v>507</v>
      </c>
      <c r="HH653" s="8" t="s">
        <v>6277</v>
      </c>
      <c r="HI653" s="8">
        <v>20591</v>
      </c>
      <c r="HJ653" s="9" t="s">
        <v>6278</v>
      </c>
      <c r="HK653" s="9" t="s">
        <v>507</v>
      </c>
      <c r="HL653" s="9"/>
      <c r="HM653" s="8"/>
      <c r="HN653" s="9"/>
      <c r="HO653" s="9"/>
      <c r="HP653" s="9"/>
      <c r="HQ653" s="8"/>
      <c r="HR653" s="9"/>
      <c r="HS653" s="9"/>
      <c r="HT653" s="9"/>
      <c r="HU653" s="9"/>
      <c r="HV653" s="9"/>
      <c r="HW653" s="9"/>
      <c r="HX653" s="9"/>
      <c r="HY653" s="8"/>
      <c r="HZ653" s="9"/>
      <c r="IA653" s="9"/>
      <c r="IB653" s="8" t="s">
        <v>6277</v>
      </c>
      <c r="IC653" s="8">
        <v>20591</v>
      </c>
      <c r="ID653" s="8" t="s">
        <v>960</v>
      </c>
      <c r="IE653" s="9" t="s">
        <v>507</v>
      </c>
      <c r="IF653" s="8" t="s">
        <v>445</v>
      </c>
      <c r="IG653" s="8" t="s">
        <v>6277</v>
      </c>
      <c r="IH653" s="8">
        <v>20591</v>
      </c>
      <c r="II653" s="9" t="s">
        <v>6278</v>
      </c>
      <c r="IJ653" s="9" t="s">
        <v>507</v>
      </c>
      <c r="IK653" s="8" t="s">
        <v>445</v>
      </c>
      <c r="IL653" s="9"/>
      <c r="IM653" s="8"/>
      <c r="IN653" s="9" t="s">
        <v>6279</v>
      </c>
      <c r="IO653" s="9" t="s">
        <v>507</v>
      </c>
      <c r="IP653" s="9" t="s">
        <v>329</v>
      </c>
      <c r="IQ653" s="9"/>
      <c r="IR653" s="9"/>
      <c r="IS653" s="9"/>
      <c r="IT653" s="9"/>
      <c r="IU653" s="9"/>
      <c r="IV653" s="9"/>
      <c r="IW653" s="9"/>
      <c r="IX653" s="9"/>
      <c r="IY653" s="9"/>
      <c r="IZ653" s="9"/>
      <c r="JA653" s="9"/>
      <c r="JB653" s="9"/>
      <c r="JC653" s="9"/>
      <c r="JD653" s="9"/>
      <c r="JE653" s="9"/>
      <c r="JF653" s="9"/>
      <c r="JG653" s="9"/>
      <c r="JH653" s="9"/>
      <c r="JI653" s="9"/>
      <c r="JJ653" s="9"/>
      <c r="JK653" s="9"/>
      <c r="JL653" s="9"/>
      <c r="JM653" s="9"/>
      <c r="JN653" s="9"/>
      <c r="JO653" s="9"/>
      <c r="JP653" s="9"/>
      <c r="JQ653" s="9"/>
      <c r="JR653" s="9"/>
      <c r="JS653" s="9"/>
      <c r="JT653" s="9"/>
      <c r="JU653" s="7"/>
      <c r="JV653" s="7" t="s">
        <v>6280</v>
      </c>
      <c r="JW653" s="7"/>
      <c r="JX653" s="7" t="s">
        <v>320</v>
      </c>
      <c r="JY653" s="7" t="s">
        <v>354</v>
      </c>
      <c r="JZ653" s="7" t="s">
        <v>322</v>
      </c>
      <c r="KA653" s="7"/>
      <c r="KB653" s="7"/>
      <c r="KC653" s="7"/>
      <c r="KD653" s="7"/>
      <c r="KE653" s="7"/>
      <c r="KF653" s="7"/>
      <c r="KG653" s="4" t="s">
        <v>323</v>
      </c>
      <c r="KH653" s="4"/>
      <c r="KI653" s="4"/>
      <c r="KJ653" s="4"/>
      <c r="KK653" s="4"/>
      <c r="KL653" s="4"/>
      <c r="KM653" s="4" t="s">
        <v>542</v>
      </c>
      <c r="KN653" s="4" t="s">
        <v>521</v>
      </c>
      <c r="KO653" s="4"/>
      <c r="KP653" s="5" t="s">
        <v>358</v>
      </c>
      <c r="KQ653" s="5" t="s">
        <v>6281</v>
      </c>
      <c r="KR653" s="5"/>
      <c r="KS653" s="5" t="s">
        <v>6282</v>
      </c>
      <c r="KT653" s="5" t="s">
        <v>6283</v>
      </c>
    </row>
    <row r="654" spans="1:306" s="14" customFormat="1" ht="132" x14ac:dyDescent="0.25">
      <c r="A654" s="5" t="s">
        <v>6292</v>
      </c>
      <c r="B654" s="4" t="s">
        <v>424</v>
      </c>
      <c r="C654" s="7" t="s">
        <v>425</v>
      </c>
      <c r="D654" s="8" t="s">
        <v>426</v>
      </c>
      <c r="E654" s="4">
        <v>336205</v>
      </c>
      <c r="F654" s="4"/>
      <c r="G654" s="4" t="s">
        <v>479</v>
      </c>
      <c r="H654" s="6">
        <v>145.15711400000001</v>
      </c>
      <c r="I654" s="6">
        <v>-17.005839000000002</v>
      </c>
      <c r="J654" s="4" t="s">
        <v>1019</v>
      </c>
      <c r="K654" s="4" t="s">
        <v>298</v>
      </c>
      <c r="L654" s="4" t="s">
        <v>1018</v>
      </c>
      <c r="M654" s="4" t="s">
        <v>1019</v>
      </c>
      <c r="N654" s="4"/>
      <c r="O654" s="8"/>
      <c r="P654" s="4"/>
      <c r="Q654" s="8"/>
      <c r="R654" s="8"/>
      <c r="S654" s="4"/>
      <c r="T654" s="9"/>
      <c r="U654" s="9"/>
      <c r="V654" s="9"/>
      <c r="W654" s="9"/>
      <c r="X654" s="9"/>
      <c r="Y654" s="8"/>
      <c r="Z654" s="4" t="s">
        <v>424</v>
      </c>
      <c r="AA654" s="7" t="s">
        <v>425</v>
      </c>
      <c r="AB654" s="8" t="s">
        <v>426</v>
      </c>
      <c r="AC654" s="4" t="s">
        <v>301</v>
      </c>
      <c r="AD654" s="4"/>
      <c r="AE654" s="8">
        <v>340</v>
      </c>
      <c r="AF654" s="8"/>
      <c r="AG654" s="4" t="s">
        <v>379</v>
      </c>
      <c r="AH654" s="9" t="s">
        <v>1156</v>
      </c>
      <c r="AI654" s="9"/>
      <c r="AJ654" s="9"/>
      <c r="AK654" s="9"/>
      <c r="AL654" s="9"/>
      <c r="AM654" s="8">
        <v>2</v>
      </c>
      <c r="AN654" s="4"/>
      <c r="AO654" s="4"/>
      <c r="AP654" s="4"/>
      <c r="AQ654" s="7"/>
      <c r="AR654" s="8"/>
      <c r="AS654" s="9"/>
      <c r="AT654" s="9"/>
      <c r="AU654" s="9"/>
      <c r="AV654" s="9"/>
      <c r="AW654" s="9"/>
      <c r="AX654" s="9"/>
      <c r="AY654" s="9"/>
      <c r="AZ654" s="9"/>
      <c r="BA654" s="8"/>
      <c r="BB654" s="4"/>
      <c r="BC654" s="4"/>
      <c r="BD654" s="4"/>
      <c r="BE654" s="7"/>
      <c r="BF654" s="8"/>
      <c r="BG654" s="9"/>
      <c r="BH654" s="9"/>
      <c r="BI654" s="9"/>
      <c r="BJ654" s="9"/>
      <c r="BK654" s="9"/>
      <c r="BL654" s="9"/>
      <c r="BM654" s="9"/>
      <c r="BN654" s="9"/>
      <c r="BO654" s="8"/>
      <c r="BP654" s="7">
        <v>5</v>
      </c>
      <c r="BQ654" s="6"/>
      <c r="BR654" s="6"/>
      <c r="BS654" s="6"/>
      <c r="BT654" s="6"/>
      <c r="BU654" s="8"/>
      <c r="BV654" s="7">
        <v>1.8</v>
      </c>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31"/>
      <c r="EA654" s="6"/>
      <c r="EB654" s="6"/>
      <c r="EC654" s="6"/>
      <c r="ED654" s="6"/>
      <c r="EE654" s="6"/>
      <c r="EF654" s="6"/>
      <c r="EG654" s="6"/>
      <c r="EH654" s="10"/>
      <c r="EI654" s="10"/>
      <c r="EJ654" s="10"/>
      <c r="EK654" s="10"/>
      <c r="EL654" s="7">
        <f>BP654*BV654</f>
        <v>9</v>
      </c>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32"/>
      <c r="GQ654" s="6"/>
      <c r="GR654" s="6"/>
      <c r="GS654" s="6"/>
      <c r="GT654" s="6"/>
      <c r="GU654" s="6"/>
      <c r="GV654" s="6"/>
      <c r="GW654" s="6"/>
      <c r="GX654" s="6"/>
      <c r="GY654" s="31" t="s">
        <v>407</v>
      </c>
      <c r="GZ654" s="6" t="s">
        <v>436</v>
      </c>
      <c r="HA654" s="6"/>
      <c r="HB654" s="6"/>
      <c r="HC654" s="6" t="s">
        <v>437</v>
      </c>
      <c r="HD654" s="8" t="s">
        <v>1023</v>
      </c>
      <c r="HE654" s="8">
        <v>8404</v>
      </c>
      <c r="HF654" s="8" t="s">
        <v>1024</v>
      </c>
      <c r="HG654" s="8" t="s">
        <v>1025</v>
      </c>
      <c r="HH654" s="9"/>
      <c r="HI654" s="8"/>
      <c r="HJ654" s="9"/>
      <c r="HK654" s="9"/>
      <c r="HL654" s="9"/>
      <c r="HM654" s="8"/>
      <c r="HN654" s="9"/>
      <c r="HO654" s="9"/>
      <c r="HP654" s="9"/>
      <c r="HQ654" s="8"/>
      <c r="HR654" s="9"/>
      <c r="HS654" s="9"/>
      <c r="HT654" s="9"/>
      <c r="HU654" s="9"/>
      <c r="HV654" s="9"/>
      <c r="HW654" s="9"/>
      <c r="HX654" s="9"/>
      <c r="HY654" s="9"/>
      <c r="HZ654" s="9"/>
      <c r="IA654" s="9"/>
      <c r="IB654" s="8"/>
      <c r="IC654" s="8"/>
      <c r="ID654" s="8"/>
      <c r="IE654" s="8"/>
      <c r="IF654" s="8"/>
      <c r="IG654" s="8"/>
      <c r="IH654" s="8"/>
      <c r="II654" s="8"/>
      <c r="IJ654" s="8"/>
      <c r="IK654" s="8"/>
      <c r="IL654" s="9"/>
      <c r="IM654" s="8"/>
      <c r="IN654" s="9"/>
      <c r="IO654" s="9"/>
      <c r="IP654" s="9"/>
      <c r="IQ654" s="9"/>
      <c r="IR654" s="9"/>
      <c r="IS654" s="9"/>
      <c r="IT654" s="9"/>
      <c r="IU654" s="9"/>
      <c r="IV654" s="9"/>
      <c r="IW654" s="9"/>
      <c r="IX654" s="9"/>
      <c r="IY654" s="9"/>
      <c r="IZ654" s="9"/>
      <c r="JA654" s="9"/>
      <c r="JB654" s="9"/>
      <c r="JC654" s="9"/>
      <c r="JD654" s="9"/>
      <c r="JE654" s="9"/>
      <c r="JF654" s="9"/>
      <c r="JG654" s="9"/>
      <c r="JH654" s="9"/>
      <c r="JI654" s="9"/>
      <c r="JJ654" s="9"/>
      <c r="JK654" s="9"/>
      <c r="JL654" s="9"/>
      <c r="JM654" s="9"/>
      <c r="JN654" s="9"/>
      <c r="JO654" s="9"/>
      <c r="JP654" s="9"/>
      <c r="JQ654" s="9"/>
      <c r="JR654" s="9"/>
      <c r="JS654" s="9"/>
      <c r="JT654" s="9"/>
      <c r="JU654" s="7"/>
      <c r="JV654" s="7" t="s">
        <v>6293</v>
      </c>
      <c r="JW654" s="7"/>
      <c r="JX654" s="7" t="s">
        <v>320</v>
      </c>
      <c r="JY654" s="7"/>
      <c r="JZ654" s="7"/>
      <c r="KA654" s="7"/>
      <c r="KB654" s="7"/>
      <c r="KC654" s="7"/>
      <c r="KD654" s="7"/>
      <c r="KE654" s="7"/>
      <c r="KF654" s="7"/>
      <c r="KG654" s="4" t="s">
        <v>323</v>
      </c>
      <c r="KH654" s="4"/>
      <c r="KI654" s="4"/>
      <c r="KJ654" s="4"/>
      <c r="KK654" s="4"/>
      <c r="KL654" s="4"/>
      <c r="KM654" s="4" t="s">
        <v>391</v>
      </c>
      <c r="KN654" s="4" t="s">
        <v>391</v>
      </c>
      <c r="KO654" s="4"/>
      <c r="KP654" s="5" t="s">
        <v>358</v>
      </c>
      <c r="KQ654" s="5" t="s">
        <v>6294</v>
      </c>
      <c r="KR654" s="5"/>
      <c r="KS654" s="5" t="s">
        <v>6294</v>
      </c>
      <c r="KT654" s="5" t="s">
        <v>6295</v>
      </c>
    </row>
    <row r="655" spans="1:306" s="14" customFormat="1" ht="84" x14ac:dyDescent="0.25">
      <c r="A655" s="5" t="s">
        <v>6326</v>
      </c>
      <c r="B655" s="4" t="s">
        <v>383</v>
      </c>
      <c r="C655" s="7" t="s">
        <v>403</v>
      </c>
      <c r="D655" s="4" t="s">
        <v>6330</v>
      </c>
      <c r="E655" s="4">
        <v>676385</v>
      </c>
      <c r="F655" s="4"/>
      <c r="G655" s="4" t="s">
        <v>427</v>
      </c>
      <c r="H655" s="6">
        <v>151.136</v>
      </c>
      <c r="I655" s="6">
        <v>-31.408799999999999</v>
      </c>
      <c r="J655" s="4" t="s">
        <v>6327</v>
      </c>
      <c r="K655" s="4" t="s">
        <v>298</v>
      </c>
      <c r="L655" s="4" t="s">
        <v>552</v>
      </c>
      <c r="M655" s="4" t="s">
        <v>6328</v>
      </c>
      <c r="N655" s="4"/>
      <c r="O655" s="8"/>
      <c r="P655" s="8"/>
      <c r="Q655" s="8"/>
      <c r="R655" s="8"/>
      <c r="S655" s="9"/>
      <c r="T655" s="9"/>
      <c r="U655" s="9"/>
      <c r="V655" s="9"/>
      <c r="W655" s="9"/>
      <c r="X655" s="9"/>
      <c r="Y655" s="8"/>
      <c r="Z655" s="4" t="s">
        <v>424</v>
      </c>
      <c r="AA655" s="7" t="s">
        <v>425</v>
      </c>
      <c r="AB655" s="8" t="s">
        <v>426</v>
      </c>
      <c r="AC655" s="4" t="s">
        <v>301</v>
      </c>
      <c r="AD655" s="8" t="s">
        <v>382</v>
      </c>
      <c r="AE655" s="8">
        <v>251</v>
      </c>
      <c r="AF655" s="8">
        <v>2</v>
      </c>
      <c r="AG655" s="9" t="s">
        <v>379</v>
      </c>
      <c r="AH655" s="9" t="s">
        <v>429</v>
      </c>
      <c r="AI655" s="9" t="s">
        <v>6329</v>
      </c>
      <c r="AJ655" s="9" t="s">
        <v>1238</v>
      </c>
      <c r="AK655" s="9"/>
      <c r="AL655" s="9"/>
      <c r="AM655" s="8">
        <v>2</v>
      </c>
      <c r="AN655" s="4" t="s">
        <v>381</v>
      </c>
      <c r="AO655" s="4" t="s">
        <v>375</v>
      </c>
      <c r="AP655" s="4" t="s">
        <v>383</v>
      </c>
      <c r="AQ655" s="7" t="s">
        <v>403</v>
      </c>
      <c r="AR655" s="4" t="s">
        <v>6330</v>
      </c>
      <c r="AS655" s="4"/>
      <c r="AT655" s="4"/>
      <c r="AU655" s="4"/>
      <c r="AV655" s="4"/>
      <c r="AW655" s="9"/>
      <c r="AX655" s="9"/>
      <c r="AY655" s="9"/>
      <c r="AZ655" s="9"/>
      <c r="BA655" s="8"/>
      <c r="BB655" s="4" t="s">
        <v>381</v>
      </c>
      <c r="BC655" s="4" t="s">
        <v>382</v>
      </c>
      <c r="BD655" s="4" t="s">
        <v>383</v>
      </c>
      <c r="BE655" s="7" t="s">
        <v>403</v>
      </c>
      <c r="BF655" s="8" t="s">
        <v>434</v>
      </c>
      <c r="BG655" s="7">
        <v>0</v>
      </c>
      <c r="BH655" s="7">
        <v>0</v>
      </c>
      <c r="BI655" s="9" t="s">
        <v>303</v>
      </c>
      <c r="BJ655" s="9" t="s">
        <v>406</v>
      </c>
      <c r="BK655" s="9"/>
      <c r="BL655" s="9"/>
      <c r="BM655" s="9"/>
      <c r="BN655" s="9"/>
      <c r="BO655" s="8">
        <v>5</v>
      </c>
      <c r="BP655" s="7"/>
      <c r="BQ655" s="6"/>
      <c r="BR655" s="6"/>
      <c r="BS655" s="6"/>
      <c r="BT655" s="6"/>
      <c r="BU655" s="8"/>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31"/>
      <c r="EA655" s="6"/>
      <c r="EB655" s="6"/>
      <c r="EC655" s="6"/>
      <c r="ED655" s="6"/>
      <c r="EE655" s="6"/>
      <c r="EF655" s="6"/>
      <c r="EG655" s="6"/>
      <c r="EH655" s="7"/>
      <c r="EI655" s="10"/>
      <c r="EJ655" s="10"/>
      <c r="EK655" s="10"/>
      <c r="EL655" s="7">
        <v>9.4</v>
      </c>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32"/>
      <c r="GQ655" s="6"/>
      <c r="GR655" s="6"/>
      <c r="GS655" s="6"/>
      <c r="GT655" s="6"/>
      <c r="GU655" s="6"/>
      <c r="GV655" s="6"/>
      <c r="GW655" s="6"/>
      <c r="GX655" s="6"/>
      <c r="GY655" s="6" t="s">
        <v>309</v>
      </c>
      <c r="GZ655" s="6" t="s">
        <v>436</v>
      </c>
      <c r="HA655" s="6"/>
      <c r="HB655" s="6"/>
      <c r="HC655" s="6" t="s">
        <v>437</v>
      </c>
      <c r="HD655" s="8" t="s">
        <v>6331</v>
      </c>
      <c r="HE655" s="8">
        <v>27097</v>
      </c>
      <c r="HF655" s="8" t="s">
        <v>6332</v>
      </c>
      <c r="HG655" s="9" t="s">
        <v>6333</v>
      </c>
      <c r="HH655" s="8"/>
      <c r="HI655" s="8"/>
      <c r="HJ655" s="9" t="s">
        <v>6334</v>
      </c>
      <c r="HK655" s="9"/>
      <c r="HL655" s="9"/>
      <c r="HM655" s="8"/>
      <c r="HN655" s="9" t="s">
        <v>6335</v>
      </c>
      <c r="HO655" s="9" t="s">
        <v>6336</v>
      </c>
      <c r="HP655" s="9"/>
      <c r="HQ655" s="8"/>
      <c r="HR655" s="9" t="s">
        <v>6337</v>
      </c>
      <c r="HS655" s="9" t="s">
        <v>4732</v>
      </c>
      <c r="HT655" s="9"/>
      <c r="HU655" s="9"/>
      <c r="HV655" s="9" t="s">
        <v>6338</v>
      </c>
      <c r="HW655" s="9"/>
      <c r="HX655" s="9"/>
      <c r="HY655" s="9"/>
      <c r="HZ655" s="9"/>
      <c r="IA655" s="9"/>
      <c r="IB655" s="8" t="s">
        <v>6331</v>
      </c>
      <c r="IC655" s="8">
        <v>27097</v>
      </c>
      <c r="ID655" s="9" t="s">
        <v>960</v>
      </c>
      <c r="IE655" s="9" t="s">
        <v>6339</v>
      </c>
      <c r="IF655" s="8" t="s">
        <v>445</v>
      </c>
      <c r="IG655" s="8"/>
      <c r="IH655" s="8"/>
      <c r="II655" s="8" t="s">
        <v>6334</v>
      </c>
      <c r="IJ655" s="9"/>
      <c r="IK655" s="8"/>
      <c r="IL655" s="9"/>
      <c r="IM655" s="9"/>
      <c r="IN655" s="9"/>
      <c r="IO655" s="9"/>
      <c r="IP655" s="9"/>
      <c r="IQ655" s="9"/>
      <c r="IR655" s="9"/>
      <c r="IS655" s="9"/>
      <c r="IT655" s="9"/>
      <c r="IU655" s="9"/>
      <c r="IV655" s="9"/>
      <c r="IW655" s="8"/>
      <c r="IX655" s="9"/>
      <c r="IY655" s="9"/>
      <c r="IZ655" s="9"/>
      <c r="JA655" s="9"/>
      <c r="JB655" s="8"/>
      <c r="JC655" s="9"/>
      <c r="JD655" s="9"/>
      <c r="JE655" s="9"/>
      <c r="JF655" s="9"/>
      <c r="JG655" s="9"/>
      <c r="JH655" s="9"/>
      <c r="JI655" s="9"/>
      <c r="JJ655" s="9"/>
      <c r="JK655" s="9"/>
      <c r="JL655" s="9"/>
      <c r="JM655" s="9"/>
      <c r="JN655" s="9"/>
      <c r="JO655" s="9"/>
      <c r="JP655" s="9"/>
      <c r="JQ655" s="9"/>
      <c r="JR655" s="9"/>
      <c r="JS655" s="9"/>
      <c r="JT655" s="9"/>
      <c r="JU655" s="7"/>
      <c r="JV655" s="7" t="s">
        <v>6340</v>
      </c>
      <c r="JW655" s="7"/>
      <c r="JX655" s="7" t="s">
        <v>320</v>
      </c>
      <c r="JY655" s="7"/>
      <c r="JZ655" s="7"/>
      <c r="KA655" s="7"/>
      <c r="KB655" s="7"/>
      <c r="KC655" s="7"/>
      <c r="KD655" s="7"/>
      <c r="KE655" s="7"/>
      <c r="KF655" s="7"/>
      <c r="KG655" s="4" t="s">
        <v>323</v>
      </c>
      <c r="KH655" s="4"/>
      <c r="KI655" s="4"/>
      <c r="KJ655" s="4"/>
      <c r="KK655" s="4"/>
      <c r="KL655" s="4"/>
      <c r="KM655" s="4"/>
      <c r="KN655" s="4"/>
      <c r="KO655" s="4"/>
      <c r="KP655" s="5" t="s">
        <v>6341</v>
      </c>
      <c r="KQ655" s="5" t="s">
        <v>6342</v>
      </c>
      <c r="KR655" s="5" t="s">
        <v>6343</v>
      </c>
      <c r="KS655" s="5" t="s">
        <v>6344</v>
      </c>
      <c r="KT655" s="5" t="s">
        <v>6345</v>
      </c>
    </row>
    <row r="656" spans="1:306" s="14" customFormat="1" ht="48" x14ac:dyDescent="0.25">
      <c r="A656" s="5" t="s">
        <v>6368</v>
      </c>
      <c r="B656" s="4" t="s">
        <v>424</v>
      </c>
      <c r="C656" s="7" t="s">
        <v>425</v>
      </c>
      <c r="D656" s="8" t="s">
        <v>426</v>
      </c>
      <c r="E656" s="4">
        <v>334323</v>
      </c>
      <c r="F656" s="4"/>
      <c r="G656" s="4" t="s">
        <v>530</v>
      </c>
      <c r="H656" s="6">
        <v>129.99440000000001</v>
      </c>
      <c r="I656" s="6">
        <v>-20.286200000000001</v>
      </c>
      <c r="J656" s="4" t="s">
        <v>6369</v>
      </c>
      <c r="K656" s="4" t="s">
        <v>481</v>
      </c>
      <c r="L656" s="4" t="s">
        <v>863</v>
      </c>
      <c r="M656" s="4"/>
      <c r="N656" s="4"/>
      <c r="O656" s="8"/>
      <c r="P656" s="4"/>
      <c r="Q656" s="8"/>
      <c r="R656" s="8"/>
      <c r="S656" s="9"/>
      <c r="T656" s="9"/>
      <c r="U656" s="9"/>
      <c r="V656" s="9"/>
      <c r="W656" s="9"/>
      <c r="X656" s="9"/>
      <c r="Y656" s="8"/>
      <c r="Z656" s="4" t="s">
        <v>424</v>
      </c>
      <c r="AA656" s="7" t="s">
        <v>425</v>
      </c>
      <c r="AB656" s="8" t="s">
        <v>426</v>
      </c>
      <c r="AC656" s="4" t="s">
        <v>301</v>
      </c>
      <c r="AD656" s="4" t="s">
        <v>302</v>
      </c>
      <c r="AE656" s="8">
        <v>1809</v>
      </c>
      <c r="AF656" s="8"/>
      <c r="AG656" s="9" t="s">
        <v>379</v>
      </c>
      <c r="AH656" s="9" t="s">
        <v>380</v>
      </c>
      <c r="AI656" s="9"/>
      <c r="AJ656" s="9"/>
      <c r="AK656" s="9"/>
      <c r="AL656" s="9"/>
      <c r="AM656" s="8">
        <v>2</v>
      </c>
      <c r="AN656" s="4"/>
      <c r="AO656" s="4"/>
      <c r="AP656" s="4"/>
      <c r="AQ656" s="7"/>
      <c r="AR656" s="8"/>
      <c r="AS656" s="7"/>
      <c r="AT656" s="7"/>
      <c r="AU656" s="9"/>
      <c r="AV656" s="9"/>
      <c r="AW656" s="9"/>
      <c r="AX656" s="9"/>
      <c r="AY656" s="9"/>
      <c r="AZ656" s="9"/>
      <c r="BA656" s="8"/>
      <c r="BB656" s="4"/>
      <c r="BC656" s="4"/>
      <c r="BD656" s="4"/>
      <c r="BE656" s="7"/>
      <c r="BF656" s="8"/>
      <c r="BG656" s="9"/>
      <c r="BH656" s="9"/>
      <c r="BI656" s="9"/>
      <c r="BJ656" s="9"/>
      <c r="BK656" s="9"/>
      <c r="BL656" s="9"/>
      <c r="BM656" s="9"/>
      <c r="BN656" s="9"/>
      <c r="BO656" s="8"/>
      <c r="BP656" s="7">
        <v>4.45</v>
      </c>
      <c r="BQ656" s="6"/>
      <c r="BR656" s="6"/>
      <c r="BS656" s="6"/>
      <c r="BT656" s="6"/>
      <c r="BU656" s="8"/>
      <c r="BV656" s="7">
        <v>2.9</v>
      </c>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31"/>
      <c r="EA656" s="6"/>
      <c r="EB656" s="6"/>
      <c r="EC656" s="6"/>
      <c r="ED656" s="6"/>
      <c r="EE656" s="6"/>
      <c r="EF656" s="6"/>
      <c r="EG656" s="6"/>
      <c r="EH656" s="10"/>
      <c r="EI656" s="10"/>
      <c r="EJ656" s="10"/>
      <c r="EK656" s="10"/>
      <c r="EL656" s="7">
        <f>BP656*BV656</f>
        <v>12.904999999999999</v>
      </c>
      <c r="EM656" s="6"/>
      <c r="EN656" s="6"/>
      <c r="EO656" s="6"/>
      <c r="EP656" s="6"/>
      <c r="EQ656" s="6"/>
      <c r="ER656" s="6"/>
      <c r="ES656" s="6"/>
      <c r="ET656" s="6"/>
      <c r="EU656" s="6"/>
      <c r="EV656" s="6"/>
      <c r="EW656" s="6"/>
      <c r="EX656" s="6"/>
      <c r="EY656" s="8"/>
      <c r="EZ656" s="6"/>
      <c r="FA656" s="10"/>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32"/>
      <c r="GQ656" s="6"/>
      <c r="GR656" s="6"/>
      <c r="GS656" s="6"/>
      <c r="GT656" s="6"/>
      <c r="GU656" s="6"/>
      <c r="GV656" s="6"/>
      <c r="GW656" s="6"/>
      <c r="GX656" s="6"/>
      <c r="GY656" s="6" t="s">
        <v>338</v>
      </c>
      <c r="GZ656" s="6" t="s">
        <v>436</v>
      </c>
      <c r="HA656" s="6"/>
      <c r="HB656" s="6"/>
      <c r="HC656" s="6" t="s">
        <v>437</v>
      </c>
      <c r="HD656" s="8" t="s">
        <v>1769</v>
      </c>
      <c r="HE656" s="8">
        <v>35397</v>
      </c>
      <c r="HF656" s="8" t="s">
        <v>6370</v>
      </c>
      <c r="HG656" s="9" t="s">
        <v>538</v>
      </c>
      <c r="HH656" s="9"/>
      <c r="HI656" s="8"/>
      <c r="HJ656" s="9"/>
      <c r="HK656" s="9"/>
      <c r="HL656" s="9"/>
      <c r="HM656" s="8"/>
      <c r="HN656" s="9"/>
      <c r="HO656" s="9"/>
      <c r="HP656" s="9"/>
      <c r="HQ656" s="8"/>
      <c r="HR656" s="9"/>
      <c r="HS656" s="9"/>
      <c r="HT656" s="9"/>
      <c r="HU656" s="9"/>
      <c r="HV656" s="9"/>
      <c r="HW656" s="9"/>
      <c r="HX656" s="9"/>
      <c r="HY656" s="8"/>
      <c r="HZ656" s="9"/>
      <c r="IA656" s="9"/>
      <c r="IB656" s="8"/>
      <c r="IC656" s="8"/>
      <c r="ID656" s="8" t="s">
        <v>658</v>
      </c>
      <c r="IE656" s="8" t="s">
        <v>538</v>
      </c>
      <c r="IF656" s="8" t="s">
        <v>329</v>
      </c>
      <c r="IG656" s="8" t="s">
        <v>2498</v>
      </c>
      <c r="IH656" s="8">
        <v>40137</v>
      </c>
      <c r="II656" s="8" t="s">
        <v>2499</v>
      </c>
      <c r="IJ656" s="8" t="s">
        <v>538</v>
      </c>
      <c r="IK656" s="8" t="s">
        <v>319</v>
      </c>
      <c r="IL656" s="9"/>
      <c r="IM656" s="8"/>
      <c r="IN656" s="9"/>
      <c r="IO656" s="9"/>
      <c r="IP656" s="9"/>
      <c r="IQ656" s="9"/>
      <c r="IR656" s="8"/>
      <c r="IS656" s="9"/>
      <c r="IT656" s="9"/>
      <c r="IU656" s="9"/>
      <c r="IV656" s="9"/>
      <c r="IW656" s="8"/>
      <c r="IX656" s="9"/>
      <c r="IY656" s="9"/>
      <c r="IZ656" s="9"/>
      <c r="JA656" s="9"/>
      <c r="JB656" s="8"/>
      <c r="JC656" s="9"/>
      <c r="JD656" s="9"/>
      <c r="JE656" s="9"/>
      <c r="JF656" s="9"/>
      <c r="JG656" s="9"/>
      <c r="JH656" s="9"/>
      <c r="JI656" s="9"/>
      <c r="JJ656" s="9"/>
      <c r="JK656" s="9"/>
      <c r="JL656" s="9"/>
      <c r="JM656" s="9"/>
      <c r="JN656" s="9"/>
      <c r="JO656" s="9"/>
      <c r="JP656" s="9"/>
      <c r="JQ656" s="9"/>
      <c r="JR656" s="9"/>
      <c r="JS656" s="9"/>
      <c r="JT656" s="9"/>
      <c r="JU656" s="7"/>
      <c r="JV656" s="7" t="s">
        <v>2718</v>
      </c>
      <c r="JW656" s="7" t="s">
        <v>2718</v>
      </c>
      <c r="JX656" s="7" t="s">
        <v>320</v>
      </c>
      <c r="JY656" s="7"/>
      <c r="JZ656" s="7"/>
      <c r="KA656" s="7"/>
      <c r="KB656" s="7"/>
      <c r="KC656" s="7"/>
      <c r="KD656" s="7"/>
      <c r="KE656" s="7"/>
      <c r="KF656" s="7"/>
      <c r="KG656" s="4" t="s">
        <v>323</v>
      </c>
      <c r="KH656" s="4"/>
      <c r="KI656" s="4"/>
      <c r="KJ656" s="4"/>
      <c r="KK656" s="4"/>
      <c r="KL656" s="4"/>
      <c r="KM656" s="4" t="s">
        <v>836</v>
      </c>
      <c r="KN656" s="4" t="s">
        <v>836</v>
      </c>
      <c r="KO656" s="4"/>
      <c r="KP656" s="5" t="s">
        <v>358</v>
      </c>
      <c r="KQ656" s="5" t="s">
        <v>2500</v>
      </c>
      <c r="KR656" s="5"/>
      <c r="KS656" s="18" t="s">
        <v>6371</v>
      </c>
      <c r="KT656" s="5" t="s">
        <v>4187</v>
      </c>
    </row>
    <row r="657" spans="1:306" s="14" customFormat="1" ht="84" x14ac:dyDescent="0.25">
      <c r="A657" s="5" t="s">
        <v>6393</v>
      </c>
      <c r="B657" s="4" t="s">
        <v>424</v>
      </c>
      <c r="C657" s="7" t="s">
        <v>425</v>
      </c>
      <c r="D657" s="8" t="s">
        <v>426</v>
      </c>
      <c r="E657" s="4">
        <v>805667</v>
      </c>
      <c r="F657" s="4"/>
      <c r="G657" s="4" t="s">
        <v>530</v>
      </c>
      <c r="H657" s="6">
        <v>129.61000000000001</v>
      </c>
      <c r="I657" s="6">
        <v>-20.18</v>
      </c>
      <c r="J657" s="4" t="s">
        <v>1765</v>
      </c>
      <c r="K657" s="4" t="s">
        <v>481</v>
      </c>
      <c r="L657" s="4" t="s">
        <v>863</v>
      </c>
      <c r="M657" s="4"/>
      <c r="N657" s="4"/>
      <c r="O657" s="8"/>
      <c r="P657" s="4"/>
      <c r="Q657" s="8"/>
      <c r="R657" s="8"/>
      <c r="S657" s="9"/>
      <c r="T657" s="9"/>
      <c r="U657" s="9"/>
      <c r="V657" s="9"/>
      <c r="W657" s="9"/>
      <c r="X657" s="9"/>
      <c r="Y657" s="8"/>
      <c r="Z657" s="4" t="s">
        <v>424</v>
      </c>
      <c r="AA657" s="7" t="s">
        <v>425</v>
      </c>
      <c r="AB657" s="8" t="s">
        <v>426</v>
      </c>
      <c r="AC657" s="4" t="s">
        <v>301</v>
      </c>
      <c r="AD657" s="4" t="s">
        <v>402</v>
      </c>
      <c r="AE657" s="8">
        <v>1809</v>
      </c>
      <c r="AF657" s="8"/>
      <c r="AG657" s="9" t="s">
        <v>379</v>
      </c>
      <c r="AH657" s="9" t="s">
        <v>380</v>
      </c>
      <c r="AI657" s="9"/>
      <c r="AJ657" s="9"/>
      <c r="AK657" s="9"/>
      <c r="AL657" s="9"/>
      <c r="AM657" s="8">
        <v>2</v>
      </c>
      <c r="AN657" s="4" t="s">
        <v>381</v>
      </c>
      <c r="AO657" s="4" t="s">
        <v>375</v>
      </c>
      <c r="AP657" s="4" t="s">
        <v>383</v>
      </c>
      <c r="AQ657" s="7" t="s">
        <v>384</v>
      </c>
      <c r="AR657" s="7" t="s">
        <v>433</v>
      </c>
      <c r="AS657" s="7">
        <v>0</v>
      </c>
      <c r="AT657" s="7">
        <v>0</v>
      </c>
      <c r="AU657" s="9" t="s">
        <v>303</v>
      </c>
      <c r="AV657" s="9" t="s">
        <v>406</v>
      </c>
      <c r="AW657" s="9"/>
      <c r="AX657" s="9"/>
      <c r="AY657" s="9"/>
      <c r="AZ657" s="9"/>
      <c r="BA657" s="8">
        <v>5</v>
      </c>
      <c r="BB657" s="4"/>
      <c r="BC657" s="4"/>
      <c r="BD657" s="4"/>
      <c r="BE657" s="7"/>
      <c r="BF657" s="8"/>
      <c r="BG657" s="9"/>
      <c r="BH657" s="9"/>
      <c r="BI657" s="9"/>
      <c r="BJ657" s="9"/>
      <c r="BK657" s="9"/>
      <c r="BL657" s="9"/>
      <c r="BM657" s="9"/>
      <c r="BN657" s="9"/>
      <c r="BO657" s="8"/>
      <c r="BP657" s="7">
        <v>0.76</v>
      </c>
      <c r="BQ657" s="6"/>
      <c r="BR657" s="6"/>
      <c r="BS657" s="6"/>
      <c r="BT657" s="6"/>
      <c r="BU657" s="8"/>
      <c r="BV657" s="7">
        <v>4.7</v>
      </c>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31"/>
      <c r="EA657" s="6"/>
      <c r="EB657" s="6"/>
      <c r="EC657" s="6"/>
      <c r="ED657" s="6"/>
      <c r="EE657" s="6"/>
      <c r="EF657" s="6"/>
      <c r="EG657" s="6"/>
      <c r="EH657" s="10"/>
      <c r="EI657" s="10"/>
      <c r="EJ657" s="10"/>
      <c r="EK657" s="10"/>
      <c r="EL657" s="7">
        <f>BP657*BV657</f>
        <v>3.5720000000000001</v>
      </c>
      <c r="EM657" s="6"/>
      <c r="EN657" s="6"/>
      <c r="EO657" s="6"/>
      <c r="EP657" s="6"/>
      <c r="EQ657" s="6"/>
      <c r="ER657" s="6"/>
      <c r="ES657" s="6"/>
      <c r="ET657" s="6"/>
      <c r="EU657" s="6"/>
      <c r="EV657" s="6"/>
      <c r="EW657" s="6"/>
      <c r="EX657" s="6"/>
      <c r="EY657" s="8"/>
      <c r="EZ657" s="6"/>
      <c r="FA657" s="10"/>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32"/>
      <c r="GQ657" s="6"/>
      <c r="GR657" s="6"/>
      <c r="GS657" s="6"/>
      <c r="GT657" s="6"/>
      <c r="GU657" s="6"/>
      <c r="GV657" s="6"/>
      <c r="GW657" s="6"/>
      <c r="GX657" s="6"/>
      <c r="GY657" s="6" t="s">
        <v>338</v>
      </c>
      <c r="GZ657" s="6" t="s">
        <v>436</v>
      </c>
      <c r="HA657" s="6"/>
      <c r="HB657" s="6"/>
      <c r="HC657" s="6" t="s">
        <v>437</v>
      </c>
      <c r="HD657" s="8" t="s">
        <v>1769</v>
      </c>
      <c r="HE657" s="8">
        <v>35397</v>
      </c>
      <c r="HF657" s="8" t="s">
        <v>1770</v>
      </c>
      <c r="HG657" s="9" t="s">
        <v>538</v>
      </c>
      <c r="HH657" s="9"/>
      <c r="HI657" s="8"/>
      <c r="HJ657" s="9"/>
      <c r="HK657" s="9"/>
      <c r="HL657" s="9"/>
      <c r="HM657" s="8"/>
      <c r="HN657" s="9"/>
      <c r="HO657" s="9"/>
      <c r="HP657" s="9"/>
      <c r="HQ657" s="8"/>
      <c r="HR657" s="9"/>
      <c r="HS657" s="9"/>
      <c r="HT657" s="9"/>
      <c r="HU657" s="9"/>
      <c r="HV657" s="9"/>
      <c r="HW657" s="9"/>
      <c r="HX657" s="9"/>
      <c r="HY657" s="8"/>
      <c r="HZ657" s="9"/>
      <c r="IA657" s="9"/>
      <c r="IB657" s="8" t="s">
        <v>2498</v>
      </c>
      <c r="IC657" s="8">
        <v>40137</v>
      </c>
      <c r="ID657" s="8" t="s">
        <v>2499</v>
      </c>
      <c r="IE657" s="8" t="s">
        <v>538</v>
      </c>
      <c r="IF657" s="8" t="s">
        <v>319</v>
      </c>
      <c r="IG657" s="8"/>
      <c r="IH657" s="8"/>
      <c r="II657" s="8"/>
      <c r="IJ657" s="8"/>
      <c r="IK657" s="8"/>
      <c r="IL657" s="9"/>
      <c r="IM657" s="8"/>
      <c r="IN657" s="9"/>
      <c r="IO657" s="9"/>
      <c r="IP657" s="9"/>
      <c r="IQ657" s="9"/>
      <c r="IR657" s="8"/>
      <c r="IS657" s="9"/>
      <c r="IT657" s="9"/>
      <c r="IU657" s="9"/>
      <c r="IV657" s="9"/>
      <c r="IW657" s="8"/>
      <c r="IX657" s="9"/>
      <c r="IY657" s="9"/>
      <c r="IZ657" s="9"/>
      <c r="JA657" s="9"/>
      <c r="JB657" s="8"/>
      <c r="JC657" s="9"/>
      <c r="JD657" s="9"/>
      <c r="JE657" s="9"/>
      <c r="JF657" s="9"/>
      <c r="JG657" s="9"/>
      <c r="JH657" s="9"/>
      <c r="JI657" s="9"/>
      <c r="JJ657" s="9"/>
      <c r="JK657" s="9"/>
      <c r="JL657" s="9"/>
      <c r="JM657" s="9"/>
      <c r="JN657" s="9"/>
      <c r="JO657" s="9"/>
      <c r="JP657" s="9"/>
      <c r="JQ657" s="9"/>
      <c r="JR657" s="9"/>
      <c r="JS657" s="9"/>
      <c r="JT657" s="9"/>
      <c r="JU657" s="7"/>
      <c r="JV657" s="7"/>
      <c r="JW657" s="7"/>
      <c r="JX657" s="7"/>
      <c r="JY657" s="7"/>
      <c r="JZ657" s="7"/>
      <c r="KA657" s="7"/>
      <c r="KB657" s="7"/>
      <c r="KC657" s="7"/>
      <c r="KD657" s="7"/>
      <c r="KE657" s="7"/>
      <c r="KF657" s="7"/>
      <c r="KG657" s="4" t="s">
        <v>323</v>
      </c>
      <c r="KH657" s="4"/>
      <c r="KI657" s="4"/>
      <c r="KJ657" s="4"/>
      <c r="KK657" s="4"/>
      <c r="KL657" s="4"/>
      <c r="KM657" s="4" t="s">
        <v>391</v>
      </c>
      <c r="KN657" s="4" t="s">
        <v>391</v>
      </c>
      <c r="KO657" s="4"/>
      <c r="KP657" s="5" t="s">
        <v>586</v>
      </c>
      <c r="KQ657" s="5" t="s">
        <v>6394</v>
      </c>
      <c r="KR657" s="5"/>
      <c r="KS657" s="5" t="s">
        <v>1775</v>
      </c>
      <c r="KT657" s="5" t="s">
        <v>4187</v>
      </c>
    </row>
    <row r="658" spans="1:306" s="14" customFormat="1" ht="60" x14ac:dyDescent="0.25">
      <c r="A658" s="5" t="s">
        <v>6439</v>
      </c>
      <c r="B658" s="4" t="s">
        <v>424</v>
      </c>
      <c r="C658" s="7" t="s">
        <v>425</v>
      </c>
      <c r="D658" s="8" t="s">
        <v>426</v>
      </c>
      <c r="E658" s="4">
        <v>559497</v>
      </c>
      <c r="F658" s="4"/>
      <c r="G658" s="4" t="s">
        <v>330</v>
      </c>
      <c r="H658" s="6">
        <v>121.11969999999999</v>
      </c>
      <c r="I658" s="6">
        <v>-30.463000000000001</v>
      </c>
      <c r="J658" s="4" t="s">
        <v>6440</v>
      </c>
      <c r="K658" s="4" t="s">
        <v>331</v>
      </c>
      <c r="L658" s="4" t="s">
        <v>500</v>
      </c>
      <c r="M658" s="4" t="s">
        <v>501</v>
      </c>
      <c r="N658" s="4" t="s">
        <v>1061</v>
      </c>
      <c r="O658" s="8"/>
      <c r="P658" s="4"/>
      <c r="Q658" s="9"/>
      <c r="R658" s="9"/>
      <c r="S658" s="9"/>
      <c r="T658" s="9"/>
      <c r="U658" s="9"/>
      <c r="V658" s="9"/>
      <c r="W658" s="9"/>
      <c r="X658" s="9"/>
      <c r="Y658" s="8"/>
      <c r="Z658" s="4" t="s">
        <v>424</v>
      </c>
      <c r="AA658" s="7" t="s">
        <v>425</v>
      </c>
      <c r="AB658" s="8" t="s">
        <v>426</v>
      </c>
      <c r="AC658" s="4" t="s">
        <v>301</v>
      </c>
      <c r="AD658" s="4" t="s">
        <v>375</v>
      </c>
      <c r="AE658" s="9"/>
      <c r="AF658" s="9"/>
      <c r="AG658" s="9"/>
      <c r="AH658" s="9"/>
      <c r="AI658" s="9"/>
      <c r="AJ658" s="9"/>
      <c r="AK658" s="9"/>
      <c r="AL658" s="9"/>
      <c r="AM658" s="8"/>
      <c r="AN658" s="4" t="s">
        <v>381</v>
      </c>
      <c r="AO658" s="4" t="s">
        <v>382</v>
      </c>
      <c r="AP658" s="4" t="s">
        <v>383</v>
      </c>
      <c r="AQ658" s="7" t="s">
        <v>384</v>
      </c>
      <c r="AR658" s="7" t="s">
        <v>433</v>
      </c>
      <c r="AS658" s="7">
        <v>0</v>
      </c>
      <c r="AT658" s="7">
        <v>0</v>
      </c>
      <c r="AU658" s="4" t="s">
        <v>303</v>
      </c>
      <c r="AV658" s="4" t="s">
        <v>406</v>
      </c>
      <c r="AW658" s="4"/>
      <c r="AX658" s="4"/>
      <c r="AY658" s="4"/>
      <c r="AZ658" s="4"/>
      <c r="BA658" s="8">
        <v>5</v>
      </c>
      <c r="BB658" s="4"/>
      <c r="BC658" s="4"/>
      <c r="BD658" s="4"/>
      <c r="BE658" s="7"/>
      <c r="BF658" s="8"/>
      <c r="BG658" s="9"/>
      <c r="BH658" s="9"/>
      <c r="BI658" s="9"/>
      <c r="BJ658" s="9"/>
      <c r="BK658" s="9"/>
      <c r="BL658" s="9"/>
      <c r="BM658" s="9"/>
      <c r="BN658" s="9"/>
      <c r="BO658" s="8"/>
      <c r="BP658" s="7">
        <f>1.06+19.91</f>
        <v>20.97</v>
      </c>
      <c r="BQ658" s="6"/>
      <c r="BR658" s="6"/>
      <c r="BS658" s="6"/>
      <c r="BT658" s="6"/>
      <c r="BU658" s="8"/>
      <c r="BV658" s="7">
        <f>((1.06*1)+(19.91*2.11))/BP658</f>
        <v>2.0538912732474968</v>
      </c>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31"/>
      <c r="EA658" s="6"/>
      <c r="EB658" s="6"/>
      <c r="EC658" s="6"/>
      <c r="ED658" s="6"/>
      <c r="EE658" s="6"/>
      <c r="EF658" s="6"/>
      <c r="EG658" s="6"/>
      <c r="EH658" s="10"/>
      <c r="EI658" s="10"/>
      <c r="EJ658" s="10"/>
      <c r="EK658" s="10"/>
      <c r="EL658" s="8">
        <f>1.06</f>
        <v>1.06</v>
      </c>
      <c r="EM658" s="6"/>
      <c r="EN658" s="6"/>
      <c r="EO658" s="6"/>
      <c r="EP658" s="6"/>
      <c r="EQ658" s="6"/>
      <c r="ER658" s="6"/>
      <c r="ES658" s="6"/>
      <c r="ET658" s="6"/>
      <c r="EU658" s="6"/>
      <c r="EV658" s="6"/>
      <c r="EW658" s="6"/>
      <c r="EX658" s="6"/>
      <c r="EY658" s="8"/>
      <c r="EZ658" s="6"/>
      <c r="FA658" s="10"/>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32"/>
      <c r="GQ658" s="6"/>
      <c r="GR658" s="6"/>
      <c r="GS658" s="6"/>
      <c r="GT658" s="6"/>
      <c r="GU658" s="6"/>
      <c r="GV658" s="6"/>
      <c r="GW658" s="6"/>
      <c r="GX658" s="6"/>
      <c r="GY658" s="6" t="s">
        <v>338</v>
      </c>
      <c r="GZ658" s="6" t="s">
        <v>436</v>
      </c>
      <c r="HA658" s="6"/>
      <c r="HB658" s="6"/>
      <c r="HC658" s="6" t="s">
        <v>437</v>
      </c>
      <c r="HD658" s="8" t="s">
        <v>6441</v>
      </c>
      <c r="HE658" s="8">
        <v>77736</v>
      </c>
      <c r="HF658" s="8" t="s">
        <v>960</v>
      </c>
      <c r="HG658" s="9" t="s">
        <v>507</v>
      </c>
      <c r="HH658" s="8" t="s">
        <v>6442</v>
      </c>
      <c r="HI658" s="8">
        <v>23377</v>
      </c>
      <c r="HJ658" s="8" t="s">
        <v>960</v>
      </c>
      <c r="HK658" s="9" t="s">
        <v>507</v>
      </c>
      <c r="HL658" s="9" t="s">
        <v>6443</v>
      </c>
      <c r="HM658" s="8">
        <v>69188</v>
      </c>
      <c r="HN658" s="9" t="s">
        <v>658</v>
      </c>
      <c r="HO658" s="9" t="s">
        <v>507</v>
      </c>
      <c r="HP658" s="9"/>
      <c r="HQ658" s="8"/>
      <c r="HR658" s="9"/>
      <c r="HS658" s="9"/>
      <c r="HT658" s="9"/>
      <c r="HU658" s="9"/>
      <c r="HV658" s="9"/>
      <c r="HW658" s="9"/>
      <c r="HX658" s="9"/>
      <c r="HY658" s="8"/>
      <c r="HZ658" s="9"/>
      <c r="IA658" s="9"/>
      <c r="IB658" s="8" t="s">
        <v>6444</v>
      </c>
      <c r="IC658" s="8">
        <v>77736</v>
      </c>
      <c r="ID658" s="8" t="s">
        <v>960</v>
      </c>
      <c r="IE658" s="9" t="s">
        <v>507</v>
      </c>
      <c r="IF658" s="8" t="s">
        <v>445</v>
      </c>
      <c r="IG658" s="8" t="s">
        <v>6445</v>
      </c>
      <c r="IH658" s="8">
        <v>23377</v>
      </c>
      <c r="II658" s="8" t="s">
        <v>960</v>
      </c>
      <c r="IJ658" s="9" t="s">
        <v>507</v>
      </c>
      <c r="IK658" s="8" t="s">
        <v>445</v>
      </c>
      <c r="IL658" s="9" t="s">
        <v>6446</v>
      </c>
      <c r="IM658" s="8">
        <v>69188</v>
      </c>
      <c r="IN658" s="9" t="s">
        <v>658</v>
      </c>
      <c r="IO658" s="9" t="s">
        <v>876</v>
      </c>
      <c r="IP658" s="9" t="s">
        <v>445</v>
      </c>
      <c r="IQ658" s="9" t="s">
        <v>6447</v>
      </c>
      <c r="IR658" s="9"/>
      <c r="IS658" s="9" t="s">
        <v>5782</v>
      </c>
      <c r="IT658" s="9" t="s">
        <v>507</v>
      </c>
      <c r="IU658" s="9" t="s">
        <v>350</v>
      </c>
      <c r="IV658" s="9"/>
      <c r="IW658" s="9"/>
      <c r="IX658" s="9" t="s">
        <v>6448</v>
      </c>
      <c r="IY658" s="9" t="s">
        <v>507</v>
      </c>
      <c r="IZ658" s="9" t="s">
        <v>350</v>
      </c>
      <c r="JA658" s="9"/>
      <c r="JB658" s="9"/>
      <c r="JC658" s="9" t="s">
        <v>2697</v>
      </c>
      <c r="JD658" s="9" t="s">
        <v>1303</v>
      </c>
      <c r="JE658" s="9" t="s">
        <v>350</v>
      </c>
      <c r="JF658" s="9"/>
      <c r="JG658" s="9"/>
      <c r="JH658" s="9"/>
      <c r="JI658" s="9"/>
      <c r="JJ658" s="9"/>
      <c r="JK658" s="9"/>
      <c r="JL658" s="9"/>
      <c r="JM658" s="9"/>
      <c r="JN658" s="9"/>
      <c r="JO658" s="9"/>
      <c r="JP658" s="9"/>
      <c r="JQ658" s="9"/>
      <c r="JR658" s="9"/>
      <c r="JS658" s="9"/>
      <c r="JT658" s="9"/>
      <c r="JU658" s="7"/>
      <c r="JV658" s="7" t="s">
        <v>6449</v>
      </c>
      <c r="JW658" s="7"/>
      <c r="JX658" s="7" t="s">
        <v>320</v>
      </c>
      <c r="JY658" s="7" t="s">
        <v>354</v>
      </c>
      <c r="JZ658" s="7" t="s">
        <v>322</v>
      </c>
      <c r="KA658" s="7" t="s">
        <v>321</v>
      </c>
      <c r="KB658" s="7" t="s">
        <v>5856</v>
      </c>
      <c r="KC658" s="7"/>
      <c r="KD658" s="7"/>
      <c r="KE658" s="7"/>
      <c r="KF658" s="7"/>
      <c r="KG658" s="4" t="s">
        <v>323</v>
      </c>
      <c r="KH658" s="4"/>
      <c r="KI658" s="4"/>
      <c r="KJ658" s="4"/>
      <c r="KK658" s="4"/>
      <c r="KL658" s="4"/>
      <c r="KM658" s="4" t="s">
        <v>836</v>
      </c>
      <c r="KN658" s="4" t="s">
        <v>836</v>
      </c>
      <c r="KO658" s="4"/>
      <c r="KP658" s="5" t="s">
        <v>358</v>
      </c>
      <c r="KQ658" s="5" t="s">
        <v>6450</v>
      </c>
      <c r="KR658" s="5"/>
      <c r="KS658" s="5" t="s">
        <v>6451</v>
      </c>
      <c r="KT658" s="5" t="s">
        <v>6452</v>
      </c>
    </row>
    <row r="659" spans="1:306" ht="36" x14ac:dyDescent="0.25">
      <c r="A659" s="5" t="s">
        <v>6459</v>
      </c>
      <c r="B659" s="4" t="s">
        <v>424</v>
      </c>
      <c r="C659" s="7" t="s">
        <v>425</v>
      </c>
      <c r="D659" s="8" t="s">
        <v>426</v>
      </c>
      <c r="E659" s="4">
        <v>637312</v>
      </c>
      <c r="G659" s="4" t="s">
        <v>330</v>
      </c>
      <c r="H659" s="6">
        <v>123.65009999999999</v>
      </c>
      <c r="I659" s="6">
        <v>-28.131900000000002</v>
      </c>
      <c r="J659" s="4" t="s">
        <v>569</v>
      </c>
      <c r="K659" s="4" t="s">
        <v>331</v>
      </c>
      <c r="L659" s="4" t="s">
        <v>500</v>
      </c>
      <c r="M659" s="4" t="s">
        <v>501</v>
      </c>
      <c r="N659" s="4" t="s">
        <v>570</v>
      </c>
      <c r="Q659" s="8"/>
      <c r="Z659" s="4" t="s">
        <v>424</v>
      </c>
      <c r="AA659" s="7" t="s">
        <v>425</v>
      </c>
      <c r="AB659" s="8" t="s">
        <v>426</v>
      </c>
      <c r="AC659" s="4" t="s">
        <v>301</v>
      </c>
      <c r="AD659" s="4" t="s">
        <v>375</v>
      </c>
      <c r="AE659" s="8">
        <v>2620</v>
      </c>
      <c r="AG659" s="9" t="s">
        <v>379</v>
      </c>
      <c r="AH659" s="9" t="s">
        <v>380</v>
      </c>
      <c r="AM659" s="8">
        <v>2</v>
      </c>
      <c r="AN659" s="4" t="s">
        <v>381</v>
      </c>
      <c r="AO659" s="4" t="s">
        <v>382</v>
      </c>
      <c r="AP659" s="4" t="s">
        <v>383</v>
      </c>
      <c r="AQ659" s="7" t="s">
        <v>384</v>
      </c>
      <c r="AR659" s="8" t="s">
        <v>433</v>
      </c>
      <c r="AS659" s="7">
        <v>0</v>
      </c>
      <c r="AT659" s="7">
        <v>0</v>
      </c>
      <c r="AU659" s="4" t="s">
        <v>303</v>
      </c>
      <c r="AV659" s="4" t="s">
        <v>406</v>
      </c>
      <c r="AW659" s="4"/>
      <c r="AX659" s="4"/>
      <c r="AY659" s="4"/>
      <c r="AZ659" s="4"/>
      <c r="BA659" s="8">
        <v>5</v>
      </c>
      <c r="BG659" s="8"/>
      <c r="BP659" s="7">
        <v>1.17</v>
      </c>
      <c r="BV659" s="6">
        <v>1.5</v>
      </c>
      <c r="DZ659" s="31"/>
      <c r="EL659" s="6">
        <f>BP659*BV659</f>
        <v>1.7549999999999999</v>
      </c>
      <c r="GP659" s="32"/>
      <c r="GY659" s="6" t="s">
        <v>338</v>
      </c>
      <c r="GZ659" s="6" t="s">
        <v>436</v>
      </c>
      <c r="HC659" s="6" t="s">
        <v>437</v>
      </c>
      <c r="HF659" s="8" t="s">
        <v>571</v>
      </c>
      <c r="HG659" s="9" t="s">
        <v>507</v>
      </c>
      <c r="IR659" s="9"/>
      <c r="KM659" s="4" t="s">
        <v>391</v>
      </c>
      <c r="KN659" s="4" t="s">
        <v>391</v>
      </c>
      <c r="KP659" s="5" t="s">
        <v>358</v>
      </c>
      <c r="KQ659" s="5" t="s">
        <v>6460</v>
      </c>
      <c r="KR659" s="5" t="s">
        <v>573</v>
      </c>
      <c r="KS659" s="5" t="s">
        <v>574</v>
      </c>
      <c r="KT659" s="5" t="s">
        <v>575</v>
      </c>
    </row>
    <row r="660" spans="1:306" ht="72" x14ac:dyDescent="0.25">
      <c r="A660" s="5" t="s">
        <v>6488</v>
      </c>
      <c r="B660" s="4" t="s">
        <v>424</v>
      </c>
      <c r="C660" s="7" t="s">
        <v>425</v>
      </c>
      <c r="D660" s="8" t="s">
        <v>426</v>
      </c>
      <c r="E660" s="4">
        <v>333691</v>
      </c>
      <c r="G660" s="4" t="s">
        <v>330</v>
      </c>
      <c r="H660" s="6">
        <v>121.3437</v>
      </c>
      <c r="I660" s="6">
        <v>-30.484999999999999</v>
      </c>
      <c r="J660" s="4" t="s">
        <v>4757</v>
      </c>
      <c r="K660" s="4" t="s">
        <v>331</v>
      </c>
      <c r="L660" s="4" t="s">
        <v>500</v>
      </c>
      <c r="M660" s="4" t="s">
        <v>501</v>
      </c>
      <c r="N660" s="4" t="s">
        <v>1061</v>
      </c>
      <c r="Z660" s="4" t="s">
        <v>424</v>
      </c>
      <c r="AA660" s="7" t="s">
        <v>425</v>
      </c>
      <c r="AB660" s="8" t="s">
        <v>426</v>
      </c>
      <c r="AC660" s="4" t="s">
        <v>301</v>
      </c>
      <c r="AD660" s="4" t="s">
        <v>375</v>
      </c>
      <c r="AE660" s="9" t="s">
        <v>6489</v>
      </c>
      <c r="AN660" s="4" t="s">
        <v>381</v>
      </c>
      <c r="AO660" s="4" t="s">
        <v>382</v>
      </c>
      <c r="AP660" s="4" t="s">
        <v>383</v>
      </c>
      <c r="AQ660" s="7" t="s">
        <v>384</v>
      </c>
      <c r="AR660" s="7" t="s">
        <v>433</v>
      </c>
      <c r="AS660" s="7">
        <v>0</v>
      </c>
      <c r="AT660" s="7">
        <v>0</v>
      </c>
      <c r="AU660" s="4" t="s">
        <v>303</v>
      </c>
      <c r="AV660" s="4" t="s">
        <v>406</v>
      </c>
      <c r="AW660" s="4"/>
      <c r="AX660" s="4"/>
      <c r="AY660" s="4"/>
      <c r="AZ660" s="4"/>
      <c r="BA660" s="8">
        <v>5</v>
      </c>
      <c r="BP660" s="7">
        <v>8.4</v>
      </c>
      <c r="BQ660" s="7"/>
      <c r="BV660" s="7">
        <v>3.2</v>
      </c>
      <c r="DZ660" s="31"/>
      <c r="EL660" s="7">
        <f>BP660*BV660</f>
        <v>26.880000000000003</v>
      </c>
      <c r="GP660" s="32"/>
      <c r="GY660" s="6" t="s">
        <v>309</v>
      </c>
      <c r="GZ660" s="6" t="s">
        <v>436</v>
      </c>
      <c r="HC660" s="6" t="s">
        <v>437</v>
      </c>
      <c r="HD660" s="8" t="s">
        <v>6490</v>
      </c>
      <c r="HE660" s="8">
        <v>14749</v>
      </c>
      <c r="HF660" s="8" t="s">
        <v>6491</v>
      </c>
      <c r="HG660" s="9" t="s">
        <v>507</v>
      </c>
      <c r="HH660" s="9" t="s">
        <v>6492</v>
      </c>
      <c r="HI660" s="8">
        <v>14750</v>
      </c>
      <c r="HJ660" s="9" t="s">
        <v>1712</v>
      </c>
      <c r="HK660" s="9" t="s">
        <v>507</v>
      </c>
      <c r="IB660" s="8" t="s">
        <v>6490</v>
      </c>
      <c r="IC660" s="8">
        <v>14749</v>
      </c>
      <c r="ID660" s="8" t="s">
        <v>6491</v>
      </c>
      <c r="IE660" s="9" t="s">
        <v>507</v>
      </c>
      <c r="IF660" s="8" t="s">
        <v>445</v>
      </c>
      <c r="IG660" s="9" t="s">
        <v>6492</v>
      </c>
      <c r="IH660" s="8">
        <v>14750</v>
      </c>
      <c r="II660" s="9" t="s">
        <v>1712</v>
      </c>
      <c r="IJ660" s="9" t="s">
        <v>507</v>
      </c>
      <c r="IK660" s="9" t="s">
        <v>445</v>
      </c>
      <c r="IL660" s="8"/>
      <c r="IM660" s="9"/>
      <c r="IR660" s="9"/>
      <c r="JV660" s="7" t="s">
        <v>6493</v>
      </c>
      <c r="JX660" s="7" t="s">
        <v>320</v>
      </c>
      <c r="JY660" s="7" t="s">
        <v>354</v>
      </c>
      <c r="JZ660" s="7" t="s">
        <v>322</v>
      </c>
      <c r="KA660" s="7" t="s">
        <v>321</v>
      </c>
      <c r="KB660" s="7" t="s">
        <v>5856</v>
      </c>
      <c r="KG660" s="4" t="s">
        <v>323</v>
      </c>
      <c r="KM660" s="4" t="s">
        <v>391</v>
      </c>
      <c r="KN660" s="4" t="s">
        <v>391</v>
      </c>
      <c r="KP660" s="5" t="s">
        <v>358</v>
      </c>
      <c r="KQ660" s="5" t="s">
        <v>6494</v>
      </c>
      <c r="KS660" s="5" t="s">
        <v>6495</v>
      </c>
      <c r="KT660" s="5" t="s">
        <v>6496</v>
      </c>
    </row>
    <row r="661" spans="1:306" ht="108" x14ac:dyDescent="0.25">
      <c r="A661" s="5" t="s">
        <v>6497</v>
      </c>
      <c r="B661" s="4" t="s">
        <v>424</v>
      </c>
      <c r="C661" s="7" t="s">
        <v>425</v>
      </c>
      <c r="D661" s="8" t="s">
        <v>426</v>
      </c>
      <c r="E661" s="4">
        <v>604555</v>
      </c>
      <c r="G661" s="4" t="s">
        <v>330</v>
      </c>
      <c r="H661" s="6">
        <v>118.502197</v>
      </c>
      <c r="I661" s="6">
        <v>-26.618130000000001</v>
      </c>
      <c r="J661" s="4" t="s">
        <v>6497</v>
      </c>
      <c r="K661" s="4" t="s">
        <v>331</v>
      </c>
      <c r="L661" s="4" t="s">
        <v>500</v>
      </c>
      <c r="M661" s="4" t="s">
        <v>676</v>
      </c>
      <c r="N661" s="4" t="s">
        <v>677</v>
      </c>
      <c r="Z661" s="4" t="s">
        <v>424</v>
      </c>
      <c r="AA661" s="7" t="s">
        <v>425</v>
      </c>
      <c r="AB661" s="8" t="s">
        <v>426</v>
      </c>
      <c r="AC661" s="4" t="s">
        <v>301</v>
      </c>
      <c r="AD661" s="4" t="s">
        <v>375</v>
      </c>
      <c r="AN661" s="4" t="s">
        <v>381</v>
      </c>
      <c r="AO661" s="4" t="s">
        <v>382</v>
      </c>
      <c r="AP661" s="4" t="s">
        <v>383</v>
      </c>
      <c r="AQ661" s="7" t="s">
        <v>384</v>
      </c>
      <c r="AR661" s="7" t="s">
        <v>433</v>
      </c>
      <c r="AS661" s="7">
        <v>0</v>
      </c>
      <c r="AT661" s="7">
        <v>0</v>
      </c>
      <c r="AU661" s="4" t="s">
        <v>303</v>
      </c>
      <c r="AV661" s="4" t="s">
        <v>406</v>
      </c>
      <c r="AW661" s="4"/>
      <c r="AX661" s="4"/>
      <c r="AY661" s="4"/>
      <c r="AZ661" s="4"/>
      <c r="BA661" s="8">
        <v>5</v>
      </c>
      <c r="DZ661" s="31"/>
      <c r="EL661" s="7">
        <v>73.33</v>
      </c>
      <c r="GP661" s="32"/>
      <c r="GY661" s="6" t="s">
        <v>338</v>
      </c>
      <c r="GZ661" s="6" t="s">
        <v>436</v>
      </c>
      <c r="HC661" s="6" t="s">
        <v>437</v>
      </c>
      <c r="HD661" s="8" t="s">
        <v>957</v>
      </c>
      <c r="HE661" s="8">
        <v>74803</v>
      </c>
      <c r="HF661" s="8" t="s">
        <v>958</v>
      </c>
      <c r="HG661" s="9" t="s">
        <v>389</v>
      </c>
      <c r="HJ661" s="9" t="s">
        <v>6498</v>
      </c>
      <c r="HK661" s="9" t="s">
        <v>507</v>
      </c>
      <c r="HL661" s="8" t="s">
        <v>957</v>
      </c>
      <c r="HM661" s="8">
        <v>74803</v>
      </c>
      <c r="HN661" s="8" t="s">
        <v>6499</v>
      </c>
      <c r="HO661" s="9" t="s">
        <v>389</v>
      </c>
      <c r="ID661" s="9" t="s">
        <v>6498</v>
      </c>
      <c r="IE661" s="9" t="s">
        <v>507</v>
      </c>
      <c r="IF661" s="8" t="s">
        <v>445</v>
      </c>
      <c r="IG661" s="8" t="s">
        <v>957</v>
      </c>
      <c r="IH661" s="8">
        <v>74803</v>
      </c>
      <c r="II661" s="8" t="s">
        <v>6499</v>
      </c>
      <c r="IJ661" s="9" t="s">
        <v>389</v>
      </c>
      <c r="IK661" s="8" t="s">
        <v>445</v>
      </c>
      <c r="IR661" s="9"/>
      <c r="JV661" s="7" t="s">
        <v>6500</v>
      </c>
      <c r="JW661" s="7" t="s">
        <v>1491</v>
      </c>
      <c r="JX661" s="7" t="s">
        <v>320</v>
      </c>
      <c r="KG661" s="4" t="s">
        <v>323</v>
      </c>
      <c r="KP661" s="5" t="s">
        <v>358</v>
      </c>
      <c r="KQ661" s="5" t="s">
        <v>6501</v>
      </c>
      <c r="KS661" s="5" t="s">
        <v>6502</v>
      </c>
      <c r="KT661" s="5" t="s">
        <v>6503</v>
      </c>
    </row>
    <row r="662" spans="1:306" ht="84" x14ac:dyDescent="0.25">
      <c r="A662" s="5" t="s">
        <v>6553</v>
      </c>
      <c r="B662" s="4" t="s">
        <v>424</v>
      </c>
      <c r="C662" s="7" t="s">
        <v>425</v>
      </c>
      <c r="D662" s="7" t="s">
        <v>426</v>
      </c>
      <c r="E662" s="4">
        <v>334561</v>
      </c>
      <c r="G662" s="4" t="s">
        <v>427</v>
      </c>
      <c r="H662" s="6">
        <v>148.12299999999999</v>
      </c>
      <c r="I662" s="6">
        <v>-33.163400000000003</v>
      </c>
      <c r="J662" s="4" t="s">
        <v>6554</v>
      </c>
      <c r="K662" s="4" t="s">
        <v>298</v>
      </c>
      <c r="L662" s="4" t="s">
        <v>299</v>
      </c>
      <c r="M662" s="4" t="s">
        <v>1359</v>
      </c>
      <c r="O662" s="7"/>
      <c r="Q662" s="8"/>
      <c r="Z662" s="4" t="s">
        <v>424</v>
      </c>
      <c r="AA662" s="7" t="s">
        <v>425</v>
      </c>
      <c r="AB662" s="7" t="s">
        <v>426</v>
      </c>
      <c r="AC662" s="4" t="s">
        <v>301</v>
      </c>
      <c r="AD662" s="4" t="s">
        <v>375</v>
      </c>
      <c r="AE662" s="8">
        <v>400</v>
      </c>
      <c r="AG662" s="9" t="s">
        <v>379</v>
      </c>
      <c r="AH662" s="9" t="s">
        <v>335</v>
      </c>
      <c r="AI662" s="9" t="s">
        <v>1118</v>
      </c>
      <c r="AJ662" s="9" t="s">
        <v>1080</v>
      </c>
      <c r="AK662" s="9" t="s">
        <v>600</v>
      </c>
      <c r="AM662" s="8">
        <v>2</v>
      </c>
      <c r="AN662" s="4" t="s">
        <v>381</v>
      </c>
      <c r="AO662" s="4" t="s">
        <v>382</v>
      </c>
      <c r="AP662" s="4" t="s">
        <v>383</v>
      </c>
      <c r="AQ662" s="7" t="s">
        <v>384</v>
      </c>
      <c r="AR662" s="8" t="s">
        <v>433</v>
      </c>
      <c r="AS662" s="7">
        <v>0</v>
      </c>
      <c r="AT662" s="7">
        <v>0</v>
      </c>
      <c r="AU662" s="9" t="s">
        <v>303</v>
      </c>
      <c r="AV662" s="9" t="s">
        <v>406</v>
      </c>
      <c r="BA662" s="8">
        <v>5</v>
      </c>
      <c r="BB662" s="4" t="s">
        <v>381</v>
      </c>
      <c r="BC662" s="4" t="s">
        <v>382</v>
      </c>
      <c r="BD662" s="4" t="s">
        <v>383</v>
      </c>
      <c r="BE662" s="7" t="s">
        <v>403</v>
      </c>
      <c r="BF662" s="8" t="s">
        <v>434</v>
      </c>
      <c r="BG662" s="7">
        <v>0</v>
      </c>
      <c r="BH662" s="7">
        <v>0</v>
      </c>
      <c r="BI662" s="9" t="s">
        <v>303</v>
      </c>
      <c r="BJ662" s="9" t="s">
        <v>406</v>
      </c>
      <c r="BO662" s="8">
        <v>5</v>
      </c>
      <c r="DZ662" s="31"/>
      <c r="EL662" s="7">
        <f>9.3+0.155+3*1.5+0.67*2.4</f>
        <v>15.563000000000001</v>
      </c>
      <c r="GP662" s="32"/>
      <c r="GY662" s="6" t="s">
        <v>309</v>
      </c>
      <c r="GZ662" s="6" t="s">
        <v>436</v>
      </c>
      <c r="HC662" s="6" t="s">
        <v>437</v>
      </c>
      <c r="HD662" s="8" t="s">
        <v>3334</v>
      </c>
      <c r="HE662" s="8">
        <v>25742</v>
      </c>
      <c r="HF662" s="8" t="s">
        <v>3335</v>
      </c>
      <c r="HG662" s="8" t="s">
        <v>440</v>
      </c>
      <c r="HH662" s="9" t="s">
        <v>3336</v>
      </c>
      <c r="HI662" s="8">
        <v>27752</v>
      </c>
      <c r="HJ662" s="9" t="s">
        <v>3337</v>
      </c>
      <c r="HK662" s="8" t="s">
        <v>440</v>
      </c>
      <c r="IB662" s="8" t="s">
        <v>3334</v>
      </c>
      <c r="IC662" s="8">
        <v>25742</v>
      </c>
      <c r="ID662" s="8" t="s">
        <v>3335</v>
      </c>
      <c r="IE662" s="8" t="s">
        <v>440</v>
      </c>
      <c r="IF662" s="8" t="s">
        <v>445</v>
      </c>
      <c r="IW662" s="8"/>
      <c r="JB662" s="8"/>
      <c r="JV662" s="7" t="s">
        <v>6555</v>
      </c>
      <c r="JX662" s="7" t="s">
        <v>320</v>
      </c>
      <c r="KG662" s="4" t="s">
        <v>323</v>
      </c>
      <c r="KM662" s="4" t="s">
        <v>391</v>
      </c>
      <c r="KN662" s="4" t="s">
        <v>391</v>
      </c>
      <c r="KP662" s="5" t="s">
        <v>358</v>
      </c>
      <c r="KQ662" s="5" t="s">
        <v>2297</v>
      </c>
      <c r="KR662" s="5" t="s">
        <v>6556</v>
      </c>
      <c r="KS662" s="5" t="s">
        <v>2297</v>
      </c>
      <c r="KT662" s="5" t="s">
        <v>6557</v>
      </c>
    </row>
    <row r="663" spans="1:306" ht="132" x14ac:dyDescent="0.25">
      <c r="A663" s="5" t="s">
        <v>6566</v>
      </c>
      <c r="B663" s="4" t="s">
        <v>424</v>
      </c>
      <c r="C663" s="7" t="s">
        <v>425</v>
      </c>
      <c r="D663" s="8" t="s">
        <v>426</v>
      </c>
      <c r="E663" s="4">
        <v>334998</v>
      </c>
      <c r="G663" s="4" t="s">
        <v>330</v>
      </c>
      <c r="H663" s="6">
        <v>116.2426</v>
      </c>
      <c r="I663" s="6">
        <v>-22.5794</v>
      </c>
      <c r="J663" s="4" t="s">
        <v>6567</v>
      </c>
      <c r="K663" s="4" t="s">
        <v>331</v>
      </c>
      <c r="L663" s="4" t="s">
        <v>368</v>
      </c>
      <c r="M663" s="4" t="s">
        <v>1340</v>
      </c>
      <c r="N663" s="4" t="s">
        <v>6568</v>
      </c>
      <c r="Q663" s="8"/>
      <c r="R663" s="8"/>
      <c r="Z663" s="4" t="s">
        <v>424</v>
      </c>
      <c r="AA663" s="7" t="s">
        <v>425</v>
      </c>
      <c r="AB663" s="8" t="s">
        <v>426</v>
      </c>
      <c r="AC663" s="4" t="s">
        <v>301</v>
      </c>
      <c r="AD663" s="4" t="s">
        <v>375</v>
      </c>
      <c r="AE663" s="8">
        <v>2403</v>
      </c>
      <c r="AF663" s="8">
        <v>5</v>
      </c>
      <c r="AG663" s="9" t="s">
        <v>379</v>
      </c>
      <c r="AH663" s="9" t="s">
        <v>335</v>
      </c>
      <c r="AI663" s="9" t="s">
        <v>336</v>
      </c>
      <c r="AJ663" s="9" t="s">
        <v>306</v>
      </c>
      <c r="AK663" s="9" t="s">
        <v>307</v>
      </c>
      <c r="AL663" s="9" t="s">
        <v>337</v>
      </c>
      <c r="AM663" s="8">
        <v>4</v>
      </c>
      <c r="AN663" s="4" t="s">
        <v>381</v>
      </c>
      <c r="AO663" s="4" t="s">
        <v>382</v>
      </c>
      <c r="AP663" s="4" t="s">
        <v>383</v>
      </c>
      <c r="AQ663" s="7" t="s">
        <v>384</v>
      </c>
      <c r="AR663" s="8" t="s">
        <v>433</v>
      </c>
      <c r="AS663" s="7">
        <v>0</v>
      </c>
      <c r="AT663" s="7">
        <v>0</v>
      </c>
      <c r="AU663" s="4" t="s">
        <v>303</v>
      </c>
      <c r="AV663" s="4" t="s">
        <v>406</v>
      </c>
      <c r="AW663" s="4"/>
      <c r="AX663" s="4"/>
      <c r="AY663" s="4"/>
      <c r="AZ663" s="4"/>
      <c r="BA663" s="8">
        <v>5</v>
      </c>
      <c r="BG663" s="8"/>
      <c r="BH663" s="8"/>
      <c r="DZ663" s="31"/>
      <c r="EL663" s="6">
        <v>34.645399999999995</v>
      </c>
      <c r="GP663" s="32"/>
      <c r="GY663" s="31" t="s">
        <v>407</v>
      </c>
      <c r="GZ663" s="6" t="s">
        <v>436</v>
      </c>
      <c r="HC663" s="6" t="s">
        <v>437</v>
      </c>
      <c r="HD663" s="9" t="s">
        <v>6569</v>
      </c>
      <c r="HF663" s="9" t="s">
        <v>6570</v>
      </c>
      <c r="HG663" s="9" t="s">
        <v>507</v>
      </c>
      <c r="HH663" s="8" t="s">
        <v>6571</v>
      </c>
      <c r="HI663" s="8">
        <v>8075</v>
      </c>
      <c r="HJ663" s="8" t="s">
        <v>6572</v>
      </c>
      <c r="HK663" s="9" t="s">
        <v>507</v>
      </c>
      <c r="IB663" s="9" t="s">
        <v>6569</v>
      </c>
      <c r="ID663" s="9" t="s">
        <v>6570</v>
      </c>
      <c r="IE663" s="9" t="s">
        <v>507</v>
      </c>
      <c r="IF663" s="8" t="s">
        <v>445</v>
      </c>
      <c r="II663" s="8" t="s">
        <v>2697</v>
      </c>
      <c r="IN663" s="9" t="s">
        <v>6573</v>
      </c>
      <c r="IO663" s="9" t="s">
        <v>350</v>
      </c>
      <c r="JU663" s="7" t="s">
        <v>6574</v>
      </c>
      <c r="JV663" s="7" t="s">
        <v>6575</v>
      </c>
      <c r="JW663" s="7" t="s">
        <v>1305</v>
      </c>
      <c r="JX663" s="7" t="s">
        <v>320</v>
      </c>
      <c r="JY663" s="7" t="s">
        <v>448</v>
      </c>
      <c r="JZ663" s="7" t="s">
        <v>322</v>
      </c>
      <c r="KG663" s="4" t="s">
        <v>323</v>
      </c>
      <c r="KM663" s="4" t="s">
        <v>391</v>
      </c>
      <c r="KN663" s="4" t="s">
        <v>391</v>
      </c>
      <c r="KP663" s="5" t="s">
        <v>358</v>
      </c>
      <c r="KQ663" s="5" t="s">
        <v>6576</v>
      </c>
      <c r="KR663" s="5" t="s">
        <v>6577</v>
      </c>
      <c r="KS663" s="5" t="s">
        <v>6578</v>
      </c>
      <c r="KT663" s="5" t="s">
        <v>6579</v>
      </c>
    </row>
    <row r="664" spans="1:306" ht="132" x14ac:dyDescent="0.25">
      <c r="A664" s="5" t="s">
        <v>6658</v>
      </c>
      <c r="B664" s="4" t="s">
        <v>424</v>
      </c>
      <c r="C664" s="7" t="s">
        <v>425</v>
      </c>
      <c r="D664" s="8" t="s">
        <v>426</v>
      </c>
      <c r="E664" s="4">
        <v>358436</v>
      </c>
      <c r="G664" s="4" t="s">
        <v>530</v>
      </c>
      <c r="H664" s="6">
        <v>131.827</v>
      </c>
      <c r="I664" s="6">
        <v>-13.8247</v>
      </c>
      <c r="J664" s="4" t="s">
        <v>532</v>
      </c>
      <c r="K664" s="4" t="s">
        <v>481</v>
      </c>
      <c r="L664" s="4" t="s">
        <v>532</v>
      </c>
      <c r="Q664" s="8"/>
      <c r="R664" s="8"/>
      <c r="Z664" s="4" t="s">
        <v>424</v>
      </c>
      <c r="AA664" s="7" t="s">
        <v>425</v>
      </c>
      <c r="AB664" s="8" t="s">
        <v>426</v>
      </c>
      <c r="AC664" s="4" t="s">
        <v>301</v>
      </c>
      <c r="AD664" s="4" t="s">
        <v>375</v>
      </c>
      <c r="AE664" s="8">
        <v>1810</v>
      </c>
      <c r="AF664" s="8"/>
      <c r="AG664" s="9" t="s">
        <v>379</v>
      </c>
      <c r="AH664" s="9" t="s">
        <v>380</v>
      </c>
      <c r="AM664" s="8">
        <v>3</v>
      </c>
      <c r="AN664" s="4" t="s">
        <v>381</v>
      </c>
      <c r="AO664" s="4" t="s">
        <v>382</v>
      </c>
      <c r="AP664" s="4" t="s">
        <v>383</v>
      </c>
      <c r="AQ664" s="7" t="s">
        <v>384</v>
      </c>
      <c r="AR664" s="7" t="s">
        <v>433</v>
      </c>
      <c r="AS664" s="7">
        <v>0</v>
      </c>
      <c r="AT664" s="7">
        <v>0</v>
      </c>
      <c r="AU664" s="9" t="s">
        <v>303</v>
      </c>
      <c r="AV664" s="9" t="s">
        <v>406</v>
      </c>
      <c r="BA664" s="8">
        <v>5</v>
      </c>
      <c r="BB664" s="4" t="s">
        <v>381</v>
      </c>
      <c r="BC664" s="4" t="s">
        <v>382</v>
      </c>
      <c r="BD664" s="4" t="s">
        <v>383</v>
      </c>
      <c r="BE664" s="7" t="s">
        <v>403</v>
      </c>
      <c r="BF664" s="8" t="s">
        <v>434</v>
      </c>
      <c r="BG664" s="7">
        <v>0</v>
      </c>
      <c r="BH664" s="7">
        <v>0</v>
      </c>
      <c r="BI664" s="9" t="s">
        <v>303</v>
      </c>
      <c r="BJ664" s="9" t="s">
        <v>406</v>
      </c>
      <c r="BO664" s="8">
        <v>5</v>
      </c>
      <c r="BR664" s="9"/>
      <c r="BS664" s="9"/>
      <c r="BT664" s="9"/>
      <c r="BU664" s="9"/>
      <c r="BV664" s="7"/>
      <c r="DZ664" s="31"/>
      <c r="EL664" s="7">
        <f>0.774*31.1+10.933*1.63</f>
        <v>41.892189999999999</v>
      </c>
      <c r="GP664" s="32"/>
      <c r="GY664" s="6" t="s">
        <v>435</v>
      </c>
      <c r="GZ664" s="6" t="s">
        <v>436</v>
      </c>
      <c r="HC664" s="6" t="s">
        <v>437</v>
      </c>
      <c r="HD664" s="9" t="s">
        <v>3183</v>
      </c>
      <c r="HE664" s="8">
        <v>27066</v>
      </c>
      <c r="HF664" s="9" t="s">
        <v>3184</v>
      </c>
      <c r="HG664" s="9" t="s">
        <v>538</v>
      </c>
      <c r="HH664" s="9" t="s">
        <v>536</v>
      </c>
      <c r="HI664" s="8">
        <v>3134</v>
      </c>
      <c r="HJ664" s="9" t="s">
        <v>537</v>
      </c>
      <c r="HK664" s="9" t="s">
        <v>538</v>
      </c>
      <c r="IB664" s="8" t="s">
        <v>1576</v>
      </c>
      <c r="IC664" s="8">
        <v>30778</v>
      </c>
      <c r="ID664" s="8" t="s">
        <v>2203</v>
      </c>
      <c r="IE664" s="8" t="s">
        <v>538</v>
      </c>
      <c r="IF664" s="8" t="s">
        <v>1578</v>
      </c>
      <c r="IW664" s="8"/>
      <c r="JB664" s="8"/>
      <c r="JX664" s="7" t="s">
        <v>320</v>
      </c>
      <c r="JY664" s="7" t="s">
        <v>354</v>
      </c>
      <c r="JZ664" s="7" t="s">
        <v>322</v>
      </c>
      <c r="KG664" s="4" t="s">
        <v>323</v>
      </c>
      <c r="KM664" s="4" t="s">
        <v>391</v>
      </c>
      <c r="KN664" s="4" t="s">
        <v>391</v>
      </c>
      <c r="KP664" s="5" t="s">
        <v>358</v>
      </c>
      <c r="KQ664" s="5" t="s">
        <v>1579</v>
      </c>
      <c r="KS664" s="5" t="s">
        <v>1580</v>
      </c>
      <c r="KT664" s="5" t="s">
        <v>6659</v>
      </c>
    </row>
    <row r="665" spans="1:306" ht="96" x14ac:dyDescent="0.25">
      <c r="A665" s="5" t="s">
        <v>5080</v>
      </c>
      <c r="B665" s="4" t="s">
        <v>424</v>
      </c>
      <c r="C665" s="7" t="s">
        <v>425</v>
      </c>
      <c r="D665" s="8" t="s">
        <v>426</v>
      </c>
      <c r="E665" s="4">
        <v>334738</v>
      </c>
      <c r="G665" s="4" t="s">
        <v>330</v>
      </c>
      <c r="H665" s="6">
        <v>119.44370000000001</v>
      </c>
      <c r="I665" s="6">
        <v>-25.3171</v>
      </c>
      <c r="J665" s="4" t="s">
        <v>5080</v>
      </c>
      <c r="K665" s="4" t="s">
        <v>331</v>
      </c>
      <c r="L665" s="4" t="s">
        <v>500</v>
      </c>
      <c r="M665" s="4" t="s">
        <v>501</v>
      </c>
      <c r="N665" s="4" t="s">
        <v>5079</v>
      </c>
      <c r="Q665" s="8"/>
      <c r="R665" s="8"/>
      <c r="Z665" s="4" t="s">
        <v>424</v>
      </c>
      <c r="AA665" s="7" t="s">
        <v>425</v>
      </c>
      <c r="AB665" s="8" t="s">
        <v>426</v>
      </c>
      <c r="AC665" s="4" t="s">
        <v>301</v>
      </c>
      <c r="AD665" s="4" t="s">
        <v>375</v>
      </c>
      <c r="AE665" s="8">
        <v>2628</v>
      </c>
      <c r="AF665" s="8">
        <v>50</v>
      </c>
      <c r="AG665" s="9" t="s">
        <v>379</v>
      </c>
      <c r="AH665" s="9" t="s">
        <v>335</v>
      </c>
      <c r="AI665" s="9" t="s">
        <v>2755</v>
      </c>
      <c r="AJ665" s="9" t="s">
        <v>1080</v>
      </c>
      <c r="AK665" s="9" t="s">
        <v>600</v>
      </c>
      <c r="AM665" s="8">
        <v>2</v>
      </c>
      <c r="AN665" s="4" t="s">
        <v>381</v>
      </c>
      <c r="AO665" s="4" t="s">
        <v>382</v>
      </c>
      <c r="AP665" s="4" t="s">
        <v>383</v>
      </c>
      <c r="AQ665" s="7" t="s">
        <v>384</v>
      </c>
      <c r="AR665" s="7" t="s">
        <v>433</v>
      </c>
      <c r="AS665" s="7">
        <v>0</v>
      </c>
      <c r="AT665" s="7">
        <v>0</v>
      </c>
      <c r="AU665" s="4" t="s">
        <v>303</v>
      </c>
      <c r="AV665" s="4" t="s">
        <v>406</v>
      </c>
      <c r="AW665" s="4"/>
      <c r="AX665" s="4"/>
      <c r="AY665" s="4"/>
      <c r="AZ665" s="4"/>
      <c r="BA665" s="8">
        <v>5</v>
      </c>
      <c r="BG665" s="8"/>
      <c r="BH665" s="8"/>
      <c r="DZ665" s="31"/>
      <c r="EL665" s="8">
        <v>302.52</v>
      </c>
      <c r="GP665" s="32"/>
      <c r="GY665" s="6" t="s">
        <v>338</v>
      </c>
      <c r="GZ665" s="6" t="s">
        <v>436</v>
      </c>
      <c r="HC665" s="6" t="s">
        <v>437</v>
      </c>
      <c r="HD665" s="8" t="s">
        <v>6690</v>
      </c>
      <c r="HF665" s="8" t="s">
        <v>6691</v>
      </c>
      <c r="HG665" s="9" t="s">
        <v>507</v>
      </c>
      <c r="IB665" s="8" t="s">
        <v>6690</v>
      </c>
      <c r="ID665" s="8" t="s">
        <v>6692</v>
      </c>
      <c r="IE665" s="9" t="s">
        <v>507</v>
      </c>
      <c r="IF665" s="9" t="s">
        <v>445</v>
      </c>
      <c r="II665" s="8" t="s">
        <v>6693</v>
      </c>
      <c r="IJ665" s="8" t="s">
        <v>507</v>
      </c>
      <c r="IR665" s="9"/>
      <c r="JV665" s="7" t="s">
        <v>6694</v>
      </c>
      <c r="JX665" s="7" t="s">
        <v>322</v>
      </c>
      <c r="KG665" s="4" t="s">
        <v>323</v>
      </c>
      <c r="KM665" s="4" t="s">
        <v>702</v>
      </c>
      <c r="KN665" s="4" t="s">
        <v>702</v>
      </c>
      <c r="KP665" s="5" t="s">
        <v>358</v>
      </c>
      <c r="KQ665" s="5" t="s">
        <v>6695</v>
      </c>
      <c r="KR665" s="5" t="s">
        <v>6695</v>
      </c>
      <c r="KS665" s="5" t="s">
        <v>6696</v>
      </c>
      <c r="KT665" s="5" t="s">
        <v>6697</v>
      </c>
    </row>
    <row r="666" spans="1:306" ht="84" x14ac:dyDescent="0.25">
      <c r="A666" s="5" t="s">
        <v>6775</v>
      </c>
      <c r="B666" s="4" t="s">
        <v>424</v>
      </c>
      <c r="C666" s="7" t="s">
        <v>425</v>
      </c>
      <c r="D666" s="8" t="s">
        <v>426</v>
      </c>
      <c r="E666" s="4">
        <v>336107</v>
      </c>
      <c r="G666" s="4" t="s">
        <v>479</v>
      </c>
      <c r="H666" s="6">
        <v>143.57400000000001</v>
      </c>
      <c r="I666" s="6">
        <v>-18.563400000000001</v>
      </c>
      <c r="K666" s="4" t="s">
        <v>481</v>
      </c>
      <c r="L666" s="4" t="s">
        <v>482</v>
      </c>
      <c r="Q666" s="8"/>
      <c r="R666" s="8"/>
      <c r="Z666" s="4" t="s">
        <v>424</v>
      </c>
      <c r="AA666" s="7" t="s">
        <v>425</v>
      </c>
      <c r="AB666" s="8" t="s">
        <v>426</v>
      </c>
      <c r="AC666" s="4" t="s">
        <v>301</v>
      </c>
      <c r="AE666" s="8">
        <v>418</v>
      </c>
      <c r="AF666" s="8">
        <v>2</v>
      </c>
      <c r="AG666" s="9" t="s">
        <v>379</v>
      </c>
      <c r="AH666" s="9" t="s">
        <v>429</v>
      </c>
      <c r="AI666" s="9" t="s">
        <v>430</v>
      </c>
      <c r="AJ666" s="9" t="s">
        <v>1238</v>
      </c>
      <c r="AM666" s="8">
        <v>2</v>
      </c>
      <c r="AS666" s="7"/>
      <c r="AT666" s="7"/>
      <c r="DZ666" s="31"/>
      <c r="EL666" s="6">
        <v>1.42</v>
      </c>
      <c r="EY666" s="6"/>
      <c r="FA666" s="6"/>
      <c r="GP666" s="32"/>
      <c r="GY666" s="6" t="s">
        <v>309</v>
      </c>
      <c r="GZ666" s="6" t="s">
        <v>436</v>
      </c>
      <c r="HC666" s="6" t="s">
        <v>437</v>
      </c>
      <c r="HD666" s="8" t="s">
        <v>485</v>
      </c>
      <c r="HE666" s="8">
        <v>6827</v>
      </c>
      <c r="HF666" s="8" t="s">
        <v>486</v>
      </c>
      <c r="HG666" s="9" t="s">
        <v>487</v>
      </c>
      <c r="HY666" s="9"/>
      <c r="IB666" s="8" t="s">
        <v>485</v>
      </c>
      <c r="IC666" s="8">
        <v>6827</v>
      </c>
      <c r="ID666" s="8" t="s">
        <v>486</v>
      </c>
      <c r="IE666" s="9" t="s">
        <v>487</v>
      </c>
      <c r="IF666" s="8" t="s">
        <v>445</v>
      </c>
      <c r="IO666" s="8"/>
      <c r="IP666" s="8"/>
      <c r="IR666" s="9"/>
      <c r="JV666" s="7" t="s">
        <v>352</v>
      </c>
      <c r="JX666" s="7" t="s">
        <v>320</v>
      </c>
      <c r="KG666" s="4" t="s">
        <v>323</v>
      </c>
      <c r="KP666" s="5" t="s">
        <v>358</v>
      </c>
      <c r="KQ666" s="5" t="s">
        <v>495</v>
      </c>
      <c r="KR666" s="5" t="s">
        <v>495</v>
      </c>
      <c r="KS666" s="5" t="s">
        <v>495</v>
      </c>
      <c r="KT666" s="5" t="s">
        <v>6776</v>
      </c>
    </row>
    <row r="667" spans="1:306" ht="120" x14ac:dyDescent="0.25">
      <c r="A667" s="5" t="s">
        <v>6777</v>
      </c>
      <c r="B667" s="4" t="s">
        <v>424</v>
      </c>
      <c r="C667" s="7" t="s">
        <v>425</v>
      </c>
      <c r="D667" s="8" t="s">
        <v>426</v>
      </c>
      <c r="E667" s="4">
        <v>335275</v>
      </c>
      <c r="G667" s="4" t="s">
        <v>530</v>
      </c>
      <c r="H667" s="6">
        <v>131.58760000000001</v>
      </c>
      <c r="I667" s="6">
        <v>-12.956899999999999</v>
      </c>
      <c r="K667" s="4" t="s">
        <v>481</v>
      </c>
      <c r="L667" s="4" t="s">
        <v>532</v>
      </c>
      <c r="Q667" s="8"/>
      <c r="R667" s="8"/>
      <c r="Z667" s="4" t="s">
        <v>424</v>
      </c>
      <c r="AA667" s="7" t="s">
        <v>425</v>
      </c>
      <c r="AB667" s="8" t="s">
        <v>426</v>
      </c>
      <c r="AC667" s="4" t="s">
        <v>301</v>
      </c>
      <c r="AD667" s="4" t="s">
        <v>375</v>
      </c>
      <c r="AE667" s="8">
        <v>1810</v>
      </c>
      <c r="AF667" s="8"/>
      <c r="AG667" s="9" t="s">
        <v>379</v>
      </c>
      <c r="AH667" s="9" t="s">
        <v>380</v>
      </c>
      <c r="AM667" s="8">
        <v>3</v>
      </c>
      <c r="AN667" s="4" t="s">
        <v>381</v>
      </c>
      <c r="AO667" s="4" t="s">
        <v>382</v>
      </c>
      <c r="AP667" s="4" t="s">
        <v>383</v>
      </c>
      <c r="AQ667" s="7" t="s">
        <v>384</v>
      </c>
      <c r="AR667" s="7" t="s">
        <v>433</v>
      </c>
      <c r="AS667" s="7">
        <v>0</v>
      </c>
      <c r="AT667" s="7">
        <v>0</v>
      </c>
      <c r="AU667" s="9" t="s">
        <v>303</v>
      </c>
      <c r="AV667" s="9" t="s">
        <v>406</v>
      </c>
      <c r="BA667" s="8">
        <v>5</v>
      </c>
      <c r="BP667" s="7">
        <f>0.36+14.2</f>
        <v>14.559999999999999</v>
      </c>
      <c r="BV667" s="7">
        <f>(0.36*1.04+14.2*1)/(0.36+14.2)</f>
        <v>1.0009890109890109</v>
      </c>
      <c r="DZ667" s="31"/>
      <c r="EL667" s="7">
        <f>BP667*BV667</f>
        <v>14.574399999999997</v>
      </c>
      <c r="GP667" s="32"/>
      <c r="GY667" s="6" t="s">
        <v>435</v>
      </c>
      <c r="GZ667" s="6" t="s">
        <v>436</v>
      </c>
      <c r="HC667" s="6" t="s">
        <v>437</v>
      </c>
      <c r="HD667" s="9" t="s">
        <v>1640</v>
      </c>
      <c r="HE667" s="8">
        <v>25130</v>
      </c>
      <c r="HF667" s="8" t="s">
        <v>1641</v>
      </c>
      <c r="HG667" s="9" t="s">
        <v>538</v>
      </c>
      <c r="HH667" s="9" t="s">
        <v>1574</v>
      </c>
      <c r="HI667" s="8">
        <v>27310</v>
      </c>
      <c r="HJ667" s="9" t="s">
        <v>1575</v>
      </c>
      <c r="HK667" s="9" t="s">
        <v>538</v>
      </c>
      <c r="IB667" s="9" t="s">
        <v>1574</v>
      </c>
      <c r="IC667" s="8">
        <v>27310</v>
      </c>
      <c r="ID667" s="9" t="s">
        <v>1575</v>
      </c>
      <c r="IE667" s="8" t="s">
        <v>1578</v>
      </c>
      <c r="IF667" s="4" t="s">
        <v>445</v>
      </c>
      <c r="IG667" s="8" t="s">
        <v>1576</v>
      </c>
      <c r="IH667" s="8">
        <v>30778</v>
      </c>
      <c r="II667" s="8" t="s">
        <v>2203</v>
      </c>
      <c r="IJ667" s="8" t="s">
        <v>538</v>
      </c>
      <c r="IK667" s="8" t="s">
        <v>1578</v>
      </c>
      <c r="IW667" s="8"/>
      <c r="JB667" s="8"/>
      <c r="JV667" s="7" t="s">
        <v>1779</v>
      </c>
      <c r="KM667" s="4" t="s">
        <v>836</v>
      </c>
      <c r="KN667" s="4" t="s">
        <v>836</v>
      </c>
      <c r="KP667" s="5" t="s">
        <v>358</v>
      </c>
      <c r="KQ667" s="5" t="s">
        <v>6778</v>
      </c>
      <c r="KS667" s="5" t="s">
        <v>6779</v>
      </c>
      <c r="KT667" s="5" t="s">
        <v>6780</v>
      </c>
    </row>
    <row r="668" spans="1:306" ht="60" x14ac:dyDescent="0.25">
      <c r="A668" s="5" t="s">
        <v>6843</v>
      </c>
      <c r="B668" s="4" t="s">
        <v>424</v>
      </c>
      <c r="C668" s="7" t="s">
        <v>425</v>
      </c>
      <c r="D668" s="8" t="s">
        <v>426</v>
      </c>
      <c r="E668" s="4">
        <v>333418</v>
      </c>
      <c r="G668" s="4" t="s">
        <v>330</v>
      </c>
      <c r="H668" s="6">
        <v>122.4141</v>
      </c>
      <c r="I668" s="6">
        <v>-29.2166</v>
      </c>
      <c r="J668" s="4" t="s">
        <v>3622</v>
      </c>
      <c r="K668" s="4" t="s">
        <v>331</v>
      </c>
      <c r="L668" s="4" t="s">
        <v>500</v>
      </c>
      <c r="M668" s="4" t="s">
        <v>501</v>
      </c>
      <c r="N668" s="4" t="s">
        <v>625</v>
      </c>
      <c r="Q668" s="8"/>
      <c r="Z668" s="4" t="s">
        <v>424</v>
      </c>
      <c r="AA668" s="7" t="s">
        <v>425</v>
      </c>
      <c r="AB668" s="8" t="s">
        <v>426</v>
      </c>
      <c r="AC668" s="4" t="s">
        <v>301</v>
      </c>
      <c r="AD668" s="4" t="s">
        <v>375</v>
      </c>
      <c r="AE668" s="8">
        <v>2650</v>
      </c>
      <c r="AG668" s="9" t="s">
        <v>379</v>
      </c>
      <c r="AH668" s="9" t="s">
        <v>380</v>
      </c>
      <c r="AM668" s="8">
        <v>2</v>
      </c>
      <c r="AN668" s="4" t="s">
        <v>381</v>
      </c>
      <c r="AO668" s="4" t="s">
        <v>382</v>
      </c>
      <c r="AP668" s="4" t="s">
        <v>383</v>
      </c>
      <c r="AQ668" s="7" t="s">
        <v>384</v>
      </c>
      <c r="AR668" s="7" t="s">
        <v>433</v>
      </c>
      <c r="AS668" s="7">
        <v>0</v>
      </c>
      <c r="AT668" s="7">
        <v>0</v>
      </c>
      <c r="AU668" s="4" t="s">
        <v>303</v>
      </c>
      <c r="AV668" s="4" t="s">
        <v>406</v>
      </c>
      <c r="AW668" s="4"/>
      <c r="AX668" s="4"/>
      <c r="AY668" s="4"/>
      <c r="AZ668" s="4"/>
      <c r="BA668" s="8">
        <v>5</v>
      </c>
      <c r="BG668" s="8"/>
      <c r="BP668" s="7">
        <v>3.47</v>
      </c>
      <c r="BV668" s="6">
        <v>6.26</v>
      </c>
      <c r="DZ668" s="31"/>
      <c r="EL668" s="8">
        <v>21.74</v>
      </c>
      <c r="GP668" s="32"/>
      <c r="GY668" s="6" t="s">
        <v>338</v>
      </c>
      <c r="GZ668" s="6" t="s">
        <v>436</v>
      </c>
      <c r="HC668" s="6" t="s">
        <v>437</v>
      </c>
      <c r="HF668" s="8" t="s">
        <v>6844</v>
      </c>
      <c r="HG668" s="9" t="s">
        <v>507</v>
      </c>
      <c r="HJ668" s="9" t="s">
        <v>6845</v>
      </c>
      <c r="HK668" s="9" t="s">
        <v>507</v>
      </c>
      <c r="HN668" s="9" t="s">
        <v>6846</v>
      </c>
      <c r="HO668" s="9" t="s">
        <v>507</v>
      </c>
      <c r="ID668" s="8" t="s">
        <v>6844</v>
      </c>
      <c r="IE668" s="9" t="s">
        <v>507</v>
      </c>
      <c r="IF668" s="9" t="s">
        <v>445</v>
      </c>
      <c r="II668" s="9" t="s">
        <v>6846</v>
      </c>
      <c r="IJ668" s="9" t="s">
        <v>507</v>
      </c>
      <c r="IK668" s="8" t="s">
        <v>445</v>
      </c>
      <c r="IR668" s="9"/>
      <c r="JV668" s="7" t="s">
        <v>6847</v>
      </c>
      <c r="JX668" s="7" t="s">
        <v>320</v>
      </c>
      <c r="JY668" s="7" t="s">
        <v>354</v>
      </c>
      <c r="JZ668" s="7" t="s">
        <v>322</v>
      </c>
      <c r="KG668" s="4" t="s">
        <v>323</v>
      </c>
      <c r="KM668" s="4" t="s">
        <v>391</v>
      </c>
      <c r="KN668" s="4" t="s">
        <v>391</v>
      </c>
      <c r="KP668" s="5" t="s">
        <v>358</v>
      </c>
      <c r="KQ668" s="5" t="s">
        <v>6848</v>
      </c>
      <c r="KS668" s="5" t="s">
        <v>6849</v>
      </c>
      <c r="KT668" s="5" t="s">
        <v>6850</v>
      </c>
    </row>
    <row r="669" spans="1:306" ht="48" x14ac:dyDescent="0.25">
      <c r="A669" s="5" t="s">
        <v>6866</v>
      </c>
      <c r="B669" s="4" t="s">
        <v>424</v>
      </c>
      <c r="C669" s="7" t="s">
        <v>425</v>
      </c>
      <c r="D669" s="8" t="s">
        <v>426</v>
      </c>
      <c r="E669" s="4">
        <v>336078</v>
      </c>
      <c r="G669" s="4" t="s">
        <v>330</v>
      </c>
      <c r="H669" s="6">
        <v>118.26690000000001</v>
      </c>
      <c r="I669" s="6">
        <v>-27.138000000000002</v>
      </c>
      <c r="J669" s="4" t="s">
        <v>675</v>
      </c>
      <c r="K669" s="4" t="s">
        <v>331</v>
      </c>
      <c r="L669" s="4" t="s">
        <v>500</v>
      </c>
      <c r="M669" s="4" t="s">
        <v>676</v>
      </c>
      <c r="N669" s="4" t="s">
        <v>677</v>
      </c>
      <c r="Q669" s="8"/>
      <c r="R669" s="8"/>
      <c r="Z669" s="4" t="s">
        <v>424</v>
      </c>
      <c r="AA669" s="7" t="s">
        <v>425</v>
      </c>
      <c r="AB669" s="8" t="s">
        <v>426</v>
      </c>
      <c r="AC669" s="4" t="s">
        <v>301</v>
      </c>
      <c r="AD669" s="4" t="s">
        <v>375</v>
      </c>
      <c r="AE669" s="8">
        <v>2638</v>
      </c>
      <c r="AF669" s="8">
        <v>4</v>
      </c>
      <c r="AG669" s="9" t="s">
        <v>379</v>
      </c>
      <c r="AH669" s="9" t="s">
        <v>335</v>
      </c>
      <c r="AI669" s="9" t="s">
        <v>503</v>
      </c>
      <c r="AJ669" s="9" t="s">
        <v>306</v>
      </c>
      <c r="AK669" s="9" t="s">
        <v>307</v>
      </c>
      <c r="AL669" s="9" t="s">
        <v>337</v>
      </c>
      <c r="AM669" s="8">
        <v>4</v>
      </c>
      <c r="AN669" s="4" t="s">
        <v>381</v>
      </c>
      <c r="AO669" s="4" t="s">
        <v>382</v>
      </c>
      <c r="AP669" s="4" t="s">
        <v>383</v>
      </c>
      <c r="AQ669" s="7" t="s">
        <v>384</v>
      </c>
      <c r="AR669" s="7" t="s">
        <v>433</v>
      </c>
      <c r="AS669" s="7">
        <v>0</v>
      </c>
      <c r="AT669" s="7">
        <v>0</v>
      </c>
      <c r="AU669" s="4" t="s">
        <v>303</v>
      </c>
      <c r="AV669" s="4" t="s">
        <v>406</v>
      </c>
      <c r="AW669" s="4"/>
      <c r="AX669" s="4"/>
      <c r="AY669" s="4"/>
      <c r="AZ669" s="4"/>
      <c r="BA669" s="8">
        <v>5</v>
      </c>
      <c r="BG669" s="8"/>
      <c r="BH669" s="8"/>
      <c r="BP669" s="7">
        <v>13.13</v>
      </c>
      <c r="BV669" s="6">
        <v>2.92</v>
      </c>
      <c r="DZ669" s="31"/>
      <c r="EL669" s="7">
        <v>38.39</v>
      </c>
      <c r="FA669" s="6"/>
      <c r="GP669" s="32"/>
      <c r="GY669" s="6" t="s">
        <v>338</v>
      </c>
      <c r="GZ669" s="6" t="s">
        <v>436</v>
      </c>
      <c r="HC669" s="6" t="s">
        <v>437</v>
      </c>
      <c r="HF669" s="8" t="s">
        <v>6867</v>
      </c>
      <c r="HG669" s="9" t="s">
        <v>507</v>
      </c>
      <c r="ID669" s="8" t="s">
        <v>6868</v>
      </c>
      <c r="IE669" s="8" t="s">
        <v>507</v>
      </c>
      <c r="II669" s="8" t="s">
        <v>6869</v>
      </c>
      <c r="IJ669" s="8" t="s">
        <v>507</v>
      </c>
      <c r="IM669" s="9"/>
      <c r="IR669" s="9"/>
      <c r="JV669" s="7" t="s">
        <v>6870</v>
      </c>
      <c r="JX669" s="7" t="s">
        <v>320</v>
      </c>
      <c r="JY669" s="7" t="s">
        <v>354</v>
      </c>
      <c r="JZ669" s="7" t="s">
        <v>322</v>
      </c>
      <c r="KG669" s="4" t="s">
        <v>323</v>
      </c>
      <c r="KM669" s="4" t="s">
        <v>521</v>
      </c>
      <c r="KN669" s="4" t="s">
        <v>521</v>
      </c>
      <c r="KP669" s="5" t="s">
        <v>358</v>
      </c>
      <c r="KQ669" s="5" t="s">
        <v>6871</v>
      </c>
      <c r="KR669" s="5" t="s">
        <v>6872</v>
      </c>
      <c r="KS669" s="5" t="s">
        <v>6873</v>
      </c>
      <c r="KT669" s="5" t="s">
        <v>6874</v>
      </c>
    </row>
    <row r="670" spans="1:306" ht="36" x14ac:dyDescent="0.25">
      <c r="A670" s="5" t="s">
        <v>7003</v>
      </c>
      <c r="B670" s="4" t="s">
        <v>424</v>
      </c>
      <c r="C670" s="7" t="s">
        <v>425</v>
      </c>
      <c r="D670" s="8" t="s">
        <v>426</v>
      </c>
      <c r="E670" s="4">
        <v>334987</v>
      </c>
      <c r="G670" s="4" t="s">
        <v>330</v>
      </c>
      <c r="H670" s="6">
        <v>122.2753</v>
      </c>
      <c r="I670" s="6">
        <v>-27.839700000000001</v>
      </c>
      <c r="J670" s="4" t="s">
        <v>3326</v>
      </c>
      <c r="K670" s="4" t="s">
        <v>331</v>
      </c>
      <c r="L670" s="4" t="s">
        <v>500</v>
      </c>
      <c r="M670" s="4" t="s">
        <v>501</v>
      </c>
      <c r="N670" s="4" t="s">
        <v>625</v>
      </c>
      <c r="Q670" s="8"/>
      <c r="Z670" s="4" t="s">
        <v>424</v>
      </c>
      <c r="AA670" s="7" t="s">
        <v>425</v>
      </c>
      <c r="AB670" s="8" t="s">
        <v>426</v>
      </c>
      <c r="AC670" s="4" t="s">
        <v>301</v>
      </c>
      <c r="AD670" s="4" t="s">
        <v>375</v>
      </c>
      <c r="AE670" s="8">
        <v>2650</v>
      </c>
      <c r="AG670" s="9" t="s">
        <v>379</v>
      </c>
      <c r="AH670" s="9" t="s">
        <v>380</v>
      </c>
      <c r="AM670" s="8">
        <v>2</v>
      </c>
      <c r="AN670" s="4" t="s">
        <v>381</v>
      </c>
      <c r="AO670" s="4" t="s">
        <v>382</v>
      </c>
      <c r="AP670" s="4" t="s">
        <v>383</v>
      </c>
      <c r="AQ670" s="7" t="s">
        <v>384</v>
      </c>
      <c r="AR670" s="7" t="s">
        <v>433</v>
      </c>
      <c r="AS670" s="7">
        <v>0</v>
      </c>
      <c r="AT670" s="7">
        <v>0</v>
      </c>
      <c r="AU670" s="4" t="s">
        <v>303</v>
      </c>
      <c r="AV670" s="4" t="s">
        <v>406</v>
      </c>
      <c r="AW670" s="4"/>
      <c r="AX670" s="4"/>
      <c r="AY670" s="4"/>
      <c r="AZ670" s="4"/>
      <c r="BA670" s="8">
        <v>5</v>
      </c>
      <c r="BG670" s="8"/>
      <c r="BP670" s="7">
        <v>30.9</v>
      </c>
      <c r="BQ670" s="7"/>
      <c r="BV670" s="6">
        <v>1.44</v>
      </c>
      <c r="DZ670" s="31"/>
      <c r="EL670" s="7">
        <f>BP670*BV670</f>
        <v>44.495999999999995</v>
      </c>
      <c r="GP670" s="32"/>
      <c r="GY670" s="6" t="s">
        <v>338</v>
      </c>
      <c r="GZ670" s="6" t="s">
        <v>436</v>
      </c>
      <c r="HC670" s="6" t="s">
        <v>437</v>
      </c>
      <c r="HD670" s="8" t="s">
        <v>7004</v>
      </c>
      <c r="HF670" s="8" t="s">
        <v>7005</v>
      </c>
      <c r="HG670" s="9" t="s">
        <v>507</v>
      </c>
      <c r="IB670" s="8" t="s">
        <v>7004</v>
      </c>
      <c r="ID670" s="8" t="s">
        <v>7005</v>
      </c>
      <c r="IE670" s="9" t="s">
        <v>507</v>
      </c>
      <c r="IF670" s="9"/>
      <c r="II670" s="8" t="s">
        <v>2334</v>
      </c>
      <c r="IJ670" s="8" t="s">
        <v>507</v>
      </c>
      <c r="IK670" s="8" t="s">
        <v>445</v>
      </c>
      <c r="IN670" s="9" t="s">
        <v>6358</v>
      </c>
      <c r="IO670" s="9" t="s">
        <v>507</v>
      </c>
      <c r="IP670" s="8" t="s">
        <v>445</v>
      </c>
      <c r="IQ670" s="8"/>
      <c r="IS670" s="8"/>
      <c r="IT670" s="8"/>
      <c r="IU670" s="8"/>
      <c r="IV670" s="8"/>
      <c r="IW670" s="8"/>
      <c r="IX670" s="8"/>
      <c r="IY670" s="8"/>
      <c r="IZ670" s="8"/>
      <c r="JA670" s="8"/>
      <c r="JB670" s="8"/>
      <c r="JC670" s="8"/>
      <c r="JD670" s="8"/>
      <c r="JE670" s="8"/>
      <c r="JF670" s="8"/>
      <c r="JG670" s="8"/>
      <c r="JH670" s="8"/>
      <c r="JI670" s="8"/>
      <c r="JJ670" s="8"/>
      <c r="JK670" s="8"/>
      <c r="JL670" s="8"/>
      <c r="JM670" s="8"/>
      <c r="JN670" s="8"/>
      <c r="JO670" s="8"/>
      <c r="JP670" s="8"/>
      <c r="JQ670" s="8"/>
      <c r="JR670" s="8"/>
      <c r="JS670" s="8"/>
      <c r="JT670" s="8"/>
      <c r="JV670" s="7" t="s">
        <v>7006</v>
      </c>
      <c r="KG670" s="4" t="s">
        <v>323</v>
      </c>
      <c r="KM670" s="4" t="s">
        <v>391</v>
      </c>
      <c r="KN670" s="4" t="s">
        <v>391</v>
      </c>
      <c r="KP670" s="5" t="s">
        <v>358</v>
      </c>
      <c r="KQ670" s="5" t="s">
        <v>3409</v>
      </c>
      <c r="KS670" s="5" t="s">
        <v>3409</v>
      </c>
      <c r="KT670" s="5" t="s">
        <v>5334</v>
      </c>
    </row>
    <row r="671" spans="1:306" ht="36" x14ac:dyDescent="0.2">
      <c r="A671" s="5" t="s">
        <v>7023</v>
      </c>
      <c r="B671" s="4" t="s">
        <v>424</v>
      </c>
      <c r="C671" s="7" t="s">
        <v>425</v>
      </c>
      <c r="D671" s="8" t="s">
        <v>426</v>
      </c>
      <c r="E671" s="44">
        <v>859574</v>
      </c>
      <c r="G671" s="4" t="s">
        <v>330</v>
      </c>
      <c r="H671" s="6">
        <v>127.74728807</v>
      </c>
      <c r="I671" s="6">
        <v>-18.455759193999999</v>
      </c>
      <c r="J671" s="4" t="s">
        <v>7024</v>
      </c>
      <c r="K671" s="4" t="s">
        <v>481</v>
      </c>
      <c r="L671" s="4" t="s">
        <v>863</v>
      </c>
      <c r="Q671" s="8"/>
      <c r="R671" s="8"/>
      <c r="Z671" s="4" t="s">
        <v>424</v>
      </c>
      <c r="AA671" s="7" t="s">
        <v>425</v>
      </c>
      <c r="AB671" s="8" t="s">
        <v>426</v>
      </c>
      <c r="AC671" s="4" t="s">
        <v>301</v>
      </c>
      <c r="AD671" s="4" t="s">
        <v>375</v>
      </c>
      <c r="AE671" s="8">
        <v>1838</v>
      </c>
      <c r="AF671" s="8"/>
      <c r="AG671" s="9" t="s">
        <v>379</v>
      </c>
      <c r="AH671" s="9" t="s">
        <v>380</v>
      </c>
      <c r="AM671" s="8">
        <v>2</v>
      </c>
      <c r="AN671" s="4" t="s">
        <v>381</v>
      </c>
      <c r="AO671" s="4" t="s">
        <v>382</v>
      </c>
      <c r="AP671" s="4" t="s">
        <v>383</v>
      </c>
      <c r="AQ671" s="7" t="s">
        <v>384</v>
      </c>
      <c r="AR671" s="8" t="s">
        <v>433</v>
      </c>
      <c r="AS671" s="7">
        <v>0</v>
      </c>
      <c r="AT671" s="7">
        <v>0</v>
      </c>
      <c r="AU671" s="4" t="s">
        <v>303</v>
      </c>
      <c r="AV671" s="4" t="s">
        <v>406</v>
      </c>
      <c r="AW671" s="4"/>
      <c r="AX671" s="4"/>
      <c r="AY671" s="4"/>
      <c r="AZ671" s="4"/>
      <c r="BA671" s="8">
        <v>5</v>
      </c>
      <c r="BG671" s="8"/>
      <c r="BH671" s="8"/>
      <c r="DZ671" s="31"/>
      <c r="EL671" s="6">
        <v>0.36170000000000002</v>
      </c>
      <c r="GP671" s="32"/>
      <c r="GY671" s="6" t="s">
        <v>309</v>
      </c>
      <c r="GZ671" s="6" t="s">
        <v>436</v>
      </c>
      <c r="HC671" s="6" t="s">
        <v>437</v>
      </c>
      <c r="HD671" s="8" t="s">
        <v>2527</v>
      </c>
      <c r="HE671" s="8">
        <v>14567</v>
      </c>
      <c r="HF671" s="8" t="s">
        <v>3644</v>
      </c>
      <c r="HG671" s="9" t="s">
        <v>538</v>
      </c>
      <c r="JV671" s="7" t="s">
        <v>3815</v>
      </c>
      <c r="JX671" s="7" t="s">
        <v>320</v>
      </c>
      <c r="KG671" s="4" t="s">
        <v>323</v>
      </c>
      <c r="KM671" s="4" t="s">
        <v>391</v>
      </c>
      <c r="KN671" s="4" t="s">
        <v>391</v>
      </c>
      <c r="KP671" s="5" t="s">
        <v>3816</v>
      </c>
      <c r="KQ671" s="5" t="s">
        <v>3817</v>
      </c>
      <c r="KS671" s="5" t="s">
        <v>3817</v>
      </c>
      <c r="KT671" s="5" t="s">
        <v>7025</v>
      </c>
    </row>
    <row r="672" spans="1:306" ht="132" x14ac:dyDescent="0.25">
      <c r="A672" s="5" t="s">
        <v>7032</v>
      </c>
      <c r="B672" s="4" t="s">
        <v>424</v>
      </c>
      <c r="C672" s="7" t="s">
        <v>425</v>
      </c>
      <c r="D672" s="8" t="s">
        <v>426</v>
      </c>
      <c r="E672" s="4">
        <v>335405</v>
      </c>
      <c r="G672" s="4" t="s">
        <v>530</v>
      </c>
      <c r="H672" s="6">
        <v>131.4984</v>
      </c>
      <c r="I672" s="6">
        <v>-12.917</v>
      </c>
      <c r="J672" s="4" t="s">
        <v>532</v>
      </c>
      <c r="K672" s="4" t="s">
        <v>481</v>
      </c>
      <c r="L672" s="4" t="s">
        <v>532</v>
      </c>
      <c r="Q672" s="8"/>
      <c r="R672" s="8"/>
      <c r="Z672" s="4" t="s">
        <v>424</v>
      </c>
      <c r="AA672" s="7" t="s">
        <v>425</v>
      </c>
      <c r="AB672" s="8" t="s">
        <v>426</v>
      </c>
      <c r="AC672" s="4" t="s">
        <v>301</v>
      </c>
      <c r="AD672" s="4" t="s">
        <v>375</v>
      </c>
      <c r="AE672" s="8">
        <v>1810</v>
      </c>
      <c r="AF672" s="8"/>
      <c r="AG672" s="9" t="s">
        <v>379</v>
      </c>
      <c r="AH672" s="9" t="s">
        <v>380</v>
      </c>
      <c r="AM672" s="8">
        <v>3</v>
      </c>
      <c r="AN672" s="4" t="s">
        <v>381</v>
      </c>
      <c r="AO672" s="4" t="s">
        <v>382</v>
      </c>
      <c r="AP672" s="4" t="s">
        <v>383</v>
      </c>
      <c r="AQ672" s="7" t="s">
        <v>384</v>
      </c>
      <c r="AR672" s="7" t="s">
        <v>433</v>
      </c>
      <c r="AS672" s="7">
        <v>0</v>
      </c>
      <c r="AT672" s="7">
        <v>0</v>
      </c>
      <c r="AU672" s="9" t="s">
        <v>303</v>
      </c>
      <c r="AV672" s="9" t="s">
        <v>406</v>
      </c>
      <c r="BA672" s="8">
        <v>5</v>
      </c>
      <c r="BP672" s="7">
        <f>4.71+91.9</f>
        <v>96.61</v>
      </c>
      <c r="BU672" s="6"/>
      <c r="BV672" s="7">
        <f>(1.05*4.71+0.7*91.9)/(4.71+91.9)</f>
        <v>0.71706345098851043</v>
      </c>
      <c r="DZ672" s="31"/>
      <c r="EL672" s="7">
        <f>BP672*BV672</f>
        <v>69.275499999999994</v>
      </c>
      <c r="GP672" s="32"/>
      <c r="GY672" s="6" t="s">
        <v>435</v>
      </c>
      <c r="GZ672" s="6" t="s">
        <v>436</v>
      </c>
      <c r="HC672" s="6" t="s">
        <v>437</v>
      </c>
      <c r="HD672" s="9" t="s">
        <v>3183</v>
      </c>
      <c r="HE672" s="8">
        <v>27066</v>
      </c>
      <c r="HF672" s="9" t="s">
        <v>3184</v>
      </c>
      <c r="HG672" s="9" t="s">
        <v>538</v>
      </c>
      <c r="IB672" s="8" t="s">
        <v>1576</v>
      </c>
      <c r="IC672" s="8">
        <v>30778</v>
      </c>
      <c r="ID672" s="8" t="s">
        <v>2203</v>
      </c>
      <c r="IE672" s="8" t="s">
        <v>538</v>
      </c>
      <c r="IF672" s="4" t="s">
        <v>1578</v>
      </c>
      <c r="IG672" s="4"/>
      <c r="IH672" s="4"/>
      <c r="II672" s="4"/>
      <c r="IJ672" s="9"/>
      <c r="IW672" s="8"/>
      <c r="JB672" s="8"/>
      <c r="JX672" s="7" t="s">
        <v>320</v>
      </c>
      <c r="JY672" s="7" t="s">
        <v>354</v>
      </c>
      <c r="JZ672" s="7" t="s">
        <v>322</v>
      </c>
      <c r="KA672" s="7" t="s">
        <v>470</v>
      </c>
      <c r="KB672" s="7" t="s">
        <v>738</v>
      </c>
      <c r="KG672" s="4" t="s">
        <v>323</v>
      </c>
      <c r="KM672" s="4" t="s">
        <v>471</v>
      </c>
      <c r="KN672" s="4" t="s">
        <v>471</v>
      </c>
      <c r="KP672" s="5" t="s">
        <v>358</v>
      </c>
      <c r="KQ672" s="5" t="s">
        <v>6778</v>
      </c>
      <c r="KS672" s="5" t="s">
        <v>7033</v>
      </c>
      <c r="KT672" s="5" t="s">
        <v>7034</v>
      </c>
    </row>
    <row r="673" spans="1:306" ht="144" x14ac:dyDescent="0.25">
      <c r="A673" s="5" t="s">
        <v>7045</v>
      </c>
      <c r="B673" s="4" t="s">
        <v>424</v>
      </c>
      <c r="C673" s="7" t="s">
        <v>425</v>
      </c>
      <c r="D673" s="8" t="s">
        <v>426</v>
      </c>
      <c r="E673" s="4">
        <v>337966</v>
      </c>
      <c r="G673" s="4" t="s">
        <v>773</v>
      </c>
      <c r="H673" s="6">
        <v>143.25736625499999</v>
      </c>
      <c r="I673" s="6">
        <v>-36.619172509999999</v>
      </c>
      <c r="J673" s="4" t="s">
        <v>7046</v>
      </c>
      <c r="K673" s="4" t="s">
        <v>298</v>
      </c>
      <c r="L673" s="4" t="s">
        <v>299</v>
      </c>
      <c r="M673" s="4" t="s">
        <v>775</v>
      </c>
      <c r="N673" s="4" t="s">
        <v>776</v>
      </c>
      <c r="Q673" s="8"/>
      <c r="R673" s="8"/>
      <c r="Z673" s="4" t="s">
        <v>424</v>
      </c>
      <c r="AA673" s="7" t="s">
        <v>425</v>
      </c>
      <c r="AB673" s="8" t="s">
        <v>426</v>
      </c>
      <c r="AC673" s="4" t="s">
        <v>301</v>
      </c>
      <c r="AD673" s="4" t="s">
        <v>375</v>
      </c>
      <c r="AE673" s="8">
        <v>445</v>
      </c>
      <c r="AF673" s="8"/>
      <c r="AG673" s="9" t="s">
        <v>379</v>
      </c>
      <c r="AH673" s="9" t="s">
        <v>380</v>
      </c>
      <c r="AM673" s="8">
        <v>3</v>
      </c>
      <c r="AN673" s="4" t="s">
        <v>381</v>
      </c>
      <c r="AO673" s="4" t="s">
        <v>382</v>
      </c>
      <c r="AP673" s="4" t="s">
        <v>383</v>
      </c>
      <c r="AQ673" s="7" t="s">
        <v>403</v>
      </c>
      <c r="AR673" s="8" t="s">
        <v>434</v>
      </c>
      <c r="AS673" s="7">
        <v>0</v>
      </c>
      <c r="AT673" s="7">
        <v>0</v>
      </c>
      <c r="AU673" s="9" t="s">
        <v>303</v>
      </c>
      <c r="AV673" s="9" t="s">
        <v>406</v>
      </c>
      <c r="BA673" s="8">
        <v>5</v>
      </c>
      <c r="BE673" s="4"/>
      <c r="BF673" s="4"/>
      <c r="BG673" s="4"/>
      <c r="BH673" s="4"/>
      <c r="BI673" s="4"/>
      <c r="BJ673" s="4"/>
      <c r="BK673" s="4"/>
      <c r="BL673" s="4"/>
      <c r="BM673" s="4"/>
      <c r="BN673" s="4"/>
      <c r="BO673" s="4"/>
      <c r="BQ673" s="7"/>
      <c r="BR673" s="7"/>
      <c r="BS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c r="CW673" s="7"/>
      <c r="CX673" s="7"/>
      <c r="CY673" s="7"/>
      <c r="CZ673" s="7"/>
      <c r="DA673" s="7"/>
      <c r="DB673" s="7"/>
      <c r="DC673" s="7"/>
      <c r="DD673" s="7"/>
      <c r="DE673" s="7"/>
      <c r="DF673" s="7"/>
      <c r="DG673" s="7"/>
      <c r="DH673" s="7"/>
      <c r="DI673" s="7"/>
      <c r="DJ673" s="7"/>
      <c r="DK673" s="7"/>
      <c r="DL673" s="7"/>
      <c r="DM673" s="7"/>
      <c r="DN673" s="7"/>
      <c r="DO673" s="7"/>
      <c r="DP673" s="7"/>
      <c r="DQ673" s="7"/>
      <c r="DR673" s="7"/>
      <c r="DS673" s="7"/>
      <c r="DT673" s="7"/>
      <c r="DU673" s="7"/>
      <c r="DV673" s="7"/>
      <c r="DW673" s="7"/>
      <c r="DX673" s="7"/>
      <c r="DY673" s="7"/>
      <c r="DZ673" s="31"/>
      <c r="EA673" s="7"/>
      <c r="EB673" s="7"/>
      <c r="EC673" s="7"/>
      <c r="ED673" s="7"/>
      <c r="EE673" s="7"/>
      <c r="EF673" s="7"/>
      <c r="EG673" s="7"/>
      <c r="EL673" s="8">
        <v>23</v>
      </c>
      <c r="EY673" s="6"/>
      <c r="FA673" s="6"/>
      <c r="GP673" s="32"/>
      <c r="GY673" s="6" t="s">
        <v>309</v>
      </c>
      <c r="GZ673" s="6" t="s">
        <v>436</v>
      </c>
      <c r="HC673" s="6" t="s">
        <v>437</v>
      </c>
      <c r="HD673" s="4" t="s">
        <v>1220</v>
      </c>
      <c r="HE673" s="4">
        <v>22711</v>
      </c>
      <c r="HF673" s="4" t="s">
        <v>1221</v>
      </c>
      <c r="HG673" s="9" t="s">
        <v>698</v>
      </c>
      <c r="HH673" s="4" t="s">
        <v>980</v>
      </c>
      <c r="HI673" s="4">
        <v>21209</v>
      </c>
      <c r="HJ673" s="4" t="s">
        <v>1219</v>
      </c>
      <c r="HK673" s="9" t="s">
        <v>698</v>
      </c>
      <c r="HQ673" s="9"/>
      <c r="HY673" s="9"/>
      <c r="IB673" s="8" t="s">
        <v>7047</v>
      </c>
      <c r="IC673" s="8">
        <v>28137</v>
      </c>
      <c r="ID673" s="8" t="s">
        <v>7048</v>
      </c>
      <c r="IE673" s="8" t="s">
        <v>782</v>
      </c>
      <c r="IF673" s="8" t="s">
        <v>350</v>
      </c>
      <c r="IG673" s="8" t="s">
        <v>7049</v>
      </c>
      <c r="IH673" s="8">
        <v>35501</v>
      </c>
      <c r="II673" s="8" t="s">
        <v>7050</v>
      </c>
      <c r="IJ673" s="8" t="s">
        <v>782</v>
      </c>
      <c r="IK673" s="8" t="s">
        <v>350</v>
      </c>
      <c r="JV673" s="7" t="s">
        <v>1191</v>
      </c>
      <c r="JX673" s="7" t="s">
        <v>320</v>
      </c>
      <c r="KG673" s="4" t="s">
        <v>323</v>
      </c>
      <c r="KP673" s="5" t="s">
        <v>7051</v>
      </c>
      <c r="KQ673" s="5" t="s">
        <v>7052</v>
      </c>
      <c r="KS673" s="5" t="s">
        <v>7053</v>
      </c>
      <c r="KT673" s="5" t="s">
        <v>7054</v>
      </c>
    </row>
    <row r="674" spans="1:306" ht="84" x14ac:dyDescent="0.25">
      <c r="A674" s="5" t="s">
        <v>7072</v>
      </c>
      <c r="B674" s="4" t="s">
        <v>424</v>
      </c>
      <c r="C674" s="7" t="s">
        <v>425</v>
      </c>
      <c r="D674" s="8" t="s">
        <v>426</v>
      </c>
      <c r="E674" s="4">
        <v>335351</v>
      </c>
      <c r="G674" s="4" t="s">
        <v>330</v>
      </c>
      <c r="H674" s="6">
        <v>128.86449999999999</v>
      </c>
      <c r="I674" s="6">
        <v>-19.587</v>
      </c>
      <c r="J674" s="4" t="s">
        <v>4665</v>
      </c>
      <c r="K674" s="4" t="s">
        <v>481</v>
      </c>
      <c r="L674" s="4" t="s">
        <v>863</v>
      </c>
      <c r="Q674" s="8"/>
      <c r="R674" s="8"/>
      <c r="Z674" s="4" t="s">
        <v>424</v>
      </c>
      <c r="AA674" s="7" t="s">
        <v>425</v>
      </c>
      <c r="AB674" s="8" t="s">
        <v>426</v>
      </c>
      <c r="AC674" s="4" t="s">
        <v>301</v>
      </c>
      <c r="AD674" s="4" t="s">
        <v>375</v>
      </c>
      <c r="AE674" s="8">
        <v>1794</v>
      </c>
      <c r="AF674" s="8">
        <v>12</v>
      </c>
      <c r="AG674" s="9" t="s">
        <v>379</v>
      </c>
      <c r="AH674" s="9" t="s">
        <v>429</v>
      </c>
      <c r="AI674" s="9" t="s">
        <v>845</v>
      </c>
      <c r="AJ674" s="9" t="s">
        <v>431</v>
      </c>
      <c r="AK674" s="9" t="s">
        <v>432</v>
      </c>
      <c r="AM674" s="8">
        <v>4</v>
      </c>
      <c r="AN674" s="4" t="s">
        <v>381</v>
      </c>
      <c r="AO674" s="4" t="s">
        <v>382</v>
      </c>
      <c r="AP674" s="4" t="s">
        <v>383</v>
      </c>
      <c r="AQ674" s="7" t="s">
        <v>384</v>
      </c>
      <c r="AR674" s="8" t="s">
        <v>433</v>
      </c>
      <c r="AS674" s="7">
        <v>0</v>
      </c>
      <c r="AT674" s="7">
        <v>0</v>
      </c>
      <c r="AU674" s="4" t="s">
        <v>303</v>
      </c>
      <c r="AV674" s="4" t="s">
        <v>406</v>
      </c>
      <c r="AW674" s="4"/>
      <c r="AX674" s="4"/>
      <c r="AY674" s="4"/>
      <c r="AZ674" s="4"/>
      <c r="BA674" s="8">
        <v>5</v>
      </c>
      <c r="BG674" s="8"/>
      <c r="BH674" s="8"/>
      <c r="BO674" s="9"/>
      <c r="BP674" s="7">
        <f>0.48+0.547</f>
        <v>1.0270000000000001</v>
      </c>
      <c r="BV674" s="7">
        <f>(4.1*0.48+4.9*0.547)/(0.48+0.547)</f>
        <v>4.5260954235637776</v>
      </c>
      <c r="DZ674" s="31"/>
      <c r="EL674" s="7">
        <f>BP674*BV674</f>
        <v>4.6482999999999999</v>
      </c>
      <c r="FA674" s="6"/>
      <c r="GP674" s="32"/>
      <c r="GY674" s="6" t="s">
        <v>338</v>
      </c>
      <c r="GZ674" s="6" t="s">
        <v>436</v>
      </c>
      <c r="HC674" s="6" t="s">
        <v>437</v>
      </c>
      <c r="HD674" s="8" t="s">
        <v>4666</v>
      </c>
      <c r="HE674" s="8">
        <v>74592</v>
      </c>
      <c r="HF674" s="8" t="s">
        <v>4667</v>
      </c>
      <c r="HG674" s="9" t="s">
        <v>538</v>
      </c>
      <c r="IB674" s="8" t="s">
        <v>4666</v>
      </c>
      <c r="IC674" s="8">
        <v>74592</v>
      </c>
      <c r="ID674" s="8" t="s">
        <v>960</v>
      </c>
      <c r="IE674" s="8" t="s">
        <v>538</v>
      </c>
      <c r="IF674" s="8" t="s">
        <v>445</v>
      </c>
      <c r="IG674" s="8" t="s">
        <v>4668</v>
      </c>
      <c r="IH674" s="8">
        <v>80981</v>
      </c>
      <c r="II674" s="8" t="s">
        <v>658</v>
      </c>
      <c r="IJ674" s="8" t="s">
        <v>538</v>
      </c>
      <c r="IK674" s="8" t="s">
        <v>445</v>
      </c>
      <c r="IM674" s="9"/>
      <c r="IR674" s="9"/>
      <c r="JV674" s="7" t="s">
        <v>4669</v>
      </c>
      <c r="JX674" s="7" t="s">
        <v>320</v>
      </c>
      <c r="KG674" s="4" t="s">
        <v>323</v>
      </c>
      <c r="KM674" s="4" t="s">
        <v>391</v>
      </c>
      <c r="KN674" s="4" t="s">
        <v>391</v>
      </c>
      <c r="KP674" s="5" t="s">
        <v>358</v>
      </c>
      <c r="KQ674" s="5" t="s">
        <v>7073</v>
      </c>
      <c r="KR674" s="5" t="s">
        <v>7074</v>
      </c>
      <c r="KS674" s="5" t="s">
        <v>2468</v>
      </c>
      <c r="KT674" s="5" t="s">
        <v>7075</v>
      </c>
    </row>
    <row r="675" spans="1:306" ht="72" x14ac:dyDescent="0.25">
      <c r="A675" s="5" t="s">
        <v>7078</v>
      </c>
      <c r="B675" s="4" t="s">
        <v>424</v>
      </c>
      <c r="C675" s="7" t="s">
        <v>425</v>
      </c>
      <c r="D675" s="8" t="s">
        <v>426</v>
      </c>
      <c r="E675" s="4">
        <v>709903</v>
      </c>
      <c r="G675" s="4" t="s">
        <v>330</v>
      </c>
      <c r="H675" s="6">
        <v>119.3</v>
      </c>
      <c r="I675" s="6">
        <v>-28</v>
      </c>
      <c r="J675" s="4" t="s">
        <v>7079</v>
      </c>
      <c r="K675" s="4" t="s">
        <v>331</v>
      </c>
      <c r="L675" s="4" t="s">
        <v>500</v>
      </c>
      <c r="M675" s="4" t="s">
        <v>676</v>
      </c>
      <c r="N675" s="4" t="s">
        <v>1811</v>
      </c>
      <c r="Z675" s="4" t="s">
        <v>424</v>
      </c>
      <c r="AA675" s="7" t="s">
        <v>425</v>
      </c>
      <c r="AB675" s="8" t="s">
        <v>426</v>
      </c>
      <c r="AC675" s="4" t="s">
        <v>301</v>
      </c>
      <c r="AD675" s="4" t="s">
        <v>375</v>
      </c>
      <c r="AN675" s="4" t="s">
        <v>381</v>
      </c>
      <c r="AO675" s="4" t="s">
        <v>382</v>
      </c>
      <c r="AP675" s="4" t="s">
        <v>383</v>
      </c>
      <c r="AQ675" s="7" t="s">
        <v>384</v>
      </c>
      <c r="AR675" s="7" t="s">
        <v>433</v>
      </c>
      <c r="AS675" s="7">
        <v>0</v>
      </c>
      <c r="AT675" s="7">
        <v>0</v>
      </c>
      <c r="AU675" s="4" t="s">
        <v>303</v>
      </c>
      <c r="AV675" s="4" t="s">
        <v>406</v>
      </c>
      <c r="AW675" s="4"/>
      <c r="AX675" s="4"/>
      <c r="AY675" s="4"/>
      <c r="AZ675" s="4"/>
      <c r="BA675" s="8">
        <v>5</v>
      </c>
      <c r="DZ675" s="31"/>
      <c r="EL675" s="8">
        <v>63.72</v>
      </c>
      <c r="GP675" s="32"/>
      <c r="GY675" s="6" t="s">
        <v>338</v>
      </c>
      <c r="GZ675" s="6" t="s">
        <v>436</v>
      </c>
      <c r="HC675" s="6" t="s">
        <v>437</v>
      </c>
      <c r="HF675" s="8" t="s">
        <v>1168</v>
      </c>
      <c r="HG675" s="9" t="s">
        <v>507</v>
      </c>
      <c r="HJ675" s="9" t="s">
        <v>658</v>
      </c>
      <c r="HK675" s="9" t="s">
        <v>507</v>
      </c>
      <c r="HN675" s="9" t="s">
        <v>960</v>
      </c>
      <c r="HO675" s="9" t="s">
        <v>507</v>
      </c>
      <c r="ID675" s="8" t="s">
        <v>1168</v>
      </c>
      <c r="IE675" s="9" t="s">
        <v>507</v>
      </c>
      <c r="IF675" s="9"/>
      <c r="IG675" s="9"/>
      <c r="II675" s="9" t="s">
        <v>658</v>
      </c>
      <c r="IJ675" s="9" t="s">
        <v>507</v>
      </c>
      <c r="IK675" s="9"/>
      <c r="IN675" s="9" t="s">
        <v>960</v>
      </c>
      <c r="IO675" s="9" t="s">
        <v>507</v>
      </c>
      <c r="IP675" s="8" t="s">
        <v>445</v>
      </c>
      <c r="IQ675" s="8"/>
      <c r="IS675" s="8"/>
      <c r="IT675" s="8"/>
      <c r="IU675" s="8"/>
      <c r="IV675" s="8"/>
      <c r="IW675" s="8"/>
      <c r="IX675" s="8"/>
      <c r="IY675" s="8"/>
      <c r="IZ675" s="8"/>
      <c r="JA675" s="8"/>
      <c r="JB675" s="8"/>
      <c r="JC675" s="8"/>
      <c r="JD675" s="8"/>
      <c r="JE675" s="8"/>
      <c r="JF675" s="8"/>
      <c r="JG675" s="8"/>
      <c r="JH675" s="8"/>
      <c r="JI675" s="8"/>
      <c r="JJ675" s="8"/>
      <c r="JK675" s="8"/>
      <c r="JL675" s="8"/>
      <c r="JM675" s="8"/>
      <c r="JN675" s="8"/>
      <c r="JO675" s="8"/>
      <c r="JP675" s="8"/>
      <c r="JQ675" s="8"/>
      <c r="JR675" s="8"/>
      <c r="JS675" s="8"/>
      <c r="JT675" s="8"/>
      <c r="JV675" s="7" t="s">
        <v>7080</v>
      </c>
      <c r="JX675" s="7" t="s">
        <v>320</v>
      </c>
      <c r="JY675" s="7" t="s">
        <v>448</v>
      </c>
      <c r="JZ675" s="7" t="s">
        <v>355</v>
      </c>
      <c r="KA675" s="7" t="s">
        <v>321</v>
      </c>
      <c r="KB675" s="7" t="s">
        <v>353</v>
      </c>
      <c r="KG675" s="4" t="s">
        <v>323</v>
      </c>
      <c r="KM675" s="4" t="s">
        <v>391</v>
      </c>
      <c r="KN675" s="4" t="s">
        <v>391</v>
      </c>
      <c r="KP675" s="5" t="s">
        <v>358</v>
      </c>
      <c r="KQ675" s="5" t="s">
        <v>7081</v>
      </c>
      <c r="KS675" s="5" t="s">
        <v>7082</v>
      </c>
      <c r="KT675" s="5" t="s">
        <v>7083</v>
      </c>
    </row>
    <row r="676" spans="1:306" ht="96" x14ac:dyDescent="0.25">
      <c r="A676" s="5" t="s">
        <v>7189</v>
      </c>
      <c r="B676" s="4" t="s">
        <v>424</v>
      </c>
      <c r="C676" s="7" t="s">
        <v>425</v>
      </c>
      <c r="D676" s="8" t="s">
        <v>426</v>
      </c>
      <c r="E676" s="4">
        <v>335744</v>
      </c>
      <c r="G676" s="4" t="s">
        <v>427</v>
      </c>
      <c r="H676" s="6">
        <v>149.67760000000001</v>
      </c>
      <c r="I676" s="6">
        <v>-33.094900000000003</v>
      </c>
      <c r="J676" s="4" t="s">
        <v>7190</v>
      </c>
      <c r="K676" s="4" t="s">
        <v>298</v>
      </c>
      <c r="L676" s="4" t="s">
        <v>299</v>
      </c>
      <c r="M676" s="4" t="s">
        <v>1359</v>
      </c>
      <c r="N676" s="4" t="s">
        <v>1545</v>
      </c>
      <c r="Q676" s="8"/>
      <c r="R676" s="7"/>
      <c r="Z676" s="4" t="s">
        <v>424</v>
      </c>
      <c r="AA676" s="7" t="s">
        <v>425</v>
      </c>
      <c r="AB676" s="8" t="s">
        <v>426</v>
      </c>
      <c r="AC676" s="4" t="s">
        <v>301</v>
      </c>
      <c r="AD676" s="4" t="s">
        <v>375</v>
      </c>
      <c r="AE676" s="8">
        <v>343</v>
      </c>
      <c r="AF676" s="7"/>
      <c r="AG676" s="9" t="s">
        <v>379</v>
      </c>
      <c r="AH676" s="9" t="s">
        <v>380</v>
      </c>
      <c r="AM676" s="8">
        <v>3</v>
      </c>
      <c r="AN676" s="4" t="s">
        <v>381</v>
      </c>
      <c r="AO676" s="4" t="s">
        <v>402</v>
      </c>
      <c r="AP676" s="4" t="s">
        <v>383</v>
      </c>
      <c r="AQ676" s="7" t="s">
        <v>403</v>
      </c>
      <c r="AR676" s="8" t="s">
        <v>434</v>
      </c>
      <c r="AS676" s="7">
        <v>0</v>
      </c>
      <c r="AT676" s="7">
        <v>0</v>
      </c>
      <c r="AU676" s="9" t="s">
        <v>303</v>
      </c>
      <c r="AV676" s="9" t="s">
        <v>406</v>
      </c>
      <c r="BA676" s="8">
        <v>5</v>
      </c>
      <c r="DZ676" s="31"/>
      <c r="EL676" s="7">
        <v>34.6</v>
      </c>
      <c r="EY676" s="6"/>
      <c r="FA676" s="6"/>
      <c r="GP676" s="32"/>
      <c r="GY676" s="6" t="s">
        <v>435</v>
      </c>
      <c r="GZ676" s="6" t="s">
        <v>436</v>
      </c>
      <c r="HC676" s="6" t="s">
        <v>437</v>
      </c>
      <c r="HD676" s="8" t="s">
        <v>7191</v>
      </c>
      <c r="HE676" s="8">
        <v>17075</v>
      </c>
      <c r="HF676" s="8" t="s">
        <v>7192</v>
      </c>
      <c r="HG676" s="9" t="s">
        <v>440</v>
      </c>
      <c r="HH676" s="8" t="s">
        <v>4023</v>
      </c>
      <c r="HI676" s="8">
        <v>30854</v>
      </c>
      <c r="HJ676" s="8" t="s">
        <v>4024</v>
      </c>
      <c r="HK676" s="9" t="s">
        <v>444</v>
      </c>
      <c r="HN676" s="9" t="s">
        <v>7193</v>
      </c>
      <c r="HO676" s="9" t="s">
        <v>1507</v>
      </c>
      <c r="HY676" s="9"/>
      <c r="IB676" s="8" t="s">
        <v>7191</v>
      </c>
      <c r="IC676" s="8">
        <v>17075</v>
      </c>
      <c r="ID676" s="8" t="s">
        <v>7194</v>
      </c>
      <c r="IE676" s="9" t="s">
        <v>440</v>
      </c>
      <c r="IF676" s="9" t="s">
        <v>445</v>
      </c>
      <c r="IG676" s="8" t="s">
        <v>4023</v>
      </c>
      <c r="IH676" s="8">
        <v>30854</v>
      </c>
      <c r="II676" s="8" t="s">
        <v>4027</v>
      </c>
      <c r="IJ676" s="9" t="s">
        <v>444</v>
      </c>
      <c r="IK676" s="9" t="s">
        <v>445</v>
      </c>
      <c r="IL676" s="4"/>
      <c r="IM676" s="4"/>
      <c r="IN676" s="9" t="s">
        <v>7193</v>
      </c>
      <c r="IO676" s="9" t="s">
        <v>1507</v>
      </c>
      <c r="IP676" s="9" t="s">
        <v>445</v>
      </c>
      <c r="IW676" s="8"/>
      <c r="JB676" s="8"/>
      <c r="JV676" s="7" t="s">
        <v>1491</v>
      </c>
      <c r="JX676" s="7" t="s">
        <v>320</v>
      </c>
      <c r="KG676" s="4" t="s">
        <v>323</v>
      </c>
      <c r="KP676" s="5" t="s">
        <v>358</v>
      </c>
      <c r="KQ676" s="5" t="s">
        <v>1552</v>
      </c>
      <c r="KS676" s="5" t="s">
        <v>7195</v>
      </c>
      <c r="KT676" s="5" t="s">
        <v>7196</v>
      </c>
    </row>
    <row r="677" spans="1:306" ht="84" x14ac:dyDescent="0.25">
      <c r="A677" s="5" t="s">
        <v>7199</v>
      </c>
      <c r="B677" s="4" t="s">
        <v>424</v>
      </c>
      <c r="C677" s="7" t="s">
        <v>425</v>
      </c>
      <c r="D677" s="8" t="s">
        <v>426</v>
      </c>
      <c r="E677" s="4">
        <v>334640</v>
      </c>
      <c r="G677" s="4" t="s">
        <v>330</v>
      </c>
      <c r="H677" s="6">
        <v>121.334</v>
      </c>
      <c r="I677" s="6">
        <v>-28.918500000000002</v>
      </c>
      <c r="J677" s="4" t="s">
        <v>3851</v>
      </c>
      <c r="K677" s="4" t="s">
        <v>331</v>
      </c>
      <c r="L677" s="4" t="s">
        <v>500</v>
      </c>
      <c r="M677" s="4" t="s">
        <v>501</v>
      </c>
      <c r="Q677" s="8"/>
      <c r="R677" s="8"/>
      <c r="Z677" s="4" t="s">
        <v>424</v>
      </c>
      <c r="AA677" s="7" t="s">
        <v>425</v>
      </c>
      <c r="AB677" s="8" t="s">
        <v>426</v>
      </c>
      <c r="AC677" s="4" t="s">
        <v>301</v>
      </c>
      <c r="AD677" s="4" t="s">
        <v>375</v>
      </c>
      <c r="AE677" s="8">
        <v>2640</v>
      </c>
      <c r="AF677" s="8">
        <v>10</v>
      </c>
      <c r="AG677" s="9" t="s">
        <v>379</v>
      </c>
      <c r="AH677" s="9" t="s">
        <v>429</v>
      </c>
      <c r="AI677" s="9" t="s">
        <v>504</v>
      </c>
      <c r="AJ677" s="9" t="s">
        <v>306</v>
      </c>
      <c r="AK677" s="9" t="s">
        <v>307</v>
      </c>
      <c r="AL677" s="9" t="s">
        <v>337</v>
      </c>
      <c r="AM677" s="8">
        <v>4</v>
      </c>
      <c r="AN677" s="4" t="s">
        <v>381</v>
      </c>
      <c r="AO677" s="4" t="s">
        <v>382</v>
      </c>
      <c r="AP677" s="4" t="s">
        <v>383</v>
      </c>
      <c r="AQ677" s="7" t="s">
        <v>384</v>
      </c>
      <c r="AR677" s="7" t="s">
        <v>433</v>
      </c>
      <c r="AS677" s="7">
        <v>0</v>
      </c>
      <c r="AT677" s="7">
        <v>0</v>
      </c>
      <c r="AU677" s="4" t="s">
        <v>303</v>
      </c>
      <c r="AV677" s="4" t="s">
        <v>406</v>
      </c>
      <c r="AW677" s="4"/>
      <c r="AX677" s="4"/>
      <c r="AY677" s="4"/>
      <c r="AZ677" s="4"/>
      <c r="BA677" s="8">
        <v>5</v>
      </c>
      <c r="BG677" s="8"/>
      <c r="BH677" s="8"/>
      <c r="BP677" s="7">
        <v>89.344999999999999</v>
      </c>
      <c r="BQ677" s="7"/>
      <c r="BV677" s="6">
        <v>5.7</v>
      </c>
      <c r="DZ677" s="31"/>
      <c r="EL677" s="8">
        <v>509.55</v>
      </c>
      <c r="GP677" s="32"/>
      <c r="GY677" s="6" t="s">
        <v>338</v>
      </c>
      <c r="GZ677" s="6" t="s">
        <v>436</v>
      </c>
      <c r="HC677" s="6" t="s">
        <v>437</v>
      </c>
      <c r="HF677" s="8" t="s">
        <v>7200</v>
      </c>
      <c r="HG677" s="9" t="s">
        <v>507</v>
      </c>
      <c r="HJ677" s="9" t="s">
        <v>7201</v>
      </c>
      <c r="HK677" s="9" t="s">
        <v>507</v>
      </c>
      <c r="ID677" s="8" t="s">
        <v>7200</v>
      </c>
      <c r="IE677" s="9" t="s">
        <v>507</v>
      </c>
      <c r="IF677" s="9" t="s">
        <v>445</v>
      </c>
      <c r="IG677" s="9"/>
      <c r="IH677" s="9"/>
      <c r="II677" s="9" t="s">
        <v>7201</v>
      </c>
      <c r="IJ677" s="9" t="s">
        <v>507</v>
      </c>
      <c r="IK677" s="8" t="s">
        <v>445</v>
      </c>
      <c r="IR677" s="9"/>
      <c r="JV677" s="7" t="s">
        <v>7202</v>
      </c>
      <c r="JX677" s="7" t="s">
        <v>320</v>
      </c>
      <c r="JY677" s="7" t="s">
        <v>354</v>
      </c>
      <c r="JZ677" s="7" t="s">
        <v>322</v>
      </c>
      <c r="KG677" s="4" t="s">
        <v>323</v>
      </c>
      <c r="KM677" s="4" t="s">
        <v>702</v>
      </c>
      <c r="KN677" s="4" t="s">
        <v>702</v>
      </c>
      <c r="KP677" s="5" t="s">
        <v>358</v>
      </c>
      <c r="KQ677" s="5" t="s">
        <v>3854</v>
      </c>
      <c r="KR677" s="5" t="s">
        <v>3855</v>
      </c>
      <c r="KS677" s="5" t="s">
        <v>7203</v>
      </c>
      <c r="KT677" s="5" t="s">
        <v>7204</v>
      </c>
    </row>
    <row r="678" spans="1:306" ht="132" x14ac:dyDescent="0.2">
      <c r="A678" s="5" t="s">
        <v>7280</v>
      </c>
      <c r="B678" s="4" t="s">
        <v>383</v>
      </c>
      <c r="C678" s="7" t="s">
        <v>384</v>
      </c>
      <c r="D678" s="7" t="s">
        <v>433</v>
      </c>
      <c r="E678" s="44">
        <v>333618</v>
      </c>
      <c r="G678" s="4" t="s">
        <v>530</v>
      </c>
      <c r="H678" s="6">
        <v>131.71811</v>
      </c>
      <c r="I678" s="6">
        <v>-13.60411</v>
      </c>
      <c r="K678" s="4" t="s">
        <v>481</v>
      </c>
      <c r="L678" s="4" t="s">
        <v>532</v>
      </c>
      <c r="Q678" s="8"/>
      <c r="R678" s="8"/>
      <c r="Z678" s="4" t="s">
        <v>424</v>
      </c>
      <c r="AA678" s="7" t="s">
        <v>425</v>
      </c>
      <c r="AB678" s="8" t="s">
        <v>426</v>
      </c>
      <c r="AC678" s="4" t="s">
        <v>301</v>
      </c>
      <c r="AD678" s="4" t="s">
        <v>382</v>
      </c>
      <c r="AE678" s="8">
        <v>1810</v>
      </c>
      <c r="AF678" s="8"/>
      <c r="AG678" s="9" t="s">
        <v>379</v>
      </c>
      <c r="AH678" s="9" t="s">
        <v>380</v>
      </c>
      <c r="AM678" s="8">
        <v>3</v>
      </c>
      <c r="AN678" s="4" t="s">
        <v>381</v>
      </c>
      <c r="AO678" s="4" t="s">
        <v>375</v>
      </c>
      <c r="AP678" s="4" t="s">
        <v>383</v>
      </c>
      <c r="AQ678" s="7" t="s">
        <v>384</v>
      </c>
      <c r="AR678" s="7" t="s">
        <v>433</v>
      </c>
      <c r="AS678" s="7">
        <v>0</v>
      </c>
      <c r="AT678" s="7">
        <v>0</v>
      </c>
      <c r="AU678" s="9" t="s">
        <v>303</v>
      </c>
      <c r="AV678" s="9" t="s">
        <v>406</v>
      </c>
      <c r="BA678" s="8">
        <v>5</v>
      </c>
      <c r="BP678" s="7">
        <f>6.9+0.013</f>
        <v>6.9130000000000003</v>
      </c>
      <c r="BV678" s="7">
        <f>(1.74*6.9+47.7*0.013)/(6.9+0.013)</f>
        <v>1.826428468103573</v>
      </c>
      <c r="DZ678" s="31"/>
      <c r="EL678" s="7">
        <f>BP678*BV678</f>
        <v>12.626100000000001</v>
      </c>
      <c r="GP678" s="32"/>
      <c r="GY678" s="6" t="s">
        <v>435</v>
      </c>
      <c r="GZ678" s="6" t="s">
        <v>436</v>
      </c>
      <c r="HC678" s="6" t="s">
        <v>437</v>
      </c>
      <c r="HD678" s="9" t="s">
        <v>3183</v>
      </c>
      <c r="HE678" s="8">
        <v>27066</v>
      </c>
      <c r="HF678" s="9" t="s">
        <v>3184</v>
      </c>
      <c r="HG678" s="9" t="s">
        <v>538</v>
      </c>
      <c r="IB678" s="8" t="s">
        <v>1576</v>
      </c>
      <c r="IC678" s="8">
        <v>30778</v>
      </c>
      <c r="ID678" s="8" t="s">
        <v>2203</v>
      </c>
      <c r="IE678" s="8" t="s">
        <v>538</v>
      </c>
      <c r="IF678" s="8" t="s">
        <v>1578</v>
      </c>
      <c r="IW678" s="8"/>
      <c r="JB678" s="8"/>
      <c r="JX678" s="7" t="s">
        <v>320</v>
      </c>
      <c r="KG678" s="4" t="s">
        <v>323</v>
      </c>
      <c r="KM678" s="4" t="s">
        <v>836</v>
      </c>
      <c r="KN678" s="4" t="s">
        <v>836</v>
      </c>
      <c r="KP678" s="18" t="s">
        <v>7281</v>
      </c>
      <c r="KQ678" s="5" t="s">
        <v>1643</v>
      </c>
      <c r="KS678" s="5" t="s">
        <v>3185</v>
      </c>
      <c r="KT678" s="5" t="s">
        <v>7282</v>
      </c>
    </row>
    <row r="679" spans="1:306" ht="192" x14ac:dyDescent="0.25">
      <c r="A679" s="5" t="s">
        <v>7303</v>
      </c>
      <c r="B679" s="4" t="s">
        <v>424</v>
      </c>
      <c r="C679" s="7" t="s">
        <v>425</v>
      </c>
      <c r="D679" s="8" t="s">
        <v>426</v>
      </c>
      <c r="E679" s="4">
        <v>335376</v>
      </c>
      <c r="G679" s="4" t="s">
        <v>773</v>
      </c>
      <c r="H679" s="6">
        <v>142.80000000000001</v>
      </c>
      <c r="I679" s="6">
        <v>-37.06</v>
      </c>
      <c r="J679" s="4" t="s">
        <v>776</v>
      </c>
      <c r="K679" s="4" t="s">
        <v>298</v>
      </c>
      <c r="L679" s="4" t="s">
        <v>299</v>
      </c>
      <c r="M679" s="4" t="s">
        <v>775</v>
      </c>
      <c r="N679" s="4" t="s">
        <v>776</v>
      </c>
      <c r="Q679" s="8"/>
      <c r="R679" s="8"/>
      <c r="Z679" s="4" t="s">
        <v>424</v>
      </c>
      <c r="AA679" s="7" t="s">
        <v>425</v>
      </c>
      <c r="AB679" s="8" t="s">
        <v>426</v>
      </c>
      <c r="AC679" s="4" t="s">
        <v>301</v>
      </c>
      <c r="AD679" s="4" t="s">
        <v>382</v>
      </c>
      <c r="AE679" s="8">
        <v>448</v>
      </c>
      <c r="AF679" s="8">
        <v>3</v>
      </c>
      <c r="AG679" s="9" t="s">
        <v>379</v>
      </c>
      <c r="AH679" s="9" t="s">
        <v>429</v>
      </c>
      <c r="AI679" s="9" t="s">
        <v>430</v>
      </c>
      <c r="AJ679" s="9" t="s">
        <v>431</v>
      </c>
      <c r="AK679" s="9" t="s">
        <v>432</v>
      </c>
      <c r="AM679" s="8">
        <v>4</v>
      </c>
      <c r="AN679" s="4" t="s">
        <v>301</v>
      </c>
      <c r="AO679" s="4" t="s">
        <v>382</v>
      </c>
      <c r="AP679" s="4" t="s">
        <v>424</v>
      </c>
      <c r="AQ679" s="7" t="s">
        <v>425</v>
      </c>
      <c r="AR679" s="8" t="s">
        <v>426</v>
      </c>
      <c r="BB679" s="4" t="s">
        <v>381</v>
      </c>
      <c r="BC679" s="4" t="s">
        <v>382</v>
      </c>
      <c r="BD679" s="4" t="s">
        <v>383</v>
      </c>
      <c r="BE679" s="7" t="s">
        <v>403</v>
      </c>
      <c r="BF679" s="8" t="s">
        <v>434</v>
      </c>
      <c r="BG679" s="7">
        <v>0</v>
      </c>
      <c r="BH679" s="7">
        <v>0</v>
      </c>
      <c r="BI679" s="9" t="s">
        <v>303</v>
      </c>
      <c r="BJ679" s="9" t="s">
        <v>406</v>
      </c>
      <c r="BO679" s="8">
        <v>5</v>
      </c>
      <c r="BQ679" s="7"/>
      <c r="BR679" s="7"/>
      <c r="BS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c r="CW679" s="7"/>
      <c r="CX679" s="7"/>
      <c r="CY679" s="7"/>
      <c r="CZ679" s="7"/>
      <c r="DA679" s="7"/>
      <c r="DB679" s="7"/>
      <c r="DC679" s="7"/>
      <c r="DD679" s="7"/>
      <c r="DE679" s="7"/>
      <c r="DF679" s="7"/>
      <c r="DG679" s="7"/>
      <c r="DH679" s="7"/>
      <c r="DI679" s="7"/>
      <c r="DJ679" s="7"/>
      <c r="DK679" s="7"/>
      <c r="DL679" s="7"/>
      <c r="DM679" s="7"/>
      <c r="DN679" s="7"/>
      <c r="DO679" s="7"/>
      <c r="DP679" s="7"/>
      <c r="DQ679" s="7"/>
      <c r="DR679" s="7"/>
      <c r="DS679" s="7"/>
      <c r="DT679" s="7"/>
      <c r="DU679" s="7"/>
      <c r="DV679" s="7"/>
      <c r="DW679" s="7"/>
      <c r="DX679" s="7"/>
      <c r="DY679" s="7"/>
      <c r="DZ679" s="31"/>
      <c r="EA679" s="7"/>
      <c r="EB679" s="7"/>
      <c r="EC679" s="7"/>
      <c r="ED679" s="7"/>
      <c r="EE679" s="7"/>
      <c r="EF679" s="7"/>
      <c r="EG679" s="7"/>
      <c r="EL679" s="8">
        <f>(2.7+2.2)*31.1+3.705*2.07+1.127*2.89</f>
        <v>163.31638000000004</v>
      </c>
      <c r="EY679" s="6"/>
      <c r="FA679" s="6"/>
      <c r="GP679" s="32"/>
      <c r="GY679" s="6" t="s">
        <v>435</v>
      </c>
      <c r="GZ679" s="6" t="s">
        <v>436</v>
      </c>
      <c r="HC679" s="6" t="s">
        <v>437</v>
      </c>
      <c r="HD679" s="4" t="s">
        <v>7304</v>
      </c>
      <c r="HE679" s="4">
        <v>72620</v>
      </c>
      <c r="HF679" s="4" t="s">
        <v>7305</v>
      </c>
      <c r="HG679" s="9" t="s">
        <v>695</v>
      </c>
      <c r="HH679" s="4" t="s">
        <v>7306</v>
      </c>
      <c r="HI679" s="8">
        <v>72621</v>
      </c>
      <c r="HJ679" s="9" t="s">
        <v>7307</v>
      </c>
      <c r="HK679" s="9" t="s">
        <v>970</v>
      </c>
      <c r="HL679" s="4" t="s">
        <v>7308</v>
      </c>
      <c r="HM679" s="8">
        <v>39629</v>
      </c>
      <c r="HN679" s="9" t="s">
        <v>7309</v>
      </c>
      <c r="HO679" s="9" t="s">
        <v>695</v>
      </c>
      <c r="HQ679" s="9"/>
      <c r="HY679" s="9"/>
      <c r="IB679" s="4" t="s">
        <v>7308</v>
      </c>
      <c r="IC679" s="8">
        <v>39629</v>
      </c>
      <c r="ID679" s="9" t="s">
        <v>7309</v>
      </c>
      <c r="IE679" s="9" t="s">
        <v>695</v>
      </c>
      <c r="IF679" s="8" t="s">
        <v>445</v>
      </c>
      <c r="II679" s="8" t="s">
        <v>7310</v>
      </c>
      <c r="IJ679" s="9" t="s">
        <v>782</v>
      </c>
      <c r="IK679" s="8" t="s">
        <v>350</v>
      </c>
      <c r="IL679" s="9" t="s">
        <v>780</v>
      </c>
      <c r="IM679" s="8">
        <v>17308</v>
      </c>
      <c r="IN679" s="9" t="s">
        <v>781</v>
      </c>
      <c r="IO679" s="9" t="s">
        <v>782</v>
      </c>
      <c r="IP679" s="9" t="s">
        <v>350</v>
      </c>
      <c r="JV679" s="7" t="s">
        <v>7311</v>
      </c>
      <c r="JX679" s="7" t="s">
        <v>320</v>
      </c>
      <c r="JY679" s="7" t="s">
        <v>470</v>
      </c>
      <c r="JZ679" s="7" t="s">
        <v>322</v>
      </c>
      <c r="KG679" s="4" t="s">
        <v>323</v>
      </c>
      <c r="KM679" s="4" t="s">
        <v>836</v>
      </c>
      <c r="KN679" s="4" t="s">
        <v>542</v>
      </c>
      <c r="KP679" s="5" t="s">
        <v>7312</v>
      </c>
      <c r="KQ679" s="5" t="s">
        <v>7313</v>
      </c>
      <c r="KR679" s="5" t="s">
        <v>7314</v>
      </c>
      <c r="KS679" s="5" t="s">
        <v>7312</v>
      </c>
      <c r="KT679" s="5" t="s">
        <v>7315</v>
      </c>
    </row>
    <row r="680" spans="1:306" ht="120" x14ac:dyDescent="0.25">
      <c r="A680" s="5" t="s">
        <v>7337</v>
      </c>
      <c r="B680" s="4" t="s">
        <v>424</v>
      </c>
      <c r="C680" s="7" t="s">
        <v>425</v>
      </c>
      <c r="D680" s="8" t="s">
        <v>426</v>
      </c>
      <c r="E680" s="4">
        <v>333845</v>
      </c>
      <c r="G680" s="4" t="s">
        <v>427</v>
      </c>
      <c r="H680" s="6">
        <v>149.08590000000001</v>
      </c>
      <c r="I680" s="6">
        <v>-32.805199999999999</v>
      </c>
      <c r="K680" s="4" t="s">
        <v>298</v>
      </c>
      <c r="L680" s="4" t="s">
        <v>299</v>
      </c>
      <c r="M680" s="4" t="s">
        <v>1359</v>
      </c>
      <c r="N680" s="4" t="s">
        <v>1545</v>
      </c>
      <c r="Q680" s="8"/>
      <c r="R680" s="7"/>
      <c r="Z680" s="4" t="s">
        <v>424</v>
      </c>
      <c r="AA680" s="7" t="s">
        <v>425</v>
      </c>
      <c r="AB680" s="8" t="s">
        <v>426</v>
      </c>
      <c r="AC680" s="4" t="s">
        <v>301</v>
      </c>
      <c r="AD680" s="4" t="s">
        <v>375</v>
      </c>
      <c r="AE680" s="8">
        <v>343</v>
      </c>
      <c r="AF680" s="7"/>
      <c r="AG680" s="9" t="s">
        <v>379</v>
      </c>
      <c r="AH680" s="9" t="s">
        <v>380</v>
      </c>
      <c r="AM680" s="8">
        <v>2</v>
      </c>
      <c r="AN680" s="4" t="s">
        <v>381</v>
      </c>
      <c r="AO680" s="4" t="s">
        <v>402</v>
      </c>
      <c r="AP680" s="4" t="s">
        <v>383</v>
      </c>
      <c r="AQ680" s="7" t="s">
        <v>403</v>
      </c>
      <c r="AR680" s="8" t="s">
        <v>434</v>
      </c>
      <c r="AS680" s="7">
        <v>0</v>
      </c>
      <c r="AT680" s="7">
        <v>0</v>
      </c>
      <c r="AU680" s="9" t="s">
        <v>303</v>
      </c>
      <c r="AV680" s="9" t="s">
        <v>406</v>
      </c>
      <c r="BA680" s="8">
        <v>5</v>
      </c>
      <c r="DZ680" s="31"/>
      <c r="EL680" s="7">
        <v>5.4</v>
      </c>
      <c r="EY680" s="6"/>
      <c r="FA680" s="6"/>
      <c r="GP680" s="32"/>
      <c r="GY680" s="31" t="s">
        <v>407</v>
      </c>
      <c r="GZ680" s="6" t="s">
        <v>436</v>
      </c>
      <c r="HC680" s="6" t="s">
        <v>437</v>
      </c>
      <c r="HD680" s="8" t="s">
        <v>7338</v>
      </c>
      <c r="HE680" s="8">
        <v>4970</v>
      </c>
      <c r="HF680" s="8" t="s">
        <v>7339</v>
      </c>
      <c r="HG680" s="9" t="s">
        <v>782</v>
      </c>
      <c r="HH680" s="8" t="s">
        <v>3859</v>
      </c>
      <c r="HI680" s="8">
        <v>5031</v>
      </c>
      <c r="HJ680" s="8" t="s">
        <v>3860</v>
      </c>
      <c r="HK680" s="9" t="s">
        <v>782</v>
      </c>
      <c r="HY680" s="9"/>
      <c r="IB680" s="8" t="s">
        <v>7338</v>
      </c>
      <c r="IC680" s="8">
        <v>4970</v>
      </c>
      <c r="ID680" s="8" t="s">
        <v>7340</v>
      </c>
      <c r="IE680" s="9" t="s">
        <v>782</v>
      </c>
      <c r="IF680" s="8" t="s">
        <v>445</v>
      </c>
      <c r="IG680" s="8" t="s">
        <v>3859</v>
      </c>
      <c r="IH680" s="8">
        <v>5031</v>
      </c>
      <c r="II680" s="8" t="s">
        <v>3861</v>
      </c>
      <c r="IJ680" s="9" t="s">
        <v>782</v>
      </c>
      <c r="IK680" s="9" t="s">
        <v>445</v>
      </c>
      <c r="IM680" s="9"/>
      <c r="IW680" s="8"/>
      <c r="JB680" s="8"/>
      <c r="JX680" s="7" t="s">
        <v>320</v>
      </c>
      <c r="KG680" s="4" t="s">
        <v>323</v>
      </c>
      <c r="KP680" s="5" t="s">
        <v>358</v>
      </c>
      <c r="KQ680" s="5" t="s">
        <v>1552</v>
      </c>
      <c r="KS680" s="5" t="s">
        <v>1552</v>
      </c>
      <c r="KT680" s="5" t="s">
        <v>1553</v>
      </c>
    </row>
    <row r="681" spans="1:306" ht="48" x14ac:dyDescent="0.25">
      <c r="A681" s="5" t="s">
        <v>7368</v>
      </c>
      <c r="B681" s="4" t="s">
        <v>424</v>
      </c>
      <c r="C681" s="7" t="s">
        <v>425</v>
      </c>
      <c r="D681" s="8" t="s">
        <v>426</v>
      </c>
      <c r="E681" s="4">
        <v>336096</v>
      </c>
      <c r="G681" s="4" t="s">
        <v>330</v>
      </c>
      <c r="H681" s="6">
        <v>122.42449999999999</v>
      </c>
      <c r="I681" s="6">
        <v>-29.077500000000001</v>
      </c>
      <c r="J681" s="4" t="s">
        <v>3622</v>
      </c>
      <c r="K681" s="4" t="s">
        <v>331</v>
      </c>
      <c r="L681" s="4" t="s">
        <v>500</v>
      </c>
      <c r="M681" s="4" t="s">
        <v>501</v>
      </c>
      <c r="N681" s="4" t="s">
        <v>625</v>
      </c>
      <c r="Q681" s="8"/>
      <c r="R681" s="8"/>
      <c r="Z681" s="4" t="s">
        <v>424</v>
      </c>
      <c r="AA681" s="7" t="s">
        <v>425</v>
      </c>
      <c r="AB681" s="8" t="s">
        <v>426</v>
      </c>
      <c r="AC681" s="4" t="s">
        <v>301</v>
      </c>
      <c r="AD681" s="4" t="s">
        <v>375</v>
      </c>
      <c r="AE681" s="8">
        <v>2654</v>
      </c>
      <c r="AF681" s="8">
        <v>8</v>
      </c>
      <c r="AG681" s="9" t="s">
        <v>379</v>
      </c>
      <c r="AH681" s="9" t="s">
        <v>335</v>
      </c>
      <c r="AI681" s="9" t="s">
        <v>336</v>
      </c>
      <c r="AJ681" s="9" t="s">
        <v>306</v>
      </c>
      <c r="AK681" s="9" t="s">
        <v>307</v>
      </c>
      <c r="AL681" s="9" t="s">
        <v>337</v>
      </c>
      <c r="AM681" s="8">
        <v>4</v>
      </c>
      <c r="AN681" s="4" t="s">
        <v>381</v>
      </c>
      <c r="AO681" s="4" t="s">
        <v>382</v>
      </c>
      <c r="AP681" s="4" t="s">
        <v>383</v>
      </c>
      <c r="AQ681" s="7" t="s">
        <v>384</v>
      </c>
      <c r="AR681" s="7" t="s">
        <v>433</v>
      </c>
      <c r="AS681" s="7">
        <v>0</v>
      </c>
      <c r="AT681" s="7">
        <v>0</v>
      </c>
      <c r="AU681" s="4" t="s">
        <v>303</v>
      </c>
      <c r="AV681" s="4" t="s">
        <v>406</v>
      </c>
      <c r="AW681" s="4"/>
      <c r="AX681" s="4"/>
      <c r="AY681" s="4"/>
      <c r="AZ681" s="4"/>
      <c r="BA681" s="8">
        <v>5</v>
      </c>
      <c r="BG681" s="8"/>
      <c r="BH681" s="8"/>
      <c r="BP681" s="7">
        <v>150.53</v>
      </c>
      <c r="BV681" s="6">
        <v>2.4900000000000002</v>
      </c>
      <c r="DZ681" s="31"/>
      <c r="EL681" s="8">
        <v>375.4</v>
      </c>
      <c r="FA681" s="6"/>
      <c r="GP681" s="32"/>
      <c r="GY681" s="6" t="s">
        <v>338</v>
      </c>
      <c r="GZ681" s="6" t="s">
        <v>436</v>
      </c>
      <c r="HC681" s="6" t="s">
        <v>437</v>
      </c>
      <c r="HF681" s="8" t="s">
        <v>7369</v>
      </c>
      <c r="HG681" s="9" t="s">
        <v>507</v>
      </c>
      <c r="HJ681" s="9" t="s">
        <v>960</v>
      </c>
      <c r="HK681" s="9" t="s">
        <v>507</v>
      </c>
      <c r="HN681" s="9" t="s">
        <v>924</v>
      </c>
      <c r="HO681" s="9" t="s">
        <v>507</v>
      </c>
      <c r="ID681" s="8" t="s">
        <v>7369</v>
      </c>
      <c r="IE681" s="9" t="s">
        <v>507</v>
      </c>
      <c r="IF681" s="9" t="s">
        <v>445</v>
      </c>
      <c r="IG681" s="9"/>
      <c r="II681" s="9" t="s">
        <v>960</v>
      </c>
      <c r="IJ681" s="9" t="s">
        <v>507</v>
      </c>
      <c r="IK681" s="8" t="s">
        <v>445</v>
      </c>
      <c r="IN681" s="9" t="s">
        <v>924</v>
      </c>
      <c r="IO681" s="9" t="s">
        <v>507</v>
      </c>
      <c r="IP681" s="9" t="s">
        <v>445</v>
      </c>
      <c r="IR681" s="9"/>
      <c r="JV681" s="7" t="s">
        <v>7370</v>
      </c>
      <c r="JX681" s="7" t="s">
        <v>320</v>
      </c>
      <c r="KG681" s="4" t="s">
        <v>323</v>
      </c>
      <c r="KM681" s="4" t="s">
        <v>836</v>
      </c>
      <c r="KN681" s="4" t="s">
        <v>836</v>
      </c>
      <c r="KP681" s="5" t="s">
        <v>358</v>
      </c>
      <c r="KQ681" s="5" t="s">
        <v>7371</v>
      </c>
      <c r="KR681" s="5" t="s">
        <v>7372</v>
      </c>
      <c r="KS681" s="5" t="s">
        <v>7373</v>
      </c>
      <c r="KT681" s="5" t="s">
        <v>7374</v>
      </c>
    </row>
    <row r="682" spans="1:306" ht="72" x14ac:dyDescent="0.25">
      <c r="A682" s="5" t="s">
        <v>7414</v>
      </c>
      <c r="B682" s="4" t="s">
        <v>424</v>
      </c>
      <c r="C682" s="7" t="s">
        <v>425</v>
      </c>
      <c r="D682" s="8" t="s">
        <v>426</v>
      </c>
      <c r="E682" s="4">
        <v>597627</v>
      </c>
      <c r="G682" s="4" t="s">
        <v>530</v>
      </c>
      <c r="H682" s="6">
        <v>129.68929874899999</v>
      </c>
      <c r="I682" s="6">
        <v>-20.003500087999999</v>
      </c>
      <c r="J682" s="4" t="s">
        <v>863</v>
      </c>
      <c r="K682" s="4" t="s">
        <v>481</v>
      </c>
      <c r="L682" s="4" t="s">
        <v>863</v>
      </c>
      <c r="Q682" s="8"/>
      <c r="R682" s="8"/>
      <c r="Z682" s="4" t="s">
        <v>424</v>
      </c>
      <c r="AA682" s="7" t="s">
        <v>425</v>
      </c>
      <c r="AB682" s="8" t="s">
        <v>426</v>
      </c>
      <c r="AC682" s="4" t="s">
        <v>301</v>
      </c>
      <c r="AD682" s="4" t="s">
        <v>375</v>
      </c>
      <c r="AE682" s="8">
        <v>1809</v>
      </c>
      <c r="AF682" s="8"/>
      <c r="AG682" s="9" t="s">
        <v>379</v>
      </c>
      <c r="AH682" s="9" t="s">
        <v>380</v>
      </c>
      <c r="AM682" s="8">
        <v>2</v>
      </c>
      <c r="AN682" s="4" t="s">
        <v>381</v>
      </c>
      <c r="AO682" s="4" t="s">
        <v>382</v>
      </c>
      <c r="AP682" s="4" t="s">
        <v>383</v>
      </c>
      <c r="AQ682" s="7" t="s">
        <v>384</v>
      </c>
      <c r="AR682" s="7" t="s">
        <v>433</v>
      </c>
      <c r="AS682" s="7">
        <v>0</v>
      </c>
      <c r="AT682" s="7">
        <v>0</v>
      </c>
      <c r="AU682" s="9" t="s">
        <v>303</v>
      </c>
      <c r="AV682" s="9" t="s">
        <v>406</v>
      </c>
      <c r="BA682" s="8">
        <v>5</v>
      </c>
      <c r="BP682" s="7">
        <f>7.16+4.298+14.3</f>
        <v>25.758000000000003</v>
      </c>
      <c r="BV682" s="6">
        <f>(2.02*7.16+3.02*4.298+2.8*14.3)/(7.16+4.298+14.3)</f>
        <v>2.6198912959080669</v>
      </c>
      <c r="DZ682" s="31"/>
      <c r="EL682" s="7">
        <f>BP682*BV682</f>
        <v>67.483159999999998</v>
      </c>
      <c r="GP682" s="32"/>
      <c r="GY682" s="6" t="s">
        <v>435</v>
      </c>
      <c r="GZ682" s="6" t="s">
        <v>436</v>
      </c>
      <c r="HC682" s="6" t="s">
        <v>437</v>
      </c>
      <c r="HD682" s="8" t="s">
        <v>7415</v>
      </c>
      <c r="HE682" s="8">
        <v>35400</v>
      </c>
      <c r="HF682" s="8" t="s">
        <v>7416</v>
      </c>
      <c r="HG682" s="9" t="s">
        <v>538</v>
      </c>
      <c r="HH682" s="8" t="s">
        <v>7417</v>
      </c>
      <c r="HI682" s="8">
        <v>35400</v>
      </c>
      <c r="HJ682" s="9" t="s">
        <v>960</v>
      </c>
      <c r="HK682" s="9" t="s">
        <v>538</v>
      </c>
      <c r="HL682" s="9" t="s">
        <v>7418</v>
      </c>
      <c r="HM682" s="8">
        <v>35400</v>
      </c>
      <c r="HN682" s="9" t="s">
        <v>7419</v>
      </c>
      <c r="HO682" s="9" t="s">
        <v>538</v>
      </c>
      <c r="HP682" s="9" t="s">
        <v>7420</v>
      </c>
      <c r="HQ682" s="8">
        <v>35400</v>
      </c>
      <c r="HR682" s="9" t="s">
        <v>960</v>
      </c>
      <c r="HS682" s="9" t="s">
        <v>538</v>
      </c>
      <c r="IB682" s="8" t="s">
        <v>7415</v>
      </c>
      <c r="IC682" s="8">
        <v>35400</v>
      </c>
      <c r="ID682" s="8" t="s">
        <v>7416</v>
      </c>
      <c r="IE682" s="8" t="s">
        <v>538</v>
      </c>
      <c r="IF682" s="8" t="s">
        <v>445</v>
      </c>
      <c r="IG682" s="8" t="s">
        <v>7417</v>
      </c>
      <c r="IH682" s="8">
        <v>35400</v>
      </c>
      <c r="II682" s="8" t="s">
        <v>960</v>
      </c>
      <c r="IJ682" s="8" t="s">
        <v>538</v>
      </c>
      <c r="IK682" s="8" t="s">
        <v>445</v>
      </c>
      <c r="IL682" s="9" t="s">
        <v>7420</v>
      </c>
      <c r="IM682" s="8">
        <v>35400</v>
      </c>
      <c r="IN682" s="9" t="s">
        <v>960</v>
      </c>
      <c r="IO682" s="9" t="s">
        <v>538</v>
      </c>
      <c r="IP682" s="9" t="s">
        <v>445</v>
      </c>
      <c r="IQ682" s="9" t="s">
        <v>2498</v>
      </c>
      <c r="IR682" s="8">
        <v>40137</v>
      </c>
      <c r="IS682" s="9" t="s">
        <v>2499</v>
      </c>
      <c r="IT682" s="9" t="s">
        <v>538</v>
      </c>
      <c r="IU682" s="9" t="s">
        <v>319</v>
      </c>
      <c r="IW682" s="8"/>
      <c r="JB682" s="8"/>
      <c r="JV682" s="7" t="s">
        <v>7421</v>
      </c>
      <c r="JX682" s="7" t="s">
        <v>320</v>
      </c>
      <c r="KG682" s="4" t="s">
        <v>323</v>
      </c>
      <c r="KM682" s="4" t="s">
        <v>471</v>
      </c>
      <c r="KN682" s="4" t="s">
        <v>471</v>
      </c>
      <c r="KP682" s="5" t="s">
        <v>7422</v>
      </c>
      <c r="KQ682" s="5" t="s">
        <v>7423</v>
      </c>
      <c r="KS682" s="5" t="s">
        <v>7424</v>
      </c>
      <c r="KT682" s="5" t="s">
        <v>7425</v>
      </c>
    </row>
    <row r="683" spans="1:306" ht="157.5" x14ac:dyDescent="0.25">
      <c r="A683" s="5" t="s">
        <v>7435</v>
      </c>
      <c r="B683" s="4" t="s">
        <v>424</v>
      </c>
      <c r="C683" s="7" t="s">
        <v>425</v>
      </c>
      <c r="D683" s="8" t="s">
        <v>426</v>
      </c>
      <c r="E683" s="4">
        <v>333401</v>
      </c>
      <c r="G683" s="4" t="s">
        <v>773</v>
      </c>
      <c r="H683" s="6">
        <v>144.35256700900001</v>
      </c>
      <c r="I683" s="6">
        <v>-37.187899954000002</v>
      </c>
      <c r="J683" s="4" t="s">
        <v>7436</v>
      </c>
      <c r="K683" s="4" t="s">
        <v>298</v>
      </c>
      <c r="L683" s="4" t="s">
        <v>299</v>
      </c>
      <c r="M683" s="4" t="s">
        <v>775</v>
      </c>
      <c r="N683" s="4" t="s">
        <v>1093</v>
      </c>
      <c r="Q683" s="7"/>
      <c r="R683" s="7"/>
      <c r="Z683" s="4" t="s">
        <v>424</v>
      </c>
      <c r="AA683" s="7" t="s">
        <v>425</v>
      </c>
      <c r="AB683" s="8" t="s">
        <v>426</v>
      </c>
      <c r="AC683" s="4" t="s">
        <v>301</v>
      </c>
      <c r="AD683" s="4" t="s">
        <v>375</v>
      </c>
      <c r="AE683" s="7">
        <v>370.6</v>
      </c>
      <c r="AF683" s="7">
        <v>2</v>
      </c>
      <c r="AG683" s="9" t="s">
        <v>379</v>
      </c>
      <c r="AH683" s="9" t="s">
        <v>429</v>
      </c>
      <c r="AI683" s="9" t="s">
        <v>430</v>
      </c>
      <c r="AJ683" s="9" t="s">
        <v>431</v>
      </c>
      <c r="AK683" s="9" t="s">
        <v>432</v>
      </c>
      <c r="AM683" s="8">
        <v>4</v>
      </c>
      <c r="AN683" s="4" t="s">
        <v>381</v>
      </c>
      <c r="AO683" s="4" t="s">
        <v>382</v>
      </c>
      <c r="AP683" s="4" t="s">
        <v>383</v>
      </c>
      <c r="AQ683" s="7" t="s">
        <v>403</v>
      </c>
      <c r="AR683" s="8" t="s">
        <v>434</v>
      </c>
      <c r="AS683" s="7">
        <v>0</v>
      </c>
      <c r="AT683" s="7">
        <v>0</v>
      </c>
      <c r="AU683" s="9" t="s">
        <v>303</v>
      </c>
      <c r="AV683" s="9" t="s">
        <v>406</v>
      </c>
      <c r="BA683" s="8">
        <v>5</v>
      </c>
      <c r="BQ683" s="7"/>
      <c r="BR683" s="7"/>
      <c r="BS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c r="CW683" s="7"/>
      <c r="CX683" s="7"/>
      <c r="CY683" s="7"/>
      <c r="CZ683" s="7"/>
      <c r="DA683" s="7"/>
      <c r="DB683" s="7"/>
      <c r="DC683" s="7"/>
      <c r="DD683" s="7"/>
      <c r="DE683" s="7"/>
      <c r="DF683" s="7"/>
      <c r="DG683" s="7"/>
      <c r="DH683" s="7"/>
      <c r="DI683" s="7"/>
      <c r="DJ683" s="7"/>
      <c r="DK683" s="7"/>
      <c r="DL683" s="7"/>
      <c r="DM683" s="7"/>
      <c r="DN683" s="7"/>
      <c r="DO683" s="7"/>
      <c r="DP683" s="7"/>
      <c r="DQ683" s="7"/>
      <c r="DR683" s="7"/>
      <c r="DS683" s="7"/>
      <c r="DT683" s="7"/>
      <c r="DU683" s="7"/>
      <c r="DV683" s="7"/>
      <c r="DW683" s="7"/>
      <c r="DX683" s="7"/>
      <c r="DY683" s="7"/>
      <c r="DZ683" s="31"/>
      <c r="EA683" s="7"/>
      <c r="EB683" s="7"/>
      <c r="EC683" s="7"/>
      <c r="ED683" s="7"/>
      <c r="EE683" s="7"/>
      <c r="EF683" s="7"/>
      <c r="EG683" s="7"/>
      <c r="EL683" s="6">
        <f>(7175+1990+16)/1000</f>
        <v>9.1809999999999992</v>
      </c>
      <c r="EY683" s="6"/>
      <c r="FA683" s="6"/>
      <c r="GP683" s="32"/>
      <c r="GY683" s="6" t="s">
        <v>309</v>
      </c>
      <c r="GZ683" s="6" t="s">
        <v>436</v>
      </c>
      <c r="HC683" s="6" t="s">
        <v>437</v>
      </c>
      <c r="HD683" s="4" t="s">
        <v>1095</v>
      </c>
      <c r="HE683" s="4">
        <v>36202</v>
      </c>
      <c r="HF683" s="4" t="s">
        <v>1096</v>
      </c>
      <c r="HG683" s="9" t="s">
        <v>466</v>
      </c>
      <c r="HQ683" s="9"/>
      <c r="HY683" s="9"/>
      <c r="IB683" s="8" t="s">
        <v>7437</v>
      </c>
      <c r="IC683" s="8">
        <v>38293</v>
      </c>
      <c r="ID683" s="8" t="s">
        <v>7438</v>
      </c>
      <c r="IE683" s="8" t="s">
        <v>318</v>
      </c>
      <c r="IG683" s="8" t="s">
        <v>7439</v>
      </c>
      <c r="IH683" s="8">
        <v>8069</v>
      </c>
      <c r="II683" s="8" t="s">
        <v>2051</v>
      </c>
      <c r="IJ683" s="8" t="s">
        <v>318</v>
      </c>
      <c r="IK683" s="8" t="s">
        <v>319</v>
      </c>
      <c r="IL683" s="9" t="s">
        <v>7440</v>
      </c>
      <c r="IM683" s="8">
        <v>1286</v>
      </c>
      <c r="IN683" s="9" t="s">
        <v>7441</v>
      </c>
      <c r="IO683" s="9" t="s">
        <v>318</v>
      </c>
      <c r="IQ683" s="9" t="s">
        <v>7442</v>
      </c>
      <c r="IR683" s="8">
        <v>15694</v>
      </c>
      <c r="IS683" s="9" t="s">
        <v>7443</v>
      </c>
      <c r="IT683" s="9" t="s">
        <v>2786</v>
      </c>
      <c r="IU683" s="9" t="s">
        <v>445</v>
      </c>
      <c r="JV683" s="7" t="s">
        <v>7444</v>
      </c>
      <c r="JX683" s="7" t="s">
        <v>320</v>
      </c>
      <c r="KG683" s="4" t="s">
        <v>323</v>
      </c>
      <c r="KP683" s="5" t="s">
        <v>7445</v>
      </c>
      <c r="KQ683" s="5" t="s">
        <v>7446</v>
      </c>
      <c r="KR683" s="5" t="s">
        <v>7447</v>
      </c>
      <c r="KS683" s="5" t="s">
        <v>7445</v>
      </c>
      <c r="KT683" s="14" t="s">
        <v>7448</v>
      </c>
    </row>
    <row r="684" spans="1:306" ht="168" x14ac:dyDescent="0.25">
      <c r="A684" s="5" t="s">
        <v>7449</v>
      </c>
      <c r="B684" s="4" t="s">
        <v>383</v>
      </c>
      <c r="C684" s="7" t="s">
        <v>403</v>
      </c>
      <c r="D684" s="8" t="s">
        <v>434</v>
      </c>
      <c r="E684" s="4">
        <v>333390</v>
      </c>
      <c r="G684" s="4" t="s">
        <v>593</v>
      </c>
      <c r="H684" s="6">
        <v>134.53</v>
      </c>
      <c r="I684" s="6">
        <v>-30.697099999999999</v>
      </c>
      <c r="J684" s="4" t="s">
        <v>7449</v>
      </c>
      <c r="K684" s="4" t="s">
        <v>595</v>
      </c>
      <c r="L684" s="4" t="s">
        <v>596</v>
      </c>
      <c r="M684" s="4" t="s">
        <v>1166</v>
      </c>
      <c r="Q684" s="8"/>
      <c r="R684" s="8"/>
      <c r="Z684" s="4" t="s">
        <v>424</v>
      </c>
      <c r="AA684" s="7" t="s">
        <v>425</v>
      </c>
      <c r="AB684" s="8" t="s">
        <v>426</v>
      </c>
      <c r="AC684" s="4" t="s">
        <v>301</v>
      </c>
      <c r="AD684" s="4" t="s">
        <v>382</v>
      </c>
      <c r="AE684" s="8">
        <v>1587</v>
      </c>
      <c r="AF684" s="8">
        <v>5</v>
      </c>
      <c r="AG684" s="9" t="s">
        <v>379</v>
      </c>
      <c r="AH684" s="9" t="s">
        <v>429</v>
      </c>
      <c r="AI684" s="9" t="s">
        <v>430</v>
      </c>
      <c r="AJ684" s="9" t="s">
        <v>431</v>
      </c>
      <c r="AK684" s="9" t="s">
        <v>432</v>
      </c>
      <c r="AM684" s="8">
        <v>3</v>
      </c>
      <c r="AN684" s="4" t="s">
        <v>381</v>
      </c>
      <c r="AO684" s="4" t="s">
        <v>375</v>
      </c>
      <c r="AP684" s="4" t="s">
        <v>383</v>
      </c>
      <c r="AQ684" s="7" t="s">
        <v>403</v>
      </c>
      <c r="AR684" s="8" t="s">
        <v>434</v>
      </c>
      <c r="AS684" s="7">
        <v>0</v>
      </c>
      <c r="AT684" s="7">
        <v>0</v>
      </c>
      <c r="AU684" s="9" t="s">
        <v>303</v>
      </c>
      <c r="AV684" s="9" t="s">
        <v>406</v>
      </c>
      <c r="BA684" s="8">
        <v>5</v>
      </c>
      <c r="BP684" s="7">
        <f>0.973+0.0637</f>
        <v>1.0367</v>
      </c>
      <c r="BV684" s="7">
        <f>(0.973*3.12+0.0637*37.5)/(0.973+0.0637)</f>
        <v>5.232478055367995</v>
      </c>
      <c r="DZ684" s="31"/>
      <c r="EB684" s="10"/>
      <c r="EL684" s="6">
        <f>BP684*BV684</f>
        <v>5.4245100000000006</v>
      </c>
      <c r="EY684" s="6"/>
      <c r="FA684" s="6"/>
      <c r="GP684" s="32"/>
      <c r="GY684" s="6" t="s">
        <v>435</v>
      </c>
      <c r="GZ684" s="6" t="s">
        <v>436</v>
      </c>
      <c r="HC684" s="6" t="s">
        <v>437</v>
      </c>
      <c r="HD684" s="8" t="s">
        <v>7450</v>
      </c>
      <c r="HE684" s="8">
        <v>68682</v>
      </c>
      <c r="HF684" s="8" t="s">
        <v>7451</v>
      </c>
      <c r="HG684" s="9" t="s">
        <v>538</v>
      </c>
      <c r="HH684" s="9" t="s">
        <v>7452</v>
      </c>
      <c r="HI684" s="8">
        <v>17845</v>
      </c>
      <c r="HJ684" s="9" t="s">
        <v>7453</v>
      </c>
      <c r="HK684" s="9" t="s">
        <v>538</v>
      </c>
      <c r="HL684" s="9" t="s">
        <v>7454</v>
      </c>
      <c r="HM684" s="8">
        <v>38179</v>
      </c>
      <c r="HN684" s="9" t="s">
        <v>7455</v>
      </c>
      <c r="HO684" s="9" t="s">
        <v>349</v>
      </c>
      <c r="HY684" s="9"/>
      <c r="IB684" s="8" t="s">
        <v>7450</v>
      </c>
      <c r="IC684" s="8">
        <v>68682</v>
      </c>
      <c r="ID684" s="8" t="s">
        <v>7451</v>
      </c>
      <c r="IE684" s="9" t="s">
        <v>538</v>
      </c>
      <c r="IF684" s="8" t="s">
        <v>445</v>
      </c>
      <c r="IG684" s="8" t="s">
        <v>7454</v>
      </c>
      <c r="IH684" s="8">
        <v>38179</v>
      </c>
      <c r="II684" s="8" t="s">
        <v>7455</v>
      </c>
      <c r="IJ684" s="8" t="s">
        <v>349</v>
      </c>
      <c r="IK684" s="8" t="s">
        <v>319</v>
      </c>
      <c r="IM684" s="9"/>
      <c r="JV684" s="7" t="s">
        <v>7456</v>
      </c>
      <c r="JX684" s="7" t="s">
        <v>320</v>
      </c>
      <c r="JY684" s="7" t="s">
        <v>448</v>
      </c>
      <c r="JZ684" s="7" t="s">
        <v>355</v>
      </c>
      <c r="KM684" s="4" t="s">
        <v>471</v>
      </c>
      <c r="KN684" s="4" t="s">
        <v>471</v>
      </c>
      <c r="KP684" s="5" t="s">
        <v>358</v>
      </c>
      <c r="KQ684" s="5" t="s">
        <v>7457</v>
      </c>
      <c r="KR684" s="5" t="s">
        <v>7458</v>
      </c>
      <c r="KS684" s="18" t="s">
        <v>7459</v>
      </c>
      <c r="KT684" s="5" t="s">
        <v>7460</v>
      </c>
    </row>
    <row r="685" spans="1:306" ht="72" x14ac:dyDescent="0.25">
      <c r="A685" s="5" t="s">
        <v>7461</v>
      </c>
      <c r="B685" s="4" t="s">
        <v>424</v>
      </c>
      <c r="C685" s="7" t="s">
        <v>425</v>
      </c>
      <c r="D685" s="8" t="s">
        <v>426</v>
      </c>
      <c r="E685" s="4">
        <v>335310</v>
      </c>
      <c r="G685" s="4" t="s">
        <v>330</v>
      </c>
      <c r="H685" s="6">
        <v>121.163</v>
      </c>
      <c r="I685" s="6">
        <v>-28.671500000000002</v>
      </c>
      <c r="J685" s="4" t="s">
        <v>3851</v>
      </c>
      <c r="K685" s="4" t="s">
        <v>331</v>
      </c>
      <c r="L685" s="4" t="s">
        <v>500</v>
      </c>
      <c r="M685" s="4" t="s">
        <v>501</v>
      </c>
      <c r="N685" s="4" t="s">
        <v>3327</v>
      </c>
      <c r="Q685" s="8"/>
      <c r="R685" s="8"/>
      <c r="Z685" s="4" t="s">
        <v>424</v>
      </c>
      <c r="AA685" s="7" t="s">
        <v>425</v>
      </c>
      <c r="AB685" s="8" t="s">
        <v>426</v>
      </c>
      <c r="AC685" s="4" t="s">
        <v>301</v>
      </c>
      <c r="AD685" s="4" t="s">
        <v>375</v>
      </c>
      <c r="AE685" s="8">
        <v>2640</v>
      </c>
      <c r="AF685" s="8"/>
      <c r="AG685" s="9" t="s">
        <v>379</v>
      </c>
      <c r="AH685" s="9" t="s">
        <v>380</v>
      </c>
      <c r="AM685" s="8">
        <v>2</v>
      </c>
      <c r="AN685" s="4" t="s">
        <v>381</v>
      </c>
      <c r="AO685" s="4" t="s">
        <v>382</v>
      </c>
      <c r="AP685" s="4" t="s">
        <v>383</v>
      </c>
      <c r="AQ685" s="7" t="s">
        <v>384</v>
      </c>
      <c r="AR685" s="7" t="s">
        <v>433</v>
      </c>
      <c r="AS685" s="7">
        <v>0</v>
      </c>
      <c r="AT685" s="7">
        <v>0</v>
      </c>
      <c r="AU685" s="4" t="s">
        <v>303</v>
      </c>
      <c r="AV685" s="4" t="s">
        <v>406</v>
      </c>
      <c r="AW685" s="4"/>
      <c r="AX685" s="4"/>
      <c r="AY685" s="4"/>
      <c r="AZ685" s="4"/>
      <c r="BA685" s="8">
        <v>5</v>
      </c>
      <c r="BG685" s="8"/>
      <c r="BH685" s="8"/>
      <c r="BP685" s="7">
        <v>118.999</v>
      </c>
      <c r="BQ685" s="7"/>
      <c r="BV685" s="7">
        <v>1.61</v>
      </c>
      <c r="DZ685" s="31"/>
      <c r="EL685" s="8">
        <f>BP685*BV685</f>
        <v>191.58839</v>
      </c>
      <c r="GP685" s="32"/>
      <c r="GY685" s="6" t="s">
        <v>338</v>
      </c>
      <c r="GZ685" s="6" t="s">
        <v>436</v>
      </c>
      <c r="HC685" s="6" t="s">
        <v>437</v>
      </c>
      <c r="HD685" s="8" t="s">
        <v>7462</v>
      </c>
      <c r="HF685" s="8" t="s">
        <v>7463</v>
      </c>
      <c r="HG685" s="9" t="s">
        <v>507</v>
      </c>
      <c r="HJ685" s="9" t="s">
        <v>924</v>
      </c>
      <c r="HK685" s="9" t="s">
        <v>507</v>
      </c>
      <c r="IB685" s="8" t="s">
        <v>7462</v>
      </c>
      <c r="ID685" s="8" t="s">
        <v>7463</v>
      </c>
      <c r="IE685" s="9" t="s">
        <v>507</v>
      </c>
      <c r="IF685" s="9" t="s">
        <v>445</v>
      </c>
      <c r="IG685" s="9"/>
      <c r="IH685" s="9"/>
      <c r="II685" s="9" t="s">
        <v>924</v>
      </c>
      <c r="IJ685" s="9" t="s">
        <v>507</v>
      </c>
      <c r="IK685" s="8" t="s">
        <v>445</v>
      </c>
      <c r="IN685" s="9" t="s">
        <v>7464</v>
      </c>
      <c r="IO685" s="9" t="s">
        <v>507</v>
      </c>
      <c r="IP685" s="9" t="s">
        <v>445</v>
      </c>
      <c r="IR685" s="9"/>
      <c r="JV685" s="7" t="s">
        <v>7465</v>
      </c>
      <c r="JX685" s="7" t="s">
        <v>320</v>
      </c>
      <c r="KG685" s="4" t="s">
        <v>323</v>
      </c>
      <c r="KM685" s="4" t="s">
        <v>702</v>
      </c>
      <c r="KN685" s="4" t="s">
        <v>702</v>
      </c>
      <c r="KP685" s="5" t="s">
        <v>358</v>
      </c>
      <c r="KQ685" s="5" t="s">
        <v>7466</v>
      </c>
      <c r="KR685" s="5" t="s">
        <v>7467</v>
      </c>
      <c r="KS685" s="5" t="s">
        <v>7468</v>
      </c>
      <c r="KT685" s="5" t="s">
        <v>7469</v>
      </c>
    </row>
    <row r="686" spans="1:306" ht="85.5" x14ac:dyDescent="0.25">
      <c r="A686" s="5" t="s">
        <v>7470</v>
      </c>
      <c r="B686" s="4" t="s">
        <v>424</v>
      </c>
      <c r="C686" s="7" t="s">
        <v>425</v>
      </c>
      <c r="D686" s="8" t="s">
        <v>426</v>
      </c>
      <c r="E686" s="4">
        <v>336026</v>
      </c>
      <c r="G686" s="4" t="s">
        <v>773</v>
      </c>
      <c r="H686" s="6">
        <v>143.83283515900001</v>
      </c>
      <c r="I686" s="6">
        <v>-36.764405424499998</v>
      </c>
      <c r="J686" s="4" t="s">
        <v>7471</v>
      </c>
      <c r="K686" s="4" t="s">
        <v>298</v>
      </c>
      <c r="L686" s="4" t="s">
        <v>299</v>
      </c>
      <c r="M686" s="4" t="s">
        <v>775</v>
      </c>
      <c r="N686" s="4" t="s">
        <v>1093</v>
      </c>
      <c r="Q686" s="8"/>
      <c r="R686" s="8"/>
      <c r="Z686" s="4" t="s">
        <v>424</v>
      </c>
      <c r="AA686" s="7" t="s">
        <v>425</v>
      </c>
      <c r="AB686" s="8" t="s">
        <v>426</v>
      </c>
      <c r="AC686" s="4" t="s">
        <v>301</v>
      </c>
      <c r="AD686" s="4" t="s">
        <v>382</v>
      </c>
      <c r="AE686" s="8"/>
      <c r="AF686" s="8"/>
      <c r="AN686" s="4" t="s">
        <v>381</v>
      </c>
      <c r="AO686" s="4" t="s">
        <v>382</v>
      </c>
      <c r="AP686" s="4" t="s">
        <v>383</v>
      </c>
      <c r="AQ686" s="7" t="s">
        <v>403</v>
      </c>
      <c r="AR686" s="8" t="s">
        <v>434</v>
      </c>
      <c r="AS686" s="7">
        <v>0</v>
      </c>
      <c r="AT686" s="7">
        <v>0</v>
      </c>
      <c r="AU686" s="9" t="s">
        <v>303</v>
      </c>
      <c r="AV686" s="9" t="s">
        <v>406</v>
      </c>
      <c r="BA686" s="8">
        <v>5</v>
      </c>
      <c r="BE686" s="4"/>
      <c r="BF686" s="4"/>
      <c r="BG686" s="4"/>
      <c r="BH686" s="4"/>
      <c r="BI686" s="4"/>
      <c r="BJ686" s="4"/>
      <c r="BK686" s="4"/>
      <c r="BL686" s="4"/>
      <c r="BM686" s="4"/>
      <c r="BN686" s="4"/>
      <c r="BO686" s="4"/>
      <c r="BQ686" s="7"/>
      <c r="BR686" s="7"/>
      <c r="BS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CV686" s="7"/>
      <c r="CW686" s="7"/>
      <c r="CX686" s="7"/>
      <c r="CY686" s="7"/>
      <c r="CZ686" s="7"/>
      <c r="DA686" s="7"/>
      <c r="DB686" s="7"/>
      <c r="DC686" s="7"/>
      <c r="DD686" s="7"/>
      <c r="DE686" s="7"/>
      <c r="DF686" s="7"/>
      <c r="DG686" s="7"/>
      <c r="DH686" s="7"/>
      <c r="DI686" s="7"/>
      <c r="DJ686" s="7"/>
      <c r="DK686" s="7"/>
      <c r="DL686" s="7"/>
      <c r="DM686" s="7"/>
      <c r="DN686" s="7"/>
      <c r="DO686" s="7"/>
      <c r="DP686" s="7"/>
      <c r="DQ686" s="7"/>
      <c r="DR686" s="7"/>
      <c r="DS686" s="7"/>
      <c r="DT686" s="7"/>
      <c r="DU686" s="7"/>
      <c r="DV686" s="7"/>
      <c r="DW686" s="7"/>
      <c r="DX686" s="7"/>
      <c r="DY686" s="7"/>
      <c r="DZ686" s="31"/>
      <c r="EA686" s="7"/>
      <c r="EB686" s="7"/>
      <c r="EC686" s="7"/>
      <c r="ED686" s="7"/>
      <c r="EE686" s="7"/>
      <c r="EF686" s="7"/>
      <c r="EG686" s="7"/>
      <c r="EL686" s="8">
        <v>13</v>
      </c>
      <c r="EY686" s="6"/>
      <c r="FA686" s="6"/>
      <c r="GP686" s="32"/>
      <c r="GY686" s="6" t="s">
        <v>309</v>
      </c>
      <c r="GZ686" s="6" t="s">
        <v>436</v>
      </c>
      <c r="HC686" s="6" t="s">
        <v>437</v>
      </c>
      <c r="HD686" s="4" t="s">
        <v>1095</v>
      </c>
      <c r="HE686" s="4">
        <v>36202</v>
      </c>
      <c r="HF686" s="4" t="s">
        <v>1096</v>
      </c>
      <c r="HG686" s="9" t="s">
        <v>466</v>
      </c>
      <c r="HQ686" s="9"/>
      <c r="HY686" s="9"/>
      <c r="IB686" s="8" t="s">
        <v>7472</v>
      </c>
      <c r="IC686" s="8">
        <v>35567</v>
      </c>
      <c r="ID686" s="8" t="s">
        <v>2880</v>
      </c>
      <c r="IE686" s="8" t="s">
        <v>782</v>
      </c>
      <c r="IF686" s="8" t="s">
        <v>329</v>
      </c>
      <c r="JV686" s="7" t="s">
        <v>7473</v>
      </c>
      <c r="JX686" s="7" t="s">
        <v>320</v>
      </c>
      <c r="KG686" s="4" t="s">
        <v>323</v>
      </c>
      <c r="KP686" s="18" t="s">
        <v>7474</v>
      </c>
      <c r="KQ686" s="5" t="s">
        <v>7475</v>
      </c>
      <c r="KR686" s="5" t="s">
        <v>7476</v>
      </c>
      <c r="KS686" s="5" t="s">
        <v>786</v>
      </c>
      <c r="KT686" s="5" t="s">
        <v>7477</v>
      </c>
    </row>
    <row r="687" spans="1:306" ht="37.5" x14ac:dyDescent="0.25">
      <c r="A687" s="14" t="s">
        <v>296</v>
      </c>
      <c r="B687" s="29" t="s">
        <v>424</v>
      </c>
      <c r="C687" s="30" t="s">
        <v>425</v>
      </c>
      <c r="D687" s="26" t="s">
        <v>426</v>
      </c>
      <c r="E687" s="29">
        <v>334630</v>
      </c>
      <c r="F687" s="29"/>
      <c r="G687" s="29" t="s">
        <v>296</v>
      </c>
      <c r="H687" s="31">
        <v>146.81</v>
      </c>
      <c r="I687" s="31">
        <v>-41.2</v>
      </c>
      <c r="J687" s="29" t="s">
        <v>7486</v>
      </c>
      <c r="K687" s="29" t="s">
        <v>298</v>
      </c>
      <c r="L687" s="29" t="s">
        <v>299</v>
      </c>
      <c r="M687" s="29" t="s">
        <v>300</v>
      </c>
      <c r="N687" s="29"/>
      <c r="O687" s="26"/>
      <c r="P687" s="29"/>
      <c r="Q687" s="26"/>
      <c r="R687" s="26"/>
      <c r="S687" s="27"/>
      <c r="T687" s="27"/>
      <c r="U687" s="27"/>
      <c r="V687" s="27"/>
      <c r="W687" s="27"/>
      <c r="X687" s="27"/>
      <c r="Y687" s="26"/>
      <c r="Z687" s="29" t="s">
        <v>424</v>
      </c>
      <c r="AA687" s="30" t="s">
        <v>425</v>
      </c>
      <c r="AB687" s="26" t="s">
        <v>426</v>
      </c>
      <c r="AC687" s="29" t="s">
        <v>301</v>
      </c>
      <c r="AD687" s="29" t="s">
        <v>375</v>
      </c>
      <c r="AE687" s="26">
        <v>400</v>
      </c>
      <c r="AF687" s="26">
        <v>10</v>
      </c>
      <c r="AG687" s="27" t="s">
        <v>379</v>
      </c>
      <c r="AH687" s="27" t="s">
        <v>429</v>
      </c>
      <c r="AI687" s="27" t="s">
        <v>6329</v>
      </c>
      <c r="AJ687" s="27" t="s">
        <v>431</v>
      </c>
      <c r="AK687" s="27" t="s">
        <v>432</v>
      </c>
      <c r="AL687" s="27"/>
      <c r="AM687" s="26">
        <v>3</v>
      </c>
      <c r="AN687" s="29" t="s">
        <v>381</v>
      </c>
      <c r="AO687" s="29" t="s">
        <v>382</v>
      </c>
      <c r="AP687" s="29" t="s">
        <v>383</v>
      </c>
      <c r="AQ687" s="30" t="s">
        <v>403</v>
      </c>
      <c r="AR687" s="26" t="s">
        <v>434</v>
      </c>
      <c r="AS687" s="30">
        <v>0</v>
      </c>
      <c r="AT687" s="30">
        <v>0</v>
      </c>
      <c r="AU687" s="27" t="s">
        <v>303</v>
      </c>
      <c r="AV687" s="27" t="s">
        <v>406</v>
      </c>
      <c r="AW687" s="27"/>
      <c r="AX687" s="27"/>
      <c r="AY687" s="27"/>
      <c r="AZ687" s="27"/>
      <c r="BA687" s="26">
        <v>5</v>
      </c>
      <c r="BB687" s="29"/>
      <c r="BC687" s="29"/>
      <c r="BD687" s="29"/>
      <c r="BE687" s="30"/>
      <c r="BF687" s="26"/>
      <c r="BG687" s="27"/>
      <c r="BH687" s="27"/>
      <c r="BI687" s="27"/>
      <c r="BJ687" s="27"/>
      <c r="BK687" s="27"/>
      <c r="BL687" s="27"/>
      <c r="BM687" s="27"/>
      <c r="BN687" s="27"/>
      <c r="BO687" s="26"/>
      <c r="BP687" s="30">
        <v>3.8359999999999999</v>
      </c>
      <c r="BQ687" s="31"/>
      <c r="BR687" s="31"/>
      <c r="BS687" s="31"/>
      <c r="BT687" s="31"/>
      <c r="BU687" s="26"/>
      <c r="BV687" s="30">
        <v>17</v>
      </c>
      <c r="BW687" s="31"/>
      <c r="BX687" s="31"/>
      <c r="BY687" s="31"/>
      <c r="BZ687" s="31"/>
      <c r="CA687" s="31"/>
      <c r="CB687" s="31"/>
      <c r="CC687" s="31"/>
      <c r="CD687" s="31"/>
      <c r="CE687" s="31"/>
      <c r="CF687" s="31"/>
      <c r="CG687" s="31"/>
      <c r="CH687" s="31"/>
      <c r="CI687" s="31"/>
      <c r="CJ687" s="31"/>
      <c r="CK687" s="31"/>
      <c r="CL687" s="31"/>
      <c r="CM687" s="31"/>
      <c r="CN687" s="31"/>
      <c r="CO687" s="31"/>
      <c r="CP687" s="31"/>
      <c r="CQ687" s="31"/>
      <c r="CR687" s="31"/>
      <c r="CS687" s="31"/>
      <c r="CT687" s="31"/>
      <c r="CU687" s="31"/>
      <c r="CV687" s="31"/>
      <c r="CW687" s="31"/>
      <c r="CX687" s="31"/>
      <c r="CY687" s="31"/>
      <c r="CZ687" s="31"/>
      <c r="DA687" s="31"/>
      <c r="DB687" s="31"/>
      <c r="DC687" s="31"/>
      <c r="DD687" s="31"/>
      <c r="DE687" s="31"/>
      <c r="DF687" s="31"/>
      <c r="DG687" s="31"/>
      <c r="DH687" s="31"/>
      <c r="DI687" s="31"/>
      <c r="DJ687" s="31"/>
      <c r="DK687" s="31"/>
      <c r="DL687" s="31"/>
      <c r="DM687" s="31"/>
      <c r="DN687" s="31"/>
      <c r="DO687" s="31"/>
      <c r="DP687" s="31"/>
      <c r="DQ687" s="31"/>
      <c r="DR687" s="31"/>
      <c r="DS687" s="31"/>
      <c r="DT687" s="31"/>
      <c r="DU687" s="31"/>
      <c r="DV687" s="31"/>
      <c r="DW687" s="31"/>
      <c r="DX687" s="31"/>
      <c r="DY687" s="31"/>
      <c r="DZ687" s="31"/>
      <c r="EA687" s="31"/>
      <c r="EB687" s="31"/>
      <c r="EC687" s="31"/>
      <c r="ED687" s="31"/>
      <c r="EE687" s="31"/>
      <c r="EF687" s="31"/>
      <c r="EG687" s="31"/>
      <c r="EH687" s="32"/>
      <c r="EI687" s="32"/>
      <c r="EJ687" s="32"/>
      <c r="EK687" s="32"/>
      <c r="EL687" s="30">
        <f>BP687*BV687</f>
        <v>65.212000000000003</v>
      </c>
      <c r="EM687" s="31"/>
      <c r="EN687" s="31"/>
      <c r="EO687" s="31"/>
      <c r="EP687" s="31"/>
      <c r="EQ687" s="31"/>
      <c r="ER687" s="31"/>
      <c r="ES687" s="31"/>
      <c r="ET687" s="31"/>
      <c r="EU687" s="31"/>
      <c r="EV687" s="31"/>
      <c r="EW687" s="31"/>
      <c r="EX687" s="31"/>
      <c r="EY687" s="31"/>
      <c r="EZ687" s="31"/>
      <c r="FA687" s="31"/>
      <c r="FB687" s="31"/>
      <c r="FC687" s="31"/>
      <c r="FD687" s="31"/>
      <c r="FE687" s="31"/>
      <c r="FF687" s="31"/>
      <c r="FG687" s="31"/>
      <c r="FH687" s="31"/>
      <c r="FI687" s="31"/>
      <c r="FJ687" s="31"/>
      <c r="FK687" s="31"/>
      <c r="FL687" s="31"/>
      <c r="FM687" s="31"/>
      <c r="FN687" s="31"/>
      <c r="FO687" s="31"/>
      <c r="FP687" s="31"/>
      <c r="FQ687" s="31"/>
      <c r="FR687" s="31"/>
      <c r="FS687" s="31"/>
      <c r="FT687" s="31"/>
      <c r="FU687" s="31"/>
      <c r="FV687" s="31"/>
      <c r="FW687" s="31"/>
      <c r="FX687" s="31"/>
      <c r="FY687" s="31"/>
      <c r="FZ687" s="31"/>
      <c r="GA687" s="31"/>
      <c r="GB687" s="31"/>
      <c r="GC687" s="31"/>
      <c r="GD687" s="31"/>
      <c r="GE687" s="31"/>
      <c r="GF687" s="31"/>
      <c r="GG687" s="31"/>
      <c r="GH687" s="31"/>
      <c r="GI687" s="31"/>
      <c r="GJ687" s="31"/>
      <c r="GK687" s="31"/>
      <c r="GL687" s="31"/>
      <c r="GM687" s="31"/>
      <c r="GN687" s="31"/>
      <c r="GO687" s="31"/>
      <c r="GP687" s="32"/>
      <c r="GQ687" s="31"/>
      <c r="GR687" s="31"/>
      <c r="GS687" s="31"/>
      <c r="GT687" s="31"/>
      <c r="GU687" s="31"/>
      <c r="GV687" s="31"/>
      <c r="GW687" s="31"/>
      <c r="GX687" s="31"/>
      <c r="GY687" s="31" t="s">
        <v>309</v>
      </c>
      <c r="GZ687" s="31" t="s">
        <v>436</v>
      </c>
      <c r="HA687" s="31"/>
      <c r="HB687" s="31"/>
      <c r="HC687" s="31" t="s">
        <v>437</v>
      </c>
      <c r="HD687" s="26" t="s">
        <v>7487</v>
      </c>
      <c r="HE687" s="26">
        <v>33787</v>
      </c>
      <c r="HF687" s="26" t="s">
        <v>7488</v>
      </c>
      <c r="HG687" s="27" t="s">
        <v>1200</v>
      </c>
      <c r="HH687" s="27" t="s">
        <v>7489</v>
      </c>
      <c r="HI687" s="26">
        <v>33788</v>
      </c>
      <c r="HJ687" s="27" t="s">
        <v>7490</v>
      </c>
      <c r="HK687" s="27" t="s">
        <v>1200</v>
      </c>
      <c r="HL687" s="27"/>
      <c r="HM687" s="26"/>
      <c r="HN687" s="27"/>
      <c r="HO687" s="27"/>
      <c r="HP687" s="27"/>
      <c r="HQ687" s="27"/>
      <c r="HR687" s="27"/>
      <c r="HS687" s="27"/>
      <c r="HT687" s="27"/>
      <c r="HU687" s="27"/>
      <c r="HV687" s="27"/>
      <c r="HW687" s="27"/>
      <c r="HX687" s="27"/>
      <c r="HY687" s="27"/>
      <c r="HZ687" s="27"/>
      <c r="IA687" s="27"/>
      <c r="IB687" s="26"/>
      <c r="IC687" s="26"/>
      <c r="ID687" s="26"/>
      <c r="IE687" s="26"/>
      <c r="IF687" s="26"/>
      <c r="IG687" s="26"/>
      <c r="IH687" s="26"/>
      <c r="II687" s="26"/>
      <c r="IJ687" s="26"/>
      <c r="IK687" s="26"/>
      <c r="IL687" s="27"/>
      <c r="IM687" s="27"/>
      <c r="IN687" s="27"/>
      <c r="IO687" s="27"/>
      <c r="IP687" s="27"/>
      <c r="IQ687" s="27"/>
      <c r="IR687" s="27"/>
      <c r="IS687" s="27"/>
      <c r="IT687" s="27"/>
      <c r="IU687" s="27"/>
      <c r="IV687" s="27"/>
      <c r="IW687" s="27"/>
      <c r="IX687" s="27"/>
      <c r="IY687" s="27"/>
      <c r="IZ687" s="27"/>
      <c r="JA687" s="27"/>
      <c r="JB687" s="27"/>
      <c r="JC687" s="27"/>
      <c r="JD687" s="27"/>
      <c r="JE687" s="27"/>
      <c r="JF687" s="27"/>
      <c r="JG687" s="27"/>
      <c r="JH687" s="27"/>
      <c r="JI687" s="27"/>
      <c r="JJ687" s="27"/>
      <c r="JK687" s="27"/>
      <c r="JL687" s="27"/>
      <c r="JM687" s="27"/>
      <c r="JN687" s="27"/>
      <c r="JO687" s="27"/>
      <c r="JP687" s="27"/>
      <c r="JQ687" s="27"/>
      <c r="JR687" s="27"/>
      <c r="JS687" s="27"/>
      <c r="JT687" s="27"/>
      <c r="JU687" s="30"/>
      <c r="JV687" s="30" t="s">
        <v>7491</v>
      </c>
      <c r="JW687" s="30"/>
      <c r="JX687" s="30" t="s">
        <v>320</v>
      </c>
      <c r="JY687" s="30"/>
      <c r="JZ687" s="30"/>
      <c r="KA687" s="30"/>
      <c r="KB687" s="30"/>
      <c r="KC687" s="30"/>
      <c r="KD687" s="30"/>
      <c r="KE687" s="30"/>
      <c r="KF687" s="30"/>
      <c r="KG687" s="29" t="s">
        <v>323</v>
      </c>
      <c r="KH687" s="29"/>
      <c r="KI687" s="29"/>
      <c r="KJ687" s="29"/>
      <c r="KK687" s="29"/>
      <c r="KL687" s="29"/>
      <c r="KM687" s="29"/>
      <c r="KN687" s="29"/>
      <c r="KO687" s="29"/>
      <c r="KP687" s="14" t="s">
        <v>7492</v>
      </c>
      <c r="KQ687" s="14" t="s">
        <v>7493</v>
      </c>
      <c r="KR687" s="14" t="s">
        <v>4624</v>
      </c>
      <c r="KS687" s="14" t="s">
        <v>4618</v>
      </c>
      <c r="KT687" s="14" t="s">
        <v>7494</v>
      </c>
    </row>
    <row r="688" spans="1:306" ht="132" x14ac:dyDescent="0.25">
      <c r="A688" s="5" t="s">
        <v>7504</v>
      </c>
      <c r="B688" s="4" t="s">
        <v>383</v>
      </c>
      <c r="C688" s="7" t="s">
        <v>403</v>
      </c>
      <c r="D688" s="8" t="s">
        <v>434</v>
      </c>
      <c r="E688" s="4">
        <v>334456</v>
      </c>
      <c r="G688" s="4" t="s">
        <v>593</v>
      </c>
      <c r="H688" s="6">
        <v>139.6936</v>
      </c>
      <c r="I688" s="6">
        <v>-32.264200000000002</v>
      </c>
      <c r="J688" s="4" t="s">
        <v>7505</v>
      </c>
      <c r="K688" s="4" t="s">
        <v>298</v>
      </c>
      <c r="L688" s="4" t="s">
        <v>689</v>
      </c>
      <c r="Q688" s="8"/>
      <c r="Z688" s="4" t="s">
        <v>424</v>
      </c>
      <c r="AA688" s="7" t="s">
        <v>425</v>
      </c>
      <c r="AB688" s="8" t="s">
        <v>426</v>
      </c>
      <c r="AC688" s="4" t="s">
        <v>301</v>
      </c>
      <c r="AD688" s="4" t="s">
        <v>402</v>
      </c>
      <c r="AE688" s="8">
        <v>471</v>
      </c>
      <c r="AG688" s="9" t="s">
        <v>379</v>
      </c>
      <c r="AH688" s="9" t="s">
        <v>380</v>
      </c>
      <c r="AM688" s="8">
        <v>2</v>
      </c>
      <c r="AN688" s="4" t="s">
        <v>381</v>
      </c>
      <c r="AO688" s="4" t="s">
        <v>375</v>
      </c>
      <c r="AP688" s="4" t="s">
        <v>383</v>
      </c>
      <c r="AQ688" s="7" t="s">
        <v>403</v>
      </c>
      <c r="AR688" s="8" t="s">
        <v>434</v>
      </c>
      <c r="AS688" s="7">
        <v>0</v>
      </c>
      <c r="AT688" s="7">
        <v>0</v>
      </c>
      <c r="AU688" s="9" t="s">
        <v>303</v>
      </c>
      <c r="AV688" s="9" t="s">
        <v>406</v>
      </c>
      <c r="BA688" s="8">
        <v>5</v>
      </c>
      <c r="DZ688" s="31"/>
      <c r="EB688" s="10"/>
      <c r="EL688" s="6">
        <v>3.1320000000000001</v>
      </c>
      <c r="GP688" s="32"/>
      <c r="GY688" s="6" t="s">
        <v>309</v>
      </c>
      <c r="GZ688" s="6" t="s">
        <v>436</v>
      </c>
      <c r="HC688" s="6" t="s">
        <v>437</v>
      </c>
      <c r="HD688" s="8" t="s">
        <v>3044</v>
      </c>
      <c r="HE688" s="8">
        <v>17814</v>
      </c>
      <c r="HF688" s="8" t="s">
        <v>7506</v>
      </c>
      <c r="HG688" s="9" t="s">
        <v>876</v>
      </c>
      <c r="KP688" s="5" t="s">
        <v>358</v>
      </c>
      <c r="KQ688" s="18" t="s">
        <v>1183</v>
      </c>
      <c r="KS688" s="18" t="s">
        <v>1183</v>
      </c>
      <c r="KT688" s="5" t="s">
        <v>7507</v>
      </c>
    </row>
    <row r="689" spans="1:306" ht="264" x14ac:dyDescent="0.25">
      <c r="A689" s="5" t="s">
        <v>7534</v>
      </c>
      <c r="B689" s="4" t="s">
        <v>424</v>
      </c>
      <c r="C689" s="7" t="s">
        <v>425</v>
      </c>
      <c r="D689" s="8" t="s">
        <v>426</v>
      </c>
      <c r="E689" s="4">
        <v>334476</v>
      </c>
      <c r="G689" s="4" t="s">
        <v>530</v>
      </c>
      <c r="H689" s="6">
        <v>130.31</v>
      </c>
      <c r="I689" s="6">
        <v>-20.537199999999999</v>
      </c>
      <c r="J689" s="4" t="s">
        <v>7535</v>
      </c>
      <c r="K689" s="4" t="s">
        <v>481</v>
      </c>
      <c r="L689" s="4" t="s">
        <v>863</v>
      </c>
      <c r="Q689" s="8"/>
      <c r="R689" s="8"/>
      <c r="Z689" s="4" t="s">
        <v>424</v>
      </c>
      <c r="AA689" s="7" t="s">
        <v>425</v>
      </c>
      <c r="AB689" s="8" t="s">
        <v>426</v>
      </c>
      <c r="AC689" s="4" t="s">
        <v>301</v>
      </c>
      <c r="AD689" s="4" t="s">
        <v>375</v>
      </c>
      <c r="AE689" s="8">
        <v>1809</v>
      </c>
      <c r="AF689" s="8"/>
      <c r="AG689" s="9" t="s">
        <v>379</v>
      </c>
      <c r="AH689" s="9" t="s">
        <v>380</v>
      </c>
      <c r="AM689" s="8">
        <v>2</v>
      </c>
      <c r="AN689" s="4" t="s">
        <v>381</v>
      </c>
      <c r="AO689" s="4" t="s">
        <v>382</v>
      </c>
      <c r="AP689" s="4" t="s">
        <v>383</v>
      </c>
      <c r="AQ689" s="7" t="s">
        <v>384</v>
      </c>
      <c r="AR689" s="7" t="s">
        <v>433</v>
      </c>
      <c r="AS689" s="7">
        <v>0</v>
      </c>
      <c r="AT689" s="7">
        <v>0</v>
      </c>
      <c r="AU689" s="9" t="s">
        <v>303</v>
      </c>
      <c r="AV689" s="9" t="s">
        <v>406</v>
      </c>
      <c r="BA689" s="8">
        <v>5</v>
      </c>
      <c r="BQ689" s="7"/>
      <c r="BR689" s="7"/>
      <c r="BS689" s="7"/>
      <c r="BT689" s="7"/>
      <c r="BU689" s="7"/>
      <c r="BV689" s="7"/>
      <c r="DZ689" s="31"/>
      <c r="EL689" s="7">
        <f>29.3+7</f>
        <v>36.299999999999997</v>
      </c>
      <c r="GP689" s="32"/>
      <c r="GY689" s="6" t="s">
        <v>309</v>
      </c>
      <c r="GZ689" s="6" t="s">
        <v>436</v>
      </c>
      <c r="HC689" s="6" t="s">
        <v>437</v>
      </c>
      <c r="HD689" s="8" t="s">
        <v>7536</v>
      </c>
      <c r="HE689" s="8">
        <v>35396</v>
      </c>
      <c r="HF689" s="8" t="s">
        <v>7537</v>
      </c>
      <c r="HG689" s="9" t="s">
        <v>538</v>
      </c>
      <c r="IB689" s="8" t="s">
        <v>7538</v>
      </c>
      <c r="IC689" s="8">
        <v>79306</v>
      </c>
      <c r="ID689" s="8" t="s">
        <v>7539</v>
      </c>
      <c r="IE689" s="8" t="s">
        <v>538</v>
      </c>
      <c r="IF689" s="8" t="s">
        <v>319</v>
      </c>
      <c r="IG689" s="8" t="s">
        <v>7540</v>
      </c>
      <c r="IH689" s="8">
        <v>18039</v>
      </c>
      <c r="II689" s="8" t="s">
        <v>7541</v>
      </c>
      <c r="IJ689" s="8" t="s">
        <v>538</v>
      </c>
      <c r="IK689" s="8" t="s">
        <v>319</v>
      </c>
      <c r="IW689" s="8"/>
      <c r="JB689" s="8"/>
      <c r="JV689" s="7" t="s">
        <v>7542</v>
      </c>
      <c r="JX689" s="7" t="s">
        <v>322</v>
      </c>
      <c r="JY689" s="7" t="s">
        <v>354</v>
      </c>
      <c r="JZ689" s="7" t="s">
        <v>320</v>
      </c>
      <c r="KA689" s="7" t="s">
        <v>470</v>
      </c>
      <c r="KB689" s="7" t="s">
        <v>353</v>
      </c>
      <c r="KG689" s="4" t="s">
        <v>323</v>
      </c>
      <c r="KP689" s="5" t="s">
        <v>358</v>
      </c>
      <c r="KQ689" s="5" t="s">
        <v>7543</v>
      </c>
      <c r="KS689" s="5" t="s">
        <v>7544</v>
      </c>
      <c r="KT689" s="5" t="s">
        <v>7545</v>
      </c>
    </row>
    <row r="690" spans="1:306" ht="72" x14ac:dyDescent="0.25">
      <c r="A690" s="5" t="s">
        <v>7574</v>
      </c>
      <c r="B690" s="4" t="s">
        <v>424</v>
      </c>
      <c r="C690" s="7" t="s">
        <v>425</v>
      </c>
      <c r="D690" s="8" t="s">
        <v>426</v>
      </c>
      <c r="E690" s="4">
        <v>333396</v>
      </c>
      <c r="G690" s="4" t="s">
        <v>479</v>
      </c>
      <c r="H690" s="6">
        <v>139.92443800000001</v>
      </c>
      <c r="I690" s="6">
        <v>-21.650413</v>
      </c>
      <c r="J690" s="4" t="s">
        <v>7574</v>
      </c>
      <c r="K690" s="4" t="s">
        <v>481</v>
      </c>
      <c r="L690" s="4" t="s">
        <v>651</v>
      </c>
      <c r="M690" s="4" t="s">
        <v>652</v>
      </c>
      <c r="Q690" s="4"/>
      <c r="R690" s="4"/>
      <c r="S690" s="4"/>
      <c r="T690" s="4"/>
      <c r="U690" s="4"/>
      <c r="V690" s="4"/>
      <c r="W690" s="4"/>
      <c r="Z690" s="4" t="s">
        <v>424</v>
      </c>
      <c r="AA690" s="7" t="s">
        <v>425</v>
      </c>
      <c r="AB690" s="8" t="s">
        <v>426</v>
      </c>
      <c r="AC690" s="4" t="s">
        <v>301</v>
      </c>
      <c r="AD690" s="4" t="s">
        <v>302</v>
      </c>
      <c r="AE690" s="4">
        <v>1522.5</v>
      </c>
      <c r="AF690" s="4">
        <v>2.5</v>
      </c>
      <c r="AG690" s="4" t="s">
        <v>303</v>
      </c>
      <c r="AH690" s="4" t="s">
        <v>335</v>
      </c>
      <c r="AI690" s="4" t="s">
        <v>373</v>
      </c>
      <c r="AJ690" s="4" t="s">
        <v>306</v>
      </c>
      <c r="AK690" s="4" t="s">
        <v>7575</v>
      </c>
      <c r="AL690" s="9" t="s">
        <v>308</v>
      </c>
      <c r="AM690" s="8">
        <v>4</v>
      </c>
      <c r="BP690" s="7">
        <v>0.70599999999999996</v>
      </c>
      <c r="BQ690" s="4"/>
      <c r="BR690" s="4"/>
      <c r="BS690" s="4"/>
      <c r="BT690" s="4"/>
      <c r="BU690" s="4"/>
      <c r="BV690" s="4">
        <v>22.6</v>
      </c>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31"/>
      <c r="EA690" s="4"/>
      <c r="EB690" s="4"/>
      <c r="EC690" s="4"/>
      <c r="ED690" s="4"/>
      <c r="EE690" s="4"/>
      <c r="EF690" s="4"/>
      <c r="EG690" s="4"/>
      <c r="EL690" s="6">
        <f>BP690*BV690</f>
        <v>15.9556</v>
      </c>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32"/>
      <c r="GQ690" s="4"/>
      <c r="GR690" s="4"/>
      <c r="GS690" s="4"/>
      <c r="GT690" s="4"/>
      <c r="GU690" s="4"/>
      <c r="GV690" s="4"/>
      <c r="GW690" s="4"/>
      <c r="GX690" s="4"/>
      <c r="GY690" s="4" t="s">
        <v>338</v>
      </c>
      <c r="GZ690" s="4" t="s">
        <v>436</v>
      </c>
      <c r="HA690" s="4"/>
      <c r="HB690" s="4"/>
      <c r="HC690" s="4" t="s">
        <v>437</v>
      </c>
      <c r="HD690" s="4" t="s">
        <v>7576</v>
      </c>
      <c r="HE690" s="8">
        <v>27702</v>
      </c>
      <c r="HF690" s="4" t="s">
        <v>7577</v>
      </c>
      <c r="HG690" s="4" t="s">
        <v>490</v>
      </c>
      <c r="HH690" s="4" t="s">
        <v>2965</v>
      </c>
      <c r="HI690" s="4">
        <v>4727</v>
      </c>
      <c r="HJ690" s="4" t="s">
        <v>7578</v>
      </c>
      <c r="HK690" s="4" t="s">
        <v>490</v>
      </c>
      <c r="HL690" s="4" t="s">
        <v>7579</v>
      </c>
      <c r="HM690" s="8">
        <v>585</v>
      </c>
      <c r="HN690" s="4" t="s">
        <v>7580</v>
      </c>
      <c r="HO690" s="4" t="s">
        <v>490</v>
      </c>
      <c r="HP690" s="4"/>
      <c r="HR690" s="4"/>
      <c r="HS690" s="4"/>
      <c r="HT690" s="4"/>
      <c r="HU690" s="4"/>
      <c r="HV690" s="4"/>
      <c r="HW690" s="4"/>
      <c r="HX690" s="4"/>
      <c r="HY690" s="4"/>
      <c r="HZ690" s="4"/>
      <c r="IA690" s="4"/>
      <c r="IB690" s="4"/>
      <c r="ID690" s="4" t="s">
        <v>702</v>
      </c>
      <c r="IE690" s="4" t="s">
        <v>538</v>
      </c>
      <c r="IF690" s="4" t="s">
        <v>329</v>
      </c>
      <c r="IG690" s="4" t="s">
        <v>7581</v>
      </c>
      <c r="IH690" s="4">
        <v>76898</v>
      </c>
      <c r="II690" s="4" t="s">
        <v>7582</v>
      </c>
      <c r="IJ690" s="4" t="s">
        <v>538</v>
      </c>
      <c r="IK690" s="4" t="s">
        <v>329</v>
      </c>
      <c r="IL690" s="4"/>
      <c r="IN690" s="4" t="s">
        <v>7583</v>
      </c>
      <c r="IO690" s="4" t="s">
        <v>538</v>
      </c>
      <c r="IP690" s="4" t="s">
        <v>329</v>
      </c>
      <c r="IQ690" s="4"/>
      <c r="IR690" s="4"/>
      <c r="IS690" s="4" t="s">
        <v>7584</v>
      </c>
      <c r="IT690" s="4" t="s">
        <v>487</v>
      </c>
      <c r="IU690" s="4" t="s">
        <v>329</v>
      </c>
      <c r="IV690" s="4"/>
      <c r="IW690" s="4"/>
      <c r="IX690" s="4"/>
      <c r="IY690" s="4"/>
      <c r="IZ690" s="4"/>
      <c r="JA690" s="4"/>
      <c r="JB690" s="4"/>
      <c r="JC690" s="4"/>
      <c r="JD690" s="4"/>
      <c r="JE690" s="4"/>
      <c r="JF690" s="4"/>
      <c r="JG690" s="4"/>
      <c r="JH690" s="4"/>
      <c r="JI690" s="4"/>
      <c r="JJ690" s="4"/>
      <c r="JK690" s="4"/>
      <c r="JL690" s="4"/>
      <c r="JM690" s="4"/>
      <c r="JN690" s="4"/>
      <c r="JO690" s="4"/>
      <c r="JP690" s="4"/>
      <c r="JQ690" s="4"/>
      <c r="JR690" s="4"/>
      <c r="JS690" s="4"/>
      <c r="JT690" s="4"/>
      <c r="JU690" s="4"/>
      <c r="JV690" s="4" t="s">
        <v>7585</v>
      </c>
      <c r="JW690" s="4"/>
      <c r="JX690" s="4" t="s">
        <v>320</v>
      </c>
      <c r="JY690" s="4" t="s">
        <v>448</v>
      </c>
      <c r="JZ690" s="4" t="s">
        <v>322</v>
      </c>
      <c r="KA690" s="4"/>
      <c r="KB690" s="4"/>
      <c r="KC690" s="4"/>
      <c r="KD690" s="4"/>
      <c r="KE690" s="4"/>
      <c r="KF690" s="4"/>
      <c r="KG690" s="4" t="s">
        <v>323</v>
      </c>
      <c r="KM690" s="4" t="s">
        <v>702</v>
      </c>
      <c r="KN690" s="4" t="s">
        <v>702</v>
      </c>
      <c r="KP690" s="5" t="s">
        <v>358</v>
      </c>
      <c r="KQ690" s="5" t="s">
        <v>7586</v>
      </c>
      <c r="KR690" s="5" t="s">
        <v>7587</v>
      </c>
      <c r="KS690" s="5" t="s">
        <v>7588</v>
      </c>
      <c r="KT690" s="5" t="s">
        <v>7589</v>
      </c>
    </row>
    <row r="691" spans="1:306" ht="96" x14ac:dyDescent="0.25">
      <c r="A691" s="5" t="s">
        <v>7605</v>
      </c>
      <c r="B691" s="4" t="s">
        <v>424</v>
      </c>
      <c r="C691" s="7" t="s">
        <v>425</v>
      </c>
      <c r="D691" s="8" t="s">
        <v>426</v>
      </c>
      <c r="E691" s="4">
        <v>595160</v>
      </c>
      <c r="G691" s="4" t="s">
        <v>427</v>
      </c>
      <c r="H691" s="6">
        <v>148.21856744799999</v>
      </c>
      <c r="I691" s="6">
        <v>-32.607878874999997</v>
      </c>
      <c r="J691" s="4" t="s">
        <v>7606</v>
      </c>
      <c r="K691" s="4" t="s">
        <v>298</v>
      </c>
      <c r="L691" s="4" t="s">
        <v>299</v>
      </c>
      <c r="M691" s="4" t="s">
        <v>1359</v>
      </c>
      <c r="Q691" s="8"/>
      <c r="R691" s="8"/>
      <c r="Z691" s="4" t="s">
        <v>424</v>
      </c>
      <c r="AA691" s="7" t="s">
        <v>425</v>
      </c>
      <c r="AB691" s="8" t="s">
        <v>426</v>
      </c>
      <c r="AC691" s="4" t="s">
        <v>301</v>
      </c>
      <c r="AD691" s="4" t="s">
        <v>302</v>
      </c>
      <c r="AE691" s="8">
        <v>392</v>
      </c>
      <c r="AF691" s="8">
        <v>21</v>
      </c>
      <c r="AG691" s="9" t="s">
        <v>379</v>
      </c>
      <c r="AH691" s="9" t="s">
        <v>429</v>
      </c>
      <c r="AI691" s="9" t="s">
        <v>845</v>
      </c>
      <c r="AJ691" s="9" t="s">
        <v>431</v>
      </c>
      <c r="AK691" s="9" t="s">
        <v>7607</v>
      </c>
      <c r="AM691" s="8">
        <v>3</v>
      </c>
      <c r="AS691" s="7"/>
      <c r="AT691" s="7"/>
      <c r="BP691" s="7">
        <f>6.271+0.10706+0.157146+9.449+14.94</f>
        <v>30.924205999999998</v>
      </c>
      <c r="BV691" s="6">
        <f>(1.95*6.271+1.94*0.10706+2.79*0.157146+1.9*9.449+1.87*14.94)/(6.271+0.10706+0.157146+9.449+14.94)</f>
        <v>1.9003069550112297</v>
      </c>
      <c r="DZ691" s="31"/>
      <c r="EL691" s="7">
        <f>(20711+69612+67812+68836+78533+48960+33507+56958+66802+70253)*31.1/1000000+5.519*2.3+20.737*1.9</f>
        <v>70.193702399999992</v>
      </c>
      <c r="GP691" s="32"/>
      <c r="GY691" s="6" t="s">
        <v>435</v>
      </c>
      <c r="GZ691" s="6" t="s">
        <v>436</v>
      </c>
      <c r="HC691" s="6" t="s">
        <v>437</v>
      </c>
      <c r="HD691" s="8" t="s">
        <v>7608</v>
      </c>
      <c r="HE691" s="8">
        <v>27687</v>
      </c>
      <c r="HF691" s="8" t="s">
        <v>7609</v>
      </c>
      <c r="HG691" s="8" t="s">
        <v>1550</v>
      </c>
      <c r="IB691" s="8" t="s">
        <v>7608</v>
      </c>
      <c r="IC691" s="8">
        <v>27687</v>
      </c>
      <c r="ID691" s="8" t="s">
        <v>7609</v>
      </c>
      <c r="IE691" s="8" t="s">
        <v>1550</v>
      </c>
      <c r="IF691" s="8" t="s">
        <v>445</v>
      </c>
      <c r="IG691" s="8" t="s">
        <v>7610</v>
      </c>
      <c r="II691" s="9" t="s">
        <v>2697</v>
      </c>
      <c r="IJ691" s="9"/>
      <c r="IK691" s="9" t="s">
        <v>350</v>
      </c>
      <c r="IL691" s="8" t="s">
        <v>7610</v>
      </c>
      <c r="IN691" s="8" t="s">
        <v>7611</v>
      </c>
      <c r="IO691" s="8" t="s">
        <v>318</v>
      </c>
      <c r="IP691" s="9" t="s">
        <v>350</v>
      </c>
      <c r="IW691" s="8"/>
      <c r="JB691" s="8"/>
      <c r="JV691" s="7" t="s">
        <v>7612</v>
      </c>
      <c r="JX691" s="7" t="s">
        <v>320</v>
      </c>
      <c r="KG691" s="4" t="s">
        <v>323</v>
      </c>
      <c r="KM691" s="4" t="s">
        <v>391</v>
      </c>
      <c r="KN691" s="4" t="s">
        <v>391</v>
      </c>
      <c r="KP691" s="5" t="s">
        <v>7613</v>
      </c>
      <c r="KQ691" s="5" t="s">
        <v>7614</v>
      </c>
      <c r="KR691" s="5" t="s">
        <v>449</v>
      </c>
      <c r="KS691" s="5" t="s">
        <v>7615</v>
      </c>
      <c r="KT691" s="5" t="s">
        <v>7616</v>
      </c>
    </row>
    <row r="692" spans="1:306" ht="144" x14ac:dyDescent="0.25">
      <c r="A692" s="5" t="s">
        <v>7623</v>
      </c>
      <c r="B692" s="4" t="s">
        <v>424</v>
      </c>
      <c r="C692" s="7" t="s">
        <v>425</v>
      </c>
      <c r="D692" s="8" t="s">
        <v>426</v>
      </c>
      <c r="E692" s="4">
        <v>335292</v>
      </c>
      <c r="G692" s="4" t="s">
        <v>530</v>
      </c>
      <c r="H692" s="6">
        <v>131.5608</v>
      </c>
      <c r="I692" s="6">
        <v>-12.831</v>
      </c>
      <c r="K692" s="4" t="s">
        <v>481</v>
      </c>
      <c r="L692" s="4" t="s">
        <v>532</v>
      </c>
      <c r="Q692" s="8"/>
      <c r="R692" s="8"/>
      <c r="Z692" s="4" t="s">
        <v>424</v>
      </c>
      <c r="AA692" s="7" t="s">
        <v>425</v>
      </c>
      <c r="AB692" s="8" t="s">
        <v>426</v>
      </c>
      <c r="AC692" s="4" t="s">
        <v>301</v>
      </c>
      <c r="AD692" s="4" t="s">
        <v>375</v>
      </c>
      <c r="AE692" s="8">
        <v>1780</v>
      </c>
      <c r="AF692" s="8">
        <v>10</v>
      </c>
      <c r="AG692" s="9" t="s">
        <v>379</v>
      </c>
      <c r="AH692" s="9" t="s">
        <v>335</v>
      </c>
      <c r="AI692" s="9" t="s">
        <v>504</v>
      </c>
      <c r="AJ692" s="9" t="s">
        <v>306</v>
      </c>
      <c r="AK692" s="9" t="s">
        <v>307</v>
      </c>
      <c r="AL692" s="9" t="s">
        <v>337</v>
      </c>
      <c r="AM692" s="8">
        <v>4</v>
      </c>
      <c r="AN692" s="4" t="s">
        <v>381</v>
      </c>
      <c r="AO692" s="4" t="s">
        <v>382</v>
      </c>
      <c r="AP692" s="4" t="s">
        <v>383</v>
      </c>
      <c r="AQ692" s="7" t="s">
        <v>384</v>
      </c>
      <c r="AR692" s="7" t="s">
        <v>433</v>
      </c>
      <c r="AS692" s="7">
        <v>0</v>
      </c>
      <c r="AT692" s="7">
        <v>0</v>
      </c>
      <c r="AU692" s="9" t="s">
        <v>303</v>
      </c>
      <c r="AV692" s="9" t="s">
        <v>406</v>
      </c>
      <c r="BA692" s="8">
        <v>5</v>
      </c>
      <c r="BP692" s="7">
        <f>2.5+0.512</f>
        <v>3.012</v>
      </c>
      <c r="BU692" s="6"/>
      <c r="BV692" s="7">
        <f>(0.512*8.13+2.5*6.3)/(0.512+2.5)</f>
        <v>6.6110756972111551</v>
      </c>
      <c r="DZ692" s="31"/>
      <c r="EL692" s="7">
        <f>BP692*BV692</f>
        <v>19.912559999999999</v>
      </c>
      <c r="EY692" s="6"/>
      <c r="FA692" s="6"/>
      <c r="GP692" s="32"/>
      <c r="GY692" s="6" t="s">
        <v>435</v>
      </c>
      <c r="GZ692" s="6" t="s">
        <v>436</v>
      </c>
      <c r="HC692" s="6" t="s">
        <v>437</v>
      </c>
      <c r="HD692" s="8" t="s">
        <v>3379</v>
      </c>
      <c r="HE692" s="8">
        <v>24105</v>
      </c>
      <c r="HF692" s="8" t="s">
        <v>4299</v>
      </c>
      <c r="HG692" s="9" t="s">
        <v>538</v>
      </c>
      <c r="HY692" s="9"/>
      <c r="IB692" s="8" t="s">
        <v>7624</v>
      </c>
      <c r="IC692" s="8">
        <v>12554</v>
      </c>
      <c r="ID692" s="8" t="s">
        <v>7625</v>
      </c>
      <c r="IE692" s="8" t="s">
        <v>538</v>
      </c>
      <c r="IF692" s="8" t="s">
        <v>1578</v>
      </c>
      <c r="IW692" s="8"/>
      <c r="JB692" s="8"/>
      <c r="JX692" s="7" t="s">
        <v>320</v>
      </c>
      <c r="JY692" s="7" t="s">
        <v>354</v>
      </c>
      <c r="JZ692" s="7" t="s">
        <v>322</v>
      </c>
      <c r="KG692" s="4" t="s">
        <v>323</v>
      </c>
      <c r="KM692" s="4" t="s">
        <v>836</v>
      </c>
      <c r="KN692" s="4" t="s">
        <v>836</v>
      </c>
      <c r="KP692" s="5" t="s">
        <v>358</v>
      </c>
      <c r="KQ692" s="5" t="s">
        <v>7626</v>
      </c>
      <c r="KR692" s="5" t="s">
        <v>7627</v>
      </c>
      <c r="KS692" s="5" t="s">
        <v>6779</v>
      </c>
      <c r="KT692" s="5" t="s">
        <v>7628</v>
      </c>
    </row>
    <row r="693" spans="1:306" ht="48" x14ac:dyDescent="0.25">
      <c r="A693" s="5" t="s">
        <v>7657</v>
      </c>
      <c r="B693" s="4" t="s">
        <v>424</v>
      </c>
      <c r="C693" s="7" t="s">
        <v>425</v>
      </c>
      <c r="D693" s="8" t="s">
        <v>426</v>
      </c>
      <c r="E693" s="4">
        <v>333392</v>
      </c>
      <c r="G693" s="4" t="s">
        <v>330</v>
      </c>
      <c r="H693" s="6">
        <v>121.3228</v>
      </c>
      <c r="I693" s="6">
        <v>-28.897600000000001</v>
      </c>
      <c r="J693" s="4" t="s">
        <v>3851</v>
      </c>
      <c r="K693" s="4" t="s">
        <v>331</v>
      </c>
      <c r="L693" s="4" t="s">
        <v>500</v>
      </c>
      <c r="M693" s="4" t="s">
        <v>501</v>
      </c>
      <c r="Q693" s="8"/>
      <c r="R693" s="8"/>
      <c r="Z693" s="4" t="s">
        <v>424</v>
      </c>
      <c r="AA693" s="7" t="s">
        <v>425</v>
      </c>
      <c r="AB693" s="8" t="s">
        <v>426</v>
      </c>
      <c r="AC693" s="4" t="s">
        <v>301</v>
      </c>
      <c r="AD693" s="4" t="s">
        <v>375</v>
      </c>
      <c r="AE693" s="8">
        <v>2640</v>
      </c>
      <c r="AF693" s="8">
        <v>5</v>
      </c>
      <c r="AG693" s="9" t="s">
        <v>379</v>
      </c>
      <c r="AH693" s="9" t="s">
        <v>335</v>
      </c>
      <c r="AI693" s="9" t="s">
        <v>504</v>
      </c>
      <c r="AJ693" s="9" t="s">
        <v>306</v>
      </c>
      <c r="AK693" s="9" t="s">
        <v>307</v>
      </c>
      <c r="AL693" s="9" t="s">
        <v>337</v>
      </c>
      <c r="AM693" s="8">
        <v>4</v>
      </c>
      <c r="AN693" s="4" t="s">
        <v>381</v>
      </c>
      <c r="AO693" s="4" t="s">
        <v>382</v>
      </c>
      <c r="AP693" s="4" t="s">
        <v>383</v>
      </c>
      <c r="AQ693" s="7" t="s">
        <v>384</v>
      </c>
      <c r="AR693" s="7" t="s">
        <v>433</v>
      </c>
      <c r="AS693" s="7">
        <v>0</v>
      </c>
      <c r="AT693" s="7">
        <v>0</v>
      </c>
      <c r="AU693" s="4" t="s">
        <v>303</v>
      </c>
      <c r="AV693" s="4" t="s">
        <v>406</v>
      </c>
      <c r="AW693" s="4"/>
      <c r="AX693" s="4"/>
      <c r="AY693" s="4"/>
      <c r="AZ693" s="4"/>
      <c r="BA693" s="8">
        <v>5</v>
      </c>
      <c r="BG693" s="8"/>
      <c r="BH693" s="8"/>
      <c r="DZ693" s="31"/>
      <c r="EL693" s="8">
        <v>52.88</v>
      </c>
      <c r="GP693" s="32"/>
      <c r="GY693" s="6" t="s">
        <v>338</v>
      </c>
      <c r="GZ693" s="6" t="s">
        <v>436</v>
      </c>
      <c r="HC693" s="6" t="s">
        <v>437</v>
      </c>
      <c r="HF693" s="8" t="s">
        <v>3852</v>
      </c>
      <c r="HG693" s="9" t="s">
        <v>507</v>
      </c>
      <c r="ID693" s="8" t="s">
        <v>3852</v>
      </c>
      <c r="IE693" s="9" t="s">
        <v>507</v>
      </c>
      <c r="IF693" s="9" t="s">
        <v>445</v>
      </c>
      <c r="IR693" s="9"/>
      <c r="JV693" s="7" t="s">
        <v>7658</v>
      </c>
      <c r="JX693" s="7" t="s">
        <v>320</v>
      </c>
      <c r="KG693" s="4" t="s">
        <v>323</v>
      </c>
      <c r="KM693" s="4" t="s">
        <v>702</v>
      </c>
      <c r="KN693" s="4" t="s">
        <v>702</v>
      </c>
      <c r="KP693" s="5" t="s">
        <v>358</v>
      </c>
      <c r="KQ693" s="5" t="s">
        <v>7659</v>
      </c>
      <c r="KR693" s="5" t="s">
        <v>7660</v>
      </c>
      <c r="KS693" s="5" t="s">
        <v>3856</v>
      </c>
      <c r="KT693" s="5" t="s">
        <v>7661</v>
      </c>
    </row>
    <row r="694" spans="1:306" ht="84" x14ac:dyDescent="0.25">
      <c r="A694" s="5" t="s">
        <v>7668</v>
      </c>
      <c r="B694" s="4" t="s">
        <v>424</v>
      </c>
      <c r="C694" s="7" t="s">
        <v>425</v>
      </c>
      <c r="D694" s="8" t="s">
        <v>426</v>
      </c>
      <c r="E694" s="4">
        <v>518033</v>
      </c>
      <c r="G694" s="4" t="s">
        <v>330</v>
      </c>
      <c r="H694" s="6">
        <v>119.3205</v>
      </c>
      <c r="I694" s="6">
        <v>-31.2698</v>
      </c>
      <c r="J694" s="4" t="s">
        <v>1811</v>
      </c>
      <c r="K694" s="4" t="s">
        <v>331</v>
      </c>
      <c r="L694" s="4" t="s">
        <v>500</v>
      </c>
      <c r="M694" s="4" t="s">
        <v>676</v>
      </c>
      <c r="N694" s="4" t="s">
        <v>1811</v>
      </c>
      <c r="Q694" s="8"/>
      <c r="R694" s="8"/>
      <c r="Z694" s="4" t="s">
        <v>424</v>
      </c>
      <c r="AA694" s="7" t="s">
        <v>425</v>
      </c>
      <c r="AB694" s="8" t="s">
        <v>426</v>
      </c>
      <c r="AC694" s="4" t="s">
        <v>301</v>
      </c>
      <c r="AD694" s="4" t="s">
        <v>375</v>
      </c>
      <c r="AE694" s="8">
        <v>2633</v>
      </c>
      <c r="AF694" s="8">
        <v>3</v>
      </c>
      <c r="AG694" s="9" t="s">
        <v>379</v>
      </c>
      <c r="AH694" s="9" t="s">
        <v>335</v>
      </c>
      <c r="AI694" s="9" t="s">
        <v>373</v>
      </c>
      <c r="AJ694" s="9" t="s">
        <v>306</v>
      </c>
      <c r="AK694" s="9" t="s">
        <v>307</v>
      </c>
      <c r="AL694" s="9" t="s">
        <v>337</v>
      </c>
      <c r="AM694" s="8">
        <v>4</v>
      </c>
      <c r="AN694" s="4" t="s">
        <v>381</v>
      </c>
      <c r="AO694" s="4" t="s">
        <v>382</v>
      </c>
      <c r="AP694" s="4" t="s">
        <v>383</v>
      </c>
      <c r="AQ694" s="7" t="s">
        <v>384</v>
      </c>
      <c r="AR694" s="7" t="s">
        <v>433</v>
      </c>
      <c r="AS694" s="7">
        <v>0</v>
      </c>
      <c r="AT694" s="7">
        <v>0</v>
      </c>
      <c r="AU694" s="4" t="s">
        <v>303</v>
      </c>
      <c r="AV694" s="4" t="s">
        <v>406</v>
      </c>
      <c r="AW694" s="4"/>
      <c r="AX694" s="4"/>
      <c r="AY694" s="4"/>
      <c r="AZ694" s="4"/>
      <c r="BA694" s="8">
        <v>5</v>
      </c>
      <c r="BG694" s="8"/>
      <c r="BH694" s="8"/>
      <c r="BP694" s="7">
        <v>8.8681230000000006</v>
      </c>
      <c r="BV694" s="7">
        <v>3.813633584017722</v>
      </c>
      <c r="DZ694" s="31"/>
      <c r="EL694" s="7">
        <v>33.819771699999997</v>
      </c>
      <c r="FA694" s="6"/>
      <c r="GP694" s="32"/>
      <c r="GY694" s="6" t="s">
        <v>338</v>
      </c>
      <c r="GZ694" s="6" t="s">
        <v>436</v>
      </c>
      <c r="HC694" s="6" t="s">
        <v>437</v>
      </c>
      <c r="HD694" s="8" t="s">
        <v>6174</v>
      </c>
      <c r="HE694" s="8">
        <v>23744</v>
      </c>
      <c r="HF694" s="8" t="s">
        <v>7669</v>
      </c>
      <c r="HG694" s="9" t="s">
        <v>507</v>
      </c>
      <c r="HH694" s="8" t="s">
        <v>6174</v>
      </c>
      <c r="HI694" s="8">
        <v>23744</v>
      </c>
      <c r="HJ694" s="9" t="s">
        <v>7670</v>
      </c>
      <c r="HK694" s="9" t="s">
        <v>507</v>
      </c>
      <c r="IB694" s="8" t="s">
        <v>6174</v>
      </c>
      <c r="IC694" s="8">
        <v>23744</v>
      </c>
      <c r="ID694" s="8" t="s">
        <v>7669</v>
      </c>
      <c r="IE694" s="9" t="s">
        <v>507</v>
      </c>
      <c r="IF694" s="9" t="s">
        <v>445</v>
      </c>
      <c r="IM694" s="9"/>
      <c r="IR694" s="9"/>
      <c r="JV694" s="7" t="s">
        <v>7671</v>
      </c>
      <c r="JW694" s="7" t="s">
        <v>910</v>
      </c>
      <c r="JX694" s="7" t="s">
        <v>322</v>
      </c>
      <c r="JY694" s="7" t="s">
        <v>354</v>
      </c>
      <c r="JZ694" s="7" t="s">
        <v>320</v>
      </c>
      <c r="KG694" s="4" t="s">
        <v>323</v>
      </c>
      <c r="KM694" s="4" t="s">
        <v>522</v>
      </c>
      <c r="KN694" s="4" t="s">
        <v>1439</v>
      </c>
      <c r="KP694" s="5" t="s">
        <v>358</v>
      </c>
      <c r="KQ694" s="5" t="s">
        <v>7672</v>
      </c>
      <c r="KR694" s="5" t="s">
        <v>7673</v>
      </c>
      <c r="KS694" s="5" t="s">
        <v>7674</v>
      </c>
      <c r="KT694" s="5" t="s">
        <v>7675</v>
      </c>
    </row>
    <row r="695" spans="1:306" ht="132" x14ac:dyDescent="0.25">
      <c r="A695" s="5" t="s">
        <v>7676</v>
      </c>
      <c r="B695" s="4" t="s">
        <v>424</v>
      </c>
      <c r="C695" s="7" t="s">
        <v>425</v>
      </c>
      <c r="D695" s="8" t="s">
        <v>426</v>
      </c>
      <c r="E695" s="4">
        <v>336015</v>
      </c>
      <c r="G695" s="4" t="s">
        <v>479</v>
      </c>
      <c r="H695" s="6">
        <v>144.548913</v>
      </c>
      <c r="I695" s="6">
        <v>-16.581776999999999</v>
      </c>
      <c r="J695" s="4" t="s">
        <v>1019</v>
      </c>
      <c r="K695" s="4" t="s">
        <v>298</v>
      </c>
      <c r="L695" s="4" t="s">
        <v>1018</v>
      </c>
      <c r="M695" s="4" t="s">
        <v>1019</v>
      </c>
      <c r="Q695" s="8"/>
      <c r="R695" s="8"/>
      <c r="S695" s="4"/>
      <c r="Z695" s="4" t="s">
        <v>424</v>
      </c>
      <c r="AA695" s="7" t="s">
        <v>425</v>
      </c>
      <c r="AB695" s="8" t="s">
        <v>426</v>
      </c>
      <c r="AC695" s="4" t="s">
        <v>301</v>
      </c>
      <c r="AE695" s="8">
        <v>340</v>
      </c>
      <c r="AF695" s="8"/>
      <c r="AG695" s="4" t="s">
        <v>379</v>
      </c>
      <c r="AH695" s="9" t="s">
        <v>1156</v>
      </c>
      <c r="AM695" s="8">
        <v>2</v>
      </c>
      <c r="BP695" s="7">
        <v>4.5</v>
      </c>
      <c r="BV695" s="7">
        <v>1.6</v>
      </c>
      <c r="DZ695" s="31"/>
      <c r="EL695" s="7">
        <f>BP695*BV695</f>
        <v>7.2</v>
      </c>
      <c r="EY695" s="6"/>
      <c r="FA695" s="6"/>
      <c r="GP695" s="32"/>
      <c r="GY695" s="31" t="s">
        <v>407</v>
      </c>
      <c r="GZ695" s="6" t="s">
        <v>436</v>
      </c>
      <c r="HC695" s="6" t="s">
        <v>437</v>
      </c>
      <c r="HD695" s="8" t="s">
        <v>1023</v>
      </c>
      <c r="HE695" s="8">
        <v>8404</v>
      </c>
      <c r="HF695" s="8" t="s">
        <v>1024</v>
      </c>
      <c r="HG695" s="8" t="s">
        <v>1025</v>
      </c>
      <c r="HY695" s="9"/>
      <c r="IR695" s="9"/>
      <c r="JV695" s="7" t="s">
        <v>7677</v>
      </c>
      <c r="JX695" s="7" t="s">
        <v>320</v>
      </c>
      <c r="KG695" s="4" t="s">
        <v>323</v>
      </c>
      <c r="KM695" s="4" t="s">
        <v>391</v>
      </c>
      <c r="KN695" s="4" t="s">
        <v>391</v>
      </c>
      <c r="KP695" s="5" t="s">
        <v>358</v>
      </c>
      <c r="KQ695" s="5" t="s">
        <v>6294</v>
      </c>
      <c r="KS695" s="5" t="s">
        <v>6294</v>
      </c>
      <c r="KT695" s="5" t="s">
        <v>6295</v>
      </c>
    </row>
    <row r="696" spans="1:306" ht="84" x14ac:dyDescent="0.25">
      <c r="A696" s="5" t="s">
        <v>7678</v>
      </c>
      <c r="B696" s="4" t="s">
        <v>424</v>
      </c>
      <c r="C696" s="7" t="s">
        <v>425</v>
      </c>
      <c r="D696" s="8" t="s">
        <v>426</v>
      </c>
      <c r="E696" s="4">
        <v>361059</v>
      </c>
      <c r="G696" s="4" t="s">
        <v>330</v>
      </c>
      <c r="H696" s="6">
        <v>121.7313</v>
      </c>
      <c r="I696" s="6">
        <v>-31.725000000000001</v>
      </c>
      <c r="J696" s="4" t="s">
        <v>2099</v>
      </c>
      <c r="K696" s="4" t="s">
        <v>331</v>
      </c>
      <c r="L696" s="4" t="s">
        <v>500</v>
      </c>
      <c r="M696" s="4" t="s">
        <v>501</v>
      </c>
      <c r="N696" s="4" t="s">
        <v>1061</v>
      </c>
      <c r="Q696" s="8"/>
      <c r="R696" s="8"/>
      <c r="Z696" s="4" t="s">
        <v>424</v>
      </c>
      <c r="AA696" s="7" t="s">
        <v>425</v>
      </c>
      <c r="AB696" s="8" t="s">
        <v>426</v>
      </c>
      <c r="AC696" s="4" t="s">
        <v>301</v>
      </c>
      <c r="AD696" s="4" t="s">
        <v>375</v>
      </c>
      <c r="AE696" s="8">
        <v>2644</v>
      </c>
      <c r="AF696" s="8"/>
      <c r="AG696" s="9" t="s">
        <v>379</v>
      </c>
      <c r="AH696" s="9" t="s">
        <v>1156</v>
      </c>
      <c r="AM696" s="8">
        <v>2</v>
      </c>
      <c r="AN696" s="4" t="s">
        <v>381</v>
      </c>
      <c r="AO696" s="4" t="s">
        <v>382</v>
      </c>
      <c r="AP696" s="4" t="s">
        <v>383</v>
      </c>
      <c r="AQ696" s="7" t="s">
        <v>384</v>
      </c>
      <c r="AR696" s="7" t="s">
        <v>433</v>
      </c>
      <c r="AS696" s="7">
        <v>0</v>
      </c>
      <c r="AT696" s="7">
        <v>0</v>
      </c>
      <c r="AU696" s="4" t="s">
        <v>303</v>
      </c>
      <c r="AV696" s="4" t="s">
        <v>406</v>
      </c>
      <c r="AW696" s="4"/>
      <c r="AX696" s="4"/>
      <c r="AY696" s="4"/>
      <c r="AZ696" s="4"/>
      <c r="BA696" s="8">
        <v>5</v>
      </c>
      <c r="BG696" s="8"/>
      <c r="BH696" s="8"/>
      <c r="BP696" s="7">
        <v>9.91</v>
      </c>
      <c r="BQ696" s="7"/>
      <c r="BV696" s="7">
        <v>4.25</v>
      </c>
      <c r="DZ696" s="31"/>
      <c r="EL696" s="7">
        <f>BP696*BV696</f>
        <v>42.1175</v>
      </c>
      <c r="FA696" s="6"/>
      <c r="GP696" s="32"/>
      <c r="GY696" s="6" t="s">
        <v>338</v>
      </c>
      <c r="GZ696" s="6" t="s">
        <v>436</v>
      </c>
      <c r="HC696" s="6" t="s">
        <v>437</v>
      </c>
      <c r="HD696" s="9" t="s">
        <v>7679</v>
      </c>
      <c r="HF696" s="9" t="s">
        <v>3899</v>
      </c>
      <c r="HG696" s="9" t="s">
        <v>507</v>
      </c>
      <c r="HJ696" s="8" t="s">
        <v>7680</v>
      </c>
      <c r="HK696" s="8" t="s">
        <v>507</v>
      </c>
      <c r="IB696" s="9" t="s">
        <v>7679</v>
      </c>
      <c r="ID696" s="9" t="s">
        <v>3899</v>
      </c>
      <c r="IE696" s="9" t="s">
        <v>507</v>
      </c>
      <c r="IF696" s="8" t="s">
        <v>445</v>
      </c>
      <c r="II696" s="8" t="s">
        <v>7681</v>
      </c>
      <c r="IJ696" s="8" t="s">
        <v>507</v>
      </c>
      <c r="IK696" s="8" t="s">
        <v>445</v>
      </c>
      <c r="IL696" s="8"/>
      <c r="IN696" s="8"/>
      <c r="IO696" s="8"/>
      <c r="IP696" s="8"/>
      <c r="IR696" s="9"/>
      <c r="JV696" s="7" t="s">
        <v>7682</v>
      </c>
      <c r="JW696" s="7" t="s">
        <v>4003</v>
      </c>
      <c r="JX696" s="7" t="s">
        <v>322</v>
      </c>
      <c r="JY696" s="7" t="s">
        <v>448</v>
      </c>
      <c r="JZ696" s="7" t="s">
        <v>320</v>
      </c>
      <c r="KG696" s="4" t="s">
        <v>323</v>
      </c>
      <c r="KP696" s="5" t="s">
        <v>358</v>
      </c>
      <c r="KQ696" s="5" t="s">
        <v>7683</v>
      </c>
      <c r="KR696" s="5" t="s">
        <v>7684</v>
      </c>
      <c r="KS696" s="5" t="s">
        <v>4006</v>
      </c>
      <c r="KT696" s="5" t="s">
        <v>7685</v>
      </c>
    </row>
    <row r="697" spans="1:306" ht="168" x14ac:dyDescent="0.25">
      <c r="A697" s="5" t="s">
        <v>7692</v>
      </c>
      <c r="B697" s="4" t="s">
        <v>424</v>
      </c>
      <c r="C697" s="7" t="s">
        <v>425</v>
      </c>
      <c r="D697" s="8" t="s">
        <v>426</v>
      </c>
      <c r="E697" s="4">
        <v>577565</v>
      </c>
      <c r="G697" s="4" t="s">
        <v>330</v>
      </c>
      <c r="H697" s="6">
        <v>124.5401</v>
      </c>
      <c r="I697" s="6">
        <v>-29.263400000000001</v>
      </c>
      <c r="J697" s="4" t="s">
        <v>7693</v>
      </c>
      <c r="K697" s="4" t="s">
        <v>1918</v>
      </c>
      <c r="L697" s="4" t="s">
        <v>2441</v>
      </c>
      <c r="M697" s="4" t="s">
        <v>7694</v>
      </c>
      <c r="Q697" s="8"/>
      <c r="R697" s="8"/>
      <c r="Z697" s="4" t="s">
        <v>424</v>
      </c>
      <c r="AA697" s="7" t="s">
        <v>425</v>
      </c>
      <c r="AB697" s="8" t="s">
        <v>426</v>
      </c>
      <c r="AC697" s="4" t="s">
        <v>301</v>
      </c>
      <c r="AD697" s="4" t="s">
        <v>375</v>
      </c>
      <c r="AE697" s="8">
        <v>2521</v>
      </c>
      <c r="AF697" s="8">
        <v>5</v>
      </c>
      <c r="AG697" s="9" t="s">
        <v>379</v>
      </c>
      <c r="AH697" s="9" t="s">
        <v>335</v>
      </c>
      <c r="AI697" s="9" t="s">
        <v>7695</v>
      </c>
      <c r="AJ697" s="9" t="s">
        <v>306</v>
      </c>
      <c r="AK697" s="9" t="s">
        <v>307</v>
      </c>
      <c r="AL697" s="9" t="s">
        <v>337</v>
      </c>
      <c r="AM697" s="8">
        <v>4</v>
      </c>
      <c r="AN697" s="4" t="s">
        <v>381</v>
      </c>
      <c r="AO697" s="4" t="s">
        <v>382</v>
      </c>
      <c r="AP697" s="4" t="s">
        <v>383</v>
      </c>
      <c r="AQ697" s="7" t="s">
        <v>384</v>
      </c>
      <c r="AR697" s="8" t="s">
        <v>433</v>
      </c>
      <c r="AS697" s="7">
        <v>0</v>
      </c>
      <c r="AT697" s="7">
        <v>0</v>
      </c>
      <c r="AU697" s="4" t="s">
        <v>303</v>
      </c>
      <c r="AV697" s="4" t="s">
        <v>406</v>
      </c>
      <c r="AW697" s="4"/>
      <c r="AX697" s="4"/>
      <c r="AY697" s="4"/>
      <c r="AZ697" s="4"/>
      <c r="BA697" s="8">
        <v>5</v>
      </c>
      <c r="BG697" s="8"/>
      <c r="BH697" s="8"/>
      <c r="BQ697" s="7"/>
      <c r="DZ697" s="31"/>
      <c r="EL697" s="8">
        <f>(0.348+0.493+0.448+0.432+0.467+0.518+0.463+0.365+(0.017+0.121+0.131+0.074)/0.3)*31.1+100.6*1.8</f>
        <v>326.54506666666668</v>
      </c>
      <c r="FA697" s="6"/>
      <c r="GP697" s="32"/>
      <c r="GY697" s="6" t="s">
        <v>435</v>
      </c>
      <c r="GZ697" s="6" t="s">
        <v>436</v>
      </c>
      <c r="HC697" s="6" t="s">
        <v>437</v>
      </c>
      <c r="HF697" s="8" t="s">
        <v>7696</v>
      </c>
      <c r="HG697" s="9" t="s">
        <v>507</v>
      </c>
      <c r="IM697" s="9"/>
      <c r="IR697" s="9"/>
      <c r="JV697" s="7" t="s">
        <v>7697</v>
      </c>
      <c r="JX697" s="7" t="s">
        <v>320</v>
      </c>
      <c r="JY697" s="7" t="s">
        <v>354</v>
      </c>
      <c r="JZ697" s="7" t="s">
        <v>322</v>
      </c>
      <c r="KG697" s="4" t="s">
        <v>323</v>
      </c>
      <c r="KM697" s="4" t="s">
        <v>7698</v>
      </c>
      <c r="KN697" s="4" t="s">
        <v>7698</v>
      </c>
      <c r="KP697" s="5" t="s">
        <v>358</v>
      </c>
      <c r="KQ697" s="5" t="s">
        <v>7699</v>
      </c>
      <c r="KR697" s="5" t="s">
        <v>7700</v>
      </c>
      <c r="KS697" s="5" t="s">
        <v>7701</v>
      </c>
      <c r="KT697" s="14" t="s">
        <v>7702</v>
      </c>
    </row>
    <row r="698" spans="1:306" ht="36" x14ac:dyDescent="0.25">
      <c r="A698" s="5" t="s">
        <v>7711</v>
      </c>
      <c r="B698" s="4" t="s">
        <v>424</v>
      </c>
      <c r="C698" s="7" t="s">
        <v>425</v>
      </c>
      <c r="D698" s="8" t="s">
        <v>426</v>
      </c>
      <c r="E698" s="4">
        <v>333417</v>
      </c>
      <c r="G698" s="4" t="s">
        <v>330</v>
      </c>
      <c r="H698" s="6">
        <v>118.1168</v>
      </c>
      <c r="I698" s="6">
        <v>-27.486699999999999</v>
      </c>
      <c r="J698" s="4" t="s">
        <v>7712</v>
      </c>
      <c r="K698" s="4" t="s">
        <v>331</v>
      </c>
      <c r="L698" s="4" t="s">
        <v>500</v>
      </c>
      <c r="M698" s="4" t="s">
        <v>676</v>
      </c>
      <c r="N698" s="4" t="s">
        <v>677</v>
      </c>
      <c r="Q698" s="8"/>
      <c r="Z698" s="4" t="s">
        <v>424</v>
      </c>
      <c r="AA698" s="7" t="s">
        <v>425</v>
      </c>
      <c r="AB698" s="8" t="s">
        <v>426</v>
      </c>
      <c r="AC698" s="4" t="s">
        <v>301</v>
      </c>
      <c r="AD698" s="4" t="s">
        <v>375</v>
      </c>
      <c r="AE698" s="8">
        <v>2638</v>
      </c>
      <c r="AG698" s="9" t="s">
        <v>379</v>
      </c>
      <c r="AH698" s="9" t="s">
        <v>380</v>
      </c>
      <c r="AM698" s="8">
        <v>2</v>
      </c>
      <c r="AN698" s="4" t="s">
        <v>381</v>
      </c>
      <c r="AO698" s="4" t="s">
        <v>382</v>
      </c>
      <c r="AP698" s="4" t="s">
        <v>383</v>
      </c>
      <c r="AQ698" s="7" t="s">
        <v>384</v>
      </c>
      <c r="AR698" s="7" t="s">
        <v>433</v>
      </c>
      <c r="AS698" s="7">
        <v>0</v>
      </c>
      <c r="AT698" s="7">
        <v>0</v>
      </c>
      <c r="AU698" s="4" t="s">
        <v>303</v>
      </c>
      <c r="AV698" s="4" t="s">
        <v>406</v>
      </c>
      <c r="AW698" s="4"/>
      <c r="AX698" s="4"/>
      <c r="AY698" s="4"/>
      <c r="AZ698" s="4"/>
      <c r="BA698" s="8">
        <v>5</v>
      </c>
      <c r="BG698" s="8"/>
      <c r="BV698" s="7"/>
      <c r="DZ698" s="31"/>
      <c r="EL698" s="7">
        <v>38.79</v>
      </c>
      <c r="GP698" s="32"/>
      <c r="GY698" s="6" t="s">
        <v>338</v>
      </c>
      <c r="GZ698" s="6" t="s">
        <v>436</v>
      </c>
      <c r="HC698" s="6" t="s">
        <v>437</v>
      </c>
      <c r="HD698" s="8" t="s">
        <v>7713</v>
      </c>
      <c r="HE698" s="8">
        <v>23744</v>
      </c>
      <c r="HF698" s="8" t="s">
        <v>7714</v>
      </c>
      <c r="HG698" s="9" t="s">
        <v>507</v>
      </c>
      <c r="HH698" s="9" t="s">
        <v>7713</v>
      </c>
      <c r="HI698" s="8">
        <v>23744</v>
      </c>
      <c r="HJ698" s="9" t="s">
        <v>7715</v>
      </c>
      <c r="HK698" s="9" t="s">
        <v>507</v>
      </c>
      <c r="HN698" s="9" t="s">
        <v>7716</v>
      </c>
      <c r="HO698" s="9" t="s">
        <v>507</v>
      </c>
      <c r="HR698" s="9" t="s">
        <v>7717</v>
      </c>
      <c r="HS698" s="9" t="s">
        <v>507</v>
      </c>
      <c r="IB698" s="9" t="s">
        <v>7713</v>
      </c>
      <c r="IC698" s="8">
        <v>23744</v>
      </c>
      <c r="ID698" s="9" t="s">
        <v>7715</v>
      </c>
      <c r="IE698" s="9" t="s">
        <v>507</v>
      </c>
      <c r="IF698" s="9" t="s">
        <v>445</v>
      </c>
      <c r="IH698" s="9"/>
      <c r="II698" s="9" t="s">
        <v>7716</v>
      </c>
      <c r="IJ698" s="9" t="s">
        <v>507</v>
      </c>
      <c r="IK698" s="9" t="s">
        <v>445</v>
      </c>
      <c r="IM698" s="9"/>
      <c r="IN698" s="9" t="s">
        <v>7717</v>
      </c>
      <c r="IO698" s="9" t="s">
        <v>507</v>
      </c>
      <c r="IP698" s="9" t="s">
        <v>445</v>
      </c>
      <c r="IR698" s="9"/>
      <c r="JV698" s="7" t="s">
        <v>7718</v>
      </c>
      <c r="JX698" s="7" t="s">
        <v>320</v>
      </c>
      <c r="JY698" s="7" t="s">
        <v>470</v>
      </c>
      <c r="JZ698" s="7" t="s">
        <v>322</v>
      </c>
      <c r="KG698" s="4" t="s">
        <v>323</v>
      </c>
      <c r="KM698" s="4" t="s">
        <v>391</v>
      </c>
      <c r="KN698" s="4" t="s">
        <v>1439</v>
      </c>
      <c r="KP698" s="5" t="s">
        <v>358</v>
      </c>
      <c r="KQ698" s="5" t="s">
        <v>7719</v>
      </c>
      <c r="KS698" s="5" t="s">
        <v>7720</v>
      </c>
      <c r="KT698" s="5" t="s">
        <v>7721</v>
      </c>
    </row>
    <row r="699" spans="1:306" ht="120" x14ac:dyDescent="0.25">
      <c r="A699" s="5" t="s">
        <v>7722</v>
      </c>
      <c r="B699" s="4" t="s">
        <v>424</v>
      </c>
      <c r="C699" s="7" t="s">
        <v>425</v>
      </c>
      <c r="D699" s="8" t="s">
        <v>426</v>
      </c>
      <c r="E699" s="4">
        <v>335088</v>
      </c>
      <c r="G699" s="4" t="s">
        <v>427</v>
      </c>
      <c r="H699" s="6">
        <v>149.3373</v>
      </c>
      <c r="I699" s="6">
        <v>-34.021599999999999</v>
      </c>
      <c r="J699" s="4" t="s">
        <v>7723</v>
      </c>
      <c r="K699" s="4" t="s">
        <v>298</v>
      </c>
      <c r="L699" s="4" t="s">
        <v>299</v>
      </c>
      <c r="M699" s="4" t="s">
        <v>1359</v>
      </c>
      <c r="N699" s="4" t="s">
        <v>1545</v>
      </c>
      <c r="Q699" s="8"/>
      <c r="R699" s="8"/>
      <c r="Z699" s="4" t="s">
        <v>424</v>
      </c>
      <c r="AA699" s="7" t="s">
        <v>425</v>
      </c>
      <c r="AB699" s="8" t="s">
        <v>426</v>
      </c>
      <c r="AC699" s="4" t="s">
        <v>301</v>
      </c>
      <c r="AD699" s="4" t="s">
        <v>382</v>
      </c>
      <c r="AE699" s="8"/>
      <c r="AF699" s="8"/>
      <c r="AN699" s="4" t="s">
        <v>381</v>
      </c>
      <c r="AO699" s="4" t="s">
        <v>382</v>
      </c>
      <c r="AP699" s="4" t="s">
        <v>383</v>
      </c>
      <c r="AQ699" s="7" t="s">
        <v>384</v>
      </c>
      <c r="AR699" s="8" t="s">
        <v>433</v>
      </c>
      <c r="AS699" s="7">
        <v>0</v>
      </c>
      <c r="AT699" s="7">
        <v>0</v>
      </c>
      <c r="AU699" s="9" t="s">
        <v>303</v>
      </c>
      <c r="AV699" s="9" t="s">
        <v>406</v>
      </c>
      <c r="BA699" s="8">
        <v>5</v>
      </c>
      <c r="BB699" s="4" t="s">
        <v>381</v>
      </c>
      <c r="BC699" s="4" t="s">
        <v>382</v>
      </c>
      <c r="BD699" s="4" t="s">
        <v>383</v>
      </c>
      <c r="BE699" s="7" t="s">
        <v>403</v>
      </c>
      <c r="BF699" s="8" t="s">
        <v>434</v>
      </c>
      <c r="BG699" s="7">
        <v>0</v>
      </c>
      <c r="BH699" s="7">
        <v>0</v>
      </c>
      <c r="BI699" s="9" t="s">
        <v>303</v>
      </c>
      <c r="BJ699" s="9" t="s">
        <v>406</v>
      </c>
      <c r="BO699" s="8">
        <v>5</v>
      </c>
      <c r="BS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c r="CW699" s="7"/>
      <c r="CX699" s="7"/>
      <c r="CY699" s="7"/>
      <c r="CZ699" s="7"/>
      <c r="DA699" s="7"/>
      <c r="DB699" s="7"/>
      <c r="DC699" s="7"/>
      <c r="DD699" s="7"/>
      <c r="DE699" s="7"/>
      <c r="DF699" s="7"/>
      <c r="DG699" s="7"/>
      <c r="DH699" s="7"/>
      <c r="DI699" s="7"/>
      <c r="DJ699" s="7"/>
      <c r="DK699" s="7"/>
      <c r="DL699" s="7"/>
      <c r="DM699" s="7"/>
      <c r="DN699" s="7"/>
      <c r="DO699" s="7"/>
      <c r="DP699" s="7"/>
      <c r="DQ699" s="7"/>
      <c r="DR699" s="7"/>
      <c r="DS699" s="7"/>
      <c r="DT699" s="7"/>
      <c r="DU699" s="7"/>
      <c r="DV699" s="7"/>
      <c r="DW699" s="7"/>
      <c r="DX699" s="7"/>
      <c r="DY699" s="7"/>
      <c r="DZ699" s="31"/>
      <c r="EA699" s="7"/>
      <c r="EB699" s="7"/>
      <c r="EC699" s="7"/>
      <c r="ED699" s="7"/>
      <c r="EE699" s="7"/>
      <c r="EF699" s="7"/>
      <c r="EG699" s="7"/>
      <c r="EL699" s="6">
        <v>0.36359999999999998</v>
      </c>
      <c r="EY699" s="6"/>
      <c r="FA699" s="6"/>
      <c r="GP699" s="32"/>
      <c r="GY699" s="6" t="s">
        <v>309</v>
      </c>
      <c r="GZ699" s="6" t="s">
        <v>436</v>
      </c>
      <c r="HC699" s="6" t="s">
        <v>437</v>
      </c>
      <c r="HD699" s="8" t="s">
        <v>3859</v>
      </c>
      <c r="HE699" s="8">
        <v>5031</v>
      </c>
      <c r="HF699" s="8" t="s">
        <v>7724</v>
      </c>
      <c r="HG699" s="9" t="s">
        <v>782</v>
      </c>
      <c r="HH699" s="9" t="s">
        <v>7725</v>
      </c>
      <c r="HI699" s="8">
        <v>29507</v>
      </c>
      <c r="HJ699" s="9" t="s">
        <v>7726</v>
      </c>
      <c r="HK699" s="9" t="s">
        <v>782</v>
      </c>
      <c r="HY699" s="9"/>
      <c r="IB699" s="9" t="s">
        <v>7725</v>
      </c>
      <c r="IC699" s="8">
        <v>29507</v>
      </c>
      <c r="ID699" s="9" t="s">
        <v>7726</v>
      </c>
      <c r="IE699" s="9" t="s">
        <v>782</v>
      </c>
      <c r="IF699" s="8" t="s">
        <v>445</v>
      </c>
      <c r="IW699" s="8"/>
      <c r="JB699" s="8"/>
      <c r="JV699" s="7" t="s">
        <v>7727</v>
      </c>
      <c r="JX699" s="7" t="s">
        <v>320</v>
      </c>
      <c r="KG699" s="4" t="s">
        <v>323</v>
      </c>
      <c r="KP699" s="5" t="s">
        <v>2553</v>
      </c>
      <c r="KQ699" s="5" t="s">
        <v>2553</v>
      </c>
      <c r="KS699" s="5" t="s">
        <v>2553</v>
      </c>
      <c r="KT699" s="5" t="s">
        <v>7728</v>
      </c>
    </row>
    <row r="700" spans="1:306" ht="60" x14ac:dyDescent="0.25">
      <c r="A700" s="5" t="s">
        <v>7734</v>
      </c>
      <c r="B700" s="4" t="s">
        <v>424</v>
      </c>
      <c r="C700" s="7" t="s">
        <v>425</v>
      </c>
      <c r="D700" s="8" t="s">
        <v>426</v>
      </c>
      <c r="E700" s="4">
        <v>335539</v>
      </c>
      <c r="G700" s="4" t="s">
        <v>593</v>
      </c>
      <c r="H700" s="6">
        <v>134.75980000000001</v>
      </c>
      <c r="I700" s="6">
        <v>-31.2285</v>
      </c>
      <c r="J700" s="4" t="s">
        <v>7734</v>
      </c>
      <c r="K700" s="4" t="s">
        <v>595</v>
      </c>
      <c r="L700" s="4" t="s">
        <v>596</v>
      </c>
      <c r="M700" s="4" t="s">
        <v>1166</v>
      </c>
      <c r="Q700" s="8"/>
      <c r="R700" s="8"/>
      <c r="Z700" s="4" t="s">
        <v>424</v>
      </c>
      <c r="AA700" s="7" t="s">
        <v>425</v>
      </c>
      <c r="AB700" s="8" t="s">
        <v>426</v>
      </c>
      <c r="AC700" s="4" t="s">
        <v>301</v>
      </c>
      <c r="AD700" s="4" t="s">
        <v>375</v>
      </c>
      <c r="AE700" s="8">
        <v>1583</v>
      </c>
      <c r="AF700" s="8">
        <v>8</v>
      </c>
      <c r="AG700" s="9" t="s">
        <v>379</v>
      </c>
      <c r="AH700" s="9" t="s">
        <v>429</v>
      </c>
      <c r="AI700" s="9" t="s">
        <v>430</v>
      </c>
      <c r="AJ700" s="9" t="s">
        <v>431</v>
      </c>
      <c r="AK700" s="9" t="s">
        <v>432</v>
      </c>
      <c r="AM700" s="8">
        <v>3</v>
      </c>
      <c r="AN700" s="4" t="s">
        <v>381</v>
      </c>
      <c r="AO700" s="4" t="s">
        <v>382</v>
      </c>
      <c r="AP700" s="4" t="s">
        <v>383</v>
      </c>
      <c r="AQ700" s="7" t="s">
        <v>384</v>
      </c>
      <c r="AR700" s="8" t="s">
        <v>433</v>
      </c>
      <c r="AS700" s="7">
        <v>0</v>
      </c>
      <c r="AT700" s="7">
        <v>0</v>
      </c>
      <c r="AU700" s="9" t="s">
        <v>303</v>
      </c>
      <c r="AV700" s="9" t="s">
        <v>406</v>
      </c>
      <c r="BA700" s="8">
        <v>5</v>
      </c>
      <c r="BP700" s="7">
        <v>51.3</v>
      </c>
      <c r="BV700" s="6">
        <v>0.91</v>
      </c>
      <c r="DZ700" s="31"/>
      <c r="EB700" s="10"/>
      <c r="EL700" s="7">
        <f>BP700*BV700</f>
        <v>46.683</v>
      </c>
      <c r="EY700" s="6"/>
      <c r="FA700" s="6"/>
      <c r="GP700" s="32"/>
      <c r="GY700" s="6" t="s">
        <v>338</v>
      </c>
      <c r="GZ700" s="6" t="s">
        <v>436</v>
      </c>
      <c r="HC700" s="6" t="s">
        <v>437</v>
      </c>
      <c r="HD700" s="8" t="s">
        <v>7735</v>
      </c>
      <c r="HF700" s="8" t="s">
        <v>7736</v>
      </c>
      <c r="HG700" s="9" t="s">
        <v>538</v>
      </c>
      <c r="HH700" s="9" t="s">
        <v>2036</v>
      </c>
      <c r="HJ700" s="9" t="s">
        <v>7737</v>
      </c>
      <c r="HK700" s="9" t="s">
        <v>538</v>
      </c>
      <c r="HL700" s="9" t="s">
        <v>2037</v>
      </c>
      <c r="HN700" s="9" t="s">
        <v>7738</v>
      </c>
      <c r="HO700" s="9" t="s">
        <v>538</v>
      </c>
      <c r="HY700" s="9"/>
      <c r="IB700" s="8" t="s">
        <v>7735</v>
      </c>
      <c r="ID700" s="8" t="s">
        <v>7736</v>
      </c>
      <c r="IE700" s="9" t="s">
        <v>538</v>
      </c>
      <c r="IF700" s="8" t="s">
        <v>445</v>
      </c>
      <c r="IG700" s="9" t="s">
        <v>2036</v>
      </c>
      <c r="II700" s="9" t="s">
        <v>7737</v>
      </c>
      <c r="IJ700" s="9" t="s">
        <v>538</v>
      </c>
      <c r="IK700" s="8" t="s">
        <v>445</v>
      </c>
      <c r="IL700" s="9" t="s">
        <v>2037</v>
      </c>
      <c r="IN700" s="9" t="s">
        <v>7738</v>
      </c>
      <c r="IO700" s="9" t="s">
        <v>538</v>
      </c>
      <c r="IP700" s="8"/>
      <c r="JV700" s="7" t="s">
        <v>7739</v>
      </c>
      <c r="JX700" s="7" t="s">
        <v>320</v>
      </c>
      <c r="KG700" s="4" t="s">
        <v>323</v>
      </c>
      <c r="KP700" s="5" t="s">
        <v>358</v>
      </c>
      <c r="KQ700" s="5" t="s">
        <v>1178</v>
      </c>
      <c r="KR700" s="5" t="s">
        <v>1178</v>
      </c>
      <c r="KS700" s="18" t="s">
        <v>7740</v>
      </c>
      <c r="KT700" s="5" t="s">
        <v>7741</v>
      </c>
    </row>
    <row r="701" spans="1:306" ht="108" x14ac:dyDescent="0.25">
      <c r="A701" s="5" t="s">
        <v>3182</v>
      </c>
      <c r="B701" s="4" t="s">
        <v>424</v>
      </c>
      <c r="C701" s="7" t="s">
        <v>425</v>
      </c>
      <c r="D701" s="8" t="s">
        <v>426</v>
      </c>
      <c r="E701" s="4">
        <v>334726</v>
      </c>
      <c r="G701" s="4" t="s">
        <v>530</v>
      </c>
      <c r="H701" s="6">
        <v>131.79050000000001</v>
      </c>
      <c r="I701" s="6">
        <v>-13.714</v>
      </c>
      <c r="J701" s="4" t="s">
        <v>3182</v>
      </c>
      <c r="K701" s="4" t="s">
        <v>481</v>
      </c>
      <c r="L701" s="4" t="s">
        <v>532</v>
      </c>
      <c r="Q701" s="8"/>
      <c r="R701" s="8"/>
      <c r="Z701" s="4" t="s">
        <v>424</v>
      </c>
      <c r="AA701" s="7" t="s">
        <v>425</v>
      </c>
      <c r="AB701" s="8" t="s">
        <v>426</v>
      </c>
      <c r="AC701" s="4" t="s">
        <v>301</v>
      </c>
      <c r="AD701" s="4" t="s">
        <v>375</v>
      </c>
      <c r="AE701" s="8">
        <v>1810</v>
      </c>
      <c r="AF701" s="8"/>
      <c r="AG701" s="9" t="s">
        <v>379</v>
      </c>
      <c r="AH701" s="9" t="s">
        <v>380</v>
      </c>
      <c r="AM701" s="8">
        <v>3</v>
      </c>
      <c r="AN701" s="4" t="s">
        <v>381</v>
      </c>
      <c r="AO701" s="4" t="s">
        <v>382</v>
      </c>
      <c r="AP701" s="4" t="s">
        <v>383</v>
      </c>
      <c r="AQ701" s="7" t="s">
        <v>384</v>
      </c>
      <c r="AR701" s="7" t="s">
        <v>433</v>
      </c>
      <c r="AS701" s="7">
        <v>0</v>
      </c>
      <c r="AT701" s="7">
        <v>0</v>
      </c>
      <c r="AU701" s="9" t="s">
        <v>303</v>
      </c>
      <c r="AV701" s="9" t="s">
        <v>406</v>
      </c>
      <c r="BA701" s="8">
        <v>5</v>
      </c>
      <c r="BU701" s="6"/>
      <c r="DZ701" s="31"/>
      <c r="EL701" s="7">
        <f>(1.588+0.048)*31.1+3.58*2.37+3.342*2.3</f>
        <v>67.05080000000001</v>
      </c>
      <c r="EY701" s="6"/>
      <c r="FA701" s="6"/>
      <c r="GP701" s="32"/>
      <c r="GY701" s="6" t="s">
        <v>435</v>
      </c>
      <c r="GZ701" s="6" t="s">
        <v>436</v>
      </c>
      <c r="HC701" s="6" t="s">
        <v>437</v>
      </c>
      <c r="HD701" s="9" t="s">
        <v>536</v>
      </c>
      <c r="HE701" s="8">
        <v>3134</v>
      </c>
      <c r="HF701" s="9" t="s">
        <v>537</v>
      </c>
      <c r="HG701" s="9" t="s">
        <v>538</v>
      </c>
      <c r="HY701" s="9"/>
      <c r="IB701" s="8" t="s">
        <v>1576</v>
      </c>
      <c r="IC701" s="8">
        <v>30778</v>
      </c>
      <c r="ID701" s="8" t="s">
        <v>2203</v>
      </c>
      <c r="IE701" s="8" t="s">
        <v>538</v>
      </c>
      <c r="IF701" s="8" t="s">
        <v>1578</v>
      </c>
      <c r="IW701" s="8"/>
      <c r="JB701" s="8"/>
      <c r="JV701" s="7" t="s">
        <v>7766</v>
      </c>
      <c r="JX701" s="7" t="s">
        <v>320</v>
      </c>
      <c r="JY701" s="7" t="s">
        <v>354</v>
      </c>
      <c r="JZ701" s="7" t="s">
        <v>738</v>
      </c>
      <c r="KA701" s="7" t="s">
        <v>470</v>
      </c>
      <c r="KB701" s="7" t="s">
        <v>322</v>
      </c>
      <c r="KG701" s="4" t="s">
        <v>323</v>
      </c>
      <c r="KM701" s="4" t="s">
        <v>836</v>
      </c>
      <c r="KN701" s="4" t="s">
        <v>836</v>
      </c>
      <c r="KP701" s="5" t="s">
        <v>358</v>
      </c>
      <c r="KQ701" s="5" t="s">
        <v>1579</v>
      </c>
      <c r="KS701" s="5" t="s">
        <v>7767</v>
      </c>
      <c r="KT701" s="5" t="s">
        <v>7768</v>
      </c>
    </row>
    <row r="702" spans="1:306" ht="84" x14ac:dyDescent="0.25">
      <c r="A702" s="5" t="s">
        <v>7799</v>
      </c>
      <c r="B702" s="4" t="s">
        <v>424</v>
      </c>
      <c r="C702" s="7" t="s">
        <v>425</v>
      </c>
      <c r="D702" s="8" t="s">
        <v>426</v>
      </c>
      <c r="E702" s="4">
        <v>334289</v>
      </c>
      <c r="G702" s="4" t="s">
        <v>593</v>
      </c>
      <c r="H702" s="6">
        <v>140.24190999999999</v>
      </c>
      <c r="I702" s="6">
        <v>-32.544629999999998</v>
      </c>
      <c r="J702" s="4" t="s">
        <v>7800</v>
      </c>
      <c r="K702" s="4" t="s">
        <v>298</v>
      </c>
      <c r="L702" s="4" t="s">
        <v>689</v>
      </c>
      <c r="Q702" s="8"/>
      <c r="Z702" s="4" t="s">
        <v>424</v>
      </c>
      <c r="AA702" s="7" t="s">
        <v>425</v>
      </c>
      <c r="AB702" s="8" t="s">
        <v>426</v>
      </c>
      <c r="AC702" s="4" t="s">
        <v>301</v>
      </c>
      <c r="AD702" s="4" t="s">
        <v>375</v>
      </c>
      <c r="AE702" s="8">
        <v>471</v>
      </c>
      <c r="AG702" s="9" t="s">
        <v>379</v>
      </c>
      <c r="AH702" s="9" t="s">
        <v>380</v>
      </c>
      <c r="AM702" s="8">
        <v>2</v>
      </c>
      <c r="AN702" s="4" t="s">
        <v>381</v>
      </c>
      <c r="AO702" s="4" t="s">
        <v>402</v>
      </c>
      <c r="AP702" s="4" t="s">
        <v>383</v>
      </c>
      <c r="AQ702" s="7" t="s">
        <v>403</v>
      </c>
      <c r="AR702" s="8" t="s">
        <v>434</v>
      </c>
      <c r="AS702" s="7">
        <v>0</v>
      </c>
      <c r="AT702" s="7">
        <v>0</v>
      </c>
      <c r="AU702" s="9" t="s">
        <v>303</v>
      </c>
      <c r="AV702" s="9" t="s">
        <v>406</v>
      </c>
      <c r="BA702" s="8">
        <v>5</v>
      </c>
      <c r="BP702" s="6">
        <v>0.02</v>
      </c>
      <c r="BV702" s="7">
        <v>37.6</v>
      </c>
      <c r="DZ702" s="31"/>
      <c r="EB702" s="10"/>
      <c r="EL702" s="6">
        <f>BP702*BV702</f>
        <v>0.752</v>
      </c>
      <c r="GP702" s="32"/>
      <c r="GY702" s="6" t="s">
        <v>309</v>
      </c>
      <c r="GZ702" s="6" t="s">
        <v>436</v>
      </c>
      <c r="HC702" s="6" t="s">
        <v>437</v>
      </c>
      <c r="HD702" s="8" t="s">
        <v>7801</v>
      </c>
      <c r="HE702" s="8">
        <v>1408</v>
      </c>
      <c r="HF702" s="8" t="s">
        <v>7802</v>
      </c>
      <c r="HG702" s="9" t="s">
        <v>876</v>
      </c>
      <c r="HH702" s="8" t="s">
        <v>2716</v>
      </c>
      <c r="HI702" s="8">
        <v>16502</v>
      </c>
      <c r="HJ702" s="8" t="s">
        <v>2717</v>
      </c>
      <c r="HK702" s="9" t="s">
        <v>876</v>
      </c>
      <c r="KP702" s="18" t="s">
        <v>7803</v>
      </c>
      <c r="KQ702" s="18" t="s">
        <v>1183</v>
      </c>
      <c r="KS702" s="18" t="s">
        <v>1183</v>
      </c>
      <c r="KT702" s="5" t="s">
        <v>7804</v>
      </c>
    </row>
    <row r="703" spans="1:306" ht="144" x14ac:dyDescent="0.25">
      <c r="A703" s="5" t="s">
        <v>7818</v>
      </c>
      <c r="B703" s="4" t="s">
        <v>424</v>
      </c>
      <c r="C703" s="7" t="s">
        <v>425</v>
      </c>
      <c r="D703" s="8" t="s">
        <v>426</v>
      </c>
      <c r="E703" s="4">
        <v>334986</v>
      </c>
      <c r="G703" s="4" t="s">
        <v>773</v>
      </c>
      <c r="H703" s="6">
        <f>146+27/60+6/3600</f>
        <v>146.45166666666665</v>
      </c>
      <c r="I703" s="6">
        <f>-(37+56/60+30/3600)</f>
        <v>-37.941666666666663</v>
      </c>
      <c r="J703" s="4" t="s">
        <v>7819</v>
      </c>
      <c r="K703" s="4" t="s">
        <v>298</v>
      </c>
      <c r="L703" s="4" t="s">
        <v>299</v>
      </c>
      <c r="M703" s="4" t="s">
        <v>775</v>
      </c>
      <c r="N703" s="4" t="s">
        <v>2417</v>
      </c>
      <c r="Q703" s="8"/>
      <c r="R703" s="8"/>
      <c r="Z703" s="4" t="s">
        <v>424</v>
      </c>
      <c r="AA703" s="7" t="s">
        <v>425</v>
      </c>
      <c r="AB703" s="8" t="s">
        <v>426</v>
      </c>
      <c r="AC703" s="4" t="s">
        <v>301</v>
      </c>
      <c r="AD703" s="4" t="s">
        <v>375</v>
      </c>
      <c r="AE703" s="8">
        <v>372</v>
      </c>
      <c r="AF703" s="8">
        <v>6</v>
      </c>
      <c r="AG703" s="9" t="s">
        <v>379</v>
      </c>
      <c r="AH703" s="9" t="s">
        <v>429</v>
      </c>
      <c r="AI703" s="9" t="s">
        <v>430</v>
      </c>
      <c r="AJ703" s="9" t="s">
        <v>431</v>
      </c>
      <c r="AK703" s="9" t="s">
        <v>432</v>
      </c>
      <c r="AM703" s="8">
        <v>4</v>
      </c>
      <c r="AS703" s="7"/>
      <c r="AT703" s="7"/>
      <c r="BE703" s="4"/>
      <c r="BF703" s="4"/>
      <c r="BG703" s="4"/>
      <c r="BH703" s="4"/>
      <c r="BI703" s="4"/>
      <c r="BJ703" s="4"/>
      <c r="BK703" s="4"/>
      <c r="BL703" s="4"/>
      <c r="BM703" s="4"/>
      <c r="BN703" s="4"/>
      <c r="BO703" s="4"/>
      <c r="BQ703" s="7"/>
      <c r="BR703" s="7"/>
      <c r="BS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s="7"/>
      <c r="CW703" s="7"/>
      <c r="CX703" s="7"/>
      <c r="CY703" s="7"/>
      <c r="CZ703" s="7"/>
      <c r="DA703" s="7"/>
      <c r="DB703" s="7"/>
      <c r="DC703" s="7"/>
      <c r="DD703" s="7"/>
      <c r="DE703" s="7"/>
      <c r="DF703" s="7"/>
      <c r="DG703" s="7"/>
      <c r="DH703" s="7"/>
      <c r="DI703" s="7"/>
      <c r="DJ703" s="7"/>
      <c r="DK703" s="7"/>
      <c r="DL703" s="7"/>
      <c r="DM703" s="7"/>
      <c r="DN703" s="7"/>
      <c r="DO703" s="7"/>
      <c r="DP703" s="7"/>
      <c r="DQ703" s="7"/>
      <c r="DR703" s="7"/>
      <c r="DS703" s="7"/>
      <c r="DT703" s="7"/>
      <c r="DU703" s="7"/>
      <c r="DV703" s="7"/>
      <c r="DW703" s="7"/>
      <c r="DX703" s="7"/>
      <c r="DY703" s="7"/>
      <c r="DZ703" s="31"/>
      <c r="EA703" s="7"/>
      <c r="EB703" s="7"/>
      <c r="EC703" s="7"/>
      <c r="ED703" s="7"/>
      <c r="EE703" s="7"/>
      <c r="EF703" s="7"/>
      <c r="EG703" s="7"/>
      <c r="EL703" s="8">
        <f>68+1.91*4.37</f>
        <v>76.346699999999998</v>
      </c>
      <c r="EY703" s="6"/>
      <c r="FA703" s="6"/>
      <c r="GP703" s="32"/>
      <c r="GY703" s="6" t="s">
        <v>435</v>
      </c>
      <c r="GZ703" s="6" t="s">
        <v>436</v>
      </c>
      <c r="HC703" s="6" t="s">
        <v>437</v>
      </c>
      <c r="HD703" s="4" t="s">
        <v>3533</v>
      </c>
      <c r="HE703" s="4">
        <v>19233</v>
      </c>
      <c r="HF703" s="4" t="s">
        <v>7820</v>
      </c>
      <c r="HG703" s="9" t="s">
        <v>782</v>
      </c>
      <c r="HQ703" s="9"/>
      <c r="HY703" s="9"/>
      <c r="IB703" s="4" t="s">
        <v>7821</v>
      </c>
      <c r="IC703" s="4">
        <v>20527</v>
      </c>
      <c r="ID703" s="4" t="s">
        <v>7822</v>
      </c>
      <c r="IE703" s="9" t="s">
        <v>318</v>
      </c>
      <c r="IF703" s="8" t="s">
        <v>445</v>
      </c>
      <c r="IG703" s="8" t="s">
        <v>3535</v>
      </c>
      <c r="IH703" s="8">
        <v>17408</v>
      </c>
      <c r="II703" s="8" t="s">
        <v>3536</v>
      </c>
      <c r="IJ703" s="8" t="s">
        <v>318</v>
      </c>
      <c r="IK703" s="8" t="s">
        <v>7823</v>
      </c>
      <c r="JV703" s="7" t="s">
        <v>2718</v>
      </c>
      <c r="JX703" s="7" t="s">
        <v>320</v>
      </c>
      <c r="KG703" s="4" t="s">
        <v>323</v>
      </c>
      <c r="KP703" s="18" t="s">
        <v>7824</v>
      </c>
      <c r="KQ703" s="5" t="s">
        <v>7825</v>
      </c>
      <c r="KR703" s="5" t="s">
        <v>7826</v>
      </c>
      <c r="KS703" s="5" t="s">
        <v>7827</v>
      </c>
      <c r="KT703" s="14" t="s">
        <v>7828</v>
      </c>
    </row>
    <row r="704" spans="1:306" ht="96" x14ac:dyDescent="0.25">
      <c r="A704" s="5" t="s">
        <v>7839</v>
      </c>
      <c r="B704" s="4" t="s">
        <v>424</v>
      </c>
      <c r="C704" s="7" t="s">
        <v>425</v>
      </c>
      <c r="D704" s="8" t="s">
        <v>426</v>
      </c>
      <c r="E704" s="4">
        <v>333320</v>
      </c>
      <c r="G704" s="4" t="s">
        <v>330</v>
      </c>
      <c r="H704" s="6">
        <v>122.30549999999999</v>
      </c>
      <c r="I704" s="6">
        <v>-28.851800000000001</v>
      </c>
      <c r="J704" s="4" t="s">
        <v>3622</v>
      </c>
      <c r="K704" s="4" t="s">
        <v>331</v>
      </c>
      <c r="L704" s="4" t="s">
        <v>500</v>
      </c>
      <c r="M704" s="4" t="s">
        <v>501</v>
      </c>
      <c r="N704" s="4" t="s">
        <v>625</v>
      </c>
      <c r="Q704" s="8"/>
      <c r="R704" s="8"/>
      <c r="Z704" s="4" t="s">
        <v>424</v>
      </c>
      <c r="AA704" s="7" t="s">
        <v>425</v>
      </c>
      <c r="AB704" s="8" t="s">
        <v>426</v>
      </c>
      <c r="AC704" s="4" t="s">
        <v>301</v>
      </c>
      <c r="AD704" s="4" t="s">
        <v>375</v>
      </c>
      <c r="AE704" s="8">
        <v>2651</v>
      </c>
      <c r="AF704" s="8">
        <v>5.5</v>
      </c>
      <c r="AG704" s="9" t="s">
        <v>379</v>
      </c>
      <c r="AH704" s="9" t="s">
        <v>335</v>
      </c>
      <c r="AI704" s="9" t="s">
        <v>504</v>
      </c>
      <c r="AJ704" s="9" t="s">
        <v>306</v>
      </c>
      <c r="AK704" s="9" t="s">
        <v>307</v>
      </c>
      <c r="AL704" s="9" t="s">
        <v>337</v>
      </c>
      <c r="AM704" s="8">
        <v>4</v>
      </c>
      <c r="AN704" s="4" t="s">
        <v>381</v>
      </c>
      <c r="AO704" s="4" t="s">
        <v>382</v>
      </c>
      <c r="AP704" s="4" t="s">
        <v>383</v>
      </c>
      <c r="AQ704" s="7" t="s">
        <v>384</v>
      </c>
      <c r="AR704" s="7" t="s">
        <v>433</v>
      </c>
      <c r="AS704" s="7">
        <v>0</v>
      </c>
      <c r="AT704" s="7">
        <v>0</v>
      </c>
      <c r="AU704" s="4" t="s">
        <v>303</v>
      </c>
      <c r="AV704" s="4" t="s">
        <v>406</v>
      </c>
      <c r="AW704" s="4"/>
      <c r="AX704" s="4"/>
      <c r="AY704" s="4"/>
      <c r="AZ704" s="4"/>
      <c r="BA704" s="8">
        <v>5</v>
      </c>
      <c r="BG704" s="8"/>
      <c r="BH704" s="8"/>
      <c r="DZ704" s="31"/>
      <c r="EL704" s="8">
        <f>(3.6+5.96)*31.1</f>
        <v>297.31600000000003</v>
      </c>
      <c r="FA704" s="6"/>
      <c r="GP704" s="32"/>
      <c r="GY704" s="6" t="s">
        <v>338</v>
      </c>
      <c r="GZ704" s="6" t="s">
        <v>436</v>
      </c>
      <c r="HC704" s="6" t="s">
        <v>437</v>
      </c>
      <c r="HD704" s="8" t="s">
        <v>7840</v>
      </c>
      <c r="HE704" s="8">
        <v>38643</v>
      </c>
      <c r="HF704" s="8" t="s">
        <v>7841</v>
      </c>
      <c r="HG704" s="9" t="s">
        <v>507</v>
      </c>
      <c r="ID704" s="8" t="s">
        <v>7842</v>
      </c>
      <c r="IE704" s="8" t="s">
        <v>507</v>
      </c>
      <c r="IF704" s="8" t="s">
        <v>445</v>
      </c>
      <c r="II704" s="8" t="s">
        <v>3356</v>
      </c>
      <c r="IJ704" s="8" t="s">
        <v>507</v>
      </c>
      <c r="IK704" s="8" t="s">
        <v>7843</v>
      </c>
      <c r="IM704" s="9"/>
      <c r="IR704" s="9"/>
      <c r="JU704" s="7" t="s">
        <v>7844</v>
      </c>
      <c r="JV704" s="7" t="s">
        <v>7845</v>
      </c>
      <c r="JX704" s="7" t="s">
        <v>320</v>
      </c>
      <c r="KG704" s="4" t="s">
        <v>323</v>
      </c>
      <c r="KM704" s="4" t="s">
        <v>391</v>
      </c>
      <c r="KN704" s="4" t="s">
        <v>391</v>
      </c>
      <c r="KP704" s="5" t="s">
        <v>358</v>
      </c>
      <c r="KQ704" s="5" t="s">
        <v>7846</v>
      </c>
      <c r="KR704" s="5" t="s">
        <v>4334</v>
      </c>
      <c r="KS704" s="5" t="s">
        <v>4335</v>
      </c>
      <c r="KT704" s="5" t="s">
        <v>7847</v>
      </c>
    </row>
    <row r="705" spans="1:306" ht="144" x14ac:dyDescent="0.2">
      <c r="A705" s="5" t="s">
        <v>7880</v>
      </c>
      <c r="B705" s="4" t="s">
        <v>424</v>
      </c>
      <c r="C705" s="7" t="s">
        <v>425</v>
      </c>
      <c r="D705" s="7" t="s">
        <v>426</v>
      </c>
      <c r="E705" s="44">
        <v>859634</v>
      </c>
      <c r="F705" s="4">
        <v>481600</v>
      </c>
      <c r="G705" s="4" t="s">
        <v>427</v>
      </c>
      <c r="H705" s="6">
        <v>141.84299999999999</v>
      </c>
      <c r="I705" s="6">
        <v>-29.546500000000002</v>
      </c>
      <c r="J705" s="4" t="s">
        <v>7881</v>
      </c>
      <c r="K705" s="4" t="s">
        <v>298</v>
      </c>
      <c r="L705" s="4" t="s">
        <v>400</v>
      </c>
      <c r="M705" s="4" t="s">
        <v>2597</v>
      </c>
      <c r="O705" s="7"/>
      <c r="Q705" s="8"/>
      <c r="R705" s="8"/>
      <c r="Z705" s="4" t="s">
        <v>424</v>
      </c>
      <c r="AA705" s="7" t="s">
        <v>425</v>
      </c>
      <c r="AB705" s="7" t="s">
        <v>426</v>
      </c>
      <c r="AC705" s="4" t="s">
        <v>301</v>
      </c>
      <c r="AD705" s="4" t="s">
        <v>375</v>
      </c>
      <c r="AE705" s="8">
        <v>441</v>
      </c>
      <c r="AF705" s="8">
        <v>5</v>
      </c>
      <c r="AG705" s="9" t="s">
        <v>379</v>
      </c>
      <c r="AH705" s="9" t="s">
        <v>429</v>
      </c>
      <c r="AI705" s="9" t="s">
        <v>1079</v>
      </c>
      <c r="AJ705" s="9" t="s">
        <v>1238</v>
      </c>
      <c r="AM705" s="8">
        <v>2</v>
      </c>
      <c r="AN705" s="4" t="s">
        <v>381</v>
      </c>
      <c r="AO705" s="4" t="s">
        <v>402</v>
      </c>
      <c r="AP705" s="4" t="s">
        <v>383</v>
      </c>
      <c r="AQ705" s="7" t="s">
        <v>384</v>
      </c>
      <c r="AR705" s="8" t="s">
        <v>433</v>
      </c>
      <c r="AS705" s="7">
        <v>0</v>
      </c>
      <c r="AT705" s="7">
        <v>0</v>
      </c>
      <c r="AU705" s="9" t="s">
        <v>303</v>
      </c>
      <c r="AV705" s="9" t="s">
        <v>406</v>
      </c>
      <c r="BA705" s="8">
        <v>5</v>
      </c>
      <c r="BB705" s="4" t="s">
        <v>381</v>
      </c>
      <c r="BC705" s="4" t="s">
        <v>382</v>
      </c>
      <c r="BD705" s="4" t="s">
        <v>383</v>
      </c>
      <c r="BE705" s="7" t="s">
        <v>403</v>
      </c>
      <c r="BF705" s="8" t="s">
        <v>434</v>
      </c>
      <c r="BG705" s="7">
        <v>0</v>
      </c>
      <c r="BH705" s="7">
        <v>0</v>
      </c>
      <c r="BI705" s="9" t="s">
        <v>303</v>
      </c>
      <c r="BJ705" s="9" t="s">
        <v>406</v>
      </c>
      <c r="BO705" s="8">
        <v>5</v>
      </c>
      <c r="DZ705" s="31"/>
      <c r="EL705" s="6">
        <v>1.94</v>
      </c>
      <c r="EY705" s="6"/>
      <c r="FA705" s="6"/>
      <c r="GP705" s="32"/>
      <c r="GY705" s="6" t="s">
        <v>338</v>
      </c>
      <c r="GZ705" s="6" t="s">
        <v>436</v>
      </c>
      <c r="HC705" s="6" t="s">
        <v>437</v>
      </c>
      <c r="HD705" s="8" t="s">
        <v>7882</v>
      </c>
      <c r="HE705" s="8">
        <v>73551</v>
      </c>
      <c r="HF705" s="8" t="s">
        <v>7883</v>
      </c>
      <c r="HG705" s="9" t="s">
        <v>415</v>
      </c>
      <c r="HH705" s="9" t="s">
        <v>7884</v>
      </c>
      <c r="HI705" s="8">
        <v>76024</v>
      </c>
      <c r="HJ705" s="9" t="s">
        <v>7885</v>
      </c>
      <c r="HK705" s="9" t="s">
        <v>970</v>
      </c>
      <c r="HY705" s="9"/>
      <c r="ID705" s="8" t="s">
        <v>2038</v>
      </c>
      <c r="IE705" s="8" t="s">
        <v>444</v>
      </c>
      <c r="IF705" s="8" t="s">
        <v>350</v>
      </c>
      <c r="IW705" s="8"/>
      <c r="JB705" s="8"/>
      <c r="JV705" s="7" t="s">
        <v>7886</v>
      </c>
      <c r="JX705" s="7" t="s">
        <v>320</v>
      </c>
      <c r="JY705" s="7" t="s">
        <v>354</v>
      </c>
      <c r="JZ705" s="7" t="s">
        <v>322</v>
      </c>
      <c r="KG705" s="4" t="s">
        <v>323</v>
      </c>
      <c r="KM705" s="4" t="s">
        <v>836</v>
      </c>
      <c r="KN705" s="4" t="s">
        <v>836</v>
      </c>
      <c r="KQ705" s="5" t="s">
        <v>7887</v>
      </c>
      <c r="KR705" s="5" t="s">
        <v>7888</v>
      </c>
      <c r="KS705" s="5" t="s">
        <v>7889</v>
      </c>
      <c r="KT705" s="5" t="s">
        <v>7890</v>
      </c>
    </row>
    <row r="706" spans="1:306" ht="72" x14ac:dyDescent="0.25">
      <c r="A706" s="5" t="s">
        <v>7891</v>
      </c>
      <c r="B706" s="4" t="s">
        <v>424</v>
      </c>
      <c r="C706" s="7" t="s">
        <v>425</v>
      </c>
      <c r="D706" s="8" t="s">
        <v>426</v>
      </c>
      <c r="E706" s="4">
        <v>627044</v>
      </c>
      <c r="G706" s="4" t="s">
        <v>330</v>
      </c>
      <c r="H706" s="6">
        <v>119.892303</v>
      </c>
      <c r="I706" s="6">
        <v>-21.33548</v>
      </c>
      <c r="J706" s="4" t="s">
        <v>7892</v>
      </c>
      <c r="K706" s="4" t="s">
        <v>331</v>
      </c>
      <c r="L706" s="4" t="s">
        <v>368</v>
      </c>
      <c r="M706" s="4" t="s">
        <v>369</v>
      </c>
      <c r="Q706" s="8"/>
      <c r="R706" s="7"/>
      <c r="S706" s="4"/>
      <c r="T706" s="4"/>
      <c r="U706" s="4"/>
      <c r="V706" s="4"/>
      <c r="W706" s="4"/>
      <c r="Z706" s="4" t="s">
        <v>424</v>
      </c>
      <c r="AA706" s="7" t="s">
        <v>425</v>
      </c>
      <c r="AB706" s="8" t="s">
        <v>426</v>
      </c>
      <c r="AC706" s="4" t="s">
        <v>301</v>
      </c>
      <c r="AD706" s="4" t="s">
        <v>375</v>
      </c>
      <c r="AE706" s="8">
        <v>3385</v>
      </c>
      <c r="AF706" s="7"/>
      <c r="AG706" s="4" t="s">
        <v>303</v>
      </c>
      <c r="AH706" s="4" t="s">
        <v>304</v>
      </c>
      <c r="AI706" s="4" t="s">
        <v>1118</v>
      </c>
      <c r="AJ706" s="4" t="s">
        <v>1080</v>
      </c>
      <c r="AK706" s="4" t="s">
        <v>600</v>
      </c>
      <c r="AM706" s="8">
        <v>3</v>
      </c>
      <c r="AN706" s="4" t="s">
        <v>381</v>
      </c>
      <c r="AO706" s="4" t="s">
        <v>382</v>
      </c>
      <c r="AP706" s="4" t="s">
        <v>383</v>
      </c>
      <c r="AQ706" s="7" t="s">
        <v>384</v>
      </c>
      <c r="AR706" s="7" t="s">
        <v>433</v>
      </c>
      <c r="AS706" s="7">
        <v>0</v>
      </c>
      <c r="AT706" s="7">
        <v>0</v>
      </c>
      <c r="AU706" s="4" t="s">
        <v>303</v>
      </c>
      <c r="AV706" s="4" t="s">
        <v>406</v>
      </c>
      <c r="AW706" s="4"/>
      <c r="AX706" s="4"/>
      <c r="AY706" s="4"/>
      <c r="AZ706" s="4"/>
      <c r="BA706" s="8">
        <v>5</v>
      </c>
      <c r="BG706" s="8"/>
      <c r="BH706" s="7"/>
      <c r="BI706" s="4"/>
      <c r="BJ706" s="4"/>
      <c r="BK706" s="4"/>
      <c r="BL706" s="4"/>
      <c r="BM706" s="4"/>
      <c r="BP706" s="7">
        <v>43.02</v>
      </c>
      <c r="BV706" s="6">
        <v>1.18</v>
      </c>
      <c r="DZ706" s="31"/>
      <c r="EL706" s="6">
        <f>50.91+0.745+0.022</f>
        <v>51.676999999999992</v>
      </c>
      <c r="FA706" s="6"/>
      <c r="GP706" s="32"/>
      <c r="GY706" s="6" t="s">
        <v>338</v>
      </c>
      <c r="GZ706" s="6" t="s">
        <v>436</v>
      </c>
      <c r="HC706" s="6" t="s">
        <v>437</v>
      </c>
      <c r="HD706" s="8" t="s">
        <v>1121</v>
      </c>
      <c r="HE706" s="8">
        <v>16559</v>
      </c>
      <c r="HF706" s="8" t="s">
        <v>1122</v>
      </c>
      <c r="HG706" s="9" t="s">
        <v>792</v>
      </c>
      <c r="HH706" s="8"/>
      <c r="IB706" s="8" t="s">
        <v>1121</v>
      </c>
      <c r="IC706" s="8">
        <v>16559</v>
      </c>
      <c r="ID706" s="8" t="s">
        <v>1122</v>
      </c>
      <c r="IE706" s="9" t="s">
        <v>792</v>
      </c>
      <c r="IF706" s="8" t="s">
        <v>445</v>
      </c>
      <c r="IM706" s="9"/>
      <c r="IR706" s="9"/>
      <c r="JV706" s="7" t="s">
        <v>7893</v>
      </c>
      <c r="JX706" s="7" t="s">
        <v>320</v>
      </c>
      <c r="KP706" s="5" t="s">
        <v>358</v>
      </c>
      <c r="KQ706" s="5" t="s">
        <v>7894</v>
      </c>
      <c r="KR706" s="5" t="s">
        <v>1125</v>
      </c>
      <c r="KS706" s="5" t="s">
        <v>7895</v>
      </c>
      <c r="KT706" s="5" t="s">
        <v>7896</v>
      </c>
    </row>
    <row r="707" spans="1:306" s="14" customFormat="1" ht="60" x14ac:dyDescent="0.2">
      <c r="A707" s="5" t="s">
        <v>7916</v>
      </c>
      <c r="B707" s="4" t="s">
        <v>424</v>
      </c>
      <c r="C707" s="7" t="s">
        <v>425</v>
      </c>
      <c r="D707" s="8" t="s">
        <v>426</v>
      </c>
      <c r="E707" s="44">
        <v>334619</v>
      </c>
      <c r="F707" s="4"/>
      <c r="G707" s="4" t="s">
        <v>330</v>
      </c>
      <c r="H707" s="6">
        <v>121.4884</v>
      </c>
      <c r="I707" s="6">
        <v>-31.374199999999998</v>
      </c>
      <c r="J707" s="4" t="s">
        <v>4460</v>
      </c>
      <c r="K707" s="4" t="s">
        <v>331</v>
      </c>
      <c r="L707" s="4" t="s">
        <v>500</v>
      </c>
      <c r="M707" s="4" t="s">
        <v>501</v>
      </c>
      <c r="N707" s="4" t="s">
        <v>1061</v>
      </c>
      <c r="O707" s="8"/>
      <c r="P707" s="4"/>
      <c r="Q707" s="9"/>
      <c r="R707" s="9"/>
      <c r="S707" s="9"/>
      <c r="T707" s="9"/>
      <c r="U707" s="9"/>
      <c r="V707" s="9"/>
      <c r="W707" s="9"/>
      <c r="X707" s="9"/>
      <c r="Y707" s="8"/>
      <c r="Z707" s="4" t="s">
        <v>424</v>
      </c>
      <c r="AA707" s="7" t="s">
        <v>425</v>
      </c>
      <c r="AB707" s="8" t="s">
        <v>426</v>
      </c>
      <c r="AC707" s="4" t="s">
        <v>301</v>
      </c>
      <c r="AD707" s="4" t="s">
        <v>375</v>
      </c>
      <c r="AE707" s="9"/>
      <c r="AF707" s="9"/>
      <c r="AG707" s="9"/>
      <c r="AH707" s="9"/>
      <c r="AI707" s="9"/>
      <c r="AJ707" s="9"/>
      <c r="AK707" s="9"/>
      <c r="AL707" s="9"/>
      <c r="AM707" s="8"/>
      <c r="AN707" s="4"/>
      <c r="AO707" s="4"/>
      <c r="AP707" s="4"/>
      <c r="AQ707" s="7"/>
      <c r="AR707" s="8"/>
      <c r="AS707" s="9"/>
      <c r="AT707" s="9"/>
      <c r="AU707" s="9"/>
      <c r="AV707" s="9"/>
      <c r="AW707" s="9"/>
      <c r="AX707" s="9"/>
      <c r="AY707" s="9"/>
      <c r="AZ707" s="9"/>
      <c r="BA707" s="8"/>
      <c r="BB707" s="4"/>
      <c r="BC707" s="4"/>
      <c r="BD707" s="4"/>
      <c r="BE707" s="7"/>
      <c r="BF707" s="8"/>
      <c r="BG707" s="9"/>
      <c r="BH707" s="9"/>
      <c r="BI707" s="9"/>
      <c r="BJ707" s="9"/>
      <c r="BK707" s="9"/>
      <c r="BL707" s="9"/>
      <c r="BM707" s="9"/>
      <c r="BN707" s="9"/>
      <c r="BO707" s="8"/>
      <c r="BP707" s="7">
        <v>6.18</v>
      </c>
      <c r="BQ707" s="6"/>
      <c r="BR707" s="6"/>
      <c r="BS707" s="6"/>
      <c r="BT707" s="6"/>
      <c r="BU707" s="8"/>
      <c r="BV707" s="6">
        <v>2.61</v>
      </c>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31"/>
      <c r="EA707" s="6"/>
      <c r="EB707" s="6"/>
      <c r="EC707" s="6"/>
      <c r="ED707" s="6"/>
      <c r="EE707" s="6"/>
      <c r="EF707" s="6"/>
      <c r="EG707" s="6"/>
      <c r="EH707" s="10"/>
      <c r="EI707" s="10"/>
      <c r="EJ707" s="10"/>
      <c r="EK707" s="10"/>
      <c r="EL707" s="6">
        <v>16.11</v>
      </c>
      <c r="EM707" s="6"/>
      <c r="EN707" s="6"/>
      <c r="EO707" s="6"/>
      <c r="EP707" s="6"/>
      <c r="EQ707" s="6"/>
      <c r="ER707" s="6"/>
      <c r="ES707" s="6"/>
      <c r="ET707" s="6"/>
      <c r="EU707" s="6"/>
      <c r="EV707" s="6"/>
      <c r="EW707" s="6"/>
      <c r="EX707" s="6"/>
      <c r="EY707" s="8"/>
      <c r="EZ707" s="6"/>
      <c r="FA707" s="10"/>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32"/>
      <c r="GQ707" s="6"/>
      <c r="GR707" s="6"/>
      <c r="GS707" s="6"/>
      <c r="GT707" s="6"/>
      <c r="GU707" s="6"/>
      <c r="GV707" s="6"/>
      <c r="GW707" s="6"/>
      <c r="GX707" s="6"/>
      <c r="GY707" s="6" t="s">
        <v>338</v>
      </c>
      <c r="GZ707" s="6" t="s">
        <v>436</v>
      </c>
      <c r="HA707" s="6"/>
      <c r="HB707" s="6"/>
      <c r="HC707" s="6" t="s">
        <v>437</v>
      </c>
      <c r="HD707" s="39" t="s">
        <v>3544</v>
      </c>
      <c r="HE707" s="8">
        <v>9165</v>
      </c>
      <c r="HF707" s="8" t="s">
        <v>7917</v>
      </c>
      <c r="HG707" s="9" t="s">
        <v>507</v>
      </c>
      <c r="HH707" s="9"/>
      <c r="HI707" s="8"/>
      <c r="HJ707" s="9"/>
      <c r="HK707" s="9"/>
      <c r="HL707" s="9"/>
      <c r="HM707" s="8"/>
      <c r="HN707" s="9"/>
      <c r="HO707" s="9"/>
      <c r="HP707" s="9"/>
      <c r="HQ707" s="8"/>
      <c r="HR707" s="9"/>
      <c r="HS707" s="9"/>
      <c r="HT707" s="9"/>
      <c r="HU707" s="9"/>
      <c r="HV707" s="9"/>
      <c r="HW707" s="9"/>
      <c r="HX707" s="9"/>
      <c r="HY707" s="8"/>
      <c r="HZ707" s="9"/>
      <c r="IA707" s="9"/>
      <c r="IB707" s="46" t="s">
        <v>3544</v>
      </c>
      <c r="IC707" s="8">
        <v>9165</v>
      </c>
      <c r="ID707" s="8" t="s">
        <v>7917</v>
      </c>
      <c r="IE707" s="9" t="s">
        <v>507</v>
      </c>
      <c r="IF707" s="8"/>
      <c r="IG707" s="8"/>
      <c r="IH707" s="8"/>
      <c r="II707" s="8"/>
      <c r="IJ707" s="8"/>
      <c r="IK707" s="8"/>
      <c r="IL707" s="9"/>
      <c r="IM707" s="8"/>
      <c r="IN707" s="9"/>
      <c r="IO707" s="9"/>
      <c r="IP707" s="9"/>
      <c r="IQ707" s="9"/>
      <c r="IR707" s="8"/>
      <c r="IS707" s="9"/>
      <c r="IT707" s="9"/>
      <c r="IU707" s="9"/>
      <c r="IV707" s="9"/>
      <c r="IW707" s="9"/>
      <c r="IX707" s="9"/>
      <c r="IY707" s="9"/>
      <c r="IZ707" s="9"/>
      <c r="JA707" s="9"/>
      <c r="JB707" s="9"/>
      <c r="JC707" s="9"/>
      <c r="JD707" s="9"/>
      <c r="JE707" s="9"/>
      <c r="JF707" s="9"/>
      <c r="JG707" s="9"/>
      <c r="JH707" s="9"/>
      <c r="JI707" s="9"/>
      <c r="JJ707" s="9"/>
      <c r="JK707" s="9"/>
      <c r="JL707" s="9"/>
      <c r="JM707" s="9"/>
      <c r="JN707" s="9"/>
      <c r="JO707" s="9"/>
      <c r="JP707" s="9"/>
      <c r="JQ707" s="9"/>
      <c r="JR707" s="9"/>
      <c r="JS707" s="9"/>
      <c r="JT707" s="9"/>
      <c r="JU707" s="7"/>
      <c r="JV707" s="7"/>
      <c r="JW707" s="7"/>
      <c r="JX707" s="7"/>
      <c r="JY707" s="7"/>
      <c r="JZ707" s="7"/>
      <c r="KA707" s="7"/>
      <c r="KB707" s="7"/>
      <c r="KC707" s="7"/>
      <c r="KD707" s="7"/>
      <c r="KE707" s="7"/>
      <c r="KF707" s="7"/>
      <c r="KG707" s="4"/>
      <c r="KH707" s="4"/>
      <c r="KI707" s="4"/>
      <c r="KJ707" s="4"/>
      <c r="KK707" s="4"/>
      <c r="KL707" s="4"/>
      <c r="KM707" s="4"/>
      <c r="KN707" s="4"/>
      <c r="KO707" s="4"/>
      <c r="KP707" s="5" t="s">
        <v>7918</v>
      </c>
      <c r="KQ707" s="5" t="s">
        <v>7919</v>
      </c>
      <c r="KR707" s="5"/>
      <c r="KS707" s="5" t="s">
        <v>7920</v>
      </c>
      <c r="KT707" s="5" t="s">
        <v>7921</v>
      </c>
    </row>
    <row r="708" spans="1:306" ht="60" x14ac:dyDescent="0.25">
      <c r="A708" s="5" t="s">
        <v>7928</v>
      </c>
      <c r="B708" s="4" t="s">
        <v>424</v>
      </c>
      <c r="C708" s="7" t="s">
        <v>425</v>
      </c>
      <c r="D708" s="8" t="s">
        <v>426</v>
      </c>
      <c r="E708" s="4">
        <v>333786</v>
      </c>
      <c r="G708" s="4" t="s">
        <v>593</v>
      </c>
      <c r="H708" s="6">
        <v>139.44560000000001</v>
      </c>
      <c r="I708" s="6">
        <v>-32.283000000000001</v>
      </c>
      <c r="J708" s="4" t="s">
        <v>7929</v>
      </c>
      <c r="K708" s="4" t="s">
        <v>298</v>
      </c>
      <c r="L708" s="4" t="s">
        <v>689</v>
      </c>
      <c r="Q708" s="8"/>
      <c r="Z708" s="4" t="s">
        <v>424</v>
      </c>
      <c r="AA708" s="7" t="s">
        <v>425</v>
      </c>
      <c r="AB708" s="8" t="s">
        <v>426</v>
      </c>
      <c r="AC708" s="4" t="s">
        <v>301</v>
      </c>
      <c r="AD708" s="4" t="s">
        <v>302</v>
      </c>
      <c r="AE708" s="8">
        <v>471</v>
      </c>
      <c r="AG708" s="9" t="s">
        <v>379</v>
      </c>
      <c r="AH708" s="9" t="s">
        <v>380</v>
      </c>
      <c r="AM708" s="8">
        <v>2</v>
      </c>
      <c r="DZ708" s="31"/>
      <c r="EB708" s="10"/>
      <c r="EL708" s="6">
        <f>1.427+0.069</f>
        <v>1.496</v>
      </c>
      <c r="GP708" s="32"/>
      <c r="GY708" s="6" t="s">
        <v>309</v>
      </c>
      <c r="GZ708" s="6" t="s">
        <v>436</v>
      </c>
      <c r="HC708" s="6" t="s">
        <v>437</v>
      </c>
      <c r="HD708" s="8" t="s">
        <v>7930</v>
      </c>
      <c r="HE708" s="8">
        <v>29204</v>
      </c>
      <c r="HF708" s="8" t="s">
        <v>7931</v>
      </c>
      <c r="HG708" s="9" t="s">
        <v>876</v>
      </c>
      <c r="JX708" s="7" t="s">
        <v>320</v>
      </c>
      <c r="KP708" s="5" t="s">
        <v>358</v>
      </c>
      <c r="KQ708" s="18" t="s">
        <v>1183</v>
      </c>
      <c r="KS708" s="18" t="s">
        <v>1183</v>
      </c>
      <c r="KT708" s="5" t="s">
        <v>7932</v>
      </c>
    </row>
    <row r="709" spans="1:306" ht="96" x14ac:dyDescent="0.25">
      <c r="A709" s="5" t="s">
        <v>7959</v>
      </c>
      <c r="B709" s="4" t="s">
        <v>424</v>
      </c>
      <c r="C709" s="7" t="s">
        <v>425</v>
      </c>
      <c r="D709" s="8" t="s">
        <v>426</v>
      </c>
      <c r="E709" s="4">
        <v>334727</v>
      </c>
      <c r="G709" s="4" t="s">
        <v>427</v>
      </c>
      <c r="H709" s="6">
        <v>147.2098</v>
      </c>
      <c r="I709" s="6">
        <v>-33.923400000000001</v>
      </c>
      <c r="J709" s="4" t="s">
        <v>7960</v>
      </c>
      <c r="K709" s="4" t="s">
        <v>298</v>
      </c>
      <c r="L709" s="4" t="s">
        <v>299</v>
      </c>
      <c r="M709" s="4" t="s">
        <v>1359</v>
      </c>
      <c r="Q709" s="8"/>
      <c r="Z709" s="4" t="s">
        <v>424</v>
      </c>
      <c r="AA709" s="7" t="s">
        <v>425</v>
      </c>
      <c r="AB709" s="8" t="s">
        <v>426</v>
      </c>
      <c r="AC709" s="4" t="s">
        <v>301</v>
      </c>
      <c r="AD709" s="4" t="s">
        <v>375</v>
      </c>
      <c r="AE709" s="8">
        <v>365</v>
      </c>
      <c r="AG709" s="9" t="s">
        <v>379</v>
      </c>
      <c r="AH709" s="9" t="s">
        <v>335</v>
      </c>
      <c r="AI709" s="9" t="s">
        <v>1118</v>
      </c>
      <c r="AJ709" s="9" t="s">
        <v>1080</v>
      </c>
      <c r="AK709" s="9" t="s">
        <v>600</v>
      </c>
      <c r="AM709" s="8">
        <v>2</v>
      </c>
      <c r="AN709" s="4" t="s">
        <v>381</v>
      </c>
      <c r="AO709" s="4" t="s">
        <v>382</v>
      </c>
      <c r="AP709" s="4" t="s">
        <v>383</v>
      </c>
      <c r="AQ709" s="7" t="s">
        <v>384</v>
      </c>
      <c r="AR709" s="8" t="s">
        <v>433</v>
      </c>
      <c r="AS709" s="7">
        <v>0</v>
      </c>
      <c r="AT709" s="7">
        <v>0</v>
      </c>
      <c r="AU709" s="9" t="s">
        <v>303</v>
      </c>
      <c r="AV709" s="9" t="s">
        <v>406</v>
      </c>
      <c r="BA709" s="8">
        <v>5</v>
      </c>
      <c r="BP709" s="7">
        <v>0.34</v>
      </c>
      <c r="BV709" s="8">
        <v>41</v>
      </c>
      <c r="DZ709" s="31"/>
      <c r="EL709" s="7">
        <f>BP709*BV709</f>
        <v>13.940000000000001</v>
      </c>
      <c r="GP709" s="32"/>
      <c r="GY709" s="6" t="s">
        <v>309</v>
      </c>
      <c r="GZ709" s="6" t="s">
        <v>436</v>
      </c>
      <c r="HC709" s="6" t="s">
        <v>437</v>
      </c>
      <c r="HD709" s="8" t="s">
        <v>7961</v>
      </c>
      <c r="HE709" s="8">
        <v>18839</v>
      </c>
      <c r="HF709" s="8" t="s">
        <v>7962</v>
      </c>
      <c r="HG709" s="9" t="s">
        <v>2517</v>
      </c>
      <c r="HH709" s="9" t="s">
        <v>7963</v>
      </c>
      <c r="HI709" s="8">
        <v>25792</v>
      </c>
      <c r="HJ709" s="9" t="s">
        <v>7964</v>
      </c>
      <c r="HK709" s="9" t="s">
        <v>2517</v>
      </c>
      <c r="HL709" s="4" t="s">
        <v>7965</v>
      </c>
      <c r="HM709" s="8">
        <v>33406</v>
      </c>
      <c r="HN709" s="4" t="s">
        <v>7966</v>
      </c>
      <c r="HO709" s="4" t="s">
        <v>1365</v>
      </c>
      <c r="IB709" s="4" t="s">
        <v>7965</v>
      </c>
      <c r="IC709" s="8">
        <v>33406</v>
      </c>
      <c r="ID709" s="4" t="s">
        <v>7966</v>
      </c>
      <c r="IE709" s="4" t="s">
        <v>1365</v>
      </c>
      <c r="IF709" s="4" t="s">
        <v>445</v>
      </c>
      <c r="IG709" s="8" t="s">
        <v>7961</v>
      </c>
      <c r="IH709" s="8">
        <v>18839</v>
      </c>
      <c r="II709" s="8" t="s">
        <v>7962</v>
      </c>
      <c r="IJ709" s="9" t="s">
        <v>2517</v>
      </c>
      <c r="IK709" s="8" t="s">
        <v>445</v>
      </c>
      <c r="IL709" s="9" t="s">
        <v>7963</v>
      </c>
      <c r="IM709" s="8">
        <v>25792</v>
      </c>
      <c r="IN709" s="9" t="s">
        <v>7964</v>
      </c>
      <c r="IO709" s="9" t="s">
        <v>2517</v>
      </c>
      <c r="IP709" s="8" t="s">
        <v>445</v>
      </c>
      <c r="IW709" s="8"/>
      <c r="JB709" s="8"/>
      <c r="JV709" s="7" t="s">
        <v>7967</v>
      </c>
      <c r="JX709" s="7" t="s">
        <v>320</v>
      </c>
      <c r="KG709" s="4" t="s">
        <v>1894</v>
      </c>
      <c r="KH709" s="4" t="s">
        <v>1317</v>
      </c>
      <c r="KM709" s="4" t="s">
        <v>391</v>
      </c>
      <c r="KN709" s="4" t="s">
        <v>702</v>
      </c>
      <c r="KP709" s="5" t="s">
        <v>358</v>
      </c>
      <c r="KQ709" s="5" t="s">
        <v>7968</v>
      </c>
      <c r="KR709" s="5" t="s">
        <v>6556</v>
      </c>
      <c r="KS709" s="5" t="s">
        <v>7969</v>
      </c>
      <c r="KT709" s="5" t="s">
        <v>7970</v>
      </c>
    </row>
    <row r="710" spans="1:306" ht="132" x14ac:dyDescent="0.25">
      <c r="A710" s="5" t="s">
        <v>7971</v>
      </c>
      <c r="B710" s="4" t="s">
        <v>424</v>
      </c>
      <c r="C710" s="7" t="s">
        <v>425</v>
      </c>
      <c r="D710" s="8" t="s">
        <v>426</v>
      </c>
      <c r="E710" s="4">
        <v>335327</v>
      </c>
      <c r="G710" s="4" t="s">
        <v>530</v>
      </c>
      <c r="H710" s="6">
        <v>131.29920000000001</v>
      </c>
      <c r="I710" s="6">
        <v>-13.409700000000001</v>
      </c>
      <c r="K710" s="4" t="s">
        <v>481</v>
      </c>
      <c r="L710" s="4" t="s">
        <v>532</v>
      </c>
      <c r="Q710" s="8"/>
      <c r="R710" s="8"/>
      <c r="Z710" s="4" t="s">
        <v>424</v>
      </c>
      <c r="AA710" s="7" t="s">
        <v>425</v>
      </c>
      <c r="AB710" s="8" t="s">
        <v>426</v>
      </c>
      <c r="AC710" s="4" t="s">
        <v>301</v>
      </c>
      <c r="AD710" s="4" t="s">
        <v>375</v>
      </c>
      <c r="AE710" s="8">
        <v>1810</v>
      </c>
      <c r="AF710" s="8"/>
      <c r="AG710" s="9" t="s">
        <v>379</v>
      </c>
      <c r="AH710" s="9" t="s">
        <v>380</v>
      </c>
      <c r="AM710" s="8">
        <v>3</v>
      </c>
      <c r="AN710" s="4" t="s">
        <v>381</v>
      </c>
      <c r="AO710" s="4" t="s">
        <v>382</v>
      </c>
      <c r="AP710" s="4" t="s">
        <v>383</v>
      </c>
      <c r="AQ710" s="7" t="s">
        <v>384</v>
      </c>
      <c r="AR710" s="7" t="s">
        <v>433</v>
      </c>
      <c r="AS710" s="7">
        <v>0</v>
      </c>
      <c r="AT710" s="7">
        <v>0</v>
      </c>
      <c r="AU710" s="9" t="s">
        <v>303</v>
      </c>
      <c r="AV710" s="9" t="s">
        <v>406</v>
      </c>
      <c r="BA710" s="8">
        <v>5</v>
      </c>
      <c r="BP710" s="7">
        <v>1.548</v>
      </c>
      <c r="BV710" s="6">
        <v>1.9</v>
      </c>
      <c r="DZ710" s="31"/>
      <c r="EL710" s="6">
        <f>BP710*BV710</f>
        <v>2.9411999999999998</v>
      </c>
      <c r="EY710" s="6"/>
      <c r="FA710" s="6"/>
      <c r="GP710" s="32"/>
      <c r="GY710" s="6" t="s">
        <v>338</v>
      </c>
      <c r="GZ710" s="6" t="s">
        <v>436</v>
      </c>
      <c r="HC710" s="6" t="s">
        <v>437</v>
      </c>
      <c r="HD710" s="9" t="s">
        <v>3183</v>
      </c>
      <c r="HE710" s="8">
        <v>27066</v>
      </c>
      <c r="HF710" s="9" t="s">
        <v>3184</v>
      </c>
      <c r="HG710" s="9" t="s">
        <v>538</v>
      </c>
      <c r="HH710" s="9" t="s">
        <v>1682</v>
      </c>
      <c r="HI710" s="8">
        <v>27961</v>
      </c>
      <c r="HJ710" s="9" t="s">
        <v>1683</v>
      </c>
      <c r="HK710" s="9" t="s">
        <v>538</v>
      </c>
      <c r="HY710" s="9"/>
      <c r="IB710" s="9" t="s">
        <v>1682</v>
      </c>
      <c r="IC710" s="8">
        <v>27961</v>
      </c>
      <c r="ID710" s="9" t="s">
        <v>1683</v>
      </c>
      <c r="IE710" s="9" t="s">
        <v>538</v>
      </c>
      <c r="IF710" s="8" t="s">
        <v>445</v>
      </c>
      <c r="IG710" s="8" t="s">
        <v>1576</v>
      </c>
      <c r="IH710" s="8">
        <v>30778</v>
      </c>
      <c r="II710" s="8" t="s">
        <v>2203</v>
      </c>
      <c r="IJ710" s="8" t="s">
        <v>538</v>
      </c>
      <c r="IK710" s="8" t="s">
        <v>1578</v>
      </c>
      <c r="IW710" s="8"/>
      <c r="JB710" s="8"/>
      <c r="JV710" s="7" t="s">
        <v>7972</v>
      </c>
      <c r="JX710" s="7" t="s">
        <v>320</v>
      </c>
      <c r="JY710" s="7" t="s">
        <v>354</v>
      </c>
      <c r="JZ710" s="7" t="s">
        <v>322</v>
      </c>
      <c r="KG710" s="4" t="s">
        <v>323</v>
      </c>
      <c r="KM710" s="4" t="s">
        <v>836</v>
      </c>
      <c r="KN710" s="4" t="s">
        <v>836</v>
      </c>
      <c r="KP710" s="5" t="s">
        <v>358</v>
      </c>
      <c r="KQ710" s="5" t="s">
        <v>7973</v>
      </c>
      <c r="KS710" s="5" t="s">
        <v>1580</v>
      </c>
      <c r="KT710" s="5" t="s">
        <v>4553</v>
      </c>
    </row>
    <row r="711" spans="1:306" ht="84" x14ac:dyDescent="0.25">
      <c r="A711" s="5" t="s">
        <v>8009</v>
      </c>
      <c r="B711" s="4" t="s">
        <v>424</v>
      </c>
      <c r="C711" s="7" t="s">
        <v>425</v>
      </c>
      <c r="D711" s="8" t="s">
        <v>426</v>
      </c>
      <c r="E711" s="4">
        <v>333774</v>
      </c>
      <c r="G711" s="4" t="s">
        <v>593</v>
      </c>
      <c r="H711" s="6">
        <v>140.57929999999999</v>
      </c>
      <c r="I711" s="6">
        <v>-32.095500000000001</v>
      </c>
      <c r="J711" s="4" t="s">
        <v>4412</v>
      </c>
      <c r="K711" s="4" t="s">
        <v>595</v>
      </c>
      <c r="L711" s="4" t="s">
        <v>1422</v>
      </c>
      <c r="Q711" s="8"/>
      <c r="R711" s="7"/>
      <c r="S711" s="4"/>
      <c r="Z711" s="4" t="s">
        <v>424</v>
      </c>
      <c r="AA711" s="7" t="s">
        <v>425</v>
      </c>
      <c r="AB711" s="8" t="s">
        <v>426</v>
      </c>
      <c r="AC711" s="4" t="s">
        <v>301</v>
      </c>
      <c r="AD711" s="4" t="s">
        <v>375</v>
      </c>
      <c r="AE711" s="8">
        <v>1612</v>
      </c>
      <c r="AF711" s="7"/>
      <c r="AG711" s="4" t="s">
        <v>303</v>
      </c>
      <c r="AH711" s="9" t="s">
        <v>304</v>
      </c>
      <c r="AI711" s="9" t="s">
        <v>598</v>
      </c>
      <c r="AJ711" s="9" t="s">
        <v>599</v>
      </c>
      <c r="AK711" s="9" t="s">
        <v>600</v>
      </c>
      <c r="AM711" s="8">
        <v>4</v>
      </c>
      <c r="AN711" s="4" t="s">
        <v>381</v>
      </c>
      <c r="AO711" s="4" t="s">
        <v>402</v>
      </c>
      <c r="AP711" s="4" t="s">
        <v>383</v>
      </c>
      <c r="AQ711" s="7" t="s">
        <v>384</v>
      </c>
      <c r="AR711" s="8" t="s">
        <v>827</v>
      </c>
      <c r="AS711" s="7">
        <v>0</v>
      </c>
      <c r="AT711" s="7">
        <v>0</v>
      </c>
      <c r="AU711" s="9" t="s">
        <v>379</v>
      </c>
      <c r="AV711" s="9" t="s">
        <v>406</v>
      </c>
      <c r="BA711" s="8">
        <v>5</v>
      </c>
      <c r="BB711" s="4" t="s">
        <v>381</v>
      </c>
      <c r="BC711" s="4" t="s">
        <v>382</v>
      </c>
      <c r="BD711" s="4" t="s">
        <v>383</v>
      </c>
      <c r="BE711" s="7" t="s">
        <v>384</v>
      </c>
      <c r="BF711" s="8" t="s">
        <v>433</v>
      </c>
      <c r="BG711" s="7">
        <v>0</v>
      </c>
      <c r="BH711" s="7">
        <v>0</v>
      </c>
      <c r="BI711" s="9" t="s">
        <v>379</v>
      </c>
      <c r="BJ711" s="9" t="s">
        <v>406</v>
      </c>
      <c r="BO711" s="8">
        <v>5</v>
      </c>
      <c r="DZ711" s="31"/>
      <c r="EB711" s="10"/>
      <c r="EL711" s="7">
        <f>26500*31.1/1000000+4.6*0.7</f>
        <v>4.0441500000000001</v>
      </c>
      <c r="EY711" s="6"/>
      <c r="FA711" s="6"/>
      <c r="GP711" s="32"/>
      <c r="GY711" s="31" t="s">
        <v>407</v>
      </c>
      <c r="GZ711" s="6" t="s">
        <v>436</v>
      </c>
      <c r="HC711" s="6" t="s">
        <v>437</v>
      </c>
      <c r="HD711" s="8" t="s">
        <v>8010</v>
      </c>
      <c r="HE711" s="8">
        <v>29840</v>
      </c>
      <c r="HF711" s="8" t="s">
        <v>8011</v>
      </c>
      <c r="HG711" s="9" t="s">
        <v>538</v>
      </c>
      <c r="HY711" s="9"/>
      <c r="IB711" s="8" t="s">
        <v>8012</v>
      </c>
      <c r="ID711" s="8" t="s">
        <v>528</v>
      </c>
      <c r="IE711" s="8" t="s">
        <v>349</v>
      </c>
      <c r="IF711" s="8" t="s">
        <v>445</v>
      </c>
      <c r="IG711" s="8" t="s">
        <v>8013</v>
      </c>
      <c r="IH711" s="8">
        <v>69582</v>
      </c>
      <c r="II711" s="8" t="s">
        <v>8014</v>
      </c>
      <c r="IJ711" s="8" t="s">
        <v>349</v>
      </c>
      <c r="IK711" s="8" t="s">
        <v>350</v>
      </c>
      <c r="JV711" s="7" t="s">
        <v>5973</v>
      </c>
      <c r="JX711" s="7" t="s">
        <v>320</v>
      </c>
      <c r="KG711" s="4" t="s">
        <v>323</v>
      </c>
      <c r="KM711" s="4" t="s">
        <v>1192</v>
      </c>
      <c r="KN711" s="4" t="s">
        <v>1192</v>
      </c>
      <c r="KP711" s="5" t="s">
        <v>358</v>
      </c>
      <c r="KQ711" s="5" t="s">
        <v>8015</v>
      </c>
      <c r="KR711" s="5" t="s">
        <v>6289</v>
      </c>
      <c r="KS711" s="18" t="s">
        <v>8016</v>
      </c>
      <c r="KT711" s="14" t="s">
        <v>8017</v>
      </c>
    </row>
    <row r="712" spans="1:306" ht="120" x14ac:dyDescent="0.25">
      <c r="A712" s="5" t="s">
        <v>8022</v>
      </c>
      <c r="B712" s="4" t="s">
        <v>424</v>
      </c>
      <c r="C712" s="7" t="s">
        <v>425</v>
      </c>
      <c r="D712" s="8" t="s">
        <v>426</v>
      </c>
      <c r="E712" s="4">
        <v>334475</v>
      </c>
      <c r="G712" s="4" t="s">
        <v>530</v>
      </c>
      <c r="H712" s="6">
        <v>134.76599999999999</v>
      </c>
      <c r="I712" s="6">
        <v>-23.463100000000001</v>
      </c>
      <c r="J712" s="4" t="s">
        <v>881</v>
      </c>
      <c r="K712" s="4" t="s">
        <v>481</v>
      </c>
      <c r="L712" s="4" t="s">
        <v>580</v>
      </c>
      <c r="M712" s="4" t="s">
        <v>581</v>
      </c>
      <c r="Q712" s="8"/>
      <c r="R712" s="8"/>
      <c r="Z712" s="4" t="s">
        <v>424</v>
      </c>
      <c r="AA712" s="7" t="s">
        <v>425</v>
      </c>
      <c r="AB712" s="8" t="s">
        <v>426</v>
      </c>
      <c r="AC712" s="4" t="s">
        <v>301</v>
      </c>
      <c r="AD712" s="4" t="s">
        <v>375</v>
      </c>
      <c r="AE712" s="8">
        <v>322</v>
      </c>
      <c r="AF712" s="8"/>
      <c r="AG712" s="9" t="s">
        <v>379</v>
      </c>
      <c r="AH712" s="9" t="s">
        <v>1156</v>
      </c>
      <c r="AM712" s="8">
        <v>2</v>
      </c>
      <c r="AN712" s="4" t="s">
        <v>381</v>
      </c>
      <c r="AO712" s="4" t="s">
        <v>382</v>
      </c>
      <c r="AP712" s="4" t="s">
        <v>383</v>
      </c>
      <c r="AQ712" s="7" t="s">
        <v>384</v>
      </c>
      <c r="AR712" s="7" t="s">
        <v>433</v>
      </c>
      <c r="AS712" s="7">
        <v>0</v>
      </c>
      <c r="AT712" s="7">
        <v>0</v>
      </c>
      <c r="AU712" s="9" t="s">
        <v>303</v>
      </c>
      <c r="AV712" s="9" t="s">
        <v>406</v>
      </c>
      <c r="BA712" s="8">
        <v>5</v>
      </c>
      <c r="DZ712" s="31"/>
      <c r="EL712" s="6">
        <v>3.3047599999999999</v>
      </c>
      <c r="EY712" s="6"/>
      <c r="FA712" s="6"/>
      <c r="GP712" s="32"/>
      <c r="GY712" s="6" t="s">
        <v>309</v>
      </c>
      <c r="GZ712" s="6" t="s">
        <v>436</v>
      </c>
      <c r="HC712" s="6" t="s">
        <v>437</v>
      </c>
      <c r="HD712" s="9" t="s">
        <v>8023</v>
      </c>
      <c r="HE712" s="8">
        <v>8223</v>
      </c>
      <c r="HF712" s="8" t="s">
        <v>8024</v>
      </c>
      <c r="HG712" s="9" t="s">
        <v>876</v>
      </c>
      <c r="HY712" s="9"/>
      <c r="IW712" s="8"/>
      <c r="JB712" s="8"/>
      <c r="JV712" s="7" t="s">
        <v>2718</v>
      </c>
      <c r="JW712" s="7" t="s">
        <v>2718</v>
      </c>
      <c r="JX712" s="7" t="s">
        <v>320</v>
      </c>
      <c r="KG712" s="4" t="s">
        <v>323</v>
      </c>
      <c r="KM712" s="4" t="s">
        <v>391</v>
      </c>
      <c r="KN712" s="4" t="s">
        <v>391</v>
      </c>
      <c r="KP712" s="5" t="s">
        <v>358</v>
      </c>
      <c r="KQ712" s="5" t="s">
        <v>890</v>
      </c>
      <c r="KR712" s="5" t="s">
        <v>891</v>
      </c>
      <c r="KS712" s="5" t="s">
        <v>892</v>
      </c>
      <c r="KT712" s="5" t="s">
        <v>8025</v>
      </c>
    </row>
    <row r="713" spans="1:306" ht="48" x14ac:dyDescent="0.25">
      <c r="A713" s="5" t="s">
        <v>8092</v>
      </c>
      <c r="B713" s="4" t="s">
        <v>424</v>
      </c>
      <c r="C713" s="7" t="s">
        <v>425</v>
      </c>
      <c r="D713" s="8" t="s">
        <v>426</v>
      </c>
      <c r="E713" s="4">
        <v>361241</v>
      </c>
      <c r="G713" s="4" t="s">
        <v>330</v>
      </c>
      <c r="H713" s="6">
        <v>120.318</v>
      </c>
      <c r="I713" s="6">
        <v>-26.773499999999999</v>
      </c>
      <c r="J713" s="4" t="s">
        <v>5093</v>
      </c>
      <c r="K713" s="4" t="s">
        <v>331</v>
      </c>
      <c r="L713" s="4" t="s">
        <v>500</v>
      </c>
      <c r="M713" s="4" t="s">
        <v>501</v>
      </c>
      <c r="N713" s="4" t="s">
        <v>1061</v>
      </c>
      <c r="Q713" s="8"/>
      <c r="Z713" s="4" t="s">
        <v>424</v>
      </c>
      <c r="AA713" s="7" t="s">
        <v>425</v>
      </c>
      <c r="AB713" s="8" t="s">
        <v>426</v>
      </c>
      <c r="AC713" s="4" t="s">
        <v>301</v>
      </c>
      <c r="AD713" s="4" t="s">
        <v>375</v>
      </c>
      <c r="AE713" s="8">
        <v>2623</v>
      </c>
      <c r="AG713" s="9" t="s">
        <v>379</v>
      </c>
      <c r="AH713" s="9" t="s">
        <v>1156</v>
      </c>
      <c r="AM713" s="8">
        <v>2</v>
      </c>
      <c r="AN713" s="4" t="s">
        <v>381</v>
      </c>
      <c r="AO713" s="4" t="s">
        <v>382</v>
      </c>
      <c r="AP713" s="4" t="s">
        <v>383</v>
      </c>
      <c r="AQ713" s="7" t="s">
        <v>384</v>
      </c>
      <c r="AR713" s="8" t="s">
        <v>433</v>
      </c>
      <c r="AS713" s="7">
        <v>0</v>
      </c>
      <c r="AT713" s="7">
        <v>0</v>
      </c>
      <c r="AU713" s="4" t="s">
        <v>303</v>
      </c>
      <c r="AV713" s="4" t="s">
        <v>406</v>
      </c>
      <c r="AW713" s="4"/>
      <c r="AX713" s="4"/>
      <c r="AY713" s="4"/>
      <c r="AZ713" s="4"/>
      <c r="BA713" s="8">
        <v>5</v>
      </c>
      <c r="BG713" s="8"/>
      <c r="BP713" s="7">
        <f>5.9+0.668</f>
        <v>6.5680000000000005</v>
      </c>
      <c r="BV713" s="6">
        <f>(0.668*1.98+5.9*1.7)/(0.668+5.9)</f>
        <v>1.728477466504263</v>
      </c>
      <c r="DZ713" s="31"/>
      <c r="EL713" s="7">
        <f>BP713*BV713</f>
        <v>11.352640000000001</v>
      </c>
      <c r="GP713" s="32"/>
      <c r="GY713" s="6" t="s">
        <v>338</v>
      </c>
      <c r="GZ713" s="6" t="s">
        <v>436</v>
      </c>
      <c r="HC713" s="6" t="s">
        <v>437</v>
      </c>
      <c r="IR713" s="9"/>
      <c r="KM713" s="4" t="s">
        <v>3942</v>
      </c>
      <c r="KN713" s="4" t="s">
        <v>3942</v>
      </c>
      <c r="KP713" s="5" t="s">
        <v>358</v>
      </c>
      <c r="KQ713" s="5" t="s">
        <v>8093</v>
      </c>
      <c r="KT713" s="5" t="s">
        <v>8094</v>
      </c>
    </row>
    <row r="714" spans="1:306" ht="60" x14ac:dyDescent="0.25">
      <c r="A714" s="5" t="s">
        <v>8097</v>
      </c>
      <c r="B714" s="4" t="s">
        <v>424</v>
      </c>
      <c r="C714" s="7" t="s">
        <v>425</v>
      </c>
      <c r="D714" s="8" t="s">
        <v>426</v>
      </c>
      <c r="E714" s="4">
        <v>334642</v>
      </c>
      <c r="G714" s="4" t="s">
        <v>330</v>
      </c>
      <c r="H714" s="6">
        <v>120.2521</v>
      </c>
      <c r="I714" s="6">
        <v>-26.631799999999998</v>
      </c>
      <c r="J714" s="4" t="s">
        <v>5093</v>
      </c>
      <c r="K714" s="4" t="s">
        <v>331</v>
      </c>
      <c r="L714" s="4" t="s">
        <v>500</v>
      </c>
      <c r="M714" s="4" t="s">
        <v>501</v>
      </c>
      <c r="N714" s="4" t="s">
        <v>1061</v>
      </c>
      <c r="Q714" s="8"/>
      <c r="Z714" s="4" t="s">
        <v>424</v>
      </c>
      <c r="AA714" s="7" t="s">
        <v>425</v>
      </c>
      <c r="AB714" s="8" t="s">
        <v>426</v>
      </c>
      <c r="AC714" s="4" t="s">
        <v>301</v>
      </c>
      <c r="AD714" s="4" t="s">
        <v>375</v>
      </c>
      <c r="AE714" s="8">
        <v>2623</v>
      </c>
      <c r="AG714" s="9" t="s">
        <v>379</v>
      </c>
      <c r="AH714" s="9" t="s">
        <v>1156</v>
      </c>
      <c r="AM714" s="8">
        <v>2</v>
      </c>
      <c r="AN714" s="4" t="s">
        <v>381</v>
      </c>
      <c r="AO714" s="4" t="s">
        <v>382</v>
      </c>
      <c r="AP714" s="4" t="s">
        <v>383</v>
      </c>
      <c r="AQ714" s="7" t="s">
        <v>384</v>
      </c>
      <c r="AR714" s="8" t="s">
        <v>433</v>
      </c>
      <c r="AS714" s="7">
        <v>0</v>
      </c>
      <c r="AT714" s="7">
        <v>0</v>
      </c>
      <c r="AU714" s="4" t="s">
        <v>303</v>
      </c>
      <c r="AV714" s="4" t="s">
        <v>406</v>
      </c>
      <c r="AW714" s="4"/>
      <c r="AX714" s="4"/>
      <c r="AY714" s="4"/>
      <c r="AZ714" s="4"/>
      <c r="BA714" s="8">
        <v>5</v>
      </c>
      <c r="BG714" s="8"/>
      <c r="DZ714" s="31"/>
      <c r="EL714" s="8">
        <v>287.36</v>
      </c>
      <c r="GP714" s="32"/>
      <c r="GY714" s="6" t="s">
        <v>338</v>
      </c>
      <c r="GZ714" s="6" t="s">
        <v>436</v>
      </c>
      <c r="HC714" s="6" t="s">
        <v>437</v>
      </c>
      <c r="HD714" s="8" t="s">
        <v>8098</v>
      </c>
      <c r="HF714" s="8" t="s">
        <v>8099</v>
      </c>
      <c r="HG714" s="9" t="s">
        <v>507</v>
      </c>
      <c r="HH714" s="9" t="s">
        <v>8100</v>
      </c>
      <c r="HJ714" s="9" t="s">
        <v>8101</v>
      </c>
      <c r="HK714" s="9" t="s">
        <v>507</v>
      </c>
      <c r="IB714" s="8" t="s">
        <v>8102</v>
      </c>
      <c r="ID714" s="8" t="s">
        <v>8103</v>
      </c>
      <c r="IE714" s="9" t="s">
        <v>507</v>
      </c>
      <c r="IF714" s="9" t="s">
        <v>445</v>
      </c>
      <c r="IG714" s="9"/>
      <c r="II714" s="9" t="s">
        <v>7201</v>
      </c>
      <c r="IJ714" s="9" t="s">
        <v>507</v>
      </c>
      <c r="IK714" s="8" t="s">
        <v>445</v>
      </c>
      <c r="IN714" s="9" t="s">
        <v>658</v>
      </c>
      <c r="IR714" s="9"/>
      <c r="IS714" s="9" t="s">
        <v>8104</v>
      </c>
      <c r="JV714" s="7" t="s">
        <v>8105</v>
      </c>
      <c r="JX714" s="7" t="s">
        <v>320</v>
      </c>
      <c r="KG714" s="4" t="s">
        <v>323</v>
      </c>
      <c r="KM714" s="4" t="s">
        <v>3942</v>
      </c>
      <c r="KN714" s="4" t="s">
        <v>3942</v>
      </c>
      <c r="KP714" s="5" t="s">
        <v>358</v>
      </c>
      <c r="KQ714" s="5" t="s">
        <v>8106</v>
      </c>
      <c r="KS714" s="5" t="s">
        <v>8107</v>
      </c>
      <c r="KT714" s="5" t="s">
        <v>8108</v>
      </c>
    </row>
    <row r="715" spans="1:306" ht="72" x14ac:dyDescent="0.25">
      <c r="A715" s="5" t="s">
        <v>8118</v>
      </c>
      <c r="B715" s="4" t="s">
        <v>424</v>
      </c>
      <c r="C715" s="7" t="s">
        <v>425</v>
      </c>
      <c r="D715" s="8" t="s">
        <v>426</v>
      </c>
      <c r="E715" s="4">
        <v>361243</v>
      </c>
      <c r="G715" s="4" t="s">
        <v>330</v>
      </c>
      <c r="H715" s="6">
        <v>118.5834</v>
      </c>
      <c r="I715" s="6">
        <v>-20.84497</v>
      </c>
      <c r="J715" s="4" t="s">
        <v>8119</v>
      </c>
      <c r="K715" s="4" t="s">
        <v>331</v>
      </c>
      <c r="L715" s="4" t="s">
        <v>368</v>
      </c>
      <c r="M715" s="4" t="s">
        <v>2198</v>
      </c>
      <c r="Q715" s="8"/>
      <c r="Z715" s="4" t="s">
        <v>424</v>
      </c>
      <c r="AA715" s="7" t="s">
        <v>425</v>
      </c>
      <c r="AB715" s="8" t="s">
        <v>426</v>
      </c>
      <c r="AC715" s="4" t="s">
        <v>301</v>
      </c>
      <c r="AD715" s="4" t="s">
        <v>375</v>
      </c>
      <c r="AE715" s="8"/>
      <c r="AN715" s="4" t="s">
        <v>381</v>
      </c>
      <c r="AO715" s="4" t="s">
        <v>382</v>
      </c>
      <c r="AP715" s="4" t="s">
        <v>383</v>
      </c>
      <c r="AQ715" s="7" t="s">
        <v>384</v>
      </c>
      <c r="AR715" s="7" t="s">
        <v>433</v>
      </c>
      <c r="AS715" s="7">
        <v>0</v>
      </c>
      <c r="AT715" s="7">
        <v>0</v>
      </c>
      <c r="AU715" s="4" t="s">
        <v>303</v>
      </c>
      <c r="AV715" s="4" t="s">
        <v>406</v>
      </c>
      <c r="AW715" s="4"/>
      <c r="AX715" s="4"/>
      <c r="AY715" s="4"/>
      <c r="AZ715" s="4"/>
      <c r="BA715" s="8">
        <v>5</v>
      </c>
      <c r="BG715" s="8"/>
      <c r="BP715" s="7">
        <v>11.86</v>
      </c>
      <c r="BV715" s="7">
        <v>1.4</v>
      </c>
      <c r="DZ715" s="31"/>
      <c r="EL715" s="6">
        <f>BP715*BV715</f>
        <v>16.603999999999999</v>
      </c>
      <c r="GP715" s="32"/>
      <c r="GY715" s="6" t="s">
        <v>338</v>
      </c>
      <c r="GZ715" s="6" t="s">
        <v>436</v>
      </c>
      <c r="HC715" s="6" t="s">
        <v>437</v>
      </c>
      <c r="HD715" s="8" t="s">
        <v>8120</v>
      </c>
      <c r="HE715" s="8">
        <v>29271</v>
      </c>
      <c r="HF715" s="8" t="s">
        <v>8121</v>
      </c>
      <c r="HG715" s="9" t="s">
        <v>389</v>
      </c>
      <c r="KG715" s="4" t="s">
        <v>323</v>
      </c>
      <c r="KM715" s="4" t="s">
        <v>391</v>
      </c>
      <c r="KN715" s="4" t="s">
        <v>391</v>
      </c>
      <c r="KP715" s="5" t="s">
        <v>358</v>
      </c>
      <c r="KQ715" s="5" t="s">
        <v>8122</v>
      </c>
      <c r="KS715" s="5" t="s">
        <v>8123</v>
      </c>
      <c r="KT715" s="5" t="s">
        <v>8124</v>
      </c>
    </row>
    <row r="716" spans="1:306" ht="72" x14ac:dyDescent="0.25">
      <c r="A716" s="5" t="s">
        <v>8161</v>
      </c>
      <c r="B716" s="4" t="s">
        <v>424</v>
      </c>
      <c r="C716" s="7" t="s">
        <v>425</v>
      </c>
      <c r="D716" s="8" t="s">
        <v>426</v>
      </c>
      <c r="E716" s="4">
        <v>335926</v>
      </c>
      <c r="G716" s="4" t="s">
        <v>330</v>
      </c>
      <c r="H716" s="6">
        <v>118.19629999999999</v>
      </c>
      <c r="I716" s="6">
        <v>-20.898099999999999</v>
      </c>
      <c r="J716" s="4" t="s">
        <v>8162</v>
      </c>
      <c r="K716" s="4" t="s">
        <v>331</v>
      </c>
      <c r="L716" s="4" t="s">
        <v>368</v>
      </c>
      <c r="M716" s="4" t="s">
        <v>2198</v>
      </c>
      <c r="Q716" s="8"/>
      <c r="Z716" s="4" t="s">
        <v>424</v>
      </c>
      <c r="AA716" s="7" t="s">
        <v>425</v>
      </c>
      <c r="AB716" s="8" t="s">
        <v>426</v>
      </c>
      <c r="AC716" s="4" t="s">
        <v>301</v>
      </c>
      <c r="AD716" s="4" t="s">
        <v>375</v>
      </c>
      <c r="AE716" s="8">
        <v>2951</v>
      </c>
      <c r="AG716" s="9" t="s">
        <v>303</v>
      </c>
      <c r="AH716" s="9" t="s">
        <v>304</v>
      </c>
      <c r="AI716" s="9" t="s">
        <v>8163</v>
      </c>
      <c r="AJ716" s="9" t="s">
        <v>1080</v>
      </c>
      <c r="AK716" s="9" t="s">
        <v>600</v>
      </c>
      <c r="AM716" s="8">
        <v>2</v>
      </c>
      <c r="AN716" s="4" t="s">
        <v>381</v>
      </c>
      <c r="AO716" s="4" t="s">
        <v>382</v>
      </c>
      <c r="AP716" s="4" t="s">
        <v>383</v>
      </c>
      <c r="AQ716" s="7" t="s">
        <v>384</v>
      </c>
      <c r="AR716" s="7" t="s">
        <v>433</v>
      </c>
      <c r="AS716" s="7">
        <v>0</v>
      </c>
      <c r="AT716" s="7">
        <v>0</v>
      </c>
      <c r="AU716" s="4" t="s">
        <v>303</v>
      </c>
      <c r="AV716" s="4" t="s">
        <v>406</v>
      </c>
      <c r="AW716" s="4"/>
      <c r="AX716" s="4"/>
      <c r="AY716" s="4"/>
      <c r="AZ716" s="4"/>
      <c r="BA716" s="8">
        <v>5</v>
      </c>
      <c r="BG716" s="8"/>
      <c r="BV716" s="7"/>
      <c r="DZ716" s="31"/>
      <c r="EL716" s="7">
        <f>0.9+29.1*1.8</f>
        <v>53.28</v>
      </c>
      <c r="GP716" s="32"/>
      <c r="GY716" s="6" t="s">
        <v>435</v>
      </c>
      <c r="GZ716" s="6" t="s">
        <v>436</v>
      </c>
      <c r="HC716" s="6" t="s">
        <v>437</v>
      </c>
      <c r="HD716" s="8" t="s">
        <v>8120</v>
      </c>
      <c r="HE716" s="8">
        <v>29271</v>
      </c>
      <c r="HF716" s="8" t="s">
        <v>8121</v>
      </c>
      <c r="HG716" s="9" t="s">
        <v>389</v>
      </c>
      <c r="JV716" s="7" t="s">
        <v>8164</v>
      </c>
      <c r="JX716" s="7" t="s">
        <v>320</v>
      </c>
      <c r="KG716" s="4" t="s">
        <v>323</v>
      </c>
      <c r="KM716" s="4" t="s">
        <v>391</v>
      </c>
      <c r="KN716" s="4" t="s">
        <v>391</v>
      </c>
      <c r="KP716" s="5" t="s">
        <v>358</v>
      </c>
      <c r="KQ716" s="5" t="s">
        <v>8165</v>
      </c>
      <c r="KR716" s="5" t="s">
        <v>8166</v>
      </c>
      <c r="KS716" s="5" t="s">
        <v>8167</v>
      </c>
      <c r="KT716" s="5" t="s">
        <v>8168</v>
      </c>
    </row>
    <row r="717" spans="1:306" ht="144" x14ac:dyDescent="0.25">
      <c r="A717" s="5" t="s">
        <v>8240</v>
      </c>
      <c r="B717" s="4" t="s">
        <v>424</v>
      </c>
      <c r="C717" s="7" t="s">
        <v>425</v>
      </c>
      <c r="D717" s="8" t="s">
        <v>426</v>
      </c>
      <c r="E717" s="4">
        <v>335016</v>
      </c>
      <c r="G717" s="4" t="s">
        <v>773</v>
      </c>
      <c r="H717" s="6">
        <v>146.24757499</v>
      </c>
      <c r="I717" s="6">
        <v>-37.570243521099997</v>
      </c>
      <c r="J717" s="4" t="s">
        <v>8241</v>
      </c>
      <c r="K717" s="4" t="s">
        <v>298</v>
      </c>
      <c r="L717" s="4" t="s">
        <v>299</v>
      </c>
      <c r="M717" s="4" t="s">
        <v>775</v>
      </c>
      <c r="N717" s="4" t="s">
        <v>1093</v>
      </c>
      <c r="Q717" s="8"/>
      <c r="R717" s="8"/>
      <c r="Z717" s="4" t="s">
        <v>424</v>
      </c>
      <c r="AA717" s="7" t="s">
        <v>425</v>
      </c>
      <c r="AB717" s="8" t="s">
        <v>426</v>
      </c>
      <c r="AC717" s="4" t="s">
        <v>301</v>
      </c>
      <c r="AD717" s="4" t="s">
        <v>375</v>
      </c>
      <c r="AE717" s="8">
        <v>374</v>
      </c>
      <c r="AF717" s="8">
        <v>6</v>
      </c>
      <c r="AG717" s="9" t="s">
        <v>379</v>
      </c>
      <c r="AH717" s="9" t="s">
        <v>429</v>
      </c>
      <c r="AI717" s="9" t="s">
        <v>430</v>
      </c>
      <c r="AJ717" s="9" t="s">
        <v>431</v>
      </c>
      <c r="AK717" s="9" t="s">
        <v>432</v>
      </c>
      <c r="AM717" s="8">
        <v>4</v>
      </c>
      <c r="AN717" s="4" t="s">
        <v>381</v>
      </c>
      <c r="AO717" s="4" t="s">
        <v>382</v>
      </c>
      <c r="AP717" s="4" t="s">
        <v>383</v>
      </c>
      <c r="AQ717" s="7" t="s">
        <v>403</v>
      </c>
      <c r="AR717" s="8" t="s">
        <v>434</v>
      </c>
      <c r="AS717" s="7">
        <v>0</v>
      </c>
      <c r="AT717" s="7">
        <v>0</v>
      </c>
      <c r="AU717" s="9" t="s">
        <v>303</v>
      </c>
      <c r="AV717" s="9" t="s">
        <v>406</v>
      </c>
      <c r="BA717" s="8">
        <v>5</v>
      </c>
      <c r="BE717" s="4"/>
      <c r="BF717" s="4"/>
      <c r="BG717" s="4"/>
      <c r="BH717" s="4"/>
      <c r="BI717" s="4"/>
      <c r="BJ717" s="4"/>
      <c r="BK717" s="4"/>
      <c r="BL717" s="4"/>
      <c r="BM717" s="4"/>
      <c r="BN717" s="4"/>
      <c r="BO717" s="4"/>
      <c r="BQ717" s="7"/>
      <c r="BR717" s="7"/>
      <c r="BS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c r="CX717" s="7"/>
      <c r="CY717" s="7"/>
      <c r="CZ717" s="7"/>
      <c r="DA717" s="7"/>
      <c r="DB717" s="7"/>
      <c r="DC717" s="7"/>
      <c r="DD717" s="7"/>
      <c r="DE717" s="7"/>
      <c r="DF717" s="7"/>
      <c r="DG717" s="7"/>
      <c r="DH717" s="7"/>
      <c r="DI717" s="7"/>
      <c r="DJ717" s="7"/>
      <c r="DK717" s="7"/>
      <c r="DL717" s="7"/>
      <c r="DM717" s="7"/>
      <c r="DN717" s="7"/>
      <c r="DO717" s="7"/>
      <c r="DP717" s="7"/>
      <c r="DQ717" s="7"/>
      <c r="DR717" s="7"/>
      <c r="DS717" s="7"/>
      <c r="DT717" s="7"/>
      <c r="DU717" s="7"/>
      <c r="DV717" s="7"/>
      <c r="DW717" s="7"/>
      <c r="DX717" s="7"/>
      <c r="DY717" s="7"/>
      <c r="DZ717" s="31"/>
      <c r="EA717" s="7"/>
      <c r="EB717" s="7"/>
      <c r="EC717" s="7"/>
      <c r="ED717" s="7"/>
      <c r="EE717" s="7"/>
      <c r="EF717" s="7"/>
      <c r="EG717" s="7"/>
      <c r="EL717" s="7">
        <f>45.7+12.4+4.62*6.12</f>
        <v>86.374400000000009</v>
      </c>
      <c r="EY717" s="6"/>
      <c r="FA717" s="6"/>
      <c r="GP717" s="32"/>
      <c r="GY717" s="6" t="s">
        <v>435</v>
      </c>
      <c r="GZ717" s="6" t="s">
        <v>436</v>
      </c>
      <c r="HC717" s="6" t="s">
        <v>437</v>
      </c>
      <c r="HD717" s="4" t="s">
        <v>7821</v>
      </c>
      <c r="HE717" s="4">
        <v>20527</v>
      </c>
      <c r="HF717" s="4" t="s">
        <v>7822</v>
      </c>
      <c r="HG717" s="9" t="s">
        <v>318</v>
      </c>
      <c r="HQ717" s="9"/>
      <c r="HY717" s="9"/>
      <c r="IB717" s="4" t="s">
        <v>7821</v>
      </c>
      <c r="IC717" s="4">
        <v>20527</v>
      </c>
      <c r="ID717" s="4" t="s">
        <v>7822</v>
      </c>
      <c r="IE717" s="9" t="s">
        <v>318</v>
      </c>
      <c r="IF717" s="8" t="s">
        <v>445</v>
      </c>
      <c r="JV717" s="7" t="s">
        <v>8242</v>
      </c>
      <c r="JX717" s="7" t="s">
        <v>320</v>
      </c>
      <c r="KG717" s="4" t="s">
        <v>323</v>
      </c>
      <c r="KP717" s="18" t="s">
        <v>8243</v>
      </c>
      <c r="KQ717" s="5" t="s">
        <v>8244</v>
      </c>
      <c r="KR717" s="5" t="s">
        <v>8245</v>
      </c>
      <c r="KS717" s="5" t="s">
        <v>8246</v>
      </c>
      <c r="KT717" s="5" t="s">
        <v>8247</v>
      </c>
    </row>
    <row r="718" spans="1:306" ht="84" x14ac:dyDescent="0.25">
      <c r="A718" s="5" t="s">
        <v>8248</v>
      </c>
      <c r="B718" s="4" t="s">
        <v>424</v>
      </c>
      <c r="C718" s="7" t="s">
        <v>425</v>
      </c>
      <c r="D718" s="8" t="s">
        <v>426</v>
      </c>
      <c r="E718" s="4">
        <v>408249</v>
      </c>
      <c r="G718" s="4" t="s">
        <v>593</v>
      </c>
      <c r="H718" s="6">
        <v>138.90790000000001</v>
      </c>
      <c r="I718" s="6">
        <v>-34.9572</v>
      </c>
      <c r="J718" s="4" t="s">
        <v>8249</v>
      </c>
      <c r="K718" s="4" t="s">
        <v>298</v>
      </c>
      <c r="L718" s="4" t="s">
        <v>689</v>
      </c>
      <c r="Q718" s="8"/>
      <c r="Z718" s="4" t="s">
        <v>424</v>
      </c>
      <c r="AA718" s="7" t="s">
        <v>425</v>
      </c>
      <c r="AB718" s="8" t="s">
        <v>426</v>
      </c>
      <c r="AC718" s="4" t="s">
        <v>301</v>
      </c>
      <c r="AD718" s="4" t="s">
        <v>302</v>
      </c>
      <c r="AE718" s="8">
        <v>471</v>
      </c>
      <c r="AG718" s="9" t="s">
        <v>379</v>
      </c>
      <c r="AH718" s="9" t="s">
        <v>380</v>
      </c>
      <c r="AM718" s="8">
        <v>3</v>
      </c>
      <c r="DZ718" s="31"/>
      <c r="EB718" s="10"/>
      <c r="EK718" s="10">
        <f>0.65*5.8/1000</f>
        <v>3.7699999999999999E-3</v>
      </c>
      <c r="EL718" s="6">
        <f>0.933+0.65*12.6</f>
        <v>9.1229999999999993</v>
      </c>
      <c r="GP718" s="32"/>
      <c r="GY718" s="6" t="s">
        <v>435</v>
      </c>
      <c r="GZ718" s="6" t="s">
        <v>436</v>
      </c>
      <c r="HB718" s="6" t="s">
        <v>462</v>
      </c>
      <c r="HC718" s="6" t="s">
        <v>1120</v>
      </c>
      <c r="HD718" s="8" t="s">
        <v>8250</v>
      </c>
      <c r="HE718" s="8">
        <v>2557</v>
      </c>
      <c r="HF718" s="8" t="s">
        <v>8251</v>
      </c>
      <c r="HG718" s="9" t="s">
        <v>876</v>
      </c>
      <c r="HH718" s="9" t="s">
        <v>3044</v>
      </c>
      <c r="HI718" s="8">
        <v>17814</v>
      </c>
      <c r="HJ718" s="9" t="s">
        <v>8252</v>
      </c>
      <c r="HK718" s="9" t="s">
        <v>876</v>
      </c>
      <c r="HL718" s="9" t="s">
        <v>8253</v>
      </c>
      <c r="HM718" s="8">
        <v>501</v>
      </c>
      <c r="HN718" s="9" t="s">
        <v>8254</v>
      </c>
      <c r="HO718" s="9" t="s">
        <v>876</v>
      </c>
      <c r="HP718" s="9" t="s">
        <v>8255</v>
      </c>
      <c r="HQ718" s="8">
        <v>27907</v>
      </c>
      <c r="HR718" s="9" t="s">
        <v>8256</v>
      </c>
      <c r="HS718" s="9" t="s">
        <v>876</v>
      </c>
      <c r="IB718" s="8" t="s">
        <v>8257</v>
      </c>
      <c r="ID718" s="8" t="s">
        <v>8258</v>
      </c>
      <c r="IF718" s="8" t="s">
        <v>445</v>
      </c>
      <c r="JX718" s="7" t="s">
        <v>320</v>
      </c>
      <c r="KM718" s="4" t="s">
        <v>391</v>
      </c>
      <c r="KN718" s="4" t="s">
        <v>702</v>
      </c>
      <c r="KP718" s="5" t="s">
        <v>358</v>
      </c>
      <c r="KQ718" s="5" t="s">
        <v>8259</v>
      </c>
      <c r="KS718" s="5" t="s">
        <v>8260</v>
      </c>
      <c r="KT718" s="5" t="s">
        <v>8261</v>
      </c>
    </row>
    <row r="719" spans="1:306" ht="120" x14ac:dyDescent="0.25">
      <c r="A719" s="5" t="s">
        <v>8262</v>
      </c>
      <c r="B719" s="4" t="s">
        <v>424</v>
      </c>
      <c r="C719" s="7" t="s">
        <v>425</v>
      </c>
      <c r="D719" s="8" t="s">
        <v>426</v>
      </c>
      <c r="E719" s="4">
        <v>334939</v>
      </c>
      <c r="G719" s="4" t="s">
        <v>479</v>
      </c>
      <c r="H719" s="6">
        <v>143.364</v>
      </c>
      <c r="I719" s="6">
        <v>-19.7</v>
      </c>
      <c r="J719" s="4" t="s">
        <v>8262</v>
      </c>
      <c r="K719" s="4" t="s">
        <v>481</v>
      </c>
      <c r="L719" s="4" t="s">
        <v>482</v>
      </c>
      <c r="Q719" s="7"/>
      <c r="R719" s="7"/>
      <c r="Z719" s="4" t="s">
        <v>424</v>
      </c>
      <c r="AA719" s="7" t="s">
        <v>425</v>
      </c>
      <c r="AB719" s="8" t="s">
        <v>426</v>
      </c>
      <c r="AC719" s="4" t="s">
        <v>301</v>
      </c>
      <c r="AD719" s="4" t="s">
        <v>302</v>
      </c>
      <c r="AE719" s="7">
        <v>377.8</v>
      </c>
      <c r="AF719" s="7">
        <v>8.6999999999999993</v>
      </c>
      <c r="AG719" s="9" t="s">
        <v>379</v>
      </c>
      <c r="AH719" s="9" t="s">
        <v>429</v>
      </c>
      <c r="AI719" s="9" t="s">
        <v>430</v>
      </c>
      <c r="AJ719" s="9" t="s">
        <v>1238</v>
      </c>
      <c r="AM719" s="8">
        <v>3</v>
      </c>
      <c r="AN719" s="4" t="s">
        <v>381</v>
      </c>
      <c r="AO719" s="4" t="s">
        <v>402</v>
      </c>
      <c r="AP719" s="4" t="s">
        <v>383</v>
      </c>
      <c r="AQ719" s="7" t="s">
        <v>384</v>
      </c>
      <c r="AR719" s="8" t="s">
        <v>433</v>
      </c>
      <c r="AS719" s="7">
        <v>0</v>
      </c>
      <c r="AT719" s="7">
        <v>0</v>
      </c>
      <c r="AU719" s="9" t="s">
        <v>303</v>
      </c>
      <c r="AV719" s="9" t="s">
        <v>406</v>
      </c>
      <c r="BA719" s="8">
        <v>5</v>
      </c>
      <c r="DZ719" s="31"/>
      <c r="EL719" s="6">
        <v>37.226999999999997</v>
      </c>
      <c r="EY719" s="6"/>
      <c r="FA719" s="6"/>
      <c r="GP719" s="32"/>
      <c r="GY719" s="6" t="s">
        <v>435</v>
      </c>
      <c r="GZ719" s="6" t="s">
        <v>436</v>
      </c>
      <c r="HC719" s="6" t="s">
        <v>437</v>
      </c>
      <c r="HD719" s="8" t="s">
        <v>2183</v>
      </c>
      <c r="HE719" s="8">
        <v>6018</v>
      </c>
      <c r="HF719" s="8" t="s">
        <v>2191</v>
      </c>
      <c r="HG719" s="9" t="s">
        <v>490</v>
      </c>
      <c r="HY719" s="9"/>
      <c r="IR719" s="9"/>
      <c r="JV719" s="7" t="s">
        <v>1772</v>
      </c>
      <c r="JX719" s="7" t="s">
        <v>320</v>
      </c>
      <c r="KG719" s="4" t="s">
        <v>323</v>
      </c>
      <c r="KM719" s="4" t="s">
        <v>702</v>
      </c>
      <c r="KN719" s="4" t="s">
        <v>888</v>
      </c>
      <c r="KO719" s="4" t="s">
        <v>445</v>
      </c>
      <c r="KP719" s="5" t="s">
        <v>358</v>
      </c>
      <c r="KQ719" s="5" t="s">
        <v>495</v>
      </c>
      <c r="KR719" s="5" t="s">
        <v>495</v>
      </c>
      <c r="KS719" s="5" t="s">
        <v>495</v>
      </c>
      <c r="KT719" s="5" t="s">
        <v>8263</v>
      </c>
    </row>
    <row r="720" spans="1:306" ht="108" x14ac:dyDescent="0.25">
      <c r="A720" s="5" t="s">
        <v>8268</v>
      </c>
      <c r="B720" s="4" t="s">
        <v>424</v>
      </c>
      <c r="C720" s="7" t="s">
        <v>425</v>
      </c>
      <c r="D720" s="8" t="s">
        <v>426</v>
      </c>
      <c r="E720" s="4">
        <v>333349</v>
      </c>
      <c r="G720" s="4" t="s">
        <v>530</v>
      </c>
      <c r="H720" s="6">
        <v>131.96340000000001</v>
      </c>
      <c r="I720" s="6">
        <v>-14.081</v>
      </c>
      <c r="K720" s="4" t="s">
        <v>481</v>
      </c>
      <c r="L720" s="4" t="s">
        <v>532</v>
      </c>
      <c r="Q720" s="8"/>
      <c r="R720" s="8"/>
      <c r="Z720" s="4" t="s">
        <v>424</v>
      </c>
      <c r="AA720" s="7" t="s">
        <v>425</v>
      </c>
      <c r="AB720" s="8" t="s">
        <v>426</v>
      </c>
      <c r="AC720" s="4" t="s">
        <v>301</v>
      </c>
      <c r="AD720" s="4" t="s">
        <v>375</v>
      </c>
      <c r="AE720" s="8">
        <v>1810</v>
      </c>
      <c r="AF720" s="8"/>
      <c r="AG720" s="9" t="s">
        <v>379</v>
      </c>
      <c r="AH720" s="9" t="s">
        <v>380</v>
      </c>
      <c r="AM720" s="8">
        <v>3</v>
      </c>
      <c r="AN720" s="4" t="s">
        <v>381</v>
      </c>
      <c r="AO720" s="4" t="s">
        <v>382</v>
      </c>
      <c r="AP720" s="4" t="s">
        <v>383</v>
      </c>
      <c r="AQ720" s="7" t="s">
        <v>384</v>
      </c>
      <c r="AR720" s="7" t="s">
        <v>433</v>
      </c>
      <c r="AS720" s="7">
        <v>0</v>
      </c>
      <c r="AT720" s="7">
        <v>0</v>
      </c>
      <c r="AU720" s="9" t="s">
        <v>303</v>
      </c>
      <c r="AV720" s="9" t="s">
        <v>406</v>
      </c>
      <c r="BA720" s="8">
        <v>5</v>
      </c>
      <c r="BP720" s="7">
        <v>0.27</v>
      </c>
      <c r="BV720" s="7">
        <v>2.7</v>
      </c>
      <c r="DZ720" s="31"/>
      <c r="EL720" s="7">
        <f>BP720*BV720</f>
        <v>0.72900000000000009</v>
      </c>
      <c r="EY720" s="6"/>
      <c r="FA720" s="6"/>
      <c r="GP720" s="32"/>
      <c r="GY720" s="6" t="s">
        <v>309</v>
      </c>
      <c r="GZ720" s="6" t="s">
        <v>436</v>
      </c>
      <c r="HC720" s="6" t="s">
        <v>437</v>
      </c>
      <c r="HD720" s="9" t="s">
        <v>536</v>
      </c>
      <c r="HE720" s="8">
        <v>3134</v>
      </c>
      <c r="HF720" s="9" t="s">
        <v>537</v>
      </c>
      <c r="HG720" s="9" t="s">
        <v>538</v>
      </c>
      <c r="HY720" s="9"/>
      <c r="IB720" s="8" t="s">
        <v>1576</v>
      </c>
      <c r="IC720" s="8">
        <v>30778</v>
      </c>
      <c r="ID720" s="8" t="s">
        <v>2203</v>
      </c>
      <c r="IE720" s="8" t="s">
        <v>538</v>
      </c>
      <c r="IF720" s="8" t="s">
        <v>1578</v>
      </c>
      <c r="IW720" s="8"/>
      <c r="JB720" s="8"/>
      <c r="KM720" s="4" t="s">
        <v>836</v>
      </c>
      <c r="KN720" s="4" t="s">
        <v>836</v>
      </c>
      <c r="KP720" s="5" t="s">
        <v>358</v>
      </c>
      <c r="KQ720" s="5" t="s">
        <v>739</v>
      </c>
      <c r="KS720" s="5" t="s">
        <v>739</v>
      </c>
      <c r="KT720" s="5" t="s">
        <v>8269</v>
      </c>
    </row>
    <row r="721" spans="1:306" ht="144" x14ac:dyDescent="0.25">
      <c r="A721" s="5" t="s">
        <v>8270</v>
      </c>
      <c r="B721" s="4" t="s">
        <v>424</v>
      </c>
      <c r="C721" s="7" t="s">
        <v>425</v>
      </c>
      <c r="D721" s="8" t="s">
        <v>426</v>
      </c>
      <c r="E721" s="4">
        <v>335745</v>
      </c>
      <c r="G721" s="4" t="s">
        <v>530</v>
      </c>
      <c r="H721" s="6">
        <v>131.5505</v>
      </c>
      <c r="I721" s="6">
        <v>-13.404500000000001</v>
      </c>
      <c r="K721" s="4" t="s">
        <v>481</v>
      </c>
      <c r="L721" s="4" t="s">
        <v>532</v>
      </c>
      <c r="Q721" s="8"/>
      <c r="R721" s="8"/>
      <c r="Z721" s="4" t="s">
        <v>424</v>
      </c>
      <c r="AA721" s="7" t="s">
        <v>425</v>
      </c>
      <c r="AB721" s="8" t="s">
        <v>426</v>
      </c>
      <c r="AC721" s="4" t="s">
        <v>301</v>
      </c>
      <c r="AD721" s="4" t="s">
        <v>375</v>
      </c>
      <c r="AE721" s="8">
        <v>1810</v>
      </c>
      <c r="AF721" s="8"/>
      <c r="AG721" s="9" t="s">
        <v>379</v>
      </c>
      <c r="AH721" s="9" t="s">
        <v>380</v>
      </c>
      <c r="AM721" s="8">
        <v>3</v>
      </c>
      <c r="AN721" s="4" t="s">
        <v>381</v>
      </c>
      <c r="AO721" s="4" t="s">
        <v>382</v>
      </c>
      <c r="AP721" s="4" t="s">
        <v>383</v>
      </c>
      <c r="AQ721" s="7" t="s">
        <v>384</v>
      </c>
      <c r="AR721" s="7" t="s">
        <v>433</v>
      </c>
      <c r="AS721" s="7">
        <v>0</v>
      </c>
      <c r="AT721" s="7">
        <v>0</v>
      </c>
      <c r="AU721" s="9" t="s">
        <v>303</v>
      </c>
      <c r="AV721" s="9" t="s">
        <v>406</v>
      </c>
      <c r="BA721" s="8">
        <v>5</v>
      </c>
      <c r="BP721" s="7">
        <v>2.9</v>
      </c>
      <c r="BQ721" s="7"/>
      <c r="BV721" s="7">
        <v>2.5</v>
      </c>
      <c r="DZ721" s="31"/>
      <c r="EL721" s="7">
        <f>BP721*BV721</f>
        <v>7.25</v>
      </c>
      <c r="EY721" s="6"/>
      <c r="FA721" s="6"/>
      <c r="GP721" s="32"/>
      <c r="GY721" s="6" t="s">
        <v>309</v>
      </c>
      <c r="GZ721" s="6" t="s">
        <v>436</v>
      </c>
      <c r="HC721" s="6" t="s">
        <v>437</v>
      </c>
      <c r="HD721" s="9" t="s">
        <v>3183</v>
      </c>
      <c r="HE721" s="8">
        <v>27066</v>
      </c>
      <c r="HF721" s="9" t="s">
        <v>8271</v>
      </c>
      <c r="HG721" s="9" t="s">
        <v>538</v>
      </c>
      <c r="HY721" s="9"/>
      <c r="IB721" s="8" t="s">
        <v>1576</v>
      </c>
      <c r="IC721" s="8">
        <v>30778</v>
      </c>
      <c r="ID721" s="8" t="s">
        <v>2203</v>
      </c>
      <c r="IE721" s="8" t="s">
        <v>538</v>
      </c>
      <c r="IF721" s="8" t="s">
        <v>1578</v>
      </c>
      <c r="IW721" s="8"/>
      <c r="JB721" s="8"/>
      <c r="JV721" s="7" t="s">
        <v>8272</v>
      </c>
      <c r="JX721" s="7" t="s">
        <v>320</v>
      </c>
      <c r="JY721" s="7" t="s">
        <v>354</v>
      </c>
      <c r="JZ721" s="7" t="s">
        <v>738</v>
      </c>
      <c r="KA721" s="7" t="s">
        <v>470</v>
      </c>
      <c r="KB721" s="7" t="s">
        <v>322</v>
      </c>
      <c r="KM721" s="4" t="s">
        <v>836</v>
      </c>
      <c r="KN721" s="4" t="s">
        <v>836</v>
      </c>
      <c r="KP721" s="5" t="s">
        <v>358</v>
      </c>
      <c r="KQ721" s="5" t="s">
        <v>8273</v>
      </c>
      <c r="KS721" s="5" t="s">
        <v>1580</v>
      </c>
      <c r="KT721" s="5" t="s">
        <v>8274</v>
      </c>
    </row>
    <row r="722" spans="1:306" ht="96" x14ac:dyDescent="0.25">
      <c r="A722" s="5" t="s">
        <v>8278</v>
      </c>
      <c r="B722" s="4" t="s">
        <v>424</v>
      </c>
      <c r="C722" s="7" t="s">
        <v>425</v>
      </c>
      <c r="D722" s="8" t="s">
        <v>426</v>
      </c>
      <c r="E722" s="4">
        <v>334727</v>
      </c>
      <c r="G722" s="4" t="s">
        <v>427</v>
      </c>
      <c r="H722" s="6">
        <v>147.2098</v>
      </c>
      <c r="I722" s="6">
        <v>-33.923400000000001</v>
      </c>
      <c r="J722" s="4" t="s">
        <v>7960</v>
      </c>
      <c r="K722" s="4" t="s">
        <v>298</v>
      </c>
      <c r="L722" s="4" t="s">
        <v>299</v>
      </c>
      <c r="M722" s="4" t="s">
        <v>1359</v>
      </c>
      <c r="Q722" s="8"/>
      <c r="R722" s="8"/>
      <c r="Z722" s="4" t="s">
        <v>424</v>
      </c>
      <c r="AA722" s="7" t="s">
        <v>425</v>
      </c>
      <c r="AB722" s="8" t="s">
        <v>426</v>
      </c>
      <c r="AC722" s="4" t="s">
        <v>301</v>
      </c>
      <c r="AD722" s="4" t="s">
        <v>375</v>
      </c>
      <c r="AE722" s="8">
        <v>365</v>
      </c>
      <c r="AF722" s="8"/>
      <c r="AG722" s="9" t="s">
        <v>379</v>
      </c>
      <c r="AH722" s="9" t="s">
        <v>335</v>
      </c>
      <c r="AI722" s="9" t="s">
        <v>1118</v>
      </c>
      <c r="AJ722" s="9" t="s">
        <v>1080</v>
      </c>
      <c r="AK722" s="9" t="s">
        <v>600</v>
      </c>
      <c r="AM722" s="8">
        <v>2</v>
      </c>
      <c r="AN722" s="4" t="s">
        <v>381</v>
      </c>
      <c r="AO722" s="4" t="s">
        <v>382</v>
      </c>
      <c r="AP722" s="4" t="s">
        <v>383</v>
      </c>
      <c r="AQ722" s="7" t="s">
        <v>384</v>
      </c>
      <c r="AR722" s="8" t="s">
        <v>433</v>
      </c>
      <c r="AS722" s="8">
        <v>0</v>
      </c>
      <c r="AT722" s="8">
        <v>0</v>
      </c>
      <c r="AU722" s="9" t="s">
        <v>303</v>
      </c>
      <c r="AV722" s="9" t="s">
        <v>406</v>
      </c>
      <c r="BA722" s="8">
        <v>5</v>
      </c>
      <c r="BP722" s="7">
        <v>0.34</v>
      </c>
      <c r="BV722" s="6">
        <v>41</v>
      </c>
      <c r="CB722" s="7"/>
      <c r="DZ722" s="31"/>
      <c r="EL722" s="6">
        <v>13.940000000000001</v>
      </c>
      <c r="ER722" s="8"/>
      <c r="GP722" s="32"/>
      <c r="GY722" s="31" t="s">
        <v>309</v>
      </c>
      <c r="GZ722" s="6" t="s">
        <v>436</v>
      </c>
      <c r="HD722" s="8" t="s">
        <v>7961</v>
      </c>
      <c r="HE722" s="8">
        <v>18839</v>
      </c>
      <c r="HF722" s="8" t="s">
        <v>7962</v>
      </c>
      <c r="HG722" s="9" t="s">
        <v>2517</v>
      </c>
      <c r="HH722" s="9" t="s">
        <v>7963</v>
      </c>
      <c r="HI722" s="8">
        <v>25792</v>
      </c>
      <c r="HJ722" s="9" t="s">
        <v>7964</v>
      </c>
      <c r="HK722" s="9" t="s">
        <v>2517</v>
      </c>
      <c r="HL722" s="9" t="s">
        <v>7965</v>
      </c>
      <c r="HM722" s="8">
        <v>33406</v>
      </c>
      <c r="HN722" s="9" t="s">
        <v>7966</v>
      </c>
      <c r="HO722" s="9" t="s">
        <v>1365</v>
      </c>
      <c r="IB722" s="8" t="s">
        <v>7965</v>
      </c>
      <c r="IC722" s="8">
        <v>33406</v>
      </c>
      <c r="ID722" s="8" t="s">
        <v>7966</v>
      </c>
      <c r="IE722" s="9" t="s">
        <v>1365</v>
      </c>
      <c r="IF722" s="8" t="s">
        <v>445</v>
      </c>
      <c r="IG722" s="8" t="s">
        <v>7961</v>
      </c>
      <c r="IH722" s="8">
        <v>18839</v>
      </c>
      <c r="II722" s="8" t="s">
        <v>7962</v>
      </c>
      <c r="IJ722" s="8" t="s">
        <v>2517</v>
      </c>
      <c r="IK722" s="8" t="s">
        <v>445</v>
      </c>
      <c r="IL722" s="9" t="s">
        <v>7963</v>
      </c>
      <c r="IM722" s="8">
        <v>25792</v>
      </c>
      <c r="IN722" s="9" t="s">
        <v>7964</v>
      </c>
      <c r="IO722" s="9" t="s">
        <v>2517</v>
      </c>
      <c r="IP722" s="9" t="s">
        <v>445</v>
      </c>
      <c r="JV722" s="7" t="s">
        <v>7967</v>
      </c>
      <c r="JX722" s="7" t="s">
        <v>320</v>
      </c>
      <c r="KE722" s="7" t="s">
        <v>1894</v>
      </c>
      <c r="KF722" s="7" t="s">
        <v>1317</v>
      </c>
      <c r="KK722" s="4" t="s">
        <v>391</v>
      </c>
      <c r="KL722" s="4" t="s">
        <v>702</v>
      </c>
      <c r="KN722" s="4" t="s">
        <v>358</v>
      </c>
      <c r="KO722" s="4" t="s">
        <v>7968</v>
      </c>
      <c r="KP722" s="5" t="s">
        <v>6556</v>
      </c>
      <c r="KQ722" s="5" t="s">
        <v>7969</v>
      </c>
      <c r="KR722" s="5" t="s">
        <v>7970</v>
      </c>
    </row>
    <row r="723" spans="1:306" ht="36" x14ac:dyDescent="0.2">
      <c r="A723" s="5" t="s">
        <v>8297</v>
      </c>
      <c r="B723" s="4" t="s">
        <v>424</v>
      </c>
      <c r="C723" s="7" t="s">
        <v>425</v>
      </c>
      <c r="D723" s="8" t="s">
        <v>426</v>
      </c>
      <c r="E723" s="44">
        <v>637310</v>
      </c>
      <c r="G723" s="4" t="s">
        <v>330</v>
      </c>
      <c r="H723" s="6">
        <v>123.8604215</v>
      </c>
      <c r="I723" s="6">
        <v>-28.064080300000001</v>
      </c>
      <c r="J723" s="4" t="s">
        <v>3771</v>
      </c>
      <c r="K723" s="4" t="s">
        <v>331</v>
      </c>
      <c r="L723" s="4" t="s">
        <v>500</v>
      </c>
      <c r="M723" s="4" t="s">
        <v>501</v>
      </c>
      <c r="N723" s="4" t="s">
        <v>570</v>
      </c>
      <c r="Q723" s="8"/>
      <c r="Z723" s="4" t="s">
        <v>424</v>
      </c>
      <c r="AA723" s="7" t="s">
        <v>425</v>
      </c>
      <c r="AB723" s="8" t="s">
        <v>426</v>
      </c>
      <c r="AC723" s="4" t="s">
        <v>301</v>
      </c>
      <c r="AD723" s="4" t="s">
        <v>375</v>
      </c>
      <c r="AE723" s="8">
        <v>2620</v>
      </c>
      <c r="AG723" s="9" t="s">
        <v>379</v>
      </c>
      <c r="AH723" s="9" t="s">
        <v>380</v>
      </c>
      <c r="AM723" s="8">
        <v>2</v>
      </c>
      <c r="AN723" s="4" t="s">
        <v>381</v>
      </c>
      <c r="AO723" s="4" t="s">
        <v>382</v>
      </c>
      <c r="AP723" s="4" t="s">
        <v>383</v>
      </c>
      <c r="AQ723" s="7" t="s">
        <v>384</v>
      </c>
      <c r="AR723" s="8" t="s">
        <v>433</v>
      </c>
      <c r="AS723" s="7">
        <v>0</v>
      </c>
      <c r="AT723" s="7">
        <v>0</v>
      </c>
      <c r="AU723" s="9" t="s">
        <v>303</v>
      </c>
      <c r="AV723" s="9" t="s">
        <v>406</v>
      </c>
      <c r="BA723" s="8">
        <v>5</v>
      </c>
      <c r="BP723" s="7">
        <v>1.1299999999999999</v>
      </c>
      <c r="BV723" s="6">
        <v>1.27</v>
      </c>
      <c r="DZ723" s="31"/>
      <c r="EL723" s="6">
        <f>BP723*BV723</f>
        <v>1.4350999999999998</v>
      </c>
      <c r="GP723" s="32"/>
      <c r="GY723" s="6" t="s">
        <v>338</v>
      </c>
      <c r="GZ723" s="6" t="s">
        <v>436</v>
      </c>
      <c r="HC723" s="6" t="s">
        <v>437</v>
      </c>
      <c r="HF723" s="8" t="s">
        <v>571</v>
      </c>
      <c r="HG723" s="9" t="s">
        <v>507</v>
      </c>
      <c r="KM723" s="4" t="s">
        <v>391</v>
      </c>
      <c r="KN723" s="4" t="s">
        <v>391</v>
      </c>
      <c r="KP723" s="5" t="s">
        <v>358</v>
      </c>
      <c r="KQ723" s="5" t="s">
        <v>8298</v>
      </c>
      <c r="KR723" s="5" t="s">
        <v>573</v>
      </c>
      <c r="KS723" s="5" t="s">
        <v>574</v>
      </c>
      <c r="KT723" s="5" t="s">
        <v>8299</v>
      </c>
    </row>
    <row r="724" spans="1:306" ht="60" x14ac:dyDescent="0.25">
      <c r="A724" s="5" t="s">
        <v>8300</v>
      </c>
      <c r="B724" s="4" t="s">
        <v>424</v>
      </c>
      <c r="C724" s="7" t="s">
        <v>425</v>
      </c>
      <c r="D724" s="8" t="s">
        <v>426</v>
      </c>
      <c r="E724" s="4">
        <v>335167</v>
      </c>
      <c r="G724" s="4" t="s">
        <v>427</v>
      </c>
      <c r="H724" s="6">
        <v>149.58449999999999</v>
      </c>
      <c r="I724" s="6">
        <v>-37.145299999999999</v>
      </c>
      <c r="K724" s="4" t="s">
        <v>298</v>
      </c>
      <c r="L724" s="4" t="s">
        <v>299</v>
      </c>
      <c r="M724" s="4" t="s">
        <v>1359</v>
      </c>
      <c r="Q724" s="8"/>
      <c r="R724" s="8"/>
      <c r="Z724" s="4" t="s">
        <v>424</v>
      </c>
      <c r="AA724" s="7" t="s">
        <v>425</v>
      </c>
      <c r="AB724" s="8" t="s">
        <v>426</v>
      </c>
      <c r="AC724" s="4" t="s">
        <v>301</v>
      </c>
      <c r="AD724" s="4" t="s">
        <v>382</v>
      </c>
      <c r="AE724" s="8">
        <v>388.1</v>
      </c>
      <c r="AF724" s="8">
        <v>3.3</v>
      </c>
      <c r="AG724" s="9" t="s">
        <v>379</v>
      </c>
      <c r="AH724" s="9" t="s">
        <v>429</v>
      </c>
      <c r="AI724" s="9" t="s">
        <v>845</v>
      </c>
      <c r="AJ724" s="9" t="s">
        <v>431</v>
      </c>
      <c r="AK724" s="9" t="s">
        <v>432</v>
      </c>
      <c r="AM724" s="8">
        <v>4</v>
      </c>
      <c r="AS724" s="7"/>
      <c r="AT724" s="7"/>
      <c r="BU724" s="7"/>
      <c r="CQ724" s="8"/>
      <c r="CS724" s="8"/>
      <c r="CT724" s="10"/>
      <c r="DC724" s="8"/>
      <c r="DD724" s="8"/>
      <c r="DZ724" s="31"/>
      <c r="EK724" s="6"/>
      <c r="EL724" s="6">
        <f>0.76+0.197*3.1</f>
        <v>1.3707</v>
      </c>
      <c r="GP724" s="32"/>
      <c r="GY724" s="31" t="s">
        <v>407</v>
      </c>
      <c r="GZ724" s="6" t="s">
        <v>436</v>
      </c>
      <c r="HC724" s="6" t="s">
        <v>437</v>
      </c>
      <c r="HD724" s="8" t="s">
        <v>8301</v>
      </c>
      <c r="HE724" s="8">
        <v>76985</v>
      </c>
      <c r="HF724" s="8" t="s">
        <v>8302</v>
      </c>
      <c r="HG724" s="9" t="s">
        <v>782</v>
      </c>
      <c r="IB724" s="8" t="s">
        <v>8301</v>
      </c>
      <c r="IC724" s="8">
        <v>76985</v>
      </c>
      <c r="ID724" s="8" t="s">
        <v>8302</v>
      </c>
      <c r="IE724" s="9" t="s">
        <v>782</v>
      </c>
      <c r="IF724" s="8" t="s">
        <v>445</v>
      </c>
      <c r="IW724" s="8"/>
      <c r="JB724" s="8"/>
      <c r="JV724" s="7" t="s">
        <v>8303</v>
      </c>
      <c r="JX724" s="7" t="s">
        <v>320</v>
      </c>
      <c r="JY724" s="7" t="s">
        <v>448</v>
      </c>
      <c r="JZ724" s="7" t="s">
        <v>322</v>
      </c>
      <c r="KG724" s="4" t="s">
        <v>323</v>
      </c>
      <c r="KP724" s="5" t="s">
        <v>358</v>
      </c>
      <c r="KQ724" s="5" t="s">
        <v>8304</v>
      </c>
      <c r="KR724" s="5" t="s">
        <v>449</v>
      </c>
      <c r="KS724" s="5" t="s">
        <v>449</v>
      </c>
      <c r="KT724" s="5" t="s">
        <v>8305</v>
      </c>
    </row>
    <row r="725" spans="1:306" ht="48" x14ac:dyDescent="0.25">
      <c r="A725" s="5" t="s">
        <v>676</v>
      </c>
      <c r="B725" s="4" t="s">
        <v>424</v>
      </c>
      <c r="C725" s="7" t="s">
        <v>425</v>
      </c>
      <c r="D725" s="8" t="s">
        <v>426</v>
      </c>
      <c r="E725" s="4">
        <v>335462</v>
      </c>
      <c r="G725" s="4" t="s">
        <v>330</v>
      </c>
      <c r="H725" s="6">
        <v>118.84010000000001</v>
      </c>
      <c r="I725" s="6">
        <v>-28.607800000000001</v>
      </c>
      <c r="K725" s="4" t="s">
        <v>331</v>
      </c>
      <c r="L725" s="4" t="s">
        <v>500</v>
      </c>
      <c r="M725" s="4" t="s">
        <v>676</v>
      </c>
      <c r="N725" s="4" t="s">
        <v>1811</v>
      </c>
      <c r="Q725" s="8"/>
      <c r="Z725" s="4" t="s">
        <v>424</v>
      </c>
      <c r="AA725" s="7" t="s">
        <v>425</v>
      </c>
      <c r="AB725" s="8" t="s">
        <v>426</v>
      </c>
      <c r="AC725" s="4" t="s">
        <v>301</v>
      </c>
      <c r="AD725" s="4" t="s">
        <v>375</v>
      </c>
      <c r="AE725" s="8">
        <v>2635</v>
      </c>
      <c r="AG725" s="9" t="s">
        <v>379</v>
      </c>
      <c r="AH725" s="9" t="s">
        <v>380</v>
      </c>
      <c r="AN725" s="4" t="s">
        <v>381</v>
      </c>
      <c r="AO725" s="4" t="s">
        <v>382</v>
      </c>
      <c r="AP725" s="4" t="s">
        <v>383</v>
      </c>
      <c r="AQ725" s="7" t="s">
        <v>384</v>
      </c>
      <c r="AR725" s="7" t="s">
        <v>433</v>
      </c>
      <c r="AS725" s="7">
        <v>0</v>
      </c>
      <c r="AT725" s="7">
        <v>0</v>
      </c>
      <c r="AU725" s="4" t="s">
        <v>303</v>
      </c>
      <c r="AV725" s="4" t="s">
        <v>406</v>
      </c>
      <c r="AW725" s="4"/>
      <c r="AX725" s="4"/>
      <c r="AY725" s="4"/>
      <c r="AZ725" s="4"/>
      <c r="BA725" s="8">
        <v>5</v>
      </c>
      <c r="BP725" s="7">
        <f>(20.7/5.42)+16.2</f>
        <v>20.019188191881916</v>
      </c>
      <c r="BV725" s="7">
        <f>(5.42*(20.7/5.42)+4.4*16.2)/((20.7/5.42)+16.2)</f>
        <v>4.5945919044459202</v>
      </c>
      <c r="DZ725" s="31"/>
      <c r="EL725" s="6">
        <f>BP725*BV725</f>
        <v>91.980000000000018</v>
      </c>
      <c r="GP725" s="32"/>
      <c r="GY725" s="6" t="s">
        <v>435</v>
      </c>
      <c r="GZ725" s="6" t="s">
        <v>436</v>
      </c>
      <c r="HC725" s="6" t="s">
        <v>437</v>
      </c>
      <c r="HD725" s="8" t="s">
        <v>8367</v>
      </c>
      <c r="HF725" s="8" t="s">
        <v>1712</v>
      </c>
      <c r="HG725" s="9" t="s">
        <v>507</v>
      </c>
      <c r="HH725" s="9" t="s">
        <v>8368</v>
      </c>
      <c r="HJ725" s="9" t="s">
        <v>8369</v>
      </c>
      <c r="HK725" s="9" t="s">
        <v>510</v>
      </c>
      <c r="IB725" s="8" t="s">
        <v>8367</v>
      </c>
      <c r="ID725" s="8" t="s">
        <v>1712</v>
      </c>
      <c r="IE725" s="9" t="s">
        <v>507</v>
      </c>
      <c r="IF725" s="9" t="s">
        <v>445</v>
      </c>
      <c r="IG725" s="9" t="s">
        <v>8368</v>
      </c>
      <c r="II725" s="9" t="s">
        <v>8369</v>
      </c>
      <c r="IJ725" s="9" t="s">
        <v>510</v>
      </c>
      <c r="IK725" s="9"/>
      <c r="IR725" s="9"/>
      <c r="JV725" s="7" t="s">
        <v>8370</v>
      </c>
      <c r="JW725" s="7" t="s">
        <v>2718</v>
      </c>
      <c r="JX725" s="7" t="s">
        <v>320</v>
      </c>
      <c r="KG725" s="4" t="s">
        <v>323</v>
      </c>
      <c r="KM725" s="4" t="s">
        <v>391</v>
      </c>
      <c r="KN725" s="4" t="s">
        <v>702</v>
      </c>
      <c r="KP725" s="5" t="s">
        <v>358</v>
      </c>
      <c r="KQ725" s="5" t="s">
        <v>8371</v>
      </c>
      <c r="KS725" s="5" t="s">
        <v>8372</v>
      </c>
      <c r="KT725" s="5" t="s">
        <v>8373</v>
      </c>
    </row>
    <row r="726" spans="1:306" ht="120" x14ac:dyDescent="0.25">
      <c r="A726" s="5" t="s">
        <v>3142</v>
      </c>
      <c r="B726" s="4" t="s">
        <v>424</v>
      </c>
      <c r="C726" s="7" t="s">
        <v>425</v>
      </c>
      <c r="D726" s="8" t="s">
        <v>3143</v>
      </c>
      <c r="G726" s="4" t="s">
        <v>530</v>
      </c>
      <c r="H726" s="6">
        <v>132.96847661999999</v>
      </c>
      <c r="I726" s="6">
        <v>-22.101301340999999</v>
      </c>
      <c r="K726" s="4" t="s">
        <v>481</v>
      </c>
      <c r="L726" s="4" t="s">
        <v>1498</v>
      </c>
      <c r="Q726" s="8"/>
      <c r="R726" s="8"/>
      <c r="Z726" s="4" t="s">
        <v>424</v>
      </c>
      <c r="AA726" s="7" t="s">
        <v>425</v>
      </c>
      <c r="AB726" s="8" t="s">
        <v>3143</v>
      </c>
      <c r="AC726" s="4" t="s">
        <v>301</v>
      </c>
      <c r="AD726" s="4" t="s">
        <v>302</v>
      </c>
      <c r="AE726" s="8">
        <v>1574</v>
      </c>
      <c r="AF726" s="8">
        <v>7</v>
      </c>
      <c r="AG726" s="9" t="s">
        <v>303</v>
      </c>
      <c r="AH726" s="9" t="s">
        <v>304</v>
      </c>
      <c r="AI726" s="9" t="s">
        <v>504</v>
      </c>
      <c r="AJ726" s="9" t="s">
        <v>306</v>
      </c>
      <c r="AK726" s="9" t="s">
        <v>307</v>
      </c>
      <c r="AL726" s="9" t="s">
        <v>337</v>
      </c>
      <c r="AM726" s="8">
        <v>5</v>
      </c>
      <c r="DZ726" s="31"/>
      <c r="GP726" s="32"/>
      <c r="GY726" s="6" t="s">
        <v>407</v>
      </c>
      <c r="HF726" s="8" t="s">
        <v>3144</v>
      </c>
      <c r="HG726" s="9" t="s">
        <v>349</v>
      </c>
      <c r="IB726" s="8" t="s">
        <v>3145</v>
      </c>
      <c r="IC726" s="8">
        <v>6195</v>
      </c>
      <c r="ID726" s="8" t="s">
        <v>3146</v>
      </c>
      <c r="IE726" s="8" t="s">
        <v>538</v>
      </c>
      <c r="IF726" s="8" t="s">
        <v>445</v>
      </c>
      <c r="IW726" s="8"/>
      <c r="JB726" s="8"/>
      <c r="JV726" s="7" t="s">
        <v>3147</v>
      </c>
      <c r="KG726" s="4" t="s">
        <v>323</v>
      </c>
      <c r="KM726" s="4" t="s">
        <v>702</v>
      </c>
      <c r="KN726" s="4" t="s">
        <v>702</v>
      </c>
      <c r="KO726" s="4" t="s">
        <v>319</v>
      </c>
      <c r="KP726" s="5" t="s">
        <v>3148</v>
      </c>
      <c r="KQ726" s="5" t="s">
        <v>3149</v>
      </c>
      <c r="KR726" s="5" t="s">
        <v>3149</v>
      </c>
      <c r="KT726" s="5" t="s">
        <v>3150</v>
      </c>
    </row>
    <row r="727" spans="1:306" ht="132" x14ac:dyDescent="0.25">
      <c r="A727" s="5" t="s">
        <v>7863</v>
      </c>
      <c r="B727" s="4" t="s">
        <v>424</v>
      </c>
      <c r="C727" s="7" t="s">
        <v>425</v>
      </c>
      <c r="D727" s="8" t="s">
        <v>3143</v>
      </c>
      <c r="G727" s="4" t="s">
        <v>530</v>
      </c>
      <c r="H727" s="6">
        <v>132.14006461599999</v>
      </c>
      <c r="I727" s="6">
        <v>-22.178619398999999</v>
      </c>
      <c r="K727" s="4" t="s">
        <v>481</v>
      </c>
      <c r="L727" s="4" t="s">
        <v>1498</v>
      </c>
      <c r="Q727" s="7"/>
      <c r="R727" s="7"/>
      <c r="Z727" s="4" t="s">
        <v>424</v>
      </c>
      <c r="AA727" s="7" t="s">
        <v>425</v>
      </c>
      <c r="AB727" s="8" t="s">
        <v>3143</v>
      </c>
      <c r="AC727" s="4" t="s">
        <v>301</v>
      </c>
      <c r="AD727" s="4" t="s">
        <v>302</v>
      </c>
      <c r="AE727" s="7">
        <v>1573.6</v>
      </c>
      <c r="AF727" s="7">
        <v>1.5</v>
      </c>
      <c r="AG727" s="9" t="s">
        <v>303</v>
      </c>
      <c r="AH727" s="9" t="s">
        <v>304</v>
      </c>
      <c r="AI727" s="9" t="s">
        <v>504</v>
      </c>
      <c r="AJ727" s="9" t="s">
        <v>306</v>
      </c>
      <c r="AK727" s="9" t="s">
        <v>307</v>
      </c>
      <c r="AL727" s="9" t="s">
        <v>337</v>
      </c>
      <c r="AM727" s="8">
        <v>5</v>
      </c>
      <c r="DZ727" s="31"/>
      <c r="GP727" s="32"/>
      <c r="GY727" s="6" t="s">
        <v>407</v>
      </c>
      <c r="HF727" s="8" t="s">
        <v>7864</v>
      </c>
      <c r="HG727" s="9" t="s">
        <v>349</v>
      </c>
      <c r="IB727" s="8" t="s">
        <v>7865</v>
      </c>
      <c r="IC727" s="8">
        <v>24556</v>
      </c>
      <c r="ID727" s="8" t="s">
        <v>7866</v>
      </c>
      <c r="IE727" s="8" t="s">
        <v>538</v>
      </c>
      <c r="IF727" s="8" t="s">
        <v>445</v>
      </c>
      <c r="IW727" s="8"/>
      <c r="JB727" s="8"/>
      <c r="JV727" s="7" t="s">
        <v>7867</v>
      </c>
      <c r="KG727" s="4" t="s">
        <v>323</v>
      </c>
      <c r="KM727" s="4" t="s">
        <v>702</v>
      </c>
      <c r="KN727" s="4" t="s">
        <v>702</v>
      </c>
      <c r="KO727" s="4" t="s">
        <v>319</v>
      </c>
      <c r="KP727" s="5" t="s">
        <v>3149</v>
      </c>
      <c r="KQ727" s="5" t="s">
        <v>3149</v>
      </c>
      <c r="KR727" s="5" t="s">
        <v>3149</v>
      </c>
      <c r="KT727" s="5" t="s">
        <v>7868</v>
      </c>
    </row>
    <row r="728" spans="1:306" ht="84" x14ac:dyDescent="0.25">
      <c r="A728" s="5" t="s">
        <v>1755</v>
      </c>
      <c r="B728" s="4" t="s">
        <v>424</v>
      </c>
      <c r="C728" s="7" t="s">
        <v>425</v>
      </c>
      <c r="D728" s="8" t="s">
        <v>1756</v>
      </c>
      <c r="E728" s="4">
        <v>655125</v>
      </c>
      <c r="G728" s="4" t="s">
        <v>427</v>
      </c>
      <c r="H728" s="6">
        <v>146.33150000000001</v>
      </c>
      <c r="I728" s="6">
        <v>-33.334899999999998</v>
      </c>
      <c r="J728" s="4" t="s">
        <v>1504</v>
      </c>
      <c r="K728" s="4" t="s">
        <v>298</v>
      </c>
      <c r="L728" s="4" t="s">
        <v>299</v>
      </c>
      <c r="M728" s="4" t="s">
        <v>428</v>
      </c>
      <c r="N728" s="4" t="s">
        <v>1757</v>
      </c>
      <c r="Q728" s="8"/>
      <c r="R728" s="8"/>
      <c r="Z728" s="4" t="s">
        <v>424</v>
      </c>
      <c r="AA728" s="7" t="s">
        <v>425</v>
      </c>
      <c r="AB728" s="8" t="s">
        <v>1756</v>
      </c>
      <c r="AC728" s="4" t="s">
        <v>301</v>
      </c>
      <c r="AD728" s="4" t="s">
        <v>375</v>
      </c>
      <c r="AE728" s="8"/>
      <c r="AF728" s="8"/>
      <c r="AS728" s="7"/>
      <c r="AT728" s="7"/>
      <c r="DZ728" s="31"/>
      <c r="EH728" s="9"/>
      <c r="EY728" s="6"/>
      <c r="FA728" s="6"/>
      <c r="GP728" s="32"/>
      <c r="GY728" s="31" t="s">
        <v>407</v>
      </c>
      <c r="HD728" s="8" t="s">
        <v>1758</v>
      </c>
      <c r="HE728" s="8">
        <v>41571</v>
      </c>
      <c r="HF728" s="8" t="s">
        <v>1759</v>
      </c>
      <c r="HG728" s="9" t="s">
        <v>1760</v>
      </c>
      <c r="HY728" s="9"/>
      <c r="IB728" s="8" t="s">
        <v>1758</v>
      </c>
      <c r="IC728" s="8">
        <v>41571</v>
      </c>
      <c r="ID728" s="8" t="s">
        <v>1759</v>
      </c>
      <c r="IE728" s="9" t="s">
        <v>1760</v>
      </c>
      <c r="IF728" s="8" t="s">
        <v>445</v>
      </c>
      <c r="IL728" s="8"/>
      <c r="IN728" s="8"/>
      <c r="IO728" s="8"/>
      <c r="IP728" s="8"/>
      <c r="IQ728" s="8"/>
      <c r="IS728" s="8"/>
      <c r="IT728" s="8"/>
      <c r="IU728" s="8"/>
      <c r="IW728" s="8"/>
      <c r="JB728" s="8"/>
      <c r="JV728" s="7" t="s">
        <v>1761</v>
      </c>
      <c r="JX728" s="7" t="s">
        <v>320</v>
      </c>
      <c r="KP728" s="5" t="s">
        <v>1762</v>
      </c>
      <c r="KQ728" s="5" t="s">
        <v>1762</v>
      </c>
      <c r="KT728" s="5" t="s">
        <v>1763</v>
      </c>
    </row>
    <row r="729" spans="1:306" ht="60" x14ac:dyDescent="0.25">
      <c r="A729" s="5" t="s">
        <v>3061</v>
      </c>
      <c r="B729" s="4" t="s">
        <v>424</v>
      </c>
      <c r="C729" s="7" t="s">
        <v>425</v>
      </c>
      <c r="D729" s="8" t="s">
        <v>1756</v>
      </c>
      <c r="E729" s="4">
        <v>333485</v>
      </c>
      <c r="G729" s="4" t="s">
        <v>427</v>
      </c>
      <c r="H729" s="6">
        <v>145.65</v>
      </c>
      <c r="I729" s="6">
        <v>-31.161300000000001</v>
      </c>
      <c r="J729" s="4" t="s">
        <v>1504</v>
      </c>
      <c r="K729" s="4" t="s">
        <v>298</v>
      </c>
      <c r="L729" s="4" t="s">
        <v>299</v>
      </c>
      <c r="M729" s="4" t="s">
        <v>428</v>
      </c>
      <c r="N729" s="4" t="s">
        <v>1757</v>
      </c>
      <c r="Q729" s="8"/>
      <c r="R729" s="8"/>
      <c r="S729" s="4"/>
      <c r="T729" s="4"/>
      <c r="U729" s="4"/>
      <c r="V729" s="4"/>
      <c r="W729" s="4"/>
      <c r="X729" s="4"/>
      <c r="Z729" s="4" t="s">
        <v>424</v>
      </c>
      <c r="AA729" s="7" t="s">
        <v>425</v>
      </c>
      <c r="AB729" s="8" t="s">
        <v>1756</v>
      </c>
      <c r="AC729" s="4" t="s">
        <v>301</v>
      </c>
      <c r="AD729" s="4" t="s">
        <v>302</v>
      </c>
      <c r="AE729" s="8">
        <v>382.54999999999995</v>
      </c>
      <c r="AF729" s="8">
        <v>9</v>
      </c>
      <c r="AG729" s="4" t="s">
        <v>379</v>
      </c>
      <c r="AH729" s="4" t="s">
        <v>429</v>
      </c>
      <c r="AI729" s="4" t="s">
        <v>845</v>
      </c>
      <c r="AJ729" s="4" t="s">
        <v>431</v>
      </c>
      <c r="AK729" s="4" t="s">
        <v>432</v>
      </c>
      <c r="AL729" s="4"/>
      <c r="AM729" s="8">
        <v>3</v>
      </c>
      <c r="AS729" s="7"/>
      <c r="AT729" s="7"/>
      <c r="BP729" s="7">
        <v>45.6</v>
      </c>
      <c r="BQ729" s="7"/>
      <c r="BR729" s="7"/>
      <c r="BS729" s="7">
        <v>8.4</v>
      </c>
      <c r="BT729" s="7">
        <v>5.5</v>
      </c>
      <c r="BU729" s="8">
        <v>102</v>
      </c>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31"/>
      <c r="EA729" s="4"/>
      <c r="EB729" s="4"/>
      <c r="EC729" s="4"/>
      <c r="ED729" s="4"/>
      <c r="EE729" s="4"/>
      <c r="EF729" s="4"/>
      <c r="EG729" s="4"/>
      <c r="EI729" s="10">
        <f>BP729*BS729/100</f>
        <v>3.8304</v>
      </c>
      <c r="EJ729" s="10">
        <f>BP729*BT729/100</f>
        <v>2.508</v>
      </c>
      <c r="EK729" s="6">
        <f>BP729*BU729/1000</f>
        <v>4.6512000000000002</v>
      </c>
      <c r="EY729" s="6"/>
      <c r="FA729" s="6"/>
      <c r="GP729" s="32"/>
      <c r="GY729" s="6" t="s">
        <v>309</v>
      </c>
      <c r="GZ729" s="6" t="s">
        <v>461</v>
      </c>
      <c r="HA729" s="6" t="s">
        <v>462</v>
      </c>
      <c r="HD729" s="4" t="s">
        <v>3062</v>
      </c>
      <c r="HE729" s="8">
        <v>28654</v>
      </c>
      <c r="HF729" s="4" t="s">
        <v>3063</v>
      </c>
      <c r="HG729" s="4" t="s">
        <v>782</v>
      </c>
      <c r="HH729" s="4" t="s">
        <v>2505</v>
      </c>
      <c r="HI729" s="8">
        <v>3248</v>
      </c>
      <c r="HJ729" s="4" t="s">
        <v>2506</v>
      </c>
      <c r="HK729" s="4" t="s">
        <v>782</v>
      </c>
      <c r="HL729" s="4"/>
      <c r="HN729" s="4"/>
      <c r="HO729" s="4"/>
      <c r="HP729" s="4"/>
      <c r="HR729" s="4"/>
      <c r="HS729" s="4"/>
      <c r="HT729" s="4"/>
      <c r="HU729" s="4"/>
      <c r="HV729" s="4"/>
      <c r="HW729" s="4"/>
      <c r="HX729" s="4"/>
      <c r="HY729" s="4"/>
      <c r="HZ729" s="4"/>
      <c r="IA729" s="4"/>
      <c r="IB729" s="4" t="s">
        <v>1625</v>
      </c>
      <c r="ID729" s="4" t="s">
        <v>3064</v>
      </c>
      <c r="IE729" s="4"/>
      <c r="IF729" s="4"/>
      <c r="IG729" s="4"/>
      <c r="IH729" s="4"/>
      <c r="II729" s="4"/>
      <c r="IJ729" s="4"/>
      <c r="IK729" s="4"/>
      <c r="IL729" s="4"/>
      <c r="IN729" s="4"/>
      <c r="IO729" s="4"/>
      <c r="IP729" s="4"/>
      <c r="IQ729" s="4"/>
      <c r="IS729" s="4"/>
      <c r="IT729" s="4"/>
      <c r="IU729" s="4"/>
      <c r="IV729" s="4"/>
      <c r="IW729" s="8"/>
      <c r="IX729" s="4"/>
      <c r="IY729" s="4"/>
      <c r="IZ729" s="4"/>
      <c r="JA729" s="4"/>
      <c r="JB729" s="8"/>
      <c r="JC729" s="4"/>
      <c r="JD729" s="4"/>
      <c r="JE729" s="4"/>
      <c r="JF729" s="4"/>
      <c r="JG729" s="4"/>
      <c r="JH729" s="4"/>
      <c r="JI729" s="4"/>
      <c r="JJ729" s="4"/>
      <c r="JK729" s="4"/>
      <c r="JL729" s="4"/>
      <c r="JM729" s="4"/>
      <c r="JN729" s="4"/>
      <c r="JO729" s="4"/>
      <c r="JP729" s="4"/>
      <c r="JQ729" s="4"/>
      <c r="JR729" s="4"/>
      <c r="JS729" s="4"/>
      <c r="JT729" s="4"/>
      <c r="JU729" s="4"/>
      <c r="JV729" s="4" t="s">
        <v>3065</v>
      </c>
      <c r="JW729" s="4" t="s">
        <v>1779</v>
      </c>
      <c r="JX729" s="4" t="s">
        <v>320</v>
      </c>
      <c r="JY729" s="4" t="s">
        <v>470</v>
      </c>
      <c r="JZ729" s="4" t="s">
        <v>322</v>
      </c>
      <c r="KA729" s="4"/>
      <c r="KB729" s="4"/>
      <c r="KC729" s="4"/>
      <c r="KD729" s="4"/>
      <c r="KE729" s="4"/>
      <c r="KF729" s="4"/>
      <c r="KG729" s="4" t="s">
        <v>323</v>
      </c>
      <c r="KM729" s="4" t="s">
        <v>391</v>
      </c>
      <c r="KN729" s="4" t="s">
        <v>391</v>
      </c>
      <c r="KP729" s="5" t="s">
        <v>3066</v>
      </c>
      <c r="KQ729" s="5" t="s">
        <v>3067</v>
      </c>
      <c r="KR729" s="5" t="s">
        <v>3068</v>
      </c>
      <c r="KS729" s="5" t="s">
        <v>3066</v>
      </c>
      <c r="KT729" s="5" t="s">
        <v>3069</v>
      </c>
    </row>
    <row r="730" spans="1:306" ht="156" x14ac:dyDescent="0.25">
      <c r="A730" s="5" t="s">
        <v>3383</v>
      </c>
      <c r="B730" s="4" t="s">
        <v>424</v>
      </c>
      <c r="C730" s="7" t="s">
        <v>425</v>
      </c>
      <c r="D730" s="7" t="s">
        <v>1756</v>
      </c>
      <c r="E730" s="4">
        <v>659885</v>
      </c>
      <c r="G730" s="4" t="s">
        <v>427</v>
      </c>
      <c r="H730" s="6">
        <v>148.8415</v>
      </c>
      <c r="I730" s="6">
        <v>-34.275500000000001</v>
      </c>
      <c r="K730" s="4" t="s">
        <v>298</v>
      </c>
      <c r="L730" s="4" t="s">
        <v>299</v>
      </c>
      <c r="M730" s="4" t="s">
        <v>1359</v>
      </c>
      <c r="O730" s="7"/>
      <c r="Q730" s="8"/>
      <c r="Z730" s="4" t="s">
        <v>424</v>
      </c>
      <c r="AA730" s="7" t="s">
        <v>425</v>
      </c>
      <c r="AB730" s="7" t="s">
        <v>1756</v>
      </c>
      <c r="AC730" s="4" t="s">
        <v>301</v>
      </c>
      <c r="AD730" s="4" t="s">
        <v>375</v>
      </c>
      <c r="AE730" s="8"/>
      <c r="AN730" s="4" t="s">
        <v>381</v>
      </c>
      <c r="AO730" s="4" t="s">
        <v>382</v>
      </c>
      <c r="AP730" s="4" t="s">
        <v>383</v>
      </c>
      <c r="AQ730" s="7" t="s">
        <v>384</v>
      </c>
      <c r="AR730" s="8" t="s">
        <v>827</v>
      </c>
      <c r="AS730" s="7">
        <v>0</v>
      </c>
      <c r="AT730" s="7">
        <v>0</v>
      </c>
      <c r="AU730" s="9" t="s">
        <v>303</v>
      </c>
      <c r="AV730" s="9" t="s">
        <v>406</v>
      </c>
      <c r="BA730" s="8">
        <v>5</v>
      </c>
      <c r="BG730" s="7"/>
      <c r="BH730" s="7"/>
      <c r="BP730" s="6">
        <v>1.4999999999999999E-2</v>
      </c>
      <c r="BR730" s="8">
        <v>10</v>
      </c>
      <c r="BV730" s="8"/>
      <c r="DZ730" s="31"/>
      <c r="EH730" s="10">
        <f>BP730*BR730/100</f>
        <v>1.5E-3</v>
      </c>
      <c r="GP730" s="32"/>
      <c r="GY730" s="31" t="s">
        <v>407</v>
      </c>
      <c r="GZ730" s="6" t="s">
        <v>994</v>
      </c>
      <c r="HD730" s="8" t="s">
        <v>3384</v>
      </c>
      <c r="HE730" s="8">
        <v>8184</v>
      </c>
      <c r="HF730" s="8" t="s">
        <v>3385</v>
      </c>
      <c r="HG730" s="8" t="s">
        <v>805</v>
      </c>
      <c r="HK730" s="8"/>
      <c r="IB730" s="8" t="s">
        <v>3384</v>
      </c>
      <c r="IC730" s="8">
        <v>8184</v>
      </c>
      <c r="ID730" s="8" t="s">
        <v>3385</v>
      </c>
      <c r="IE730" s="8" t="s">
        <v>805</v>
      </c>
      <c r="IF730" s="8" t="s">
        <v>445</v>
      </c>
      <c r="IG730" s="8" t="s">
        <v>3386</v>
      </c>
      <c r="IH730" s="8">
        <v>35614</v>
      </c>
      <c r="II730" s="8" t="s">
        <v>3387</v>
      </c>
      <c r="IJ730" s="8" t="s">
        <v>444</v>
      </c>
      <c r="IL730" s="9" t="s">
        <v>3388</v>
      </c>
      <c r="IM730" s="8">
        <v>1000</v>
      </c>
      <c r="IN730" s="9" t="s">
        <v>3389</v>
      </c>
      <c r="IO730" s="9" t="s">
        <v>1025</v>
      </c>
      <c r="IW730" s="8"/>
      <c r="JB730" s="8"/>
      <c r="JV730" s="7" t="s">
        <v>3390</v>
      </c>
      <c r="JX730" s="7" t="s">
        <v>320</v>
      </c>
      <c r="JY730" s="7" t="s">
        <v>354</v>
      </c>
      <c r="JZ730" s="7" t="s">
        <v>322</v>
      </c>
      <c r="KG730" s="4" t="s">
        <v>323</v>
      </c>
      <c r="KP730" s="5" t="s">
        <v>3391</v>
      </c>
      <c r="KQ730" s="5" t="s">
        <v>3392</v>
      </c>
      <c r="KS730" s="5" t="s">
        <v>3391</v>
      </c>
      <c r="KT730" s="5" t="s">
        <v>3393</v>
      </c>
    </row>
    <row r="731" spans="1:306" ht="156" x14ac:dyDescent="0.25">
      <c r="A731" s="5" t="s">
        <v>4485</v>
      </c>
      <c r="B731" s="4" t="s">
        <v>424</v>
      </c>
      <c r="C731" s="7" t="s">
        <v>425</v>
      </c>
      <c r="D731" s="8" t="s">
        <v>1756</v>
      </c>
      <c r="E731" s="4">
        <v>333789</v>
      </c>
      <c r="G731" s="4" t="s">
        <v>427</v>
      </c>
      <c r="H731" s="6">
        <v>148.75370000000001</v>
      </c>
      <c r="I731" s="6">
        <v>-34.6008</v>
      </c>
      <c r="K731" s="4" t="s">
        <v>298</v>
      </c>
      <c r="L731" s="4" t="s">
        <v>299</v>
      </c>
      <c r="M731" s="4" t="s">
        <v>1359</v>
      </c>
      <c r="Q731" s="8"/>
      <c r="R731" s="8"/>
      <c r="Z731" s="4" t="s">
        <v>424</v>
      </c>
      <c r="AA731" s="7" t="s">
        <v>425</v>
      </c>
      <c r="AB731" s="8" t="s">
        <v>1756</v>
      </c>
      <c r="AC731" s="4" t="s">
        <v>301</v>
      </c>
      <c r="AD731" s="4" t="s">
        <v>375</v>
      </c>
      <c r="AE731" s="8"/>
      <c r="AF731" s="8"/>
      <c r="AN731" s="4" t="s">
        <v>381</v>
      </c>
      <c r="AO731" s="4" t="s">
        <v>382</v>
      </c>
      <c r="AP731" s="4" t="s">
        <v>383</v>
      </c>
      <c r="AQ731" s="7" t="s">
        <v>384</v>
      </c>
      <c r="AR731" s="8" t="s">
        <v>1048</v>
      </c>
      <c r="AS731" s="7">
        <v>0</v>
      </c>
      <c r="AT731" s="7">
        <v>0</v>
      </c>
      <c r="AU731" s="9" t="s">
        <v>303</v>
      </c>
      <c r="AV731" s="9" t="s">
        <v>406</v>
      </c>
      <c r="BA731" s="8">
        <v>5</v>
      </c>
      <c r="BG731" s="8"/>
      <c r="BP731" s="7">
        <f>0.04+2.75</f>
        <v>2.79</v>
      </c>
      <c r="BR731" s="6">
        <f>(3*0.04+0.18*2.75)/(0.04+2.75)</f>
        <v>0.22043010752688172</v>
      </c>
      <c r="BS731" s="6">
        <f>(5*0.04+1.27*2.75)/(0.04+2.75)</f>
        <v>1.3234767025089607</v>
      </c>
      <c r="BT731" s="6">
        <f>(16*0.04+1.03*2.75)/(0.04+2.75)</f>
        <v>1.2446236559139785</v>
      </c>
      <c r="BU731" s="7">
        <f>(280*0.04+23.7*2.75)/(0.04+2.75)</f>
        <v>27.374551971326163</v>
      </c>
      <c r="BV731" s="6">
        <f>(2*0.04+0.51*2.75)/(0.04+2.75)</f>
        <v>0.53136200716845883</v>
      </c>
      <c r="DZ731" s="31"/>
      <c r="EH731" s="10">
        <f>BP731*BR731/100</f>
        <v>6.1500000000000001E-3</v>
      </c>
      <c r="EI731" s="10">
        <f>BP731*BS731/100</f>
        <v>3.6925000000000006E-2</v>
      </c>
      <c r="EJ731" s="10">
        <f>BP731*BT731/100</f>
        <v>3.4724999999999999E-2</v>
      </c>
      <c r="EK731" s="10">
        <f>BP731*BU731/1000</f>
        <v>7.6374999999999998E-2</v>
      </c>
      <c r="EL731" s="6">
        <f>BP731*BV731</f>
        <v>1.4825000000000002</v>
      </c>
      <c r="EY731" s="6"/>
      <c r="FA731" s="6"/>
      <c r="GP731" s="32"/>
      <c r="GY731" s="6" t="s">
        <v>435</v>
      </c>
      <c r="GZ731" s="6" t="s">
        <v>3967</v>
      </c>
      <c r="HA731" s="6" t="s">
        <v>1119</v>
      </c>
      <c r="HD731" s="8" t="s">
        <v>3384</v>
      </c>
      <c r="HE731" s="8">
        <v>8184</v>
      </c>
      <c r="HF731" s="8" t="s">
        <v>3385</v>
      </c>
      <c r="HG731" s="9" t="s">
        <v>805</v>
      </c>
      <c r="HK731" s="8"/>
      <c r="HY731" s="9"/>
      <c r="IB731" s="8" t="s">
        <v>3384</v>
      </c>
      <c r="IC731" s="8">
        <v>8184</v>
      </c>
      <c r="ID731" s="8" t="s">
        <v>3385</v>
      </c>
      <c r="IE731" s="9" t="s">
        <v>805</v>
      </c>
      <c r="IF731" s="8" t="s">
        <v>445</v>
      </c>
      <c r="IO731" s="8"/>
      <c r="IT731" s="8"/>
      <c r="IW731" s="8"/>
      <c r="JB731" s="8"/>
      <c r="JV731" s="7" t="s">
        <v>4486</v>
      </c>
      <c r="JX731" s="7" t="s">
        <v>320</v>
      </c>
      <c r="JY731" s="7" t="s">
        <v>448</v>
      </c>
      <c r="JZ731" s="7" t="s">
        <v>738</v>
      </c>
      <c r="KG731" s="4" t="s">
        <v>356</v>
      </c>
      <c r="KH731" s="4" t="s">
        <v>1317</v>
      </c>
      <c r="KP731" s="5" t="s">
        <v>358</v>
      </c>
      <c r="KQ731" s="5" t="s">
        <v>4487</v>
      </c>
      <c r="KS731" s="5" t="s">
        <v>4488</v>
      </c>
      <c r="KT731" s="5" t="s">
        <v>4489</v>
      </c>
    </row>
    <row r="732" spans="1:306" ht="120" x14ac:dyDescent="0.25">
      <c r="A732" s="5" t="s">
        <v>6481</v>
      </c>
      <c r="B732" s="4" t="s">
        <v>424</v>
      </c>
      <c r="C732" s="7" t="s">
        <v>425</v>
      </c>
      <c r="D732" s="8" t="s">
        <v>1756</v>
      </c>
      <c r="E732" s="4">
        <v>655668</v>
      </c>
      <c r="G732" s="4" t="s">
        <v>427</v>
      </c>
      <c r="H732" s="6">
        <v>146.696</v>
      </c>
      <c r="I732" s="6">
        <v>-32.302700000000002</v>
      </c>
      <c r="J732" s="4" t="s">
        <v>1504</v>
      </c>
      <c r="K732" s="4" t="s">
        <v>298</v>
      </c>
      <c r="L732" s="4" t="s">
        <v>299</v>
      </c>
      <c r="M732" s="4" t="s">
        <v>428</v>
      </c>
      <c r="N732" s="4" t="s">
        <v>1757</v>
      </c>
      <c r="Q732" s="8"/>
      <c r="R732" s="8"/>
      <c r="S732" s="4"/>
      <c r="T732" s="4"/>
      <c r="U732" s="4"/>
      <c r="V732" s="4"/>
      <c r="W732" s="4"/>
      <c r="X732" s="4"/>
      <c r="Z732" s="4" t="s">
        <v>424</v>
      </c>
      <c r="AA732" s="7" t="s">
        <v>425</v>
      </c>
      <c r="AB732" s="8" t="s">
        <v>1756</v>
      </c>
      <c r="AC732" s="4" t="s">
        <v>301</v>
      </c>
      <c r="AD732" s="4" t="s">
        <v>375</v>
      </c>
      <c r="AE732" s="8"/>
      <c r="AF732" s="8"/>
      <c r="AG732" s="4"/>
      <c r="AH732" s="4"/>
      <c r="AI732" s="4"/>
      <c r="AJ732" s="4"/>
      <c r="AK732" s="4"/>
      <c r="AL732" s="4"/>
      <c r="AN732" s="4" t="s">
        <v>381</v>
      </c>
      <c r="AO732" s="4" t="s">
        <v>382</v>
      </c>
      <c r="AP732" s="4" t="s">
        <v>383</v>
      </c>
      <c r="AQ732" s="7" t="s">
        <v>384</v>
      </c>
      <c r="AR732" s="8" t="s">
        <v>1048</v>
      </c>
      <c r="AS732" s="7">
        <v>0</v>
      </c>
      <c r="AT732" s="7">
        <v>0</v>
      </c>
      <c r="AU732" s="9" t="s">
        <v>303</v>
      </c>
      <c r="AV732" s="9" t="s">
        <v>406</v>
      </c>
      <c r="BA732" s="8">
        <v>5</v>
      </c>
      <c r="BG732" s="7"/>
      <c r="BH732" s="7"/>
      <c r="BP732" s="6">
        <v>9.7699999999999992E-3</v>
      </c>
      <c r="BQ732" s="7"/>
      <c r="BR732" s="6">
        <f>100*EH732/BP732</f>
        <v>0.46878198567041968</v>
      </c>
      <c r="BS732" s="9">
        <f>100*EI732/BP732</f>
        <v>3.5312180143295804E-2</v>
      </c>
      <c r="BT732" s="7">
        <f>100*EJ732/BP732</f>
        <v>7.2466734902763568</v>
      </c>
      <c r="BU732" s="8">
        <f>1000*EK732/BP732</f>
        <v>48.616274309109521</v>
      </c>
      <c r="BV732" s="7">
        <f>0.163171/BP732</f>
        <v>16.701228249744116</v>
      </c>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31"/>
      <c r="EA732" s="4"/>
      <c r="EB732" s="4"/>
      <c r="EC732" s="4"/>
      <c r="ED732" s="4"/>
      <c r="EE732" s="4"/>
      <c r="EF732" s="4"/>
      <c r="EG732" s="4"/>
      <c r="EH732" s="20">
        <f>45.8/1000000</f>
        <v>4.5799999999999995E-5</v>
      </c>
      <c r="EI732" s="20">
        <f>3.45/1000000</f>
        <v>3.45E-6</v>
      </c>
      <c r="EJ732" s="17">
        <f>708/1000000</f>
        <v>7.0799999999999997E-4</v>
      </c>
      <c r="EK732" s="17">
        <f>0.474981/1000</f>
        <v>4.7498099999999997E-4</v>
      </c>
      <c r="EL732" s="6">
        <f>0.163171+(1524*11.5+1524*7.7+508*6.6+1727*4.6+508*17.1+762*18.4)/1000/1000</f>
        <v>0.22643640000000004</v>
      </c>
      <c r="EY732" s="6"/>
      <c r="FA732" s="6"/>
      <c r="GP732" s="32"/>
      <c r="GY732" s="6" t="s">
        <v>309</v>
      </c>
      <c r="GZ732" s="6" t="s">
        <v>436</v>
      </c>
      <c r="HA732" s="6" t="s">
        <v>339</v>
      </c>
      <c r="HB732" s="6" t="s">
        <v>6482</v>
      </c>
      <c r="HD732" s="4" t="s">
        <v>6483</v>
      </c>
      <c r="HE732" s="8">
        <v>2049</v>
      </c>
      <c r="HF732" s="4" t="s">
        <v>6484</v>
      </c>
      <c r="HG732" s="4" t="s">
        <v>782</v>
      </c>
      <c r="HH732" s="4" t="s">
        <v>1198</v>
      </c>
      <c r="HI732" s="8">
        <v>27158</v>
      </c>
      <c r="HJ732" s="4" t="s">
        <v>1199</v>
      </c>
      <c r="HK732" s="4" t="s">
        <v>1200</v>
      </c>
      <c r="HL732" s="4"/>
      <c r="HN732" s="4"/>
      <c r="HO732" s="4"/>
      <c r="HP732" s="4"/>
      <c r="HR732" s="4"/>
      <c r="HS732" s="4"/>
      <c r="HT732" s="4"/>
      <c r="HU732" s="4"/>
      <c r="HV732" s="4"/>
      <c r="HW732" s="4"/>
      <c r="HX732" s="4"/>
      <c r="HY732" s="4"/>
      <c r="HZ732" s="4"/>
      <c r="IA732" s="4"/>
      <c r="IB732" s="4" t="s">
        <v>6483</v>
      </c>
      <c r="IC732" s="8">
        <v>2049</v>
      </c>
      <c r="ID732" s="4" t="s">
        <v>6485</v>
      </c>
      <c r="IE732" s="4" t="s">
        <v>782</v>
      </c>
      <c r="IF732" s="4" t="s">
        <v>445</v>
      </c>
      <c r="IG732" s="4"/>
      <c r="IH732" s="4"/>
      <c r="II732" s="4"/>
      <c r="IJ732" s="4"/>
      <c r="IK732" s="4"/>
      <c r="IL732" s="4"/>
      <c r="IN732" s="4"/>
      <c r="IO732" s="4"/>
      <c r="IP732" s="4"/>
      <c r="IQ732" s="4"/>
      <c r="IS732" s="4"/>
      <c r="IT732" s="4"/>
      <c r="IU732" s="4"/>
      <c r="IV732" s="4"/>
      <c r="IW732" s="8"/>
      <c r="IX732" s="4"/>
      <c r="IY732" s="4"/>
      <c r="IZ732" s="4"/>
      <c r="JA732" s="4"/>
      <c r="JB732" s="8"/>
      <c r="JC732" s="4"/>
      <c r="JD732" s="4"/>
      <c r="JE732" s="4"/>
      <c r="JF732" s="4"/>
      <c r="JG732" s="4"/>
      <c r="JH732" s="4"/>
      <c r="JI732" s="4"/>
      <c r="JJ732" s="4"/>
      <c r="JK732" s="4"/>
      <c r="JL732" s="4"/>
      <c r="JM732" s="4"/>
      <c r="JN732" s="4"/>
      <c r="JO732" s="4"/>
      <c r="JP732" s="4"/>
      <c r="JQ732" s="4"/>
      <c r="JR732" s="4"/>
      <c r="JS732" s="4"/>
      <c r="JT732" s="4"/>
      <c r="JU732" s="4"/>
      <c r="JV732" s="4" t="s">
        <v>1772</v>
      </c>
      <c r="JW732" s="4"/>
      <c r="JX732" s="4" t="s">
        <v>320</v>
      </c>
      <c r="JY732" s="4"/>
      <c r="JZ732" s="4"/>
      <c r="KA732" s="4"/>
      <c r="KB732" s="4"/>
      <c r="KC732" s="4"/>
      <c r="KD732" s="4"/>
      <c r="KE732" s="4"/>
      <c r="KF732" s="4"/>
      <c r="KG732" s="4" t="s">
        <v>323</v>
      </c>
      <c r="KP732" s="5" t="s">
        <v>5676</v>
      </c>
      <c r="KQ732" s="5" t="s">
        <v>6486</v>
      </c>
      <c r="KS732" s="5" t="s">
        <v>5676</v>
      </c>
      <c r="KT732" s="5" t="s">
        <v>6487</v>
      </c>
    </row>
    <row r="733" spans="1:306" ht="156" x14ac:dyDescent="0.25">
      <c r="A733" s="12" t="s">
        <v>6704</v>
      </c>
      <c r="B733" s="4" t="s">
        <v>424</v>
      </c>
      <c r="C733" s="7" t="s">
        <v>425</v>
      </c>
      <c r="D733" s="7" t="s">
        <v>1756</v>
      </c>
      <c r="E733" s="8">
        <v>335352</v>
      </c>
      <c r="F733" s="8"/>
      <c r="G733" s="8" t="s">
        <v>330</v>
      </c>
      <c r="H733" s="6">
        <v>119.27500000000001</v>
      </c>
      <c r="I733" s="6">
        <v>-23.704799999999999</v>
      </c>
      <c r="J733" s="8"/>
      <c r="K733" s="4" t="s">
        <v>331</v>
      </c>
      <c r="L733" s="4" t="s">
        <v>332</v>
      </c>
      <c r="M733" s="4" t="s">
        <v>6705</v>
      </c>
      <c r="O733" s="7"/>
      <c r="Q733" s="8"/>
      <c r="R733" s="8"/>
      <c r="S733" s="4"/>
      <c r="T733" s="4"/>
      <c r="U733" s="4"/>
      <c r="V733" s="4"/>
      <c r="W733" s="4"/>
      <c r="X733" s="4"/>
      <c r="Z733" s="4" t="s">
        <v>424</v>
      </c>
      <c r="AA733" s="7" t="s">
        <v>425</v>
      </c>
      <c r="AB733" s="7" t="s">
        <v>1756</v>
      </c>
      <c r="AC733" s="4" t="s">
        <v>301</v>
      </c>
      <c r="AD733" s="4" t="s">
        <v>375</v>
      </c>
      <c r="AE733" s="8"/>
      <c r="AF733" s="8"/>
      <c r="AG733" s="4"/>
      <c r="AH733" s="4"/>
      <c r="AI733" s="4"/>
      <c r="AJ733" s="4"/>
      <c r="AK733" s="4"/>
      <c r="AL733" s="4"/>
      <c r="AN733" s="4" t="s">
        <v>381</v>
      </c>
      <c r="AO733" s="4" t="s">
        <v>402</v>
      </c>
      <c r="AP733" s="4" t="s">
        <v>383</v>
      </c>
      <c r="AQ733" s="7" t="s">
        <v>384</v>
      </c>
      <c r="AR733" s="7" t="s">
        <v>433</v>
      </c>
      <c r="AS733" s="7">
        <v>0</v>
      </c>
      <c r="AT733" s="7">
        <v>0</v>
      </c>
      <c r="AU733" s="4" t="s">
        <v>303</v>
      </c>
      <c r="AV733" s="4" t="s">
        <v>406</v>
      </c>
      <c r="AW733" s="4"/>
      <c r="AX733" s="4"/>
      <c r="AY733" s="4"/>
      <c r="AZ733" s="4"/>
      <c r="BA733" s="8">
        <v>5</v>
      </c>
      <c r="BF733" s="7"/>
      <c r="BG733" s="8"/>
      <c r="BH733" s="8"/>
      <c r="BI733" s="4"/>
      <c r="BJ733" s="4"/>
      <c r="BK733" s="4"/>
      <c r="BL733" s="4"/>
      <c r="BM733" s="4"/>
      <c r="BN733" s="4"/>
      <c r="BP733" s="7">
        <v>2.98</v>
      </c>
      <c r="BQ733" s="7"/>
      <c r="BR733" s="7"/>
      <c r="BS733" s="6">
        <v>2.94</v>
      </c>
      <c r="BT733" s="6">
        <v>1.59</v>
      </c>
      <c r="BU733" s="7">
        <v>15</v>
      </c>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31"/>
      <c r="EA733" s="4"/>
      <c r="EB733" s="4"/>
      <c r="EC733" s="4"/>
      <c r="ED733" s="4"/>
      <c r="EE733" s="4"/>
      <c r="EF733" s="4"/>
      <c r="EG733" s="4"/>
      <c r="EI733" s="10">
        <f>BP733*BS733/100</f>
        <v>8.7612000000000009E-2</v>
      </c>
      <c r="EJ733" s="10">
        <f>BP733*BT733/100</f>
        <v>4.7382000000000001E-2</v>
      </c>
      <c r="EK733" s="6">
        <f>BP733*BU733/1000</f>
        <v>4.4700000000000004E-2</v>
      </c>
      <c r="FA733" s="6"/>
      <c r="GP733" s="32"/>
      <c r="GY733" s="6" t="s">
        <v>338</v>
      </c>
      <c r="GZ733" s="6" t="s">
        <v>461</v>
      </c>
      <c r="HB733" s="6" t="s">
        <v>462</v>
      </c>
      <c r="HD733" s="4" t="s">
        <v>6706</v>
      </c>
      <c r="HE733" s="8">
        <v>6834</v>
      </c>
      <c r="HF733" s="4" t="s">
        <v>6707</v>
      </c>
      <c r="HG733" s="4" t="s">
        <v>507</v>
      </c>
      <c r="HH733" s="4" t="s">
        <v>6708</v>
      </c>
      <c r="HI733" s="8">
        <v>27346</v>
      </c>
      <c r="HJ733" s="4" t="s">
        <v>6709</v>
      </c>
      <c r="HK733" s="4" t="s">
        <v>349</v>
      </c>
      <c r="HL733" s="4"/>
      <c r="HN733" s="4"/>
      <c r="HO733" s="4"/>
      <c r="HP733" s="4"/>
      <c r="HR733" s="4"/>
      <c r="HS733" s="4"/>
      <c r="HT733" s="4"/>
      <c r="HU733" s="4"/>
      <c r="HV733" s="4"/>
      <c r="HW733" s="4"/>
      <c r="HX733" s="4"/>
      <c r="HZ733" s="4"/>
      <c r="IA733" s="4"/>
      <c r="IB733" s="4"/>
      <c r="ID733" s="4"/>
      <c r="IE733" s="4"/>
      <c r="IF733" s="4"/>
      <c r="IG733" s="4"/>
      <c r="IH733" s="4"/>
      <c r="II733" s="4"/>
      <c r="IJ733" s="4"/>
      <c r="IK733" s="4"/>
      <c r="IL733" s="4"/>
      <c r="IM733" s="4"/>
      <c r="IN733" s="4"/>
      <c r="IO733" s="4"/>
      <c r="IP733" s="4"/>
      <c r="IQ733" s="4"/>
      <c r="IR733" s="4"/>
      <c r="IS733" s="4"/>
      <c r="IT733" s="4"/>
      <c r="IU733" s="4"/>
      <c r="IV733" s="4"/>
      <c r="IW733" s="4"/>
      <c r="IX733" s="4"/>
      <c r="IY733" s="4"/>
      <c r="IZ733" s="4"/>
      <c r="JA733" s="4"/>
      <c r="JB733" s="4"/>
      <c r="JC733" s="4"/>
      <c r="JD733" s="4"/>
      <c r="JE733" s="4"/>
      <c r="JF733" s="4"/>
      <c r="JG733" s="4"/>
      <c r="JH733" s="4"/>
      <c r="JI733" s="4"/>
      <c r="JJ733" s="4"/>
      <c r="JK733" s="4"/>
      <c r="JL733" s="4"/>
      <c r="JM733" s="4"/>
      <c r="JN733" s="4"/>
      <c r="JO733" s="4"/>
      <c r="JP733" s="4"/>
      <c r="JQ733" s="4"/>
      <c r="JR733" s="4"/>
      <c r="JS733" s="4"/>
      <c r="JT733" s="4"/>
      <c r="JU733" s="4"/>
      <c r="JV733" s="4"/>
      <c r="JW733" s="4"/>
      <c r="JX733" s="4" t="s">
        <v>320</v>
      </c>
      <c r="JY733" s="4"/>
      <c r="JZ733" s="4"/>
      <c r="KA733" s="4"/>
      <c r="KB733" s="4"/>
      <c r="KC733" s="4"/>
      <c r="KD733" s="4"/>
      <c r="KE733" s="4"/>
      <c r="KF733" s="4"/>
      <c r="KG733" s="4" t="s">
        <v>356</v>
      </c>
      <c r="KH733" s="4" t="s">
        <v>357</v>
      </c>
      <c r="KP733" s="5" t="s">
        <v>358</v>
      </c>
      <c r="KQ733" s="5" t="s">
        <v>6710</v>
      </c>
      <c r="KS733" s="5" t="s">
        <v>6711</v>
      </c>
      <c r="KT733" s="5" t="s">
        <v>6712</v>
      </c>
    </row>
    <row r="734" spans="1:306" ht="60" x14ac:dyDescent="0.25">
      <c r="A734" s="5" t="s">
        <v>7136</v>
      </c>
      <c r="B734" s="4" t="s">
        <v>424</v>
      </c>
      <c r="C734" s="7" t="s">
        <v>425</v>
      </c>
      <c r="D734" s="8" t="s">
        <v>1756</v>
      </c>
      <c r="E734" s="4">
        <v>655691</v>
      </c>
      <c r="G734" s="4" t="s">
        <v>427</v>
      </c>
      <c r="H734" s="6">
        <v>145.8603</v>
      </c>
      <c r="I734" s="6">
        <v>-32.520600000000002</v>
      </c>
      <c r="J734" s="4" t="s">
        <v>1504</v>
      </c>
      <c r="K734" s="4" t="s">
        <v>298</v>
      </c>
      <c r="L734" s="4" t="s">
        <v>299</v>
      </c>
      <c r="M734" s="4" t="s">
        <v>428</v>
      </c>
      <c r="N734" s="4" t="s">
        <v>1757</v>
      </c>
      <c r="Q734" s="7"/>
      <c r="R734" s="7"/>
      <c r="S734" s="7"/>
      <c r="T734" s="7"/>
      <c r="Z734" s="4" t="s">
        <v>424</v>
      </c>
      <c r="AA734" s="7" t="s">
        <v>425</v>
      </c>
      <c r="AB734" s="8" t="s">
        <v>1756</v>
      </c>
      <c r="AC734" s="4" t="s">
        <v>301</v>
      </c>
      <c r="AD734" s="4" t="s">
        <v>375</v>
      </c>
      <c r="AE734" s="7">
        <v>402.1</v>
      </c>
      <c r="AF734" s="7">
        <v>1.2</v>
      </c>
      <c r="AG734" s="7" t="s">
        <v>379</v>
      </c>
      <c r="AH734" s="7" t="s">
        <v>429</v>
      </c>
      <c r="AI734" s="9" t="s">
        <v>845</v>
      </c>
      <c r="AJ734" s="9" t="s">
        <v>431</v>
      </c>
      <c r="AK734" s="9" t="s">
        <v>307</v>
      </c>
      <c r="AM734" s="8">
        <v>4</v>
      </c>
      <c r="AS734" s="7"/>
      <c r="AT734" s="7"/>
      <c r="BQ734" s="9"/>
      <c r="DZ734" s="31"/>
      <c r="EY734" s="6"/>
      <c r="FA734" s="6"/>
      <c r="GP734" s="32"/>
      <c r="GY734" s="31" t="s">
        <v>407</v>
      </c>
      <c r="HD734" s="8" t="s">
        <v>7137</v>
      </c>
      <c r="HE734" s="8">
        <v>27158</v>
      </c>
      <c r="HF734" s="8" t="s">
        <v>7138</v>
      </c>
      <c r="HG734" s="9" t="s">
        <v>782</v>
      </c>
      <c r="HY734" s="9"/>
      <c r="IB734" s="8" t="s">
        <v>7137</v>
      </c>
      <c r="IC734" s="8">
        <v>27158</v>
      </c>
      <c r="ID734" s="8" t="s">
        <v>7138</v>
      </c>
      <c r="IE734" s="9" t="s">
        <v>782</v>
      </c>
      <c r="IF734" s="8" t="s">
        <v>445</v>
      </c>
      <c r="IW734" s="8"/>
      <c r="JB734" s="8"/>
      <c r="JV734" s="7" t="s">
        <v>783</v>
      </c>
      <c r="JX734" s="7" t="s">
        <v>320</v>
      </c>
      <c r="KG734" s="4" t="s">
        <v>323</v>
      </c>
      <c r="KP734" s="5" t="s">
        <v>5676</v>
      </c>
      <c r="KQ734" s="5" t="s">
        <v>7139</v>
      </c>
      <c r="KR734" s="5" t="s">
        <v>7140</v>
      </c>
    </row>
    <row r="735" spans="1:306" ht="60" x14ac:dyDescent="0.25">
      <c r="A735" s="5" t="s">
        <v>7223</v>
      </c>
      <c r="B735" s="4" t="s">
        <v>424</v>
      </c>
      <c r="C735" s="7" t="s">
        <v>425</v>
      </c>
      <c r="D735" s="8" t="s">
        <v>1756</v>
      </c>
      <c r="E735" s="4">
        <v>335700</v>
      </c>
      <c r="G735" s="4" t="s">
        <v>427</v>
      </c>
      <c r="H735" s="6">
        <v>145.70620600000001</v>
      </c>
      <c r="I735" s="6">
        <v>-32.642929000000002</v>
      </c>
      <c r="J735" s="4" t="s">
        <v>7224</v>
      </c>
      <c r="K735" s="4" t="s">
        <v>298</v>
      </c>
      <c r="L735" s="4" t="s">
        <v>299</v>
      </c>
      <c r="M735" s="4" t="s">
        <v>428</v>
      </c>
      <c r="N735" s="4" t="s">
        <v>1757</v>
      </c>
      <c r="Q735" s="8"/>
      <c r="R735" s="8"/>
      <c r="S735" s="4"/>
      <c r="T735" s="4"/>
      <c r="U735" s="4"/>
      <c r="V735" s="4"/>
      <c r="W735" s="4"/>
      <c r="X735" s="4"/>
      <c r="Z735" s="4" t="s">
        <v>424</v>
      </c>
      <c r="AA735" s="7" t="s">
        <v>425</v>
      </c>
      <c r="AB735" s="8" t="s">
        <v>1756</v>
      </c>
      <c r="AC735" s="4" t="s">
        <v>301</v>
      </c>
      <c r="AD735" s="4" t="s">
        <v>302</v>
      </c>
      <c r="AE735" s="8">
        <v>384</v>
      </c>
      <c r="AF735" s="8"/>
      <c r="AG735" s="4" t="s">
        <v>379</v>
      </c>
      <c r="AH735" s="4" t="s">
        <v>304</v>
      </c>
      <c r="AI735" s="4" t="s">
        <v>1118</v>
      </c>
      <c r="AJ735" s="4" t="s">
        <v>1080</v>
      </c>
      <c r="AK735" s="4" t="s">
        <v>600</v>
      </c>
      <c r="AL735" s="4"/>
      <c r="AM735" s="8">
        <v>2</v>
      </c>
      <c r="AS735" s="7"/>
      <c r="AT735" s="7"/>
      <c r="BP735" s="7">
        <v>6.83</v>
      </c>
      <c r="BQ735" s="7"/>
      <c r="BR735" s="6">
        <v>0.24</v>
      </c>
      <c r="BS735" s="6">
        <v>3.92</v>
      </c>
      <c r="BT735" s="6">
        <v>1.52</v>
      </c>
      <c r="BU735" s="8">
        <v>62</v>
      </c>
      <c r="BV735" s="6">
        <v>0.3</v>
      </c>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31"/>
      <c r="EA735" s="4"/>
      <c r="EB735" s="4"/>
      <c r="EC735" s="4"/>
      <c r="ED735" s="4"/>
      <c r="EE735" s="4"/>
      <c r="EF735" s="4"/>
      <c r="EG735" s="4"/>
      <c r="EH735" s="10">
        <f>BP735*BR735/100</f>
        <v>1.6392E-2</v>
      </c>
      <c r="EI735" s="10">
        <f>BP735*BS735/100</f>
        <v>0.26773599999999997</v>
      </c>
      <c r="EJ735" s="10">
        <f>BP735*BT735/100</f>
        <v>0.10381600000000001</v>
      </c>
      <c r="EK735" s="6">
        <f>BP735*BU735/1000</f>
        <v>0.42346</v>
      </c>
      <c r="EL735" s="6">
        <f>BP735*BV735</f>
        <v>2.0489999999999999</v>
      </c>
      <c r="EY735" s="6"/>
      <c r="FA735" s="6"/>
      <c r="GP735" s="32"/>
      <c r="GY735" s="6" t="s">
        <v>338</v>
      </c>
      <c r="GZ735" s="6" t="s">
        <v>1386</v>
      </c>
      <c r="HA735" s="6" t="s">
        <v>339</v>
      </c>
      <c r="HB735" s="6" t="s">
        <v>1361</v>
      </c>
      <c r="HD735" s="4" t="s">
        <v>7225</v>
      </c>
      <c r="HE735" s="8">
        <v>25281</v>
      </c>
      <c r="HF735" s="4" t="s">
        <v>7226</v>
      </c>
      <c r="HG735" s="4" t="s">
        <v>3276</v>
      </c>
      <c r="HH735" s="4" t="s">
        <v>7227</v>
      </c>
      <c r="HI735" s="4">
        <v>381</v>
      </c>
      <c r="HJ735" s="4" t="s">
        <v>7228</v>
      </c>
      <c r="HK735" s="4" t="s">
        <v>3276</v>
      </c>
      <c r="HL735" s="4"/>
      <c r="HN735" s="4"/>
      <c r="HO735" s="4"/>
      <c r="HP735" s="4"/>
      <c r="HR735" s="4"/>
      <c r="HS735" s="4"/>
      <c r="HT735" s="4"/>
      <c r="HU735" s="4"/>
      <c r="HV735" s="4"/>
      <c r="HW735" s="4"/>
      <c r="HX735" s="4"/>
      <c r="HY735" s="4"/>
      <c r="HZ735" s="4"/>
      <c r="IA735" s="4"/>
      <c r="IB735" s="4" t="s">
        <v>7225</v>
      </c>
      <c r="IC735" s="8">
        <v>25281</v>
      </c>
      <c r="ID735" s="4" t="s">
        <v>7226</v>
      </c>
      <c r="IE735" s="4" t="s">
        <v>3276</v>
      </c>
      <c r="IF735" s="4"/>
      <c r="IG735" s="4"/>
      <c r="IH735" s="4"/>
      <c r="II735" s="4"/>
      <c r="IJ735" s="4"/>
      <c r="IK735" s="4"/>
      <c r="IL735" s="4"/>
      <c r="IN735" s="4"/>
      <c r="IO735" s="4"/>
      <c r="IP735" s="4"/>
      <c r="IQ735" s="4"/>
      <c r="IS735" s="4"/>
      <c r="IT735" s="4"/>
      <c r="IU735" s="4"/>
      <c r="IV735" s="4"/>
      <c r="IW735" s="8"/>
      <c r="IX735" s="4"/>
      <c r="IY735" s="4"/>
      <c r="IZ735" s="4"/>
      <c r="JA735" s="4"/>
      <c r="JB735" s="8"/>
      <c r="JC735" s="4"/>
      <c r="JD735" s="4"/>
      <c r="JE735" s="4"/>
      <c r="JF735" s="4"/>
      <c r="JG735" s="4"/>
      <c r="JH735" s="4"/>
      <c r="JI735" s="4"/>
      <c r="JJ735" s="4"/>
      <c r="JK735" s="4"/>
      <c r="JL735" s="4"/>
      <c r="JM735" s="4"/>
      <c r="JN735" s="4"/>
      <c r="JO735" s="4"/>
      <c r="JP735" s="4"/>
      <c r="JQ735" s="4"/>
      <c r="JR735" s="4"/>
      <c r="JS735" s="4"/>
      <c r="JT735" s="4"/>
      <c r="JU735" s="4"/>
      <c r="JV735" s="4" t="s">
        <v>7229</v>
      </c>
      <c r="JW735" s="4" t="s">
        <v>352</v>
      </c>
      <c r="JX735" s="4" t="s">
        <v>320</v>
      </c>
      <c r="JY735" s="4"/>
      <c r="JZ735" s="4"/>
      <c r="KA735" s="4"/>
      <c r="KB735" s="4"/>
      <c r="KC735" s="4"/>
      <c r="KD735" s="4"/>
      <c r="KE735" s="4"/>
      <c r="KF735" s="4"/>
      <c r="KG735" s="4" t="s">
        <v>323</v>
      </c>
      <c r="KM735" s="4" t="s">
        <v>391</v>
      </c>
      <c r="KN735" s="4" t="s">
        <v>391</v>
      </c>
      <c r="KP735" s="5" t="s">
        <v>4978</v>
      </c>
      <c r="KQ735" s="5" t="s">
        <v>7230</v>
      </c>
      <c r="KR735" s="5" t="s">
        <v>4977</v>
      </c>
      <c r="KS735" s="5" t="s">
        <v>4978</v>
      </c>
      <c r="KT735" s="5" t="s">
        <v>7231</v>
      </c>
    </row>
    <row r="736" spans="1:306" ht="120" x14ac:dyDescent="0.25">
      <c r="A736" s="5" t="s">
        <v>8207</v>
      </c>
      <c r="B736" s="4" t="s">
        <v>424</v>
      </c>
      <c r="C736" s="7" t="s">
        <v>425</v>
      </c>
      <c r="D736" s="8" t="s">
        <v>1756</v>
      </c>
      <c r="E736" s="4">
        <v>335011</v>
      </c>
      <c r="G736" s="4" t="s">
        <v>530</v>
      </c>
      <c r="H736" s="6">
        <v>131.11121399999999</v>
      </c>
      <c r="I736" s="6">
        <v>-12.969480000000001</v>
      </c>
      <c r="J736" s="4" t="s">
        <v>826</v>
      </c>
      <c r="K736" s="4" t="s">
        <v>481</v>
      </c>
      <c r="L736" s="4" t="s">
        <v>532</v>
      </c>
      <c r="Q736" s="8"/>
      <c r="R736" s="8"/>
      <c r="S736" s="4"/>
      <c r="T736" s="4"/>
      <c r="U736" s="4"/>
      <c r="V736" s="4"/>
      <c r="W736" s="4"/>
      <c r="X736" s="4"/>
      <c r="Z736" s="4" t="s">
        <v>424</v>
      </c>
      <c r="AA736" s="7" t="s">
        <v>425</v>
      </c>
      <c r="AB736" s="8" t="s">
        <v>1756</v>
      </c>
      <c r="AC736" s="4" t="s">
        <v>301</v>
      </c>
      <c r="AD736" s="4" t="s">
        <v>302</v>
      </c>
      <c r="AE736" s="8">
        <v>1734</v>
      </c>
      <c r="AF736" s="8"/>
      <c r="AG736" s="4" t="s">
        <v>1236</v>
      </c>
      <c r="AH736" s="4" t="s">
        <v>304</v>
      </c>
      <c r="AI736" s="4" t="s">
        <v>1118</v>
      </c>
      <c r="AJ736" s="4" t="s">
        <v>1080</v>
      </c>
      <c r="AK736" s="4" t="s">
        <v>600</v>
      </c>
      <c r="AL736" s="4" t="s">
        <v>1727</v>
      </c>
      <c r="AM736" s="8">
        <v>2</v>
      </c>
      <c r="BP736" s="7">
        <v>4.6500000000000004</v>
      </c>
      <c r="BR736" s="7"/>
      <c r="BS736" s="6">
        <v>12.28</v>
      </c>
      <c r="BT736" s="6">
        <v>5.65</v>
      </c>
      <c r="BU736" s="8">
        <v>87</v>
      </c>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31"/>
      <c r="EA736" s="4"/>
      <c r="EB736" s="4"/>
      <c r="EC736" s="4"/>
      <c r="ED736" s="4"/>
      <c r="EE736" s="4"/>
      <c r="EF736" s="4"/>
      <c r="EG736" s="4"/>
      <c r="EI736" s="10">
        <f>BP736*BS736/100</f>
        <v>0.57102000000000008</v>
      </c>
      <c r="EJ736" s="10">
        <f>BP736*BT736/100</f>
        <v>0.26272500000000004</v>
      </c>
      <c r="EK736" s="6">
        <f>BP736*BU736/1000</f>
        <v>0.40455000000000002</v>
      </c>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32"/>
      <c r="GQ736" s="4"/>
      <c r="GR736" s="4"/>
      <c r="GS736" s="4"/>
      <c r="GT736" s="4"/>
      <c r="GU736" s="4"/>
      <c r="GV736" s="4"/>
      <c r="GW736" s="4"/>
      <c r="GX736" s="4"/>
      <c r="GY736" s="4" t="s">
        <v>338</v>
      </c>
      <c r="GZ736" s="4" t="s">
        <v>461</v>
      </c>
      <c r="HA736" s="4" t="s">
        <v>462</v>
      </c>
      <c r="HB736" s="4"/>
      <c r="HC736" s="4"/>
      <c r="HD736" s="4" t="s">
        <v>830</v>
      </c>
      <c r="HE736" s="4">
        <v>24572</v>
      </c>
      <c r="HF736" s="4" t="s">
        <v>1729</v>
      </c>
      <c r="HG736" s="4" t="s">
        <v>538</v>
      </c>
      <c r="HH736" s="4"/>
      <c r="HJ736" s="4"/>
      <c r="HK736" s="4"/>
      <c r="HL736" s="4"/>
      <c r="HN736" s="4"/>
      <c r="HO736" s="4"/>
      <c r="HP736" s="4"/>
      <c r="HR736" s="4"/>
      <c r="HS736" s="4"/>
      <c r="HT736" s="4"/>
      <c r="HU736" s="4"/>
      <c r="HV736" s="4"/>
      <c r="HW736" s="4"/>
      <c r="HX736" s="4"/>
      <c r="HY736" s="4"/>
      <c r="HZ736" s="4"/>
      <c r="IA736" s="4"/>
      <c r="IB736" s="4" t="s">
        <v>832</v>
      </c>
      <c r="IC736" s="8">
        <v>16439</v>
      </c>
      <c r="ID736" s="4" t="s">
        <v>833</v>
      </c>
      <c r="IE736" s="4" t="s">
        <v>507</v>
      </c>
      <c r="IF736" s="4" t="s">
        <v>445</v>
      </c>
      <c r="IG736" s="4"/>
      <c r="IH736" s="4"/>
      <c r="II736" s="4" t="s">
        <v>8208</v>
      </c>
      <c r="IJ736" s="4" t="s">
        <v>538</v>
      </c>
      <c r="IK736" s="4" t="s">
        <v>445</v>
      </c>
      <c r="IL736" s="4"/>
      <c r="IN736" s="4"/>
      <c r="IO736" s="4"/>
      <c r="IP736" s="4"/>
      <c r="IQ736" s="4"/>
      <c r="IS736" s="4"/>
      <c r="IT736" s="4"/>
      <c r="IU736" s="4"/>
      <c r="IV736" s="4"/>
      <c r="IW736" s="8"/>
      <c r="IX736" s="4"/>
      <c r="IY736" s="4"/>
      <c r="IZ736" s="4"/>
      <c r="JA736" s="4"/>
      <c r="JB736" s="8"/>
      <c r="JC736" s="4"/>
      <c r="JD736" s="4"/>
      <c r="JE736" s="4"/>
      <c r="JF736" s="4"/>
      <c r="JG736" s="4"/>
      <c r="JH736" s="4"/>
      <c r="JI736" s="4"/>
      <c r="JJ736" s="4"/>
      <c r="JK736" s="4"/>
      <c r="JL736" s="4"/>
      <c r="JM736" s="4"/>
      <c r="JN736" s="4"/>
      <c r="JO736" s="4"/>
      <c r="JP736" s="4"/>
      <c r="JQ736" s="4"/>
      <c r="JR736" s="4"/>
      <c r="JS736" s="4"/>
      <c r="JT736" s="4"/>
      <c r="JU736" s="4"/>
      <c r="JV736" s="4" t="s">
        <v>8209</v>
      </c>
      <c r="JW736" s="4"/>
      <c r="JX736" s="4" t="s">
        <v>320</v>
      </c>
      <c r="JY736" s="4" t="s">
        <v>448</v>
      </c>
      <c r="JZ736" s="4" t="s">
        <v>738</v>
      </c>
      <c r="KA736" s="4" t="s">
        <v>470</v>
      </c>
      <c r="KB736" s="4" t="s">
        <v>322</v>
      </c>
      <c r="KC736" s="4"/>
      <c r="KD736" s="4"/>
      <c r="KE736" s="4"/>
      <c r="KF736" s="4"/>
      <c r="KG736" s="4" t="s">
        <v>323</v>
      </c>
      <c r="KM736" s="4" t="s">
        <v>391</v>
      </c>
      <c r="KN736" s="4" t="s">
        <v>391</v>
      </c>
      <c r="KP736" s="5" t="s">
        <v>358</v>
      </c>
      <c r="KQ736" s="5" t="s">
        <v>8210</v>
      </c>
      <c r="KR736" s="5" t="s">
        <v>6142</v>
      </c>
      <c r="KS736" s="5" t="s">
        <v>4190</v>
      </c>
      <c r="KT736" s="5" t="s">
        <v>8211</v>
      </c>
    </row>
    <row r="737" spans="1:306" ht="60" x14ac:dyDescent="0.25">
      <c r="A737" s="5" t="s">
        <v>8320</v>
      </c>
      <c r="B737" s="4" t="s">
        <v>424</v>
      </c>
      <c r="C737" s="7" t="s">
        <v>425</v>
      </c>
      <c r="D737" s="8" t="s">
        <v>1756</v>
      </c>
      <c r="E737" s="4">
        <v>335162</v>
      </c>
      <c r="G737" s="4" t="s">
        <v>427</v>
      </c>
      <c r="H737" s="6">
        <v>146.82123453</v>
      </c>
      <c r="I737" s="6">
        <v>-32.462804267000003</v>
      </c>
      <c r="J737" s="4" t="s">
        <v>1504</v>
      </c>
      <c r="K737" s="4" t="s">
        <v>298</v>
      </c>
      <c r="L737" s="4" t="s">
        <v>299</v>
      </c>
      <c r="M737" s="4" t="s">
        <v>428</v>
      </c>
      <c r="N737" s="4" t="s">
        <v>1757</v>
      </c>
      <c r="Q737" s="8"/>
      <c r="R737" s="8"/>
      <c r="S737" s="4"/>
      <c r="T737" s="4"/>
      <c r="U737" s="4"/>
      <c r="V737" s="4"/>
      <c r="W737" s="4"/>
      <c r="X737" s="4"/>
      <c r="Z737" s="4" t="s">
        <v>424</v>
      </c>
      <c r="AA737" s="7" t="s">
        <v>425</v>
      </c>
      <c r="AB737" s="8" t="s">
        <v>1756</v>
      </c>
      <c r="AC737" s="4" t="s">
        <v>301</v>
      </c>
      <c r="AD737" s="4" t="s">
        <v>375</v>
      </c>
      <c r="AE737" s="8">
        <v>413</v>
      </c>
      <c r="AF737" s="8">
        <v>4</v>
      </c>
      <c r="AG737" s="4" t="s">
        <v>379</v>
      </c>
      <c r="AH737" s="4" t="s">
        <v>429</v>
      </c>
      <c r="AI737" s="4" t="s">
        <v>845</v>
      </c>
      <c r="AJ737" s="4" t="s">
        <v>431</v>
      </c>
      <c r="AK737" s="4" t="s">
        <v>432</v>
      </c>
      <c r="AL737" s="4"/>
      <c r="AM737" s="8">
        <v>3</v>
      </c>
      <c r="AN737" s="4" t="s">
        <v>381</v>
      </c>
      <c r="AO737" s="4" t="s">
        <v>382</v>
      </c>
      <c r="AP737" s="4" t="s">
        <v>383</v>
      </c>
      <c r="AQ737" s="7" t="s">
        <v>384</v>
      </c>
      <c r="AR737" s="8" t="s">
        <v>1048</v>
      </c>
      <c r="AS737" s="7">
        <v>0</v>
      </c>
      <c r="AT737" s="7">
        <v>0</v>
      </c>
      <c r="AU737" s="9" t="s">
        <v>303</v>
      </c>
      <c r="AV737" s="9" t="s">
        <v>406</v>
      </c>
      <c r="BA737" s="8">
        <v>5</v>
      </c>
      <c r="BP737" s="7">
        <f>4.7+6/1000000</f>
        <v>4.7000060000000001</v>
      </c>
      <c r="BR737" s="7">
        <f>(0.3*4.7+9*6/1000000)/(4.7+6/1000000)</f>
        <v>0.30001110636880035</v>
      </c>
      <c r="BS737" s="7">
        <v>1.5</v>
      </c>
      <c r="BT737" s="7">
        <f>(1*4.7+45*6/1000000)/(4.7+6/1000000)</f>
        <v>1.0000561701410595</v>
      </c>
      <c r="BU737" s="8">
        <f>(28*4.7+1010*6/1000000)/(4.7+6/1000000)</f>
        <v>28.001253615420911</v>
      </c>
      <c r="CQ737" s="8"/>
      <c r="CS737" s="8"/>
      <c r="CT737" s="10"/>
      <c r="DC737" s="8"/>
      <c r="DD737" s="8"/>
      <c r="DZ737" s="31"/>
      <c r="EH737" s="10">
        <f>BP737*BR737/100</f>
        <v>1.410054E-2</v>
      </c>
      <c r="EI737" s="10">
        <f>BP737*BS737/100</f>
        <v>7.0500090000000001E-2</v>
      </c>
      <c r="EJ737" s="10">
        <f>BP737*BT737/100</f>
        <v>4.7002700000000008E-2</v>
      </c>
      <c r="EK737" s="6">
        <f>BP737*BU737/1000</f>
        <v>0.13160606</v>
      </c>
      <c r="GP737" s="32"/>
      <c r="GY737" s="31" t="s">
        <v>407</v>
      </c>
      <c r="GZ737" s="6" t="s">
        <v>8321</v>
      </c>
      <c r="HA737" s="6" t="s">
        <v>462</v>
      </c>
      <c r="HD737" s="8" t="s">
        <v>8322</v>
      </c>
      <c r="HE737" s="8">
        <v>26560</v>
      </c>
      <c r="HF737" s="8" t="s">
        <v>8323</v>
      </c>
      <c r="HG737" s="9" t="s">
        <v>782</v>
      </c>
      <c r="IB737" s="8" t="s">
        <v>8322</v>
      </c>
      <c r="IC737" s="8">
        <v>26560</v>
      </c>
      <c r="ID737" s="8" t="s">
        <v>8323</v>
      </c>
      <c r="IE737" s="9" t="s">
        <v>782</v>
      </c>
      <c r="IW737" s="8"/>
      <c r="JB737" s="8"/>
      <c r="JV737" s="7" t="s">
        <v>1772</v>
      </c>
      <c r="JX737" s="7" t="s">
        <v>320</v>
      </c>
      <c r="JY737" s="7" t="s">
        <v>448</v>
      </c>
      <c r="JZ737" s="7" t="s">
        <v>322</v>
      </c>
      <c r="KA737" s="7" t="s">
        <v>321</v>
      </c>
      <c r="KB737" s="7" t="s">
        <v>738</v>
      </c>
      <c r="KG737" s="4" t="s">
        <v>323</v>
      </c>
      <c r="KP737" s="5" t="s">
        <v>5676</v>
      </c>
      <c r="KQ737" s="5" t="s">
        <v>8324</v>
      </c>
      <c r="KR737" s="5" t="s">
        <v>6265</v>
      </c>
      <c r="KS737" s="5" t="s">
        <v>5676</v>
      </c>
      <c r="KT737" s="5" t="s">
        <v>8325</v>
      </c>
    </row>
    <row r="738" spans="1:306" ht="144" x14ac:dyDescent="0.25">
      <c r="A738" s="5" t="s">
        <v>498</v>
      </c>
      <c r="B738" s="4" t="s">
        <v>10241</v>
      </c>
      <c r="C738" s="7" t="s">
        <v>425</v>
      </c>
      <c r="D738" s="8" t="s">
        <v>426</v>
      </c>
      <c r="E738" s="4">
        <v>333719</v>
      </c>
      <c r="G738" s="4" t="s">
        <v>330</v>
      </c>
      <c r="H738" s="6">
        <v>120.4847</v>
      </c>
      <c r="I738" s="6">
        <v>-28.0627</v>
      </c>
      <c r="J738" s="4" t="s">
        <v>499</v>
      </c>
      <c r="K738" s="4" t="s">
        <v>331</v>
      </c>
      <c r="L738" s="4" t="s">
        <v>500</v>
      </c>
      <c r="M738" s="4" t="s">
        <v>501</v>
      </c>
      <c r="N738" s="4" t="s">
        <v>502</v>
      </c>
      <c r="Q738" s="8"/>
      <c r="R738" s="8"/>
      <c r="Z738" s="4" t="s">
        <v>10241</v>
      </c>
      <c r="AA738" s="7" t="s">
        <v>425</v>
      </c>
      <c r="AB738" s="8" t="s">
        <v>426</v>
      </c>
      <c r="AC738" s="4" t="s">
        <v>301</v>
      </c>
      <c r="AD738" s="4" t="s">
        <v>402</v>
      </c>
      <c r="AE738" s="8">
        <v>2661</v>
      </c>
      <c r="AF738" s="8">
        <v>8</v>
      </c>
      <c r="AG738" s="9" t="s">
        <v>379</v>
      </c>
      <c r="AH738" s="9" t="s">
        <v>335</v>
      </c>
      <c r="AI738" s="9" t="s">
        <v>503</v>
      </c>
      <c r="AJ738" s="9" t="s">
        <v>306</v>
      </c>
      <c r="AK738" s="9" t="s">
        <v>307</v>
      </c>
      <c r="AL738" s="9" t="s">
        <v>337</v>
      </c>
      <c r="AM738" s="8">
        <v>4</v>
      </c>
      <c r="AN738" s="4" t="s">
        <v>301</v>
      </c>
      <c r="AO738" s="4" t="s">
        <v>375</v>
      </c>
      <c r="AP738" s="4" t="s">
        <v>424</v>
      </c>
      <c r="AQ738" s="7" t="s">
        <v>425</v>
      </c>
      <c r="AR738" s="8" t="s">
        <v>426</v>
      </c>
      <c r="AS738" s="8">
        <v>2638</v>
      </c>
      <c r="AT738" s="8">
        <v>10</v>
      </c>
      <c r="AU738" s="9" t="s">
        <v>379</v>
      </c>
      <c r="AV738" s="9" t="s">
        <v>335</v>
      </c>
      <c r="AW738" s="9" t="s">
        <v>504</v>
      </c>
      <c r="AX738" s="9" t="s">
        <v>306</v>
      </c>
      <c r="AY738" s="9" t="s">
        <v>307</v>
      </c>
      <c r="AZ738" s="9" t="s">
        <v>337</v>
      </c>
      <c r="BA738" s="8">
        <v>4</v>
      </c>
      <c r="BB738" s="4" t="s">
        <v>381</v>
      </c>
      <c r="BC738" s="4" t="s">
        <v>382</v>
      </c>
      <c r="BD738" s="4" t="s">
        <v>383</v>
      </c>
      <c r="BE738" s="7" t="s">
        <v>384</v>
      </c>
      <c r="BF738" s="7" t="s">
        <v>433</v>
      </c>
      <c r="BG738" s="7">
        <v>0</v>
      </c>
      <c r="BH738" s="7">
        <v>0</v>
      </c>
      <c r="BI738" s="4" t="s">
        <v>303</v>
      </c>
      <c r="BJ738" s="4" t="s">
        <v>406</v>
      </c>
      <c r="BK738" s="4"/>
      <c r="BL738" s="4"/>
      <c r="BM738" s="4"/>
      <c r="BN738" s="4"/>
      <c r="BO738" s="8">
        <v>5</v>
      </c>
      <c r="DZ738" s="31"/>
      <c r="EL738" s="6">
        <v>302.51</v>
      </c>
      <c r="FA738" s="6"/>
      <c r="GP738" s="32"/>
      <c r="GY738" s="6" t="s">
        <v>338</v>
      </c>
      <c r="GZ738" s="6" t="s">
        <v>436</v>
      </c>
      <c r="HC738" s="6" t="s">
        <v>437</v>
      </c>
      <c r="HD738" s="13" t="s">
        <v>505</v>
      </c>
      <c r="HE738" s="43">
        <v>83979</v>
      </c>
      <c r="HF738" s="8" t="s">
        <v>506</v>
      </c>
      <c r="HG738" s="9" t="s">
        <v>507</v>
      </c>
      <c r="HH738" s="9" t="s">
        <v>508</v>
      </c>
      <c r="HI738" s="8">
        <v>31033</v>
      </c>
      <c r="HJ738" s="9" t="s">
        <v>509</v>
      </c>
      <c r="HK738" s="9" t="s">
        <v>510</v>
      </c>
      <c r="HL738" s="9" t="s">
        <v>511</v>
      </c>
      <c r="HM738" s="8">
        <v>77940</v>
      </c>
      <c r="HN738" s="9" t="s">
        <v>512</v>
      </c>
      <c r="HO738" s="9" t="s">
        <v>510</v>
      </c>
      <c r="IB738" s="13" t="s">
        <v>505</v>
      </c>
      <c r="IC738" s="43">
        <v>83979</v>
      </c>
      <c r="ID738" s="8" t="s">
        <v>506</v>
      </c>
      <c r="IE738" s="9" t="s">
        <v>507</v>
      </c>
      <c r="IG738" s="9" t="s">
        <v>511</v>
      </c>
      <c r="IH738" s="8">
        <v>77940</v>
      </c>
      <c r="II738" s="9" t="s">
        <v>512</v>
      </c>
      <c r="IJ738" s="9" t="s">
        <v>510</v>
      </c>
      <c r="IL738" s="8" t="s">
        <v>513</v>
      </c>
      <c r="IN738" s="8" t="s">
        <v>514</v>
      </c>
      <c r="IO738" s="8" t="s">
        <v>515</v>
      </c>
      <c r="IP738" s="8" t="s">
        <v>445</v>
      </c>
      <c r="IR738" s="9"/>
      <c r="IT738" s="9" t="s">
        <v>516</v>
      </c>
      <c r="IU738" s="9" t="s">
        <v>517</v>
      </c>
      <c r="IV738" s="9" t="s">
        <v>518</v>
      </c>
      <c r="JU738" s="7" t="s">
        <v>519</v>
      </c>
      <c r="JV738" s="7" t="s">
        <v>520</v>
      </c>
      <c r="JX738" s="7" t="s">
        <v>320</v>
      </c>
      <c r="JY738" s="7" t="s">
        <v>354</v>
      </c>
      <c r="JZ738" s="7" t="s">
        <v>353</v>
      </c>
      <c r="KG738" s="4" t="s">
        <v>323</v>
      </c>
      <c r="KM738" s="4" t="s">
        <v>521</v>
      </c>
      <c r="KN738" s="4" t="s">
        <v>522</v>
      </c>
      <c r="KP738" s="5" t="s">
        <v>358</v>
      </c>
      <c r="KQ738" s="5" t="s">
        <v>523</v>
      </c>
      <c r="KR738" s="5" t="s">
        <v>524</v>
      </c>
      <c r="KS738" s="5" t="s">
        <v>525</v>
      </c>
      <c r="KT738" s="5" t="s">
        <v>526</v>
      </c>
    </row>
    <row r="739" spans="1:306" ht="96" x14ac:dyDescent="0.25">
      <c r="A739" s="5" t="s">
        <v>527</v>
      </c>
      <c r="B739" s="4" t="s">
        <v>397</v>
      </c>
      <c r="C739" s="7" t="s">
        <v>528</v>
      </c>
      <c r="D739" s="7" t="s">
        <v>529</v>
      </c>
      <c r="G739" s="4" t="s">
        <v>530</v>
      </c>
      <c r="H739" s="6">
        <v>130.77629052099999</v>
      </c>
      <c r="I739" s="6">
        <v>-12.742624469000001</v>
      </c>
      <c r="J739" s="4" t="s">
        <v>531</v>
      </c>
      <c r="K739" s="4" t="s">
        <v>481</v>
      </c>
      <c r="L739" s="4" t="s">
        <v>532</v>
      </c>
      <c r="M739" s="4" t="s">
        <v>533</v>
      </c>
      <c r="O739" s="7"/>
      <c r="Q739" s="8"/>
      <c r="R739" s="8"/>
      <c r="V739" s="4"/>
      <c r="W739" s="4"/>
      <c r="X739" s="4"/>
      <c r="Z739" s="4" t="s">
        <v>397</v>
      </c>
      <c r="AA739" s="7" t="s">
        <v>528</v>
      </c>
      <c r="AB739" s="7" t="s">
        <v>529</v>
      </c>
      <c r="AC739" s="4" t="s">
        <v>301</v>
      </c>
      <c r="AD739" s="4" t="s">
        <v>375</v>
      </c>
      <c r="AE739" s="8">
        <v>1717</v>
      </c>
      <c r="AF739" s="8"/>
      <c r="AG739" s="9" t="s">
        <v>379</v>
      </c>
      <c r="AH739" s="9" t="s">
        <v>380</v>
      </c>
      <c r="AJ739" s="4"/>
      <c r="AK739" s="4"/>
      <c r="AL739" s="4"/>
      <c r="AM739" s="8">
        <v>3</v>
      </c>
      <c r="AS739" s="7"/>
      <c r="AT739" s="7"/>
      <c r="BP739" s="7">
        <v>1.05</v>
      </c>
      <c r="BW739" s="6">
        <v>1.1599999999999999</v>
      </c>
      <c r="DZ739" s="31"/>
      <c r="EM739" s="10">
        <f>0.4646*BP739*BW739/100</f>
        <v>5.6588280000000003E-3</v>
      </c>
      <c r="EY739" s="6"/>
      <c r="FA739" s="6"/>
      <c r="FD739" s="10"/>
      <c r="FE739" s="10"/>
      <c r="FN739" s="9"/>
      <c r="FP739" s="10"/>
      <c r="FS739" s="9"/>
      <c r="GA739" s="10"/>
      <c r="GB739" s="10"/>
      <c r="GC739" s="10"/>
      <c r="GD739" s="10"/>
      <c r="GE739" s="10"/>
      <c r="GF739" s="10"/>
      <c r="GG739" s="10"/>
      <c r="GH739" s="10"/>
      <c r="GI739" s="10"/>
      <c r="GJ739" s="10"/>
      <c r="GK739" s="10"/>
      <c r="GL739" s="10"/>
      <c r="GM739" s="10"/>
      <c r="GN739" s="10"/>
      <c r="GO739" s="10"/>
      <c r="GP739" s="32"/>
      <c r="GQ739" s="10"/>
      <c r="GY739" s="6" t="s">
        <v>338</v>
      </c>
      <c r="GZ739" s="6" t="s">
        <v>534</v>
      </c>
      <c r="HC739" s="6" t="s">
        <v>535</v>
      </c>
      <c r="HD739" s="8" t="s">
        <v>536</v>
      </c>
      <c r="HE739" s="8">
        <v>3134</v>
      </c>
      <c r="HF739" s="8" t="s">
        <v>537</v>
      </c>
      <c r="HG739" s="9" t="s">
        <v>538</v>
      </c>
      <c r="HY739" s="9"/>
      <c r="IB739" s="8" t="s">
        <v>539</v>
      </c>
      <c r="ID739" s="8" t="s">
        <v>528</v>
      </c>
      <c r="IE739" s="8" t="s">
        <v>538</v>
      </c>
      <c r="IF739" s="8" t="s">
        <v>319</v>
      </c>
      <c r="IG739" s="8" t="s">
        <v>540</v>
      </c>
      <c r="IH739" s="8">
        <v>24544</v>
      </c>
      <c r="II739" s="8" t="s">
        <v>541</v>
      </c>
      <c r="IJ739" s="8" t="s">
        <v>538</v>
      </c>
      <c r="IK739" s="8" t="s">
        <v>445</v>
      </c>
      <c r="IW739" s="8"/>
      <c r="JB739" s="8"/>
      <c r="KG739" s="4" t="s">
        <v>323</v>
      </c>
      <c r="KM739" s="4" t="s">
        <v>471</v>
      </c>
      <c r="KN739" s="4" t="s">
        <v>542</v>
      </c>
      <c r="KP739" s="5" t="s">
        <v>543</v>
      </c>
      <c r="KQ739" s="5" t="s">
        <v>544</v>
      </c>
      <c r="KR739" s="5" t="s">
        <v>545</v>
      </c>
      <c r="KS739" s="5" t="s">
        <v>546</v>
      </c>
      <c r="KT739" s="14" t="s">
        <v>547</v>
      </c>
    </row>
    <row r="740" spans="1:306" ht="96" x14ac:dyDescent="0.25">
      <c r="A740" s="5" t="s">
        <v>665</v>
      </c>
      <c r="B740" s="4" t="s">
        <v>397</v>
      </c>
      <c r="C740" s="7" t="s">
        <v>528</v>
      </c>
      <c r="D740" s="8" t="s">
        <v>529</v>
      </c>
      <c r="G740" s="4" t="s">
        <v>330</v>
      </c>
      <c r="H740" s="6">
        <v>117.192212643</v>
      </c>
      <c r="I740" s="6">
        <v>-20.822361244</v>
      </c>
      <c r="K740" s="4" t="s">
        <v>331</v>
      </c>
      <c r="L740" s="4" t="s">
        <v>368</v>
      </c>
      <c r="M740" s="4" t="s">
        <v>666</v>
      </c>
      <c r="Q740" s="8"/>
      <c r="Z740" s="4" t="s">
        <v>397</v>
      </c>
      <c r="AA740" s="7" t="s">
        <v>528</v>
      </c>
      <c r="AB740" s="8" t="s">
        <v>529</v>
      </c>
      <c r="AC740" s="4" t="s">
        <v>301</v>
      </c>
      <c r="AD740" s="4" t="s">
        <v>302</v>
      </c>
      <c r="AE740" s="8">
        <v>2840</v>
      </c>
      <c r="AG740" s="9" t="s">
        <v>379</v>
      </c>
      <c r="AH740" s="9" t="s">
        <v>380</v>
      </c>
      <c r="AM740" s="8">
        <v>3</v>
      </c>
      <c r="DZ740" s="31"/>
      <c r="GP740" s="32"/>
      <c r="GY740" s="6" t="s">
        <v>407</v>
      </c>
      <c r="HD740" s="8" t="s">
        <v>667</v>
      </c>
      <c r="HE740" s="8">
        <v>31682</v>
      </c>
      <c r="HF740" s="8" t="s">
        <v>668</v>
      </c>
      <c r="HG740" s="9" t="s">
        <v>389</v>
      </c>
      <c r="HH740" s="9" t="s">
        <v>669</v>
      </c>
      <c r="HJ740" s="9" t="s">
        <v>670</v>
      </c>
      <c r="HK740" s="9" t="s">
        <v>389</v>
      </c>
      <c r="IB740" s="8" t="s">
        <v>667</v>
      </c>
      <c r="IC740" s="8">
        <v>31682</v>
      </c>
      <c r="ID740" s="8" t="s">
        <v>668</v>
      </c>
      <c r="IE740" s="9" t="s">
        <v>389</v>
      </c>
      <c r="IF740" s="8" t="s">
        <v>445</v>
      </c>
      <c r="IG740" s="9" t="s">
        <v>669</v>
      </c>
      <c r="II740" s="9" t="s">
        <v>670</v>
      </c>
      <c r="IJ740" s="9" t="s">
        <v>389</v>
      </c>
      <c r="IK740" s="8" t="s">
        <v>319</v>
      </c>
      <c r="KP740" s="5" t="s">
        <v>671</v>
      </c>
      <c r="KQ740" s="5" t="s">
        <v>672</v>
      </c>
      <c r="KS740" s="5" t="s">
        <v>671</v>
      </c>
      <c r="KT740" s="5" t="s">
        <v>673</v>
      </c>
    </row>
    <row r="741" spans="1:306" ht="72" x14ac:dyDescent="0.25">
      <c r="A741" s="5" t="s">
        <v>788</v>
      </c>
      <c r="B741" s="4" t="s">
        <v>397</v>
      </c>
      <c r="C741" s="7" t="s">
        <v>528</v>
      </c>
      <c r="D741" s="8" t="s">
        <v>529</v>
      </c>
      <c r="E741" s="38">
        <v>815896</v>
      </c>
      <c r="G741" s="4" t="s">
        <v>330</v>
      </c>
      <c r="H741" s="6">
        <v>119.848808507</v>
      </c>
      <c r="I741" s="40">
        <v>-21.188099999999999</v>
      </c>
      <c r="K741" s="4" t="s">
        <v>331</v>
      </c>
      <c r="L741" s="4" t="s">
        <v>368</v>
      </c>
      <c r="M741" s="4" t="s">
        <v>369</v>
      </c>
      <c r="Q741" s="8"/>
      <c r="Z741" s="4" t="s">
        <v>397</v>
      </c>
      <c r="AA741" s="7" t="s">
        <v>528</v>
      </c>
      <c r="AB741" s="8" t="s">
        <v>529</v>
      </c>
      <c r="AC741" s="4" t="s">
        <v>301</v>
      </c>
      <c r="AD741" s="4" t="s">
        <v>375</v>
      </c>
      <c r="AE741" s="8">
        <v>2845</v>
      </c>
      <c r="AG741" s="9" t="s">
        <v>379</v>
      </c>
      <c r="AH741" s="9" t="s">
        <v>380</v>
      </c>
      <c r="AM741" s="8">
        <v>3</v>
      </c>
      <c r="BP741" s="7">
        <v>18</v>
      </c>
      <c r="BW741" s="6">
        <v>1</v>
      </c>
      <c r="DD741" s="8">
        <f>51/1.2211</f>
        <v>41.765621161248049</v>
      </c>
      <c r="DZ741" s="31"/>
      <c r="EM741" s="10">
        <f t="shared" ref="EM741:EM747" si="26">0.4646*BP741*BW741/100</f>
        <v>8.3627999999999994E-2</v>
      </c>
      <c r="FD741" s="10"/>
      <c r="FP741" s="10"/>
      <c r="FS741" s="6">
        <f>BP741*DD741/1000</f>
        <v>0.75178118090246493</v>
      </c>
      <c r="GP741" s="32"/>
      <c r="GY741" s="6" t="s">
        <v>338</v>
      </c>
      <c r="GZ741" s="6" t="s">
        <v>534</v>
      </c>
      <c r="HB741" s="6" t="s">
        <v>789</v>
      </c>
      <c r="HC741" s="6" t="s">
        <v>790</v>
      </c>
      <c r="HD741" s="8" t="s">
        <v>791</v>
      </c>
      <c r="HE741" s="8">
        <v>19508</v>
      </c>
      <c r="HF741" s="8" t="s">
        <v>702</v>
      </c>
      <c r="HG741" s="9" t="s">
        <v>792</v>
      </c>
      <c r="HH741" s="9" t="s">
        <v>793</v>
      </c>
      <c r="HI741" s="8">
        <v>68766</v>
      </c>
      <c r="HJ741" s="9" t="s">
        <v>794</v>
      </c>
      <c r="HK741" s="9" t="s">
        <v>792</v>
      </c>
      <c r="HL741" s="9" t="s">
        <v>795</v>
      </c>
      <c r="HN741" s="9" t="s">
        <v>796</v>
      </c>
      <c r="HO741" s="9" t="s">
        <v>389</v>
      </c>
      <c r="IB741" s="8" t="s">
        <v>791</v>
      </c>
      <c r="IC741" s="8">
        <v>19508</v>
      </c>
      <c r="ID741" s="8" t="s">
        <v>702</v>
      </c>
      <c r="IE741" s="9" t="s">
        <v>792</v>
      </c>
      <c r="IF741" s="8" t="s">
        <v>445</v>
      </c>
      <c r="IG741" s="9" t="s">
        <v>793</v>
      </c>
      <c r="IH741" s="8">
        <v>68766</v>
      </c>
      <c r="II741" s="9" t="s">
        <v>794</v>
      </c>
      <c r="IJ741" s="9" t="s">
        <v>792</v>
      </c>
      <c r="IK741" s="8" t="s">
        <v>445</v>
      </c>
      <c r="IL741" s="9" t="s">
        <v>795</v>
      </c>
      <c r="IN741" s="9" t="s">
        <v>796</v>
      </c>
      <c r="IO741" s="9" t="s">
        <v>389</v>
      </c>
      <c r="IP741" s="9" t="s">
        <v>319</v>
      </c>
      <c r="KP741" s="5" t="s">
        <v>797</v>
      </c>
      <c r="KQ741" s="5" t="s">
        <v>797</v>
      </c>
      <c r="KS741" s="5" t="s">
        <v>797</v>
      </c>
      <c r="KT741" s="5" t="s">
        <v>798</v>
      </c>
    </row>
    <row r="742" spans="1:306" ht="60" x14ac:dyDescent="0.25">
      <c r="A742" s="5" t="s">
        <v>1060</v>
      </c>
      <c r="B742" s="4" t="s">
        <v>397</v>
      </c>
      <c r="C742" s="7" t="s">
        <v>528</v>
      </c>
      <c r="D742" s="8" t="s">
        <v>529</v>
      </c>
      <c r="E742" s="4">
        <v>334007</v>
      </c>
      <c r="G742" s="4" t="s">
        <v>330</v>
      </c>
      <c r="H742" s="6">
        <v>122.179242125</v>
      </c>
      <c r="I742" s="6">
        <v>-31.522813655</v>
      </c>
      <c r="J742" s="4" t="s">
        <v>1060</v>
      </c>
      <c r="K742" s="4" t="s">
        <v>331</v>
      </c>
      <c r="L742" s="4" t="s">
        <v>500</v>
      </c>
      <c r="M742" s="4" t="s">
        <v>501</v>
      </c>
      <c r="N742" s="4" t="s">
        <v>1061</v>
      </c>
      <c r="Q742" s="8"/>
      <c r="R742" s="8"/>
      <c r="Z742" s="4" t="s">
        <v>397</v>
      </c>
      <c r="AA742" s="7" t="s">
        <v>528</v>
      </c>
      <c r="AB742" s="8" t="s">
        <v>529</v>
      </c>
      <c r="AC742" s="4" t="s">
        <v>301</v>
      </c>
      <c r="AD742" s="4" t="s">
        <v>302</v>
      </c>
      <c r="AE742" s="8">
        <v>2630</v>
      </c>
      <c r="AF742" s="8">
        <v>8</v>
      </c>
      <c r="AG742" s="9" t="s">
        <v>303</v>
      </c>
      <c r="AH742" s="9" t="s">
        <v>304</v>
      </c>
      <c r="AI742" s="9" t="s">
        <v>1062</v>
      </c>
      <c r="AJ742" s="9" t="s">
        <v>306</v>
      </c>
      <c r="AK742" s="9" t="s">
        <v>307</v>
      </c>
      <c r="AL742" s="9" t="s">
        <v>308</v>
      </c>
      <c r="AM742" s="8">
        <v>5</v>
      </c>
      <c r="AS742" s="8"/>
      <c r="AT742" s="8"/>
      <c r="BG742" s="8"/>
      <c r="BH742" s="8"/>
      <c r="BP742" s="7">
        <f>26.5+4.4</f>
        <v>30.9</v>
      </c>
      <c r="BW742" s="6">
        <f>(26.5*0.96+4.4*0.16)/(26.5+4.4)</f>
        <v>0.84608414239482199</v>
      </c>
      <c r="DD742" s="8">
        <f>(26.5*149+4.4*336)/(26.5+4.4)/1.2211</f>
        <v>143.82755852527259</v>
      </c>
      <c r="DZ742" s="31"/>
      <c r="EM742" s="6">
        <f t="shared" si="26"/>
        <v>0.12146502399999999</v>
      </c>
      <c r="FS742" s="6">
        <f>BP742*DD742/1000</f>
        <v>4.4442715584309225</v>
      </c>
      <c r="GP742" s="32"/>
      <c r="GY742" s="6" t="s">
        <v>338</v>
      </c>
      <c r="GZ742" s="6" t="s">
        <v>534</v>
      </c>
      <c r="HB742" s="6" t="s">
        <v>789</v>
      </c>
      <c r="HC742" s="6" t="s">
        <v>790</v>
      </c>
      <c r="HF742" s="8" t="s">
        <v>1063</v>
      </c>
      <c r="HG742" s="9" t="s">
        <v>507</v>
      </c>
      <c r="ID742" s="8" t="s">
        <v>528</v>
      </c>
      <c r="IE742" s="9" t="s">
        <v>507</v>
      </c>
      <c r="IF742" s="8" t="s">
        <v>319</v>
      </c>
      <c r="KG742" s="4" t="s">
        <v>323</v>
      </c>
      <c r="KP742" s="5" t="s">
        <v>1064</v>
      </c>
      <c r="KQ742" s="5" t="s">
        <v>1065</v>
      </c>
      <c r="KR742" s="5" t="s">
        <v>1066</v>
      </c>
      <c r="KS742" s="5" t="s">
        <v>1064</v>
      </c>
      <c r="KT742" s="5" t="s">
        <v>1067</v>
      </c>
    </row>
    <row r="743" spans="1:306" ht="96" x14ac:dyDescent="0.25">
      <c r="A743" s="5" t="s">
        <v>1415</v>
      </c>
      <c r="B743" s="4" t="s">
        <v>397</v>
      </c>
      <c r="C743" s="7" t="s">
        <v>528</v>
      </c>
      <c r="D743" s="7" t="s">
        <v>529</v>
      </c>
      <c r="E743" s="38">
        <v>917624</v>
      </c>
      <c r="G743" s="4" t="s">
        <v>530</v>
      </c>
      <c r="H743" s="40">
        <v>130.777522</v>
      </c>
      <c r="I743" s="40">
        <v>-12.666672999999999</v>
      </c>
      <c r="J743" s="4" t="s">
        <v>1416</v>
      </c>
      <c r="K743" s="4" t="s">
        <v>481</v>
      </c>
      <c r="L743" s="4" t="s">
        <v>532</v>
      </c>
      <c r="M743" s="4" t="s">
        <v>533</v>
      </c>
      <c r="O743" s="7"/>
      <c r="Q743" s="8"/>
      <c r="R743" s="8"/>
      <c r="S743" s="4"/>
      <c r="Z743" s="4" t="s">
        <v>397</v>
      </c>
      <c r="AA743" s="7" t="s">
        <v>528</v>
      </c>
      <c r="AB743" s="7" t="s">
        <v>529</v>
      </c>
      <c r="AC743" s="4" t="s">
        <v>301</v>
      </c>
      <c r="AD743" s="4" t="s">
        <v>375</v>
      </c>
      <c r="AE743" s="8">
        <v>1733</v>
      </c>
      <c r="AF743" s="8">
        <v>13</v>
      </c>
      <c r="AG743" s="4" t="s">
        <v>379</v>
      </c>
      <c r="AH743" s="9" t="s">
        <v>380</v>
      </c>
      <c r="AM743" s="8">
        <v>3</v>
      </c>
      <c r="AS743" s="7"/>
      <c r="AT743" s="7"/>
      <c r="BP743" s="7">
        <v>1.92</v>
      </c>
      <c r="BW743" s="6">
        <v>1.03</v>
      </c>
      <c r="CP743" s="7"/>
      <c r="DK743" s="7"/>
      <c r="DL743" s="7"/>
      <c r="DM743" s="7"/>
      <c r="DN743" s="7"/>
      <c r="DO743" s="7"/>
      <c r="DP743" s="7"/>
      <c r="DQ743" s="7"/>
      <c r="DR743" s="7"/>
      <c r="DS743" s="7"/>
      <c r="DT743" s="7"/>
      <c r="DU743" s="7"/>
      <c r="DV743" s="7"/>
      <c r="DW743" s="7"/>
      <c r="DX743" s="7"/>
      <c r="DY743" s="7"/>
      <c r="DZ743" s="31"/>
      <c r="EA743" s="7"/>
      <c r="EM743" s="10">
        <f t="shared" si="26"/>
        <v>9.1879296000000003E-3</v>
      </c>
      <c r="EY743" s="6"/>
      <c r="FA743" s="6"/>
      <c r="FD743" s="10"/>
      <c r="FE743" s="10"/>
      <c r="FN743" s="16"/>
      <c r="FP743" s="10"/>
      <c r="FS743" s="16"/>
      <c r="GA743" s="10"/>
      <c r="GB743" s="10"/>
      <c r="GC743" s="10"/>
      <c r="GD743" s="10"/>
      <c r="GE743" s="10"/>
      <c r="GF743" s="10"/>
      <c r="GG743" s="10"/>
      <c r="GH743" s="10"/>
      <c r="GI743" s="10"/>
      <c r="GJ743" s="10"/>
      <c r="GK743" s="10"/>
      <c r="GL743" s="10"/>
      <c r="GM743" s="10"/>
      <c r="GN743" s="10"/>
      <c r="GO743" s="10"/>
      <c r="GP743" s="32"/>
      <c r="GQ743" s="10"/>
      <c r="GY743" s="6" t="s">
        <v>338</v>
      </c>
      <c r="GZ743" s="6" t="s">
        <v>534</v>
      </c>
      <c r="HC743" s="6" t="s">
        <v>535</v>
      </c>
      <c r="HD743" s="8" t="s">
        <v>536</v>
      </c>
      <c r="HE743" s="8">
        <v>3134</v>
      </c>
      <c r="HF743" s="8" t="s">
        <v>537</v>
      </c>
      <c r="HG743" s="9" t="s">
        <v>538</v>
      </c>
      <c r="HY743" s="9"/>
      <c r="IB743" s="8" t="s">
        <v>1417</v>
      </c>
      <c r="ID743" s="8" t="s">
        <v>528</v>
      </c>
      <c r="IE743" s="8" t="s">
        <v>538</v>
      </c>
      <c r="IF743" s="8" t="s">
        <v>319</v>
      </c>
      <c r="IG743" s="8" t="s">
        <v>540</v>
      </c>
      <c r="IH743" s="8">
        <v>24544</v>
      </c>
      <c r="II743" s="8" t="s">
        <v>541</v>
      </c>
      <c r="IJ743" s="8" t="s">
        <v>538</v>
      </c>
      <c r="IK743" s="8" t="s">
        <v>445</v>
      </c>
      <c r="IW743" s="8"/>
      <c r="JB743" s="8"/>
      <c r="KG743" s="4" t="s">
        <v>323</v>
      </c>
      <c r="KM743" s="4" t="s">
        <v>471</v>
      </c>
      <c r="KN743" s="4" t="s">
        <v>542</v>
      </c>
      <c r="KP743" s="5" t="s">
        <v>543</v>
      </c>
      <c r="KQ743" s="5" t="s">
        <v>1418</v>
      </c>
      <c r="KR743" s="5" t="s">
        <v>545</v>
      </c>
      <c r="KS743" s="5" t="s">
        <v>1419</v>
      </c>
      <c r="KT743" s="14" t="s">
        <v>1420</v>
      </c>
    </row>
    <row r="744" spans="1:306" ht="96" x14ac:dyDescent="0.25">
      <c r="A744" s="5" t="s">
        <v>1612</v>
      </c>
      <c r="B744" s="4" t="s">
        <v>397</v>
      </c>
      <c r="C744" s="7" t="s">
        <v>528</v>
      </c>
      <c r="D744" s="7" t="s">
        <v>529</v>
      </c>
      <c r="E744" s="38">
        <v>648327</v>
      </c>
      <c r="G744" s="4" t="s">
        <v>530</v>
      </c>
      <c r="H744" s="6">
        <v>130.79437100300001</v>
      </c>
      <c r="I744" s="6">
        <v>-12.694842904</v>
      </c>
      <c r="J744" s="4" t="s">
        <v>531</v>
      </c>
      <c r="K744" s="4" t="s">
        <v>481</v>
      </c>
      <c r="L744" s="4" t="s">
        <v>532</v>
      </c>
      <c r="M744" s="4" t="s">
        <v>533</v>
      </c>
      <c r="O744" s="7"/>
      <c r="Q744" s="8"/>
      <c r="R744" s="8"/>
      <c r="V744" s="4"/>
      <c r="W744" s="4"/>
      <c r="X744" s="4"/>
      <c r="Z744" s="4" t="s">
        <v>397</v>
      </c>
      <c r="AA744" s="7" t="s">
        <v>528</v>
      </c>
      <c r="AB744" s="7" t="s">
        <v>529</v>
      </c>
      <c r="AC744" s="4" t="s">
        <v>301</v>
      </c>
      <c r="AD744" s="4" t="s">
        <v>375</v>
      </c>
      <c r="AE744" s="8">
        <v>1717</v>
      </c>
      <c r="AF744" s="8"/>
      <c r="AG744" s="9" t="s">
        <v>379</v>
      </c>
      <c r="AH744" s="9" t="s">
        <v>380</v>
      </c>
      <c r="AJ744" s="4"/>
      <c r="AK744" s="4"/>
      <c r="AL744" s="4"/>
      <c r="AM744" s="8">
        <v>3</v>
      </c>
      <c r="AS744" s="7"/>
      <c r="AT744" s="7"/>
      <c r="BP744" s="7">
        <f>1.23+1.5</f>
        <v>2.73</v>
      </c>
      <c r="BW744" s="6">
        <f>(1.23*1.19+1.5*1.05)/(1.23+1.5)</f>
        <v>1.1130769230769233</v>
      </c>
      <c r="DZ744" s="31"/>
      <c r="EM744" s="10">
        <f t="shared" si="26"/>
        <v>1.4117800200000004E-2</v>
      </c>
      <c r="EY744" s="6"/>
      <c r="FA744" s="6"/>
      <c r="FD744" s="10"/>
      <c r="FE744" s="10"/>
      <c r="FN744" s="9"/>
      <c r="FP744" s="10"/>
      <c r="FS744" s="9"/>
      <c r="GA744" s="10"/>
      <c r="GB744" s="10"/>
      <c r="GC744" s="10"/>
      <c r="GD744" s="10"/>
      <c r="GE744" s="10"/>
      <c r="GF744" s="10"/>
      <c r="GG744" s="10"/>
      <c r="GH744" s="10"/>
      <c r="GI744" s="10"/>
      <c r="GJ744" s="10"/>
      <c r="GK744" s="10"/>
      <c r="GL744" s="10"/>
      <c r="GM744" s="10"/>
      <c r="GN744" s="10"/>
      <c r="GO744" s="10"/>
      <c r="GP744" s="32"/>
      <c r="GQ744" s="10"/>
      <c r="GY744" s="6" t="s">
        <v>338</v>
      </c>
      <c r="GZ744" s="6" t="s">
        <v>534</v>
      </c>
      <c r="HC744" s="6" t="s">
        <v>535</v>
      </c>
      <c r="HD744" s="8" t="s">
        <v>536</v>
      </c>
      <c r="HE744" s="8">
        <v>3134</v>
      </c>
      <c r="HF744" s="8" t="s">
        <v>537</v>
      </c>
      <c r="HG744" s="9" t="s">
        <v>538</v>
      </c>
      <c r="HY744" s="9"/>
      <c r="IB744" s="8" t="s">
        <v>539</v>
      </c>
      <c r="ID744" s="8" t="s">
        <v>528</v>
      </c>
      <c r="IE744" s="8" t="s">
        <v>538</v>
      </c>
      <c r="IF744" s="8" t="s">
        <v>319</v>
      </c>
      <c r="IG744" s="8" t="s">
        <v>540</v>
      </c>
      <c r="IH744" s="8">
        <v>24544</v>
      </c>
      <c r="II744" s="8" t="s">
        <v>541</v>
      </c>
      <c r="IJ744" s="8" t="s">
        <v>538</v>
      </c>
      <c r="IK744" s="8" t="s">
        <v>445</v>
      </c>
      <c r="IW744" s="8"/>
      <c r="JB744" s="8"/>
      <c r="KG744" s="4" t="s">
        <v>323</v>
      </c>
      <c r="KM744" s="4" t="s">
        <v>471</v>
      </c>
      <c r="KN744" s="4" t="s">
        <v>542</v>
      </c>
      <c r="KP744" s="5" t="s">
        <v>543</v>
      </c>
      <c r="KQ744" s="5" t="s">
        <v>544</v>
      </c>
      <c r="KR744" s="5" t="s">
        <v>545</v>
      </c>
      <c r="KS744" s="5" t="s">
        <v>546</v>
      </c>
      <c r="KT744" s="14" t="s">
        <v>547</v>
      </c>
    </row>
    <row r="745" spans="1:306" ht="96" x14ac:dyDescent="0.25">
      <c r="A745" s="5" t="s">
        <v>1629</v>
      </c>
      <c r="B745" s="4" t="s">
        <v>397</v>
      </c>
      <c r="C745" s="7" t="s">
        <v>528</v>
      </c>
      <c r="D745" s="7" t="s">
        <v>529</v>
      </c>
      <c r="E745" s="38">
        <v>636774</v>
      </c>
      <c r="G745" s="4" t="s">
        <v>530</v>
      </c>
      <c r="H745" s="6">
        <v>130.78948027800001</v>
      </c>
      <c r="I745" s="6">
        <v>-12.712953738</v>
      </c>
      <c r="J745" s="4" t="s">
        <v>531</v>
      </c>
      <c r="K745" s="4" t="s">
        <v>481</v>
      </c>
      <c r="L745" s="4" t="s">
        <v>532</v>
      </c>
      <c r="M745" s="4" t="s">
        <v>533</v>
      </c>
      <c r="O745" s="7"/>
      <c r="Q745" s="8"/>
      <c r="R745" s="8"/>
      <c r="V745" s="4"/>
      <c r="W745" s="4"/>
      <c r="X745" s="4"/>
      <c r="Z745" s="4" t="s">
        <v>397</v>
      </c>
      <c r="AA745" s="7" t="s">
        <v>528</v>
      </c>
      <c r="AB745" s="7" t="s">
        <v>529</v>
      </c>
      <c r="AC745" s="4" t="s">
        <v>301</v>
      </c>
      <c r="AD745" s="4" t="s">
        <v>375</v>
      </c>
      <c r="AE745" s="8">
        <v>1717</v>
      </c>
      <c r="AF745" s="8"/>
      <c r="AG745" s="9" t="s">
        <v>379</v>
      </c>
      <c r="AH745" s="9" t="s">
        <v>380</v>
      </c>
      <c r="AJ745" s="4"/>
      <c r="AK745" s="4"/>
      <c r="AL745" s="4"/>
      <c r="AM745" s="8">
        <v>3</v>
      </c>
      <c r="AS745" s="7"/>
      <c r="AT745" s="7"/>
      <c r="BP745" s="7">
        <v>10.1</v>
      </c>
      <c r="BW745" s="6">
        <v>1.48</v>
      </c>
      <c r="DZ745" s="31"/>
      <c r="EM745" s="10">
        <f t="shared" si="26"/>
        <v>6.9448408000000003E-2</v>
      </c>
      <c r="EY745" s="6"/>
      <c r="FA745" s="6"/>
      <c r="FD745" s="10"/>
      <c r="FE745" s="10"/>
      <c r="FN745" s="9"/>
      <c r="FP745" s="10"/>
      <c r="FS745" s="9"/>
      <c r="GA745" s="10"/>
      <c r="GB745" s="10"/>
      <c r="GC745" s="10"/>
      <c r="GD745" s="10"/>
      <c r="GE745" s="10"/>
      <c r="GF745" s="10"/>
      <c r="GG745" s="10"/>
      <c r="GH745" s="10"/>
      <c r="GI745" s="10"/>
      <c r="GJ745" s="10"/>
      <c r="GK745" s="10"/>
      <c r="GL745" s="10"/>
      <c r="GM745" s="10"/>
      <c r="GN745" s="10"/>
      <c r="GO745" s="10"/>
      <c r="GP745" s="32"/>
      <c r="GQ745" s="10"/>
      <c r="GY745" s="6" t="s">
        <v>338</v>
      </c>
      <c r="GZ745" s="6" t="s">
        <v>534</v>
      </c>
      <c r="HC745" s="6" t="s">
        <v>535</v>
      </c>
      <c r="HD745" s="8" t="s">
        <v>536</v>
      </c>
      <c r="HE745" s="8">
        <v>3134</v>
      </c>
      <c r="HF745" s="8" t="s">
        <v>537</v>
      </c>
      <c r="HG745" s="9" t="s">
        <v>538</v>
      </c>
      <c r="HY745" s="9"/>
      <c r="IB745" s="8" t="s">
        <v>539</v>
      </c>
      <c r="ID745" s="8" t="s">
        <v>528</v>
      </c>
      <c r="IE745" s="8" t="s">
        <v>538</v>
      </c>
      <c r="IF745" s="8" t="s">
        <v>319</v>
      </c>
      <c r="IG745" s="8" t="s">
        <v>540</v>
      </c>
      <c r="IH745" s="8">
        <v>24544</v>
      </c>
      <c r="II745" s="8" t="s">
        <v>541</v>
      </c>
      <c r="IJ745" s="8" t="s">
        <v>538</v>
      </c>
      <c r="IK745" s="8" t="s">
        <v>445</v>
      </c>
      <c r="IW745" s="8"/>
      <c r="JB745" s="8"/>
      <c r="KG745" s="4" t="s">
        <v>323</v>
      </c>
      <c r="KM745" s="4" t="s">
        <v>471</v>
      </c>
      <c r="KN745" s="4" t="s">
        <v>542</v>
      </c>
      <c r="KP745" s="5" t="s">
        <v>543</v>
      </c>
      <c r="KQ745" s="5" t="s">
        <v>544</v>
      </c>
      <c r="KR745" s="5" t="s">
        <v>545</v>
      </c>
      <c r="KS745" s="5" t="s">
        <v>546</v>
      </c>
      <c r="KT745" s="14" t="s">
        <v>547</v>
      </c>
    </row>
    <row r="746" spans="1:306" ht="36" x14ac:dyDescent="0.25">
      <c r="A746" s="5" t="s">
        <v>1787</v>
      </c>
      <c r="B746" s="4" t="s">
        <v>397</v>
      </c>
      <c r="C746" s="7" t="s">
        <v>528</v>
      </c>
      <c r="D746" s="8" t="s">
        <v>529</v>
      </c>
      <c r="E746" s="38">
        <v>648314</v>
      </c>
      <c r="G746" s="4" t="s">
        <v>330</v>
      </c>
      <c r="H746" s="6">
        <v>122.09412056799999</v>
      </c>
      <c r="I746" s="6">
        <v>-32.071771705000003</v>
      </c>
      <c r="K746" s="4" t="s">
        <v>331</v>
      </c>
      <c r="L746" s="4" t="s">
        <v>500</v>
      </c>
      <c r="M746" s="4" t="s">
        <v>501</v>
      </c>
      <c r="N746" s="4" t="s">
        <v>1061</v>
      </c>
      <c r="Q746" s="8"/>
      <c r="Z746" s="4" t="s">
        <v>397</v>
      </c>
      <c r="AA746" s="7" t="s">
        <v>528</v>
      </c>
      <c r="AB746" s="8" t="s">
        <v>529</v>
      </c>
      <c r="AE746" s="8">
        <v>2625</v>
      </c>
      <c r="AG746" s="9" t="s">
        <v>379</v>
      </c>
      <c r="AH746" s="9" t="s">
        <v>380</v>
      </c>
      <c r="AM746" s="8">
        <v>3</v>
      </c>
      <c r="BP746" s="7">
        <v>14.9</v>
      </c>
      <c r="BW746" s="6">
        <v>0.97</v>
      </c>
      <c r="DD746" s="8">
        <f>44/1.2211</f>
        <v>36.033084923429691</v>
      </c>
      <c r="DZ746" s="31"/>
      <c r="EM746" s="10">
        <f t="shared" si="26"/>
        <v>6.714863800000001E-2</v>
      </c>
      <c r="FD746" s="10"/>
      <c r="FP746" s="10"/>
      <c r="FS746" s="6">
        <f>BP746*DD746/1000</f>
        <v>0.53689296535910236</v>
      </c>
      <c r="GP746" s="32"/>
      <c r="GY746" s="6" t="s">
        <v>338</v>
      </c>
      <c r="GZ746" s="6" t="s">
        <v>534</v>
      </c>
      <c r="HB746" s="6" t="s">
        <v>789</v>
      </c>
      <c r="HC746" s="6" t="s">
        <v>790</v>
      </c>
      <c r="HD746" s="8" t="s">
        <v>1788</v>
      </c>
      <c r="HF746" s="8" t="s">
        <v>1789</v>
      </c>
      <c r="HG746" s="9" t="s">
        <v>507</v>
      </c>
      <c r="HH746" s="9" t="s">
        <v>1790</v>
      </c>
      <c r="HJ746" s="9" t="s">
        <v>796</v>
      </c>
      <c r="HK746" s="9" t="s">
        <v>507</v>
      </c>
      <c r="IB746" s="8" t="s">
        <v>1788</v>
      </c>
      <c r="ID746" s="8" t="s">
        <v>1789</v>
      </c>
      <c r="IE746" s="9" t="s">
        <v>507</v>
      </c>
      <c r="IF746" s="4" t="s">
        <v>445</v>
      </c>
      <c r="IG746" s="9" t="s">
        <v>1790</v>
      </c>
      <c r="II746" s="9" t="s">
        <v>796</v>
      </c>
      <c r="IJ746" s="9" t="s">
        <v>507</v>
      </c>
      <c r="IK746" s="4" t="s">
        <v>319</v>
      </c>
      <c r="IL746" s="4"/>
      <c r="KP746" s="5" t="s">
        <v>1791</v>
      </c>
      <c r="KQ746" s="5" t="s">
        <v>1792</v>
      </c>
      <c r="KS746" s="5" t="s">
        <v>1791</v>
      </c>
      <c r="KT746" s="5" t="s">
        <v>1793</v>
      </c>
    </row>
    <row r="747" spans="1:306" ht="96" x14ac:dyDescent="0.25">
      <c r="A747" s="5" t="s">
        <v>2014</v>
      </c>
      <c r="B747" s="4" t="s">
        <v>397</v>
      </c>
      <c r="C747" s="7" t="s">
        <v>528</v>
      </c>
      <c r="D747" s="7" t="s">
        <v>529</v>
      </c>
      <c r="E747" s="38">
        <v>636776</v>
      </c>
      <c r="G747" s="4" t="s">
        <v>530</v>
      </c>
      <c r="H747" s="6">
        <v>130.785872926</v>
      </c>
      <c r="I747" s="6">
        <v>-12.676274521</v>
      </c>
      <c r="J747" s="4" t="s">
        <v>531</v>
      </c>
      <c r="K747" s="4" t="s">
        <v>481</v>
      </c>
      <c r="L747" s="4" t="s">
        <v>532</v>
      </c>
      <c r="M747" s="4" t="s">
        <v>533</v>
      </c>
      <c r="O747" s="7"/>
      <c r="Q747" s="8"/>
      <c r="R747" s="8"/>
      <c r="V747" s="4"/>
      <c r="W747" s="4"/>
      <c r="X747" s="4"/>
      <c r="Z747" s="4" t="s">
        <v>397</v>
      </c>
      <c r="AA747" s="7" t="s">
        <v>528</v>
      </c>
      <c r="AB747" s="7" t="s">
        <v>529</v>
      </c>
      <c r="AC747" s="4" t="s">
        <v>301</v>
      </c>
      <c r="AD747" s="4" t="s">
        <v>375</v>
      </c>
      <c r="AE747" s="8">
        <v>1717</v>
      </c>
      <c r="AF747" s="8"/>
      <c r="AG747" s="9" t="s">
        <v>379</v>
      </c>
      <c r="AH747" s="9" t="s">
        <v>380</v>
      </c>
      <c r="AJ747" s="4"/>
      <c r="AK747" s="4"/>
      <c r="AL747" s="4"/>
      <c r="AM747" s="8">
        <v>3</v>
      </c>
      <c r="AS747" s="7"/>
      <c r="AT747" s="7"/>
      <c r="BP747" s="7">
        <v>6.18</v>
      </c>
      <c r="BW747" s="6">
        <v>1.38</v>
      </c>
      <c r="DZ747" s="31"/>
      <c r="EM747" s="10">
        <f t="shared" si="26"/>
        <v>3.9622946399999998E-2</v>
      </c>
      <c r="EY747" s="6"/>
      <c r="FA747" s="6"/>
      <c r="FD747" s="10"/>
      <c r="FE747" s="10"/>
      <c r="FN747" s="9"/>
      <c r="FP747" s="10"/>
      <c r="FS747" s="9"/>
      <c r="GA747" s="10"/>
      <c r="GB747" s="10"/>
      <c r="GC747" s="10"/>
      <c r="GD747" s="10"/>
      <c r="GE747" s="10"/>
      <c r="GF747" s="10"/>
      <c r="GG747" s="10"/>
      <c r="GH747" s="10"/>
      <c r="GI747" s="10"/>
      <c r="GJ747" s="10"/>
      <c r="GK747" s="10"/>
      <c r="GL747" s="10"/>
      <c r="GM747" s="10"/>
      <c r="GN747" s="10"/>
      <c r="GO747" s="10"/>
      <c r="GP747" s="32"/>
      <c r="GQ747" s="10"/>
      <c r="GY747" s="6" t="s">
        <v>338</v>
      </c>
      <c r="GZ747" s="6" t="s">
        <v>534</v>
      </c>
      <c r="HC747" s="6" t="s">
        <v>535</v>
      </c>
      <c r="HD747" s="8" t="s">
        <v>536</v>
      </c>
      <c r="HE747" s="8">
        <v>3134</v>
      </c>
      <c r="HF747" s="8" t="s">
        <v>537</v>
      </c>
      <c r="HG747" s="9" t="s">
        <v>538</v>
      </c>
      <c r="HY747" s="9"/>
      <c r="IB747" s="8" t="s">
        <v>539</v>
      </c>
      <c r="ID747" s="8" t="s">
        <v>528</v>
      </c>
      <c r="IE747" s="8" t="s">
        <v>538</v>
      </c>
      <c r="IF747" s="8" t="s">
        <v>319</v>
      </c>
      <c r="IG747" s="8" t="s">
        <v>540</v>
      </c>
      <c r="IH747" s="8">
        <v>24544</v>
      </c>
      <c r="II747" s="8" t="s">
        <v>541</v>
      </c>
      <c r="IJ747" s="8" t="s">
        <v>538</v>
      </c>
      <c r="IK747" s="8" t="s">
        <v>445</v>
      </c>
      <c r="IW747" s="8"/>
      <c r="JB747" s="8"/>
      <c r="KG747" s="4" t="s">
        <v>323</v>
      </c>
      <c r="KM747" s="4" t="s">
        <v>471</v>
      </c>
      <c r="KN747" s="4" t="s">
        <v>542</v>
      </c>
      <c r="KP747" s="5" t="s">
        <v>543</v>
      </c>
      <c r="KQ747" s="5" t="s">
        <v>544</v>
      </c>
      <c r="KR747" s="5" t="s">
        <v>545</v>
      </c>
      <c r="KS747" s="5" t="s">
        <v>546</v>
      </c>
      <c r="KT747" s="14" t="s">
        <v>547</v>
      </c>
    </row>
    <row r="748" spans="1:306" ht="88.5" x14ac:dyDescent="0.25">
      <c r="A748" s="5" t="s">
        <v>2605</v>
      </c>
      <c r="B748" s="4" t="s">
        <v>397</v>
      </c>
      <c r="C748" s="7" t="s">
        <v>528</v>
      </c>
      <c r="D748" s="8" t="s">
        <v>529</v>
      </c>
      <c r="E748" s="4">
        <v>701538</v>
      </c>
      <c r="G748" s="4" t="s">
        <v>330</v>
      </c>
      <c r="H748" s="6">
        <f>117+13/60+3/3600</f>
        <v>117.2175</v>
      </c>
      <c r="I748" s="6">
        <f>-(27+42/60+38/3600)</f>
        <v>-27.710555555555555</v>
      </c>
      <c r="J748" s="4" t="s">
        <v>2605</v>
      </c>
      <c r="K748" s="4" t="s">
        <v>331</v>
      </c>
      <c r="L748" s="4" t="s">
        <v>500</v>
      </c>
      <c r="M748" s="4" t="s">
        <v>676</v>
      </c>
      <c r="N748" s="4" t="s">
        <v>677</v>
      </c>
      <c r="Q748" s="8"/>
      <c r="R748" s="8"/>
      <c r="Z748" s="4" t="s">
        <v>397</v>
      </c>
      <c r="AA748" s="7" t="s">
        <v>528</v>
      </c>
      <c r="AB748" s="8" t="s">
        <v>529</v>
      </c>
      <c r="AC748" s="4" t="s">
        <v>301</v>
      </c>
      <c r="AD748" s="4" t="s">
        <v>302</v>
      </c>
      <c r="AE748" s="8">
        <v>2641</v>
      </c>
      <c r="AF748" s="8">
        <v>5</v>
      </c>
      <c r="AG748" s="9" t="s">
        <v>379</v>
      </c>
      <c r="AH748" s="9" t="s">
        <v>483</v>
      </c>
      <c r="AI748" s="9" t="s">
        <v>373</v>
      </c>
      <c r="AJ748" s="9" t="s">
        <v>306</v>
      </c>
      <c r="AK748" s="9" t="s">
        <v>307</v>
      </c>
      <c r="AL748" s="9" t="s">
        <v>337</v>
      </c>
      <c r="AM748" s="8">
        <v>4</v>
      </c>
      <c r="AS748" s="8"/>
      <c r="AT748" s="8"/>
      <c r="BG748" s="8"/>
      <c r="BH748" s="8"/>
      <c r="BP748" s="7">
        <f>0.019+0.05755+0.036+0.13</f>
        <v>0.24254999999999999</v>
      </c>
      <c r="BQ748" s="9"/>
      <c r="DD748" s="8">
        <f>10000*(0.05*0.019+0.024*0.05755+0.031*0.036+0.13*0.014)/(0.019+0.05755+0.036+0.13)/1.2211</f>
        <v>177.83911930875442</v>
      </c>
      <c r="DZ748" s="31"/>
      <c r="FS748" s="9">
        <f>BP748*DD748/1000</f>
        <v>4.3134878388338377E-2</v>
      </c>
      <c r="GP748" s="32"/>
      <c r="GY748" s="6" t="s">
        <v>309</v>
      </c>
      <c r="GZ748" s="6" t="s">
        <v>789</v>
      </c>
      <c r="HC748" s="6" t="s">
        <v>790</v>
      </c>
      <c r="HF748" s="8" t="s">
        <v>2606</v>
      </c>
      <c r="HG748" s="9" t="s">
        <v>507</v>
      </c>
      <c r="HJ748" s="9" t="s">
        <v>2607</v>
      </c>
      <c r="HK748" s="9" t="s">
        <v>507</v>
      </c>
      <c r="ID748" s="8" t="s">
        <v>2608</v>
      </c>
      <c r="IE748" s="8" t="s">
        <v>507</v>
      </c>
      <c r="IF748" s="8" t="s">
        <v>445</v>
      </c>
      <c r="II748" s="8" t="s">
        <v>528</v>
      </c>
      <c r="IJ748" s="8" t="s">
        <v>507</v>
      </c>
      <c r="IK748" s="8" t="s">
        <v>319</v>
      </c>
      <c r="KG748" s="4" t="s">
        <v>323</v>
      </c>
      <c r="KP748" s="5" t="s">
        <v>2609</v>
      </c>
      <c r="KQ748" s="5" t="s">
        <v>2610</v>
      </c>
      <c r="KR748" s="5" t="s">
        <v>2611</v>
      </c>
      <c r="KS748" s="5" t="s">
        <v>2609</v>
      </c>
      <c r="KT748" s="14" t="s">
        <v>2612</v>
      </c>
    </row>
    <row r="749" spans="1:306" ht="24" x14ac:dyDescent="0.2">
      <c r="A749" s="5" t="s">
        <v>2630</v>
      </c>
      <c r="B749" s="4" t="s">
        <v>397</v>
      </c>
      <c r="C749" s="7" t="s">
        <v>528</v>
      </c>
      <c r="D749" s="8" t="s">
        <v>529</v>
      </c>
      <c r="E749" s="44">
        <v>859591</v>
      </c>
      <c r="F749" s="4">
        <v>1089442</v>
      </c>
      <c r="G749" s="4" t="s">
        <v>330</v>
      </c>
      <c r="H749" s="6">
        <v>122.1511</v>
      </c>
      <c r="I749" s="6">
        <v>-31.513210000000001</v>
      </c>
      <c r="J749" s="4" t="s">
        <v>1060</v>
      </c>
      <c r="K749" s="4" t="s">
        <v>331</v>
      </c>
      <c r="L749" s="4" t="s">
        <v>500</v>
      </c>
      <c r="M749" s="4" t="s">
        <v>501</v>
      </c>
      <c r="N749" s="4" t="s">
        <v>1061</v>
      </c>
      <c r="Q749" s="8"/>
      <c r="R749" s="8"/>
      <c r="Z749" s="4" t="s">
        <v>397</v>
      </c>
      <c r="AA749" s="7" t="s">
        <v>528</v>
      </c>
      <c r="AB749" s="8" t="s">
        <v>529</v>
      </c>
      <c r="AC749" s="4" t="s">
        <v>301</v>
      </c>
      <c r="AD749" s="4" t="s">
        <v>302</v>
      </c>
      <c r="AE749" s="8">
        <v>2620</v>
      </c>
      <c r="AF749" s="8">
        <v>15</v>
      </c>
      <c r="AG749" s="9" t="s">
        <v>303</v>
      </c>
      <c r="AH749" s="9" t="s">
        <v>304</v>
      </c>
      <c r="AI749" s="9" t="s">
        <v>2631</v>
      </c>
      <c r="AJ749" s="9" t="s">
        <v>306</v>
      </c>
      <c r="AK749" s="9" t="s">
        <v>307</v>
      </c>
      <c r="AL749" s="9" t="s">
        <v>308</v>
      </c>
      <c r="AM749" s="8">
        <v>5</v>
      </c>
      <c r="AS749" s="8"/>
      <c r="AT749" s="8"/>
      <c r="BG749" s="8"/>
      <c r="BH749" s="8"/>
      <c r="DZ749" s="31"/>
      <c r="GP749" s="32"/>
      <c r="GY749" s="6" t="s">
        <v>407</v>
      </c>
      <c r="HF749" s="8" t="s">
        <v>2632</v>
      </c>
      <c r="HG749" s="9" t="s">
        <v>507</v>
      </c>
      <c r="ID749" s="8" t="s">
        <v>528</v>
      </c>
      <c r="IE749" s="9" t="s">
        <v>507</v>
      </c>
      <c r="IF749" s="8" t="s">
        <v>319</v>
      </c>
      <c r="KG749" s="4" t="s">
        <v>323</v>
      </c>
      <c r="KP749" s="18" t="s">
        <v>2633</v>
      </c>
      <c r="KQ749" s="5" t="s">
        <v>1066</v>
      </c>
      <c r="KR749" s="5" t="s">
        <v>1066</v>
      </c>
      <c r="KT749" s="5" t="s">
        <v>2634</v>
      </c>
    </row>
    <row r="750" spans="1:306" ht="108" x14ac:dyDescent="0.2">
      <c r="A750" s="5" t="s">
        <v>2901</v>
      </c>
      <c r="B750" s="4" t="s">
        <v>397</v>
      </c>
      <c r="C750" s="7" t="s">
        <v>528</v>
      </c>
      <c r="D750" s="8" t="s">
        <v>529</v>
      </c>
      <c r="E750" s="44">
        <v>603039</v>
      </c>
      <c r="G750" s="4" t="s">
        <v>330</v>
      </c>
      <c r="H750" s="6">
        <f>119+46/60+6/3600</f>
        <v>119.76833333333333</v>
      </c>
      <c r="I750" s="6">
        <f>-(32+6/60+7/3600)</f>
        <v>-32.101944444444449</v>
      </c>
      <c r="K750" s="4" t="s">
        <v>331</v>
      </c>
      <c r="L750" s="4" t="s">
        <v>500</v>
      </c>
      <c r="M750" s="4" t="s">
        <v>676</v>
      </c>
      <c r="N750" s="4" t="s">
        <v>1811</v>
      </c>
      <c r="Q750" s="8"/>
      <c r="Z750" s="4" t="s">
        <v>397</v>
      </c>
      <c r="AA750" s="7" t="s">
        <v>528</v>
      </c>
      <c r="AB750" s="8" t="s">
        <v>529</v>
      </c>
      <c r="AE750" s="8">
        <v>2640</v>
      </c>
      <c r="AG750" s="9" t="s">
        <v>379</v>
      </c>
      <c r="AH750" s="9" t="s">
        <v>380</v>
      </c>
      <c r="AM750" s="8">
        <v>3</v>
      </c>
      <c r="BP750" s="7">
        <v>186</v>
      </c>
      <c r="BW750" s="6">
        <v>1.48</v>
      </c>
      <c r="DD750" s="8">
        <f>47/1.2211</f>
        <v>38.48988616820899</v>
      </c>
      <c r="DZ750" s="31"/>
      <c r="EM750" s="10">
        <f>0.4646*BP750*BW750/100</f>
        <v>1.27895088</v>
      </c>
      <c r="FD750" s="10"/>
      <c r="FP750" s="10"/>
      <c r="FS750" s="7">
        <f>BP750*DD750/1000</f>
        <v>7.1591188272868722</v>
      </c>
      <c r="GP750" s="32"/>
      <c r="GY750" s="6" t="s">
        <v>338</v>
      </c>
      <c r="GZ750" s="6" t="s">
        <v>534</v>
      </c>
      <c r="HB750" s="6" t="s">
        <v>789</v>
      </c>
      <c r="HC750" s="6" t="s">
        <v>790</v>
      </c>
      <c r="HD750" s="8" t="s">
        <v>2902</v>
      </c>
      <c r="HF750" s="8" t="s">
        <v>2903</v>
      </c>
      <c r="HG750" s="9" t="s">
        <v>507</v>
      </c>
      <c r="HH750" s="9" t="s">
        <v>2904</v>
      </c>
      <c r="HJ750" s="9" t="s">
        <v>2905</v>
      </c>
      <c r="HK750" s="9" t="s">
        <v>507</v>
      </c>
      <c r="IB750" s="8" t="s">
        <v>2902</v>
      </c>
      <c r="ID750" s="8" t="s">
        <v>2903</v>
      </c>
      <c r="IE750" s="9" t="s">
        <v>507</v>
      </c>
      <c r="IF750" s="8" t="s">
        <v>445</v>
      </c>
      <c r="IG750" s="9" t="s">
        <v>2904</v>
      </c>
      <c r="II750" s="9" t="s">
        <v>2905</v>
      </c>
      <c r="IJ750" s="9" t="s">
        <v>507</v>
      </c>
      <c r="IK750" s="8" t="s">
        <v>319</v>
      </c>
      <c r="IL750" s="9" t="s">
        <v>2906</v>
      </c>
      <c r="IN750" s="9" t="s">
        <v>658</v>
      </c>
      <c r="IO750" s="9" t="s">
        <v>1303</v>
      </c>
      <c r="IP750" s="9" t="s">
        <v>350</v>
      </c>
      <c r="JV750" s="7" t="s">
        <v>2907</v>
      </c>
      <c r="KM750" s="4" t="s">
        <v>702</v>
      </c>
      <c r="KN750" s="4" t="s">
        <v>702</v>
      </c>
      <c r="KO750" s="4" t="s">
        <v>445</v>
      </c>
      <c r="KP750" s="5" t="s">
        <v>2908</v>
      </c>
      <c r="KQ750" s="5" t="s">
        <v>2909</v>
      </c>
      <c r="KS750" s="5" t="s">
        <v>2908</v>
      </c>
      <c r="KT750" s="5" t="s">
        <v>2910</v>
      </c>
    </row>
    <row r="751" spans="1:306" ht="96" x14ac:dyDescent="0.2">
      <c r="A751" s="5" t="s">
        <v>3631</v>
      </c>
      <c r="B751" s="4" t="s">
        <v>397</v>
      </c>
      <c r="C751" s="7" t="s">
        <v>528</v>
      </c>
      <c r="D751" s="7" t="s">
        <v>529</v>
      </c>
      <c r="E751" s="44">
        <v>628396</v>
      </c>
      <c r="G751" s="4" t="s">
        <v>530</v>
      </c>
      <c r="H751" s="6">
        <v>130.78467520300001</v>
      </c>
      <c r="I751" s="6">
        <v>-12.664230632000001</v>
      </c>
      <c r="J751" s="4" t="s">
        <v>531</v>
      </c>
      <c r="K751" s="4" t="s">
        <v>481</v>
      </c>
      <c r="L751" s="4" t="s">
        <v>532</v>
      </c>
      <c r="M751" s="4" t="s">
        <v>533</v>
      </c>
      <c r="O751" s="7"/>
      <c r="Q751" s="8"/>
      <c r="R751" s="8"/>
      <c r="V751" s="4"/>
      <c r="W751" s="4"/>
      <c r="X751" s="4"/>
      <c r="Z751" s="4" t="s">
        <v>397</v>
      </c>
      <c r="AA751" s="7" t="s">
        <v>528</v>
      </c>
      <c r="AB751" s="7" t="s">
        <v>529</v>
      </c>
      <c r="AC751" s="4" t="s">
        <v>301</v>
      </c>
      <c r="AD751" s="4" t="s">
        <v>375</v>
      </c>
      <c r="AE751" s="8">
        <v>1717</v>
      </c>
      <c r="AF751" s="8"/>
      <c r="AG751" s="9" t="s">
        <v>379</v>
      </c>
      <c r="AH751" s="9" t="s">
        <v>380</v>
      </c>
      <c r="AJ751" s="4"/>
      <c r="AK751" s="4"/>
      <c r="AL751" s="4"/>
      <c r="AM751" s="8">
        <v>3</v>
      </c>
      <c r="AS751" s="7"/>
      <c r="AT751" s="7"/>
      <c r="BP751" s="7">
        <v>2.95</v>
      </c>
      <c r="BW751" s="6">
        <v>1.47</v>
      </c>
      <c r="DZ751" s="31"/>
      <c r="EM751" s="10">
        <f>0.4646*BP751*BW751/100</f>
        <v>2.0147379E-2</v>
      </c>
      <c r="EY751" s="6"/>
      <c r="FA751" s="6"/>
      <c r="FD751" s="10"/>
      <c r="FE751" s="10"/>
      <c r="FN751" s="9"/>
      <c r="FP751" s="10"/>
      <c r="FS751" s="9"/>
      <c r="GA751" s="10"/>
      <c r="GB751" s="10"/>
      <c r="GC751" s="10"/>
      <c r="GD751" s="10"/>
      <c r="GE751" s="10"/>
      <c r="GF751" s="10"/>
      <c r="GG751" s="10"/>
      <c r="GH751" s="10"/>
      <c r="GI751" s="10"/>
      <c r="GJ751" s="10"/>
      <c r="GK751" s="10"/>
      <c r="GL751" s="10"/>
      <c r="GM751" s="10"/>
      <c r="GN751" s="10"/>
      <c r="GO751" s="10"/>
      <c r="GP751" s="32"/>
      <c r="GQ751" s="10"/>
      <c r="GY751" s="6" t="s">
        <v>338</v>
      </c>
      <c r="GZ751" s="6" t="s">
        <v>386</v>
      </c>
      <c r="HD751" s="8" t="s">
        <v>536</v>
      </c>
      <c r="HE751" s="8">
        <v>3134</v>
      </c>
      <c r="HF751" s="8" t="s">
        <v>537</v>
      </c>
      <c r="HG751" s="9" t="s">
        <v>538</v>
      </c>
      <c r="HY751" s="9"/>
      <c r="IB751" s="8" t="s">
        <v>539</v>
      </c>
      <c r="ID751" s="8" t="s">
        <v>528</v>
      </c>
      <c r="IE751" s="8" t="s">
        <v>538</v>
      </c>
      <c r="IF751" s="8" t="s">
        <v>319</v>
      </c>
      <c r="IG751" s="8" t="s">
        <v>540</v>
      </c>
      <c r="IH751" s="8">
        <v>24544</v>
      </c>
      <c r="II751" s="8" t="s">
        <v>541</v>
      </c>
      <c r="IJ751" s="8" t="s">
        <v>538</v>
      </c>
      <c r="IK751" s="8" t="s">
        <v>445</v>
      </c>
      <c r="IW751" s="8"/>
      <c r="JB751" s="8"/>
      <c r="KG751" s="4" t="s">
        <v>323</v>
      </c>
      <c r="KM751" s="4" t="s">
        <v>471</v>
      </c>
      <c r="KN751" s="4" t="s">
        <v>542</v>
      </c>
      <c r="KP751" s="5" t="s">
        <v>543</v>
      </c>
      <c r="KQ751" s="5" t="s">
        <v>544</v>
      </c>
      <c r="KR751" s="5" t="s">
        <v>545</v>
      </c>
      <c r="KS751" s="5" t="s">
        <v>3632</v>
      </c>
      <c r="KT751" s="14" t="s">
        <v>3633</v>
      </c>
    </row>
    <row r="752" spans="1:306" ht="36" x14ac:dyDescent="0.25">
      <c r="A752" s="5" t="s">
        <v>3708</v>
      </c>
      <c r="B752" s="4" t="s">
        <v>397</v>
      </c>
      <c r="C752" s="7" t="s">
        <v>528</v>
      </c>
      <c r="D752" s="8" t="s">
        <v>529</v>
      </c>
      <c r="E752" s="4">
        <v>333503</v>
      </c>
      <c r="G752" s="4" t="s">
        <v>330</v>
      </c>
      <c r="H752" s="6">
        <v>116.06</v>
      </c>
      <c r="I752" s="6">
        <v>-33.86</v>
      </c>
      <c r="J752" s="4" t="s">
        <v>3708</v>
      </c>
      <c r="K752" s="4" t="s">
        <v>331</v>
      </c>
      <c r="L752" s="4" t="s">
        <v>500</v>
      </c>
      <c r="M752" s="4" t="s">
        <v>1430</v>
      </c>
      <c r="Q752" s="7"/>
      <c r="R752" s="7"/>
      <c r="S752" s="4"/>
      <c r="Z752" s="4" t="s">
        <v>397</v>
      </c>
      <c r="AA752" s="7" t="s">
        <v>528</v>
      </c>
      <c r="AB752" s="8" t="s">
        <v>529</v>
      </c>
      <c r="AC752" s="4" t="s">
        <v>301</v>
      </c>
      <c r="AD752" s="4" t="s">
        <v>302</v>
      </c>
      <c r="AE752" s="7">
        <v>2527</v>
      </c>
      <c r="AF752" s="7">
        <v>2</v>
      </c>
      <c r="AG752" s="4" t="s">
        <v>303</v>
      </c>
      <c r="AH752" s="9" t="s">
        <v>335</v>
      </c>
      <c r="AI752" s="9" t="s">
        <v>373</v>
      </c>
      <c r="AJ752" s="9" t="s">
        <v>306</v>
      </c>
      <c r="AK752" s="9" t="s">
        <v>307</v>
      </c>
      <c r="AL752" s="9" t="s">
        <v>337</v>
      </c>
      <c r="AM752" s="8">
        <v>5</v>
      </c>
      <c r="AQ752" s="4"/>
      <c r="AR752" s="4"/>
      <c r="AS752" s="4"/>
      <c r="AT752" s="4"/>
      <c r="AU752" s="4"/>
      <c r="AV752" s="4"/>
      <c r="AW752" s="4"/>
      <c r="AX752" s="4"/>
      <c r="AY752" s="4"/>
      <c r="AZ752" s="4"/>
      <c r="BA752" s="4"/>
      <c r="BG752" s="7"/>
      <c r="BH752" s="7"/>
      <c r="BI752" s="4"/>
      <c r="BP752" s="7">
        <v>157.06</v>
      </c>
      <c r="BW752" s="6">
        <v>2.25</v>
      </c>
      <c r="CS752" s="8"/>
      <c r="CY752" s="10">
        <v>1.9900000000000001E-2</v>
      </c>
      <c r="DD752" s="8">
        <v>127</v>
      </c>
      <c r="DZ752" s="31"/>
      <c r="EM752" s="6">
        <f>0.4646*360.2*1.5/100</f>
        <v>2.5102338</v>
      </c>
      <c r="FA752" s="6"/>
      <c r="FN752" s="6">
        <f>1000*BP752*CY752/100</f>
        <v>31.254940000000001</v>
      </c>
      <c r="FS752" s="6">
        <f>223.7*220/1000/1.2211</f>
        <v>40.303005486856108</v>
      </c>
      <c r="GP752" s="32"/>
      <c r="GY752" s="6" t="s">
        <v>435</v>
      </c>
      <c r="GZ752" s="6" t="s">
        <v>534</v>
      </c>
      <c r="HB752" s="6" t="s">
        <v>3709</v>
      </c>
      <c r="HD752" s="8" t="s">
        <v>3710</v>
      </c>
      <c r="HE752" s="8">
        <v>29756</v>
      </c>
      <c r="HF752" s="8" t="s">
        <v>3711</v>
      </c>
      <c r="HG752" s="9" t="s">
        <v>510</v>
      </c>
      <c r="HH752" s="8" t="s">
        <v>3710</v>
      </c>
      <c r="HI752" s="8">
        <v>29756</v>
      </c>
      <c r="HJ752" s="9" t="s">
        <v>3712</v>
      </c>
      <c r="HK752" s="9" t="s">
        <v>510</v>
      </c>
      <c r="HL752" s="8" t="s">
        <v>3710</v>
      </c>
      <c r="HM752" s="8">
        <v>29756</v>
      </c>
      <c r="HN752" s="9" t="s">
        <v>3713</v>
      </c>
      <c r="HO752" s="9" t="s">
        <v>510</v>
      </c>
      <c r="IB752" s="8" t="s">
        <v>3710</v>
      </c>
      <c r="IC752" s="8">
        <v>29756</v>
      </c>
      <c r="ID752" s="8" t="s">
        <v>3711</v>
      </c>
      <c r="IE752" s="9" t="s">
        <v>510</v>
      </c>
      <c r="IF752" s="8" t="s">
        <v>445</v>
      </c>
      <c r="IG752" s="8" t="s">
        <v>3710</v>
      </c>
      <c r="IH752" s="8">
        <v>29756</v>
      </c>
      <c r="II752" s="9" t="s">
        <v>3712</v>
      </c>
      <c r="IJ752" s="9" t="s">
        <v>510</v>
      </c>
      <c r="IK752" s="8" t="s">
        <v>445</v>
      </c>
      <c r="IL752" s="8" t="s">
        <v>3710</v>
      </c>
      <c r="IM752" s="8">
        <v>29756</v>
      </c>
      <c r="IN752" s="9" t="s">
        <v>3713</v>
      </c>
      <c r="IO752" s="9" t="s">
        <v>510</v>
      </c>
      <c r="IP752" s="9" t="s">
        <v>445</v>
      </c>
      <c r="IQ752" s="9" t="s">
        <v>3714</v>
      </c>
      <c r="IR752" s="8">
        <v>29944</v>
      </c>
      <c r="IS752" s="9" t="s">
        <v>528</v>
      </c>
      <c r="IT752" s="9" t="s">
        <v>507</v>
      </c>
      <c r="IU752" s="9" t="s">
        <v>319</v>
      </c>
      <c r="IX752" s="9" t="s">
        <v>2697</v>
      </c>
      <c r="IZ752" s="9" t="s">
        <v>350</v>
      </c>
      <c r="KG752" s="4" t="s">
        <v>323</v>
      </c>
      <c r="KP752" s="5" t="s">
        <v>3715</v>
      </c>
      <c r="KQ752" s="5" t="s">
        <v>3716</v>
      </c>
      <c r="KR752" s="5" t="s">
        <v>3717</v>
      </c>
      <c r="KS752" s="5" t="s">
        <v>3718</v>
      </c>
      <c r="KT752" s="5" t="s">
        <v>3719</v>
      </c>
    </row>
    <row r="753" spans="1:306" ht="114" x14ac:dyDescent="0.2">
      <c r="A753" s="5" t="s">
        <v>3845</v>
      </c>
      <c r="B753" s="4" t="s">
        <v>397</v>
      </c>
      <c r="C753" s="7" t="s">
        <v>528</v>
      </c>
      <c r="D753" s="7" t="s">
        <v>529</v>
      </c>
      <c r="E753" s="44">
        <v>636777</v>
      </c>
      <c r="G753" s="4" t="s">
        <v>530</v>
      </c>
      <c r="H753" s="6">
        <v>130.78918541100001</v>
      </c>
      <c r="I753" s="6">
        <v>-12.670774103999999</v>
      </c>
      <c r="J753" s="4" t="s">
        <v>531</v>
      </c>
      <c r="K753" s="4" t="s">
        <v>481</v>
      </c>
      <c r="L753" s="4" t="s">
        <v>532</v>
      </c>
      <c r="M753" s="4" t="s">
        <v>533</v>
      </c>
      <c r="O753" s="7"/>
      <c r="Q753" s="8"/>
      <c r="R753" s="8"/>
      <c r="V753" s="4"/>
      <c r="W753" s="4"/>
      <c r="X753" s="4"/>
      <c r="Z753" s="4" t="s">
        <v>397</v>
      </c>
      <c r="AA753" s="7" t="s">
        <v>528</v>
      </c>
      <c r="AB753" s="7" t="s">
        <v>529</v>
      </c>
      <c r="AC753" s="4" t="s">
        <v>301</v>
      </c>
      <c r="AD753" s="4" t="s">
        <v>375</v>
      </c>
      <c r="AE753" s="8">
        <v>1717</v>
      </c>
      <c r="AF753" s="8">
        <v>25</v>
      </c>
      <c r="AG753" s="9" t="s">
        <v>303</v>
      </c>
      <c r="AH753" s="9" t="s">
        <v>304</v>
      </c>
      <c r="AI753" s="9" t="s">
        <v>305</v>
      </c>
      <c r="AJ753" s="4" t="s">
        <v>306</v>
      </c>
      <c r="AK753" s="4" t="s">
        <v>307</v>
      </c>
      <c r="AL753" s="4" t="s">
        <v>337</v>
      </c>
      <c r="AM753" s="8">
        <v>5</v>
      </c>
      <c r="AN753" s="4" t="s">
        <v>381</v>
      </c>
      <c r="AO753" s="4" t="s">
        <v>382</v>
      </c>
      <c r="AP753" s="4" t="s">
        <v>383</v>
      </c>
      <c r="AQ753" s="7" t="s">
        <v>403</v>
      </c>
      <c r="AR753" s="8" t="s">
        <v>3846</v>
      </c>
      <c r="AS753" s="7">
        <v>0</v>
      </c>
      <c r="AT753" s="7">
        <v>0</v>
      </c>
      <c r="AU753" s="9" t="s">
        <v>303</v>
      </c>
      <c r="AV753" s="9" t="s">
        <v>406</v>
      </c>
      <c r="BA753" s="8">
        <v>5</v>
      </c>
      <c r="BP753" s="7">
        <v>3.46</v>
      </c>
      <c r="BW753" s="6">
        <v>1.1599999999999999</v>
      </c>
      <c r="DZ753" s="31"/>
      <c r="EM753" s="10">
        <f>0.4646*BP753*BW753/100</f>
        <v>1.8647185599999998E-2</v>
      </c>
      <c r="EY753" s="6"/>
      <c r="FA753" s="6"/>
      <c r="FD753" s="10"/>
      <c r="FE753" s="10"/>
      <c r="FN753" s="9">
        <v>7.9974235759999998E-2</v>
      </c>
      <c r="FP753" s="10"/>
      <c r="FS753" s="9">
        <v>3.701906068E-2</v>
      </c>
      <c r="GA753" s="10"/>
      <c r="GB753" s="10"/>
      <c r="GC753" s="10"/>
      <c r="GD753" s="10"/>
      <c r="GE753" s="10"/>
      <c r="GF753" s="10"/>
      <c r="GG753" s="10"/>
      <c r="GH753" s="10"/>
      <c r="GI753" s="10"/>
      <c r="GJ753" s="10"/>
      <c r="GK753" s="10"/>
      <c r="GL753" s="10"/>
      <c r="GM753" s="10"/>
      <c r="GN753" s="10"/>
      <c r="GO753" s="10"/>
      <c r="GP753" s="32"/>
      <c r="GQ753" s="10"/>
      <c r="GY753" s="6" t="s">
        <v>435</v>
      </c>
      <c r="GZ753" s="6" t="s">
        <v>534</v>
      </c>
      <c r="HB753" s="6" t="s">
        <v>3709</v>
      </c>
      <c r="HC753" s="6" t="s">
        <v>3847</v>
      </c>
      <c r="HD753" s="8" t="s">
        <v>536</v>
      </c>
      <c r="HE753" s="8">
        <v>3134</v>
      </c>
      <c r="HF753" s="8" t="s">
        <v>537</v>
      </c>
      <c r="HG753" s="9" t="s">
        <v>538</v>
      </c>
      <c r="HY753" s="9"/>
      <c r="IB753" s="8" t="s">
        <v>539</v>
      </c>
      <c r="ID753" s="8" t="s">
        <v>528</v>
      </c>
      <c r="IE753" s="8" t="s">
        <v>538</v>
      </c>
      <c r="IF753" s="8" t="s">
        <v>319</v>
      </c>
      <c r="IG753" s="8" t="s">
        <v>540</v>
      </c>
      <c r="IH753" s="8">
        <v>24544</v>
      </c>
      <c r="II753" s="8" t="s">
        <v>541</v>
      </c>
      <c r="IJ753" s="8" t="s">
        <v>538</v>
      </c>
      <c r="IK753" s="8" t="s">
        <v>445</v>
      </c>
      <c r="IW753" s="8"/>
      <c r="JB753" s="8"/>
      <c r="KG753" s="4" t="s">
        <v>323</v>
      </c>
      <c r="KM753" s="4" t="s">
        <v>471</v>
      </c>
      <c r="KN753" s="4" t="s">
        <v>542</v>
      </c>
      <c r="KP753" s="5" t="s">
        <v>543</v>
      </c>
      <c r="KQ753" s="5" t="s">
        <v>544</v>
      </c>
      <c r="KR753" s="5" t="s">
        <v>545</v>
      </c>
      <c r="KS753" s="5" t="s">
        <v>3848</v>
      </c>
      <c r="KT753" s="14" t="s">
        <v>3849</v>
      </c>
    </row>
    <row r="754" spans="1:306" ht="72" x14ac:dyDescent="0.2">
      <c r="A754" s="5" t="s">
        <v>4539</v>
      </c>
      <c r="B754" s="4" t="s">
        <v>397</v>
      </c>
      <c r="C754" s="7" t="s">
        <v>528</v>
      </c>
      <c r="D754" s="8" t="s">
        <v>529</v>
      </c>
      <c r="E754" s="44">
        <v>638503</v>
      </c>
      <c r="G754" s="4" t="s">
        <v>330</v>
      </c>
      <c r="H754" s="6">
        <v>120.56</v>
      </c>
      <c r="I754" s="6">
        <v>-27.47</v>
      </c>
      <c r="K754" s="4" t="s">
        <v>331</v>
      </c>
      <c r="L754" s="4" t="s">
        <v>500</v>
      </c>
      <c r="M754" s="4" t="s">
        <v>501</v>
      </c>
      <c r="Q754" s="8"/>
      <c r="Z754" s="4" t="s">
        <v>397</v>
      </c>
      <c r="AA754" s="7" t="s">
        <v>528</v>
      </c>
      <c r="AB754" s="8" t="s">
        <v>529</v>
      </c>
      <c r="AE754" s="8">
        <v>2625</v>
      </c>
      <c r="AG754" s="9" t="s">
        <v>379</v>
      </c>
      <c r="AH754" s="9" t="s">
        <v>380</v>
      </c>
      <c r="AM754" s="8">
        <v>3</v>
      </c>
      <c r="BP754" s="7">
        <v>156</v>
      </c>
      <c r="BW754" s="7">
        <v>1.4</v>
      </c>
      <c r="CO754" s="7"/>
      <c r="DA754" s="7"/>
      <c r="DD754" s="8">
        <f>130/1.2211</f>
        <v>106.46138727376955</v>
      </c>
      <c r="DZ754" s="31"/>
      <c r="EM754" s="10">
        <f>0.4646*BP754*BW754/100</f>
        <v>1.0146864</v>
      </c>
      <c r="FD754" s="10"/>
      <c r="FP754" s="10"/>
      <c r="FS754" s="7">
        <f>BP754*DD754/1000</f>
        <v>16.607976414708048</v>
      </c>
      <c r="GP754" s="32"/>
      <c r="GY754" s="6" t="s">
        <v>338</v>
      </c>
      <c r="GZ754" s="6" t="s">
        <v>534</v>
      </c>
      <c r="HB754" s="6" t="s">
        <v>789</v>
      </c>
      <c r="HC754" s="6" t="s">
        <v>790</v>
      </c>
      <c r="HD754" s="8" t="s">
        <v>1788</v>
      </c>
      <c r="HF754" s="8" t="s">
        <v>4540</v>
      </c>
      <c r="HG754" s="9" t="s">
        <v>507</v>
      </c>
      <c r="HH754" s="8" t="s">
        <v>1788</v>
      </c>
      <c r="HJ754" s="9" t="s">
        <v>4541</v>
      </c>
      <c r="HK754" s="9" t="s">
        <v>507</v>
      </c>
      <c r="HL754" s="8" t="s">
        <v>4542</v>
      </c>
      <c r="HM754" s="8">
        <v>25093</v>
      </c>
      <c r="HN754" s="9" t="s">
        <v>4543</v>
      </c>
      <c r="HO754" s="9" t="s">
        <v>507</v>
      </c>
      <c r="HP754" s="9" t="s">
        <v>4544</v>
      </c>
      <c r="HR754" s="9" t="s">
        <v>4545</v>
      </c>
      <c r="HS754" s="9" t="s">
        <v>4546</v>
      </c>
      <c r="IB754" s="8" t="s">
        <v>1788</v>
      </c>
      <c r="ID754" s="8" t="s">
        <v>4540</v>
      </c>
      <c r="IE754" s="9" t="s">
        <v>507</v>
      </c>
      <c r="IF754" s="8" t="s">
        <v>445</v>
      </c>
      <c r="IG754" s="8" t="s">
        <v>1788</v>
      </c>
      <c r="II754" s="9" t="s">
        <v>4541</v>
      </c>
      <c r="IJ754" s="9" t="s">
        <v>507</v>
      </c>
      <c r="IK754" s="8" t="s">
        <v>445</v>
      </c>
      <c r="IL754" s="9" t="s">
        <v>4544</v>
      </c>
      <c r="IN754" s="9" t="s">
        <v>4545</v>
      </c>
      <c r="IO754" s="9" t="s">
        <v>4546</v>
      </c>
      <c r="IP754" s="9" t="s">
        <v>319</v>
      </c>
      <c r="KP754" s="5" t="s">
        <v>4547</v>
      </c>
      <c r="KQ754" s="5" t="s">
        <v>4548</v>
      </c>
      <c r="KS754" s="5" t="s">
        <v>4549</v>
      </c>
      <c r="KT754" s="5" t="s">
        <v>4550</v>
      </c>
    </row>
    <row r="755" spans="1:306" ht="144" x14ac:dyDescent="0.2">
      <c r="A755" s="11" t="s">
        <v>4626</v>
      </c>
      <c r="B755" s="4" t="s">
        <v>397</v>
      </c>
      <c r="C755" s="4" t="s">
        <v>528</v>
      </c>
      <c r="D755" s="4" t="s">
        <v>529</v>
      </c>
      <c r="E755" s="44">
        <v>922811</v>
      </c>
      <c r="F755" s="4" t="s">
        <v>2797</v>
      </c>
      <c r="G755" s="4" t="s">
        <v>330</v>
      </c>
      <c r="H755" s="4">
        <v>117.22</v>
      </c>
      <c r="I755" s="4">
        <v>-27.71</v>
      </c>
      <c r="J755" s="4" t="s">
        <v>676</v>
      </c>
      <c r="K755" s="4" t="s">
        <v>331</v>
      </c>
      <c r="L755" s="4" t="s">
        <v>500</v>
      </c>
      <c r="M755" s="4" t="s">
        <v>676</v>
      </c>
      <c r="O755" s="4"/>
      <c r="Q755" s="4"/>
      <c r="R755" s="4"/>
      <c r="S755" s="4"/>
      <c r="T755" s="4"/>
      <c r="U755" s="4"/>
      <c r="V755" s="4"/>
      <c r="W755" s="4"/>
      <c r="X755" s="4"/>
      <c r="Y755" s="4"/>
      <c r="Z755" s="4" t="s">
        <v>397</v>
      </c>
      <c r="AA755" s="4" t="s">
        <v>528</v>
      </c>
      <c r="AB755" s="4" t="s">
        <v>529</v>
      </c>
      <c r="AC755" s="4" t="s">
        <v>301</v>
      </c>
      <c r="AD755" s="4" t="s">
        <v>302</v>
      </c>
      <c r="AE755" s="4">
        <v>2641</v>
      </c>
      <c r="AF755" s="4" t="s">
        <v>2797</v>
      </c>
      <c r="AG755" s="4" t="s">
        <v>303</v>
      </c>
      <c r="AH755" s="4" t="s">
        <v>304</v>
      </c>
      <c r="AI755" s="4" t="s">
        <v>4627</v>
      </c>
      <c r="AJ755" s="4" t="s">
        <v>4264</v>
      </c>
      <c r="AK755" s="4" t="s">
        <v>4628</v>
      </c>
      <c r="AL755" s="4" t="s">
        <v>1727</v>
      </c>
      <c r="AM755" s="4">
        <v>4</v>
      </c>
      <c r="AO755" s="4" t="s">
        <v>2797</v>
      </c>
      <c r="AQ755" s="4"/>
      <c r="AR755" s="4"/>
      <c r="AS755" s="4" t="s">
        <v>2797</v>
      </c>
      <c r="AT755" s="4" t="s">
        <v>2797</v>
      </c>
      <c r="AU755" s="4" t="s">
        <v>2797</v>
      </c>
      <c r="AV755" s="4" t="s">
        <v>2797</v>
      </c>
      <c r="AW755" s="4"/>
      <c r="AX755" s="4"/>
      <c r="AY755" s="4"/>
      <c r="AZ755" s="4"/>
      <c r="BA755" s="4" t="s">
        <v>2797</v>
      </c>
      <c r="BE755" s="4"/>
      <c r="BF755" s="4"/>
      <c r="BG755" s="4"/>
      <c r="BH755" s="4"/>
      <c r="BI755" s="4"/>
      <c r="BJ755" s="4"/>
      <c r="BK755" s="4"/>
      <c r="BL755" s="4"/>
      <c r="BM755" s="4"/>
      <c r="BN755" s="4"/>
      <c r="BO755" s="4"/>
      <c r="BP755" s="7">
        <v>5</v>
      </c>
      <c r="BQ755" s="4"/>
      <c r="BR755" s="4"/>
      <c r="BS755" s="4"/>
      <c r="BT755" s="4"/>
      <c r="BU755" s="4"/>
      <c r="BV755" s="4"/>
      <c r="BW755" s="4">
        <v>0.05</v>
      </c>
      <c r="BX755" s="4"/>
      <c r="BY755" s="4"/>
      <c r="BZ755" s="4"/>
      <c r="CA755" s="4"/>
      <c r="CB755" s="4"/>
      <c r="CC755" s="4"/>
      <c r="CD755" s="4"/>
      <c r="CE755" s="4"/>
      <c r="CF755" s="4"/>
      <c r="CG755" s="4"/>
      <c r="CH755" s="4"/>
      <c r="CI755" s="4"/>
      <c r="CJ755" s="4"/>
      <c r="CK755" s="4"/>
      <c r="CL755" s="4"/>
      <c r="CM755" s="4"/>
      <c r="CN755" s="4"/>
      <c r="CO755" s="4">
        <v>0.14000000000000001</v>
      </c>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31"/>
      <c r="EA755" s="4"/>
      <c r="EB755" s="4"/>
      <c r="EC755" s="4"/>
      <c r="ED755" s="4"/>
      <c r="EE755" s="4"/>
      <c r="EF755" s="4"/>
      <c r="EG755" s="4"/>
      <c r="EH755" s="4"/>
      <c r="EI755" s="4"/>
      <c r="EJ755" s="4"/>
      <c r="EK755" s="4"/>
      <c r="EL755" s="4"/>
      <c r="EM755" s="4">
        <v>1.4E-3</v>
      </c>
      <c r="EN755" s="4"/>
      <c r="EO755" s="4"/>
      <c r="EP755" s="4"/>
      <c r="EQ755" s="4"/>
      <c r="ER755" s="4"/>
      <c r="ES755" s="4"/>
      <c r="ET755" s="4"/>
      <c r="EU755" s="4"/>
      <c r="EV755" s="4"/>
      <c r="EW755" s="4"/>
      <c r="EX755" s="4"/>
      <c r="EY755" s="4"/>
      <c r="EZ755" s="4"/>
      <c r="FA755" s="4"/>
      <c r="FB755" s="4"/>
      <c r="FC755" s="4"/>
      <c r="FD755" s="4">
        <v>7.3</v>
      </c>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32"/>
      <c r="GQ755" s="4"/>
      <c r="GR755" s="4"/>
      <c r="GS755" s="4"/>
      <c r="GT755" s="4"/>
      <c r="GU755" s="4"/>
      <c r="GV755" s="4"/>
      <c r="GW755" s="4"/>
      <c r="GX755" s="4"/>
      <c r="GY755" s="25" t="s">
        <v>338</v>
      </c>
      <c r="GZ755" s="25" t="s">
        <v>4629</v>
      </c>
      <c r="HA755" s="4"/>
      <c r="HB755" s="4"/>
      <c r="HC755" s="4" t="s">
        <v>535</v>
      </c>
      <c r="HD755" s="4" t="s">
        <v>4630</v>
      </c>
      <c r="HE755" s="4">
        <v>23528</v>
      </c>
      <c r="HF755" s="4" t="s">
        <v>4631</v>
      </c>
      <c r="HG755" s="4" t="s">
        <v>507</v>
      </c>
      <c r="HH755" s="4" t="s">
        <v>4632</v>
      </c>
      <c r="HI755" s="4">
        <v>76061</v>
      </c>
      <c r="HJ755" s="4" t="s">
        <v>4633</v>
      </c>
      <c r="HK755" s="4" t="s">
        <v>507</v>
      </c>
      <c r="HL755" s="4"/>
      <c r="HM755" s="4"/>
      <c r="HN755" s="4" t="s">
        <v>4634</v>
      </c>
      <c r="HO755" s="4" t="s">
        <v>507</v>
      </c>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c r="IU755" s="4"/>
      <c r="IV755" s="4"/>
      <c r="IW755" s="4"/>
      <c r="IX755" s="4"/>
      <c r="IY755" s="4"/>
      <c r="IZ755" s="4"/>
      <c r="JA755" s="4"/>
      <c r="JB755" s="4"/>
      <c r="JC755" s="4"/>
      <c r="JD755" s="4"/>
      <c r="JE755" s="4"/>
      <c r="JF755" s="4"/>
      <c r="JG755" s="4"/>
      <c r="JH755" s="4"/>
      <c r="JI755" s="4"/>
      <c r="JJ755" s="4"/>
      <c r="JK755" s="4"/>
      <c r="JL755" s="4"/>
      <c r="JM755" s="4"/>
      <c r="JN755" s="4"/>
      <c r="JO755" s="4"/>
      <c r="JP755" s="4"/>
      <c r="JQ755" s="4"/>
      <c r="JR755" s="4"/>
      <c r="JS755" s="4"/>
      <c r="JT755" s="4"/>
      <c r="JU755" s="4"/>
      <c r="JV755" s="4"/>
      <c r="JW755" s="4"/>
      <c r="JX755" s="4"/>
      <c r="JY755" s="4"/>
      <c r="JZ755" s="4"/>
      <c r="KA755" s="4"/>
      <c r="KB755" s="4"/>
      <c r="KC755" s="4"/>
      <c r="KD755" s="4"/>
      <c r="KE755" s="4"/>
      <c r="KF755" s="4"/>
      <c r="KQ755" s="5" t="s">
        <v>4635</v>
      </c>
      <c r="KR755" s="5" t="s">
        <v>4636</v>
      </c>
      <c r="KS755" s="5" t="s">
        <v>4635</v>
      </c>
      <c r="KT755" s="5" t="s">
        <v>4637</v>
      </c>
    </row>
    <row r="756" spans="1:306" ht="96" x14ac:dyDescent="0.2">
      <c r="A756" s="11" t="s">
        <v>4846</v>
      </c>
      <c r="B756" s="4" t="s">
        <v>397</v>
      </c>
      <c r="C756" s="4" t="s">
        <v>528</v>
      </c>
      <c r="D756" s="4" t="s">
        <v>529</v>
      </c>
      <c r="E756" s="44">
        <v>917621</v>
      </c>
      <c r="F756" s="4" t="s">
        <v>2797</v>
      </c>
      <c r="G756" s="4" t="s">
        <v>530</v>
      </c>
      <c r="H756" s="4">
        <v>130.78</v>
      </c>
      <c r="I756" s="4">
        <v>-12.74</v>
      </c>
      <c r="J756" s="4" t="s">
        <v>531</v>
      </c>
      <c r="K756" s="4" t="s">
        <v>481</v>
      </c>
      <c r="L756" s="4" t="s">
        <v>532</v>
      </c>
      <c r="M756" s="4" t="s">
        <v>533</v>
      </c>
      <c r="O756" s="4"/>
      <c r="Q756" s="4"/>
      <c r="R756" s="4"/>
      <c r="S756" s="4"/>
      <c r="T756" s="4"/>
      <c r="U756" s="4"/>
      <c r="V756" s="4"/>
      <c r="W756" s="4"/>
      <c r="Y756" s="4"/>
      <c r="Z756" s="4" t="s">
        <v>397</v>
      </c>
      <c r="AA756" s="4" t="s">
        <v>528</v>
      </c>
      <c r="AB756" s="4" t="s">
        <v>529</v>
      </c>
      <c r="AC756" s="4" t="s">
        <v>301</v>
      </c>
      <c r="AD756" s="4" t="s">
        <v>375</v>
      </c>
      <c r="AE756" s="4">
        <v>1717</v>
      </c>
      <c r="AF756" s="4" t="s">
        <v>2797</v>
      </c>
      <c r="AG756" s="4" t="s">
        <v>379</v>
      </c>
      <c r="AH756" s="4" t="s">
        <v>380</v>
      </c>
      <c r="AI756" s="4"/>
      <c r="AJ756" s="4"/>
      <c r="AK756" s="4"/>
      <c r="AM756" s="4">
        <v>3</v>
      </c>
      <c r="AQ756" s="4"/>
      <c r="AR756" s="4"/>
      <c r="AS756" s="4"/>
      <c r="AT756" s="4"/>
      <c r="AU756" s="4"/>
      <c r="AV756" s="4"/>
      <c r="AW756" s="4"/>
      <c r="AX756" s="4"/>
      <c r="AY756" s="4"/>
      <c r="AZ756" s="4"/>
      <c r="BA756" s="4"/>
      <c r="BE756" s="4"/>
      <c r="BF756" s="4"/>
      <c r="BG756" s="4"/>
      <c r="BH756" s="4"/>
      <c r="BI756" s="4"/>
      <c r="BJ756" s="4"/>
      <c r="BK756" s="4"/>
      <c r="BL756" s="4"/>
      <c r="BM756" s="4"/>
      <c r="BN756" s="4"/>
      <c r="BO756" s="4"/>
      <c r="BP756" s="7">
        <v>4.09</v>
      </c>
      <c r="BQ756" s="4"/>
      <c r="BR756" s="4"/>
      <c r="BS756" s="4"/>
      <c r="BT756" s="4"/>
      <c r="BU756" s="4"/>
      <c r="BV756" s="4"/>
      <c r="BW756" s="4">
        <v>1.43</v>
      </c>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31"/>
      <c r="EA756" s="4"/>
      <c r="EB756" s="4"/>
      <c r="EC756" s="4"/>
      <c r="ED756" s="4"/>
      <c r="EE756" s="4"/>
      <c r="EF756" s="4"/>
      <c r="EG756" s="4"/>
      <c r="EH756" s="4"/>
      <c r="EI756" s="4"/>
      <c r="EJ756" s="4"/>
      <c r="EK756" s="4"/>
      <c r="EL756" s="4"/>
      <c r="EM756" s="4">
        <v>2.7199999999999998E-2</v>
      </c>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32"/>
      <c r="GQ756" s="4"/>
      <c r="GR756" s="4"/>
      <c r="GS756" s="4"/>
      <c r="GT756" s="4"/>
      <c r="GU756" s="4"/>
      <c r="GV756" s="4"/>
      <c r="GW756" s="4"/>
      <c r="GX756" s="4"/>
      <c r="GY756" s="4" t="s">
        <v>338</v>
      </c>
      <c r="GZ756" s="4" t="s">
        <v>534</v>
      </c>
      <c r="HA756" s="4"/>
      <c r="HB756" s="4" t="s">
        <v>2797</v>
      </c>
      <c r="HC756" s="4" t="s">
        <v>535</v>
      </c>
      <c r="HD756" s="4" t="s">
        <v>536</v>
      </c>
      <c r="HE756" s="4">
        <v>3134</v>
      </c>
      <c r="HF756" s="4" t="s">
        <v>537</v>
      </c>
      <c r="HG756" s="4" t="s">
        <v>538</v>
      </c>
      <c r="HH756" s="4"/>
      <c r="HI756" s="4"/>
      <c r="HJ756" s="4"/>
      <c r="HK756" s="4"/>
      <c r="HL756" s="4"/>
      <c r="HM756" s="4"/>
      <c r="HN756" s="4"/>
      <c r="HO756" s="4"/>
      <c r="HP756" s="4"/>
      <c r="HQ756" s="4"/>
      <c r="HR756" s="4"/>
      <c r="HS756" s="4"/>
      <c r="HT756" s="4"/>
      <c r="HU756" s="4"/>
      <c r="HV756" s="4"/>
      <c r="HW756" s="4"/>
      <c r="HX756" s="4"/>
      <c r="HY756" s="4"/>
      <c r="HZ756" s="4"/>
      <c r="IA756" s="4"/>
      <c r="IB756" s="4" t="s">
        <v>539</v>
      </c>
      <c r="IC756" s="4"/>
      <c r="ID756" s="4" t="s">
        <v>528</v>
      </c>
      <c r="IE756" s="4" t="s">
        <v>538</v>
      </c>
      <c r="IF756" s="4" t="s">
        <v>319</v>
      </c>
      <c r="IG756" s="4" t="s">
        <v>540</v>
      </c>
      <c r="IH756" s="4">
        <v>24544</v>
      </c>
      <c r="II756" s="4" t="s">
        <v>541</v>
      </c>
      <c r="IJ756" s="4" t="s">
        <v>538</v>
      </c>
      <c r="IK756" s="4" t="s">
        <v>445</v>
      </c>
      <c r="IL756" s="4"/>
      <c r="IM756" s="4"/>
      <c r="IN756" s="4"/>
      <c r="IO756" s="4"/>
      <c r="IP756" s="4"/>
      <c r="IQ756" s="4"/>
      <c r="IR756" s="4"/>
      <c r="IS756" s="4"/>
      <c r="IT756" s="4"/>
      <c r="IU756" s="4"/>
      <c r="IV756" s="4"/>
      <c r="IW756" s="4"/>
      <c r="IX756" s="4"/>
      <c r="IY756" s="4"/>
      <c r="IZ756" s="4"/>
      <c r="JA756" s="4"/>
      <c r="JB756" s="4"/>
      <c r="JC756" s="4"/>
      <c r="JD756" s="4"/>
      <c r="JE756" s="4"/>
      <c r="JF756" s="4"/>
      <c r="JG756" s="4"/>
      <c r="JH756" s="4"/>
      <c r="JI756" s="4"/>
      <c r="JJ756" s="4"/>
      <c r="JK756" s="4"/>
      <c r="JL756" s="4"/>
      <c r="JM756" s="4"/>
      <c r="JN756" s="4"/>
      <c r="JO756" s="4"/>
      <c r="JP756" s="4"/>
      <c r="JQ756" s="4"/>
      <c r="JR756" s="4"/>
      <c r="JS756" s="4"/>
      <c r="JT756" s="4"/>
      <c r="JU756" s="4"/>
      <c r="JV756" s="4"/>
      <c r="JW756" s="4"/>
      <c r="JX756" s="4"/>
      <c r="JY756" s="4"/>
      <c r="JZ756" s="4"/>
      <c r="KA756" s="4"/>
      <c r="KB756" s="4"/>
      <c r="KC756" s="4"/>
      <c r="KD756" s="4"/>
      <c r="KE756" s="4"/>
      <c r="KF756" s="4"/>
      <c r="KG756" s="4" t="s">
        <v>323</v>
      </c>
      <c r="KM756" s="4" t="s">
        <v>471</v>
      </c>
      <c r="KN756" s="4" t="s">
        <v>542</v>
      </c>
      <c r="KP756" s="5" t="s">
        <v>4847</v>
      </c>
      <c r="KQ756" s="5" t="s">
        <v>544</v>
      </c>
      <c r="KR756" s="5" t="s">
        <v>545</v>
      </c>
      <c r="KS756" s="5" t="s">
        <v>4847</v>
      </c>
      <c r="KT756" s="14" t="s">
        <v>547</v>
      </c>
    </row>
    <row r="757" spans="1:306" ht="96" x14ac:dyDescent="0.25">
      <c r="A757" s="5" t="s">
        <v>4848</v>
      </c>
      <c r="B757" s="4" t="s">
        <v>397</v>
      </c>
      <c r="C757" s="7" t="s">
        <v>528</v>
      </c>
      <c r="D757" s="7" t="s">
        <v>529</v>
      </c>
      <c r="E757" s="4">
        <v>805286</v>
      </c>
      <c r="G757" s="4" t="s">
        <v>530</v>
      </c>
      <c r="H757" s="6">
        <f>130+(42+2.9/3.1)/60</f>
        <v>130.71559139784947</v>
      </c>
      <c r="I757" s="6">
        <f>-(12+(47+(2.93/3.07))/60)</f>
        <v>-12.799239956568947</v>
      </c>
      <c r="J757" s="4" t="s">
        <v>4849</v>
      </c>
      <c r="K757" s="4" t="s">
        <v>481</v>
      </c>
      <c r="L757" s="4" t="s">
        <v>532</v>
      </c>
      <c r="M757" s="4" t="s">
        <v>533</v>
      </c>
      <c r="O757" s="7"/>
      <c r="Q757" s="8"/>
      <c r="R757" s="8"/>
      <c r="S757" s="4"/>
      <c r="Z757" s="4" t="s">
        <v>397</v>
      </c>
      <c r="AA757" s="7" t="s">
        <v>528</v>
      </c>
      <c r="AB757" s="7" t="s">
        <v>529</v>
      </c>
      <c r="AC757" s="4" t="s">
        <v>301</v>
      </c>
      <c r="AD757" s="4" t="s">
        <v>375</v>
      </c>
      <c r="AE757" s="8">
        <v>1724</v>
      </c>
      <c r="AF757" s="8">
        <v>6</v>
      </c>
      <c r="AG757" s="4" t="s">
        <v>303</v>
      </c>
      <c r="AH757" s="9" t="s">
        <v>304</v>
      </c>
      <c r="AI757" s="9" t="s">
        <v>1062</v>
      </c>
      <c r="AJ757" s="9" t="s">
        <v>306</v>
      </c>
      <c r="AK757" s="9" t="s">
        <v>307</v>
      </c>
      <c r="AL757" s="9" t="s">
        <v>337</v>
      </c>
      <c r="AM757" s="8">
        <v>5</v>
      </c>
      <c r="AN757" s="4" t="s">
        <v>381</v>
      </c>
      <c r="AO757" s="4" t="s">
        <v>382</v>
      </c>
      <c r="AP757" s="4" t="s">
        <v>383</v>
      </c>
      <c r="AQ757" s="7" t="s">
        <v>403</v>
      </c>
      <c r="AR757" s="8" t="s">
        <v>3846</v>
      </c>
      <c r="AS757" s="7">
        <v>0</v>
      </c>
      <c r="AT757" s="7">
        <v>0</v>
      </c>
      <c r="AU757" s="9" t="s">
        <v>303</v>
      </c>
      <c r="AV757" s="9" t="s">
        <v>406</v>
      </c>
      <c r="BA757" s="8">
        <v>5</v>
      </c>
      <c r="DZ757" s="31"/>
      <c r="FN757" s="16">
        <v>1.772325E-5</v>
      </c>
      <c r="FS757" s="16">
        <v>1.1672175E-5</v>
      </c>
      <c r="GP757" s="32"/>
      <c r="GY757" s="6" t="s">
        <v>309</v>
      </c>
      <c r="GZ757" s="6" t="s">
        <v>789</v>
      </c>
      <c r="HA757" s="6" t="s">
        <v>639</v>
      </c>
      <c r="HC757" s="6" t="s">
        <v>3847</v>
      </c>
      <c r="HD757" s="8" t="s">
        <v>536</v>
      </c>
      <c r="HE757" s="8">
        <v>3134</v>
      </c>
      <c r="HF757" s="8" t="s">
        <v>537</v>
      </c>
      <c r="HG757" s="9" t="s">
        <v>538</v>
      </c>
      <c r="IB757" s="8" t="s">
        <v>4850</v>
      </c>
      <c r="ID757" s="8" t="s">
        <v>528</v>
      </c>
      <c r="IE757" s="8" t="s">
        <v>538</v>
      </c>
      <c r="IF757" s="8" t="s">
        <v>319</v>
      </c>
      <c r="IG757" s="8" t="s">
        <v>540</v>
      </c>
      <c r="IH757" s="8">
        <v>24544</v>
      </c>
      <c r="II757" s="8" t="s">
        <v>541</v>
      </c>
      <c r="IJ757" s="8" t="s">
        <v>538</v>
      </c>
      <c r="IK757" s="8" t="s">
        <v>445</v>
      </c>
      <c r="IW757" s="8"/>
      <c r="JB757" s="8"/>
      <c r="KG757" s="4" t="s">
        <v>323</v>
      </c>
      <c r="KM757" s="4" t="s">
        <v>471</v>
      </c>
      <c r="KN757" s="4" t="s">
        <v>542</v>
      </c>
      <c r="KP757" s="5" t="s">
        <v>545</v>
      </c>
      <c r="KQ757" s="5" t="s">
        <v>4851</v>
      </c>
      <c r="KR757" s="5" t="s">
        <v>545</v>
      </c>
      <c r="KS757" s="5" t="s">
        <v>739</v>
      </c>
      <c r="KT757" s="14" t="s">
        <v>4852</v>
      </c>
    </row>
    <row r="758" spans="1:306" ht="48" x14ac:dyDescent="0.2">
      <c r="A758" s="5" t="s">
        <v>4994</v>
      </c>
      <c r="B758" s="4" t="s">
        <v>397</v>
      </c>
      <c r="C758" s="7" t="s">
        <v>528</v>
      </c>
      <c r="D758" s="8" t="s">
        <v>529</v>
      </c>
      <c r="E758" s="44">
        <v>867060</v>
      </c>
      <c r="G758" s="4" t="s">
        <v>330</v>
      </c>
      <c r="H758" s="6">
        <v>122.537371526</v>
      </c>
      <c r="I758" s="6">
        <v>-30.868579507</v>
      </c>
      <c r="K758" s="4" t="s">
        <v>331</v>
      </c>
      <c r="L758" s="4" t="s">
        <v>500</v>
      </c>
      <c r="M758" s="4" t="s">
        <v>501</v>
      </c>
      <c r="N758" s="4" t="s">
        <v>625</v>
      </c>
      <c r="Q758" s="8"/>
      <c r="Z758" s="4" t="s">
        <v>397</v>
      </c>
      <c r="AA758" s="7" t="s">
        <v>528</v>
      </c>
      <c r="AB758" s="8" t="s">
        <v>529</v>
      </c>
      <c r="AE758" s="8">
        <v>2625</v>
      </c>
      <c r="AG758" s="9" t="s">
        <v>379</v>
      </c>
      <c r="AH758" s="9" t="s">
        <v>380</v>
      </c>
      <c r="AM758" s="8">
        <v>3</v>
      </c>
      <c r="BP758" s="7">
        <v>36</v>
      </c>
      <c r="BW758" s="6">
        <v>1.1299999999999999</v>
      </c>
      <c r="DD758" s="8">
        <f>54/1.2211</f>
        <v>44.222422406027349</v>
      </c>
      <c r="DZ758" s="31"/>
      <c r="EM758" s="10">
        <f>0.4646*BP758*BW758/100</f>
        <v>0.18899927999999999</v>
      </c>
      <c r="FD758" s="10"/>
      <c r="FP758" s="10"/>
      <c r="FS758" s="7">
        <f>BP758*DD758/1000</f>
        <v>1.5920072066169846</v>
      </c>
      <c r="GP758" s="32"/>
      <c r="GY758" s="6" t="s">
        <v>338</v>
      </c>
      <c r="GZ758" s="6" t="s">
        <v>534</v>
      </c>
      <c r="HB758" s="6" t="s">
        <v>789</v>
      </c>
      <c r="HC758" s="6" t="s">
        <v>790</v>
      </c>
      <c r="HD758" s="8" t="s">
        <v>1788</v>
      </c>
      <c r="HF758" s="8" t="s">
        <v>4995</v>
      </c>
      <c r="HG758" s="9" t="s">
        <v>507</v>
      </c>
      <c r="HH758" s="9" t="s">
        <v>4996</v>
      </c>
      <c r="HJ758" s="9" t="s">
        <v>796</v>
      </c>
      <c r="HK758" s="9" t="s">
        <v>507</v>
      </c>
      <c r="IB758" s="8" t="s">
        <v>1788</v>
      </c>
      <c r="ID758" s="8" t="s">
        <v>4995</v>
      </c>
      <c r="IE758" s="9" t="s">
        <v>507</v>
      </c>
      <c r="IF758" s="8" t="s">
        <v>445</v>
      </c>
      <c r="IG758" s="9" t="s">
        <v>4996</v>
      </c>
      <c r="II758" s="9" t="s">
        <v>796</v>
      </c>
      <c r="IJ758" s="9" t="s">
        <v>507</v>
      </c>
      <c r="IK758" s="8" t="s">
        <v>319</v>
      </c>
      <c r="KP758" s="5" t="s">
        <v>4997</v>
      </c>
      <c r="KQ758" s="5" t="s">
        <v>4998</v>
      </c>
      <c r="KS758" s="5" t="s">
        <v>4997</v>
      </c>
      <c r="KT758" s="5" t="s">
        <v>4999</v>
      </c>
    </row>
    <row r="759" spans="1:306" ht="96" x14ac:dyDescent="0.2">
      <c r="A759" s="5" t="s">
        <v>5451</v>
      </c>
      <c r="B759" s="4" t="s">
        <v>397</v>
      </c>
      <c r="C759" s="7" t="s">
        <v>528</v>
      </c>
      <c r="D759" s="8" t="s">
        <v>529</v>
      </c>
      <c r="E759" s="44">
        <v>455086</v>
      </c>
      <c r="G759" s="4" t="s">
        <v>330</v>
      </c>
      <c r="H759" s="6">
        <v>120.037741889</v>
      </c>
      <c r="I759" s="6">
        <v>-33.562672872</v>
      </c>
      <c r="K759" s="4" t="s">
        <v>331</v>
      </c>
      <c r="L759" s="4" t="s">
        <v>500</v>
      </c>
      <c r="M759" s="4" t="s">
        <v>676</v>
      </c>
      <c r="N759" s="4" t="s">
        <v>1811</v>
      </c>
      <c r="Q759" s="8"/>
      <c r="R759" s="8"/>
      <c r="Z759" s="4" t="s">
        <v>397</v>
      </c>
      <c r="AA759" s="7" t="s">
        <v>528</v>
      </c>
      <c r="AB759" s="8" t="s">
        <v>529</v>
      </c>
      <c r="AE759" s="8">
        <v>2626</v>
      </c>
      <c r="AF759" s="8">
        <v>13</v>
      </c>
      <c r="AG759" s="9" t="s">
        <v>303</v>
      </c>
      <c r="AH759" s="9" t="s">
        <v>304</v>
      </c>
      <c r="AI759" s="9" t="s">
        <v>5452</v>
      </c>
      <c r="AJ759" s="9" t="s">
        <v>306</v>
      </c>
      <c r="AK759" s="9" t="s">
        <v>5453</v>
      </c>
      <c r="AL759" s="9" t="s">
        <v>308</v>
      </c>
      <c r="AM759" s="8">
        <v>5</v>
      </c>
      <c r="DZ759" s="31"/>
      <c r="EM759" s="10">
        <f>0.4646*((976985/1000000)*0.0595+(12.1*1.3)/100)</f>
        <v>0.1000890602445</v>
      </c>
      <c r="FD759" s="10"/>
      <c r="FP759" s="10"/>
      <c r="FS759" s="6">
        <f>(12.1*137/1.2211)/1000</f>
        <v>1.3575464744902137</v>
      </c>
      <c r="GP759" s="32"/>
      <c r="GY759" s="6" t="s">
        <v>435</v>
      </c>
      <c r="GZ759" s="6" t="s">
        <v>534</v>
      </c>
      <c r="HB759" s="6" t="s">
        <v>789</v>
      </c>
      <c r="HC759" s="6" t="s">
        <v>790</v>
      </c>
      <c r="HD759" s="8" t="s">
        <v>5454</v>
      </c>
      <c r="HE759" s="8">
        <v>36842</v>
      </c>
      <c r="HF759" s="8" t="s">
        <v>5455</v>
      </c>
      <c r="HG759" s="9" t="s">
        <v>389</v>
      </c>
      <c r="HH759" s="9" t="s">
        <v>5456</v>
      </c>
      <c r="HI759" s="8" t="s">
        <v>5457</v>
      </c>
      <c r="HJ759" s="9" t="s">
        <v>5458</v>
      </c>
      <c r="HK759" s="9" t="s">
        <v>389</v>
      </c>
      <c r="HL759" s="9" t="s">
        <v>5459</v>
      </c>
      <c r="HN759" s="9" t="s">
        <v>5460</v>
      </c>
      <c r="HO759" s="9" t="s">
        <v>507</v>
      </c>
      <c r="IB759" s="8" t="s">
        <v>5454</v>
      </c>
      <c r="IC759" s="8">
        <v>36842</v>
      </c>
      <c r="ID759" s="8" t="s">
        <v>5455</v>
      </c>
      <c r="IE759" s="9" t="s">
        <v>389</v>
      </c>
      <c r="IF759" s="8" t="s">
        <v>445</v>
      </c>
      <c r="IG759" s="9" t="s">
        <v>5456</v>
      </c>
      <c r="IH759" s="8" t="s">
        <v>5457</v>
      </c>
      <c r="II759" s="9" t="s">
        <v>5458</v>
      </c>
      <c r="IJ759" s="9" t="s">
        <v>389</v>
      </c>
      <c r="IK759" s="8" t="s">
        <v>445</v>
      </c>
      <c r="IL759" s="9" t="s">
        <v>5459</v>
      </c>
      <c r="IN759" s="9" t="s">
        <v>5460</v>
      </c>
      <c r="IO759" s="9" t="s">
        <v>507</v>
      </c>
      <c r="IP759" s="9" t="s">
        <v>319</v>
      </c>
      <c r="IQ759" s="9" t="s">
        <v>5461</v>
      </c>
      <c r="IS759" s="9" t="s">
        <v>658</v>
      </c>
      <c r="IT759" s="9" t="s">
        <v>1303</v>
      </c>
      <c r="IU759" s="9" t="s">
        <v>350</v>
      </c>
      <c r="KM759" s="4" t="s">
        <v>702</v>
      </c>
      <c r="KN759" s="4" t="s">
        <v>702</v>
      </c>
      <c r="KO759" s="4" t="s">
        <v>445</v>
      </c>
      <c r="KP759" s="5" t="s">
        <v>5462</v>
      </c>
      <c r="KQ759" s="5" t="s">
        <v>5463</v>
      </c>
      <c r="KR759" s="5" t="s">
        <v>5464</v>
      </c>
      <c r="KS759" s="5" t="s">
        <v>5462</v>
      </c>
      <c r="KT759" s="5" t="s">
        <v>5465</v>
      </c>
    </row>
    <row r="760" spans="1:306" ht="60" x14ac:dyDescent="0.25">
      <c r="A760" s="5" t="s">
        <v>5527</v>
      </c>
      <c r="B760" s="4" t="s">
        <v>397</v>
      </c>
      <c r="C760" s="7" t="s">
        <v>528</v>
      </c>
      <c r="D760" s="8" t="s">
        <v>529</v>
      </c>
      <c r="E760" s="4">
        <v>702797</v>
      </c>
      <c r="G760" s="4" t="s">
        <v>330</v>
      </c>
      <c r="H760" s="6">
        <f>121+47/60+6/3600</f>
        <v>121.785</v>
      </c>
      <c r="I760" s="6">
        <f>-(32+18/60+25/3600)</f>
        <v>-32.30694444444444</v>
      </c>
      <c r="J760" s="4" t="s">
        <v>5528</v>
      </c>
      <c r="K760" s="4" t="s">
        <v>331</v>
      </c>
      <c r="L760" s="4" t="s">
        <v>500</v>
      </c>
      <c r="M760" s="4" t="s">
        <v>501</v>
      </c>
      <c r="Q760" s="8"/>
      <c r="R760" s="8"/>
      <c r="Z760" s="4" t="s">
        <v>397</v>
      </c>
      <c r="AA760" s="7" t="s">
        <v>528</v>
      </c>
      <c r="AB760" s="8" t="s">
        <v>529</v>
      </c>
      <c r="AC760" s="4" t="s">
        <v>301</v>
      </c>
      <c r="AD760" s="4" t="s">
        <v>302</v>
      </c>
      <c r="AE760" s="8">
        <v>2642</v>
      </c>
      <c r="AF760" s="8">
        <v>7</v>
      </c>
      <c r="AG760" s="9" t="s">
        <v>379</v>
      </c>
      <c r="AH760" s="9" t="s">
        <v>304</v>
      </c>
      <c r="AI760" s="9" t="s">
        <v>1062</v>
      </c>
      <c r="AJ760" s="9" t="s">
        <v>306</v>
      </c>
      <c r="AK760" s="9" t="s">
        <v>5453</v>
      </c>
      <c r="AL760" s="9" t="s">
        <v>308</v>
      </c>
      <c r="AM760" s="8">
        <v>5</v>
      </c>
      <c r="AS760" s="8"/>
      <c r="AT760" s="8"/>
      <c r="BG760" s="8"/>
      <c r="BH760" s="8"/>
      <c r="BP760" s="7">
        <v>9.1</v>
      </c>
      <c r="CS760" s="8">
        <f>600/1.403</f>
        <v>427.65502494654311</v>
      </c>
      <c r="CY760" s="6">
        <f>0.17/1.2696</f>
        <v>0.13390044108380592</v>
      </c>
      <c r="DD760" s="8">
        <f>220/1.2211</f>
        <v>180.16542461714846</v>
      </c>
      <c r="DZ760" s="31"/>
      <c r="FH760" s="6">
        <f>BP760*CS760/1000</f>
        <v>3.8916607270135422</v>
      </c>
      <c r="FN760" s="6">
        <f>1000*BP760*CY760/100</f>
        <v>12.184940138626338</v>
      </c>
      <c r="FS760" s="9">
        <f>BP760*DD760/1000</f>
        <v>1.6395053640160508</v>
      </c>
      <c r="GP760" s="32"/>
      <c r="GY760" s="6" t="s">
        <v>309</v>
      </c>
      <c r="GZ760" s="6" t="s">
        <v>3709</v>
      </c>
      <c r="HB760" s="6" t="s">
        <v>4920</v>
      </c>
      <c r="HD760" s="8" t="s">
        <v>5529</v>
      </c>
      <c r="HE760" s="8">
        <v>20591</v>
      </c>
      <c r="HF760" s="8" t="s">
        <v>5530</v>
      </c>
      <c r="HG760" s="9" t="s">
        <v>507</v>
      </c>
      <c r="IB760" s="8" t="s">
        <v>5529</v>
      </c>
      <c r="IC760" s="8">
        <v>20591</v>
      </c>
      <c r="ID760" s="8" t="s">
        <v>5530</v>
      </c>
      <c r="IE760" s="8" t="s">
        <v>507</v>
      </c>
      <c r="IF760" s="8" t="s">
        <v>445</v>
      </c>
      <c r="II760" s="8" t="s">
        <v>528</v>
      </c>
      <c r="IJ760" s="8" t="s">
        <v>507</v>
      </c>
      <c r="IK760" s="8" t="s">
        <v>319</v>
      </c>
      <c r="KG760" s="4" t="s">
        <v>323</v>
      </c>
      <c r="KP760" s="5" t="s">
        <v>2609</v>
      </c>
      <c r="KQ760" s="5" t="s">
        <v>5531</v>
      </c>
      <c r="KR760" s="5" t="s">
        <v>5532</v>
      </c>
      <c r="KS760" s="5" t="s">
        <v>2609</v>
      </c>
      <c r="KT760" s="5" t="s">
        <v>5533</v>
      </c>
    </row>
    <row r="761" spans="1:306" ht="48" x14ac:dyDescent="0.25">
      <c r="A761" s="5" t="s">
        <v>5556</v>
      </c>
      <c r="B761" s="4" t="s">
        <v>397</v>
      </c>
      <c r="C761" s="7" t="s">
        <v>528</v>
      </c>
      <c r="D761" s="8" t="s">
        <v>529</v>
      </c>
      <c r="E761" s="4">
        <v>702372</v>
      </c>
      <c r="G761" s="4" t="s">
        <v>330</v>
      </c>
      <c r="H761" s="6">
        <v>117.66427404</v>
      </c>
      <c r="I761" s="6">
        <v>-29.321147819</v>
      </c>
      <c r="J761" s="4" t="s">
        <v>5557</v>
      </c>
      <c r="K761" s="4" t="s">
        <v>331</v>
      </c>
      <c r="L761" s="4" t="s">
        <v>500</v>
      </c>
      <c r="M761" s="4" t="s">
        <v>676</v>
      </c>
      <c r="N761" s="4" t="s">
        <v>677</v>
      </c>
      <c r="Q761" s="8"/>
      <c r="R761" s="8"/>
      <c r="Z761" s="4" t="s">
        <v>397</v>
      </c>
      <c r="AA761" s="7" t="s">
        <v>528</v>
      </c>
      <c r="AB761" s="8" t="s">
        <v>529</v>
      </c>
      <c r="AC761" s="4" t="s">
        <v>301</v>
      </c>
      <c r="AD761" s="4" t="s">
        <v>302</v>
      </c>
      <c r="AE761" s="8">
        <v>2640</v>
      </c>
      <c r="AF761" s="8">
        <v>4</v>
      </c>
      <c r="AG761" s="9" t="s">
        <v>303</v>
      </c>
      <c r="AH761" s="9" t="s">
        <v>304</v>
      </c>
      <c r="AI761" s="9" t="s">
        <v>2631</v>
      </c>
      <c r="AJ761" s="9" t="s">
        <v>306</v>
      </c>
      <c r="AK761" s="9" t="s">
        <v>307</v>
      </c>
      <c r="AL761" s="9" t="s">
        <v>308</v>
      </c>
      <c r="AM761" s="8">
        <v>5</v>
      </c>
      <c r="AS761" s="8"/>
      <c r="AT761" s="8"/>
      <c r="BG761" s="8"/>
      <c r="BH761" s="8"/>
      <c r="BP761" s="7">
        <v>3.85</v>
      </c>
      <c r="BQ761" s="4"/>
      <c r="BR761" s="4"/>
      <c r="BS761" s="4"/>
      <c r="BT761" s="4"/>
      <c r="BU761" s="4"/>
      <c r="BV761" s="4"/>
      <c r="BW761" s="4">
        <v>0.1</v>
      </c>
      <c r="BX761" s="4"/>
      <c r="BY761" s="4"/>
      <c r="BZ761" s="4"/>
      <c r="CA761" s="4"/>
      <c r="CB761" s="4"/>
      <c r="CC761" s="4"/>
      <c r="CD761" s="4"/>
      <c r="CE761" s="4"/>
      <c r="CF761" s="4"/>
      <c r="CG761" s="4"/>
      <c r="CH761" s="4"/>
      <c r="CI761" s="4"/>
      <c r="CJ761" s="4"/>
      <c r="CK761" s="4"/>
      <c r="CL761" s="4"/>
      <c r="CM761" s="4"/>
      <c r="CN761" s="4"/>
      <c r="CO761" s="4">
        <v>0.28999999999999998</v>
      </c>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31"/>
      <c r="EA761" s="4"/>
      <c r="EB761" s="4"/>
      <c r="EC761" s="4"/>
      <c r="ED761" s="4"/>
      <c r="EE761" s="4"/>
      <c r="EF761" s="4"/>
      <c r="EG761" s="4"/>
      <c r="EH761" s="4"/>
      <c r="EI761" s="4"/>
      <c r="EJ761" s="4"/>
      <c r="EK761" s="4"/>
      <c r="EL761" s="4"/>
      <c r="EM761" s="4">
        <v>1.8E-3</v>
      </c>
      <c r="EN761" s="4"/>
      <c r="EO761" s="4"/>
      <c r="EP761" s="4"/>
      <c r="EQ761" s="4"/>
      <c r="ER761" s="4"/>
      <c r="ES761" s="4"/>
      <c r="ET761" s="4"/>
      <c r="EU761" s="4"/>
      <c r="EV761" s="4"/>
      <c r="EW761" s="4"/>
      <c r="EX761" s="4"/>
      <c r="EY761" s="4"/>
      <c r="EZ761" s="4"/>
      <c r="FA761" s="4"/>
      <c r="FB761" s="4"/>
      <c r="FC761" s="4"/>
      <c r="FD761" s="4">
        <v>1.0999999999999999E-2</v>
      </c>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32"/>
      <c r="GQ761" s="4"/>
      <c r="GR761" s="4"/>
      <c r="GS761" s="4"/>
      <c r="GT761" s="4"/>
      <c r="GU761" s="4"/>
      <c r="GV761" s="4"/>
      <c r="GW761" s="4"/>
      <c r="GX761" s="4"/>
      <c r="GY761" s="6" t="s">
        <v>309</v>
      </c>
      <c r="GZ761" s="6" t="s">
        <v>5558</v>
      </c>
      <c r="HC761" s="6" t="s">
        <v>535</v>
      </c>
      <c r="HD761" s="8" t="s">
        <v>5559</v>
      </c>
      <c r="HF761" s="8" t="s">
        <v>5560</v>
      </c>
      <c r="HG761" s="9" t="s">
        <v>510</v>
      </c>
      <c r="ID761" s="8" t="s">
        <v>5561</v>
      </c>
      <c r="IE761" s="9" t="s">
        <v>510</v>
      </c>
      <c r="IF761" s="8" t="s">
        <v>445</v>
      </c>
      <c r="II761" s="8" t="s">
        <v>528</v>
      </c>
      <c r="IJ761" s="9" t="s">
        <v>507</v>
      </c>
      <c r="IK761" s="8" t="s">
        <v>319</v>
      </c>
      <c r="KG761" s="4" t="s">
        <v>323</v>
      </c>
      <c r="KP761" s="5" t="s">
        <v>5562</v>
      </c>
      <c r="KQ761" s="5" t="s">
        <v>5563</v>
      </c>
      <c r="KR761" s="5" t="s">
        <v>1066</v>
      </c>
      <c r="KS761" s="5" t="s">
        <v>5564</v>
      </c>
      <c r="KT761" s="14" t="s">
        <v>5565</v>
      </c>
    </row>
    <row r="762" spans="1:306" ht="168" x14ac:dyDescent="0.25">
      <c r="A762" s="5" t="s">
        <v>5577</v>
      </c>
      <c r="B762" s="4" t="s">
        <v>397</v>
      </c>
      <c r="C762" s="7" t="s">
        <v>528</v>
      </c>
      <c r="D762" s="8" t="s">
        <v>529</v>
      </c>
      <c r="E762" s="4">
        <v>705985</v>
      </c>
      <c r="G762" s="4" t="s">
        <v>330</v>
      </c>
      <c r="H762" s="6">
        <v>118.560252073</v>
      </c>
      <c r="I762" s="6">
        <v>-21.376321314999998</v>
      </c>
      <c r="J762" s="4" t="s">
        <v>5578</v>
      </c>
      <c r="K762" s="4" t="s">
        <v>331</v>
      </c>
      <c r="L762" s="4" t="s">
        <v>368</v>
      </c>
      <c r="M762" s="4" t="s">
        <v>369</v>
      </c>
      <c r="Q762" s="8"/>
      <c r="R762" s="8"/>
      <c r="S762" s="4"/>
      <c r="Z762" s="4" t="s">
        <v>397</v>
      </c>
      <c r="AA762" s="7" t="s">
        <v>528</v>
      </c>
      <c r="AB762" s="8" t="s">
        <v>529</v>
      </c>
      <c r="AC762" s="4" t="s">
        <v>301</v>
      </c>
      <c r="AD762" s="4" t="s">
        <v>375</v>
      </c>
      <c r="AE762" s="8">
        <v>2845</v>
      </c>
      <c r="AF762" s="8">
        <v>11</v>
      </c>
      <c r="AG762" s="4" t="s">
        <v>303</v>
      </c>
      <c r="AH762" s="9" t="s">
        <v>304</v>
      </c>
      <c r="AI762" s="9" t="s">
        <v>305</v>
      </c>
      <c r="AJ762" s="9" t="s">
        <v>306</v>
      </c>
      <c r="AK762" s="9" t="s">
        <v>307</v>
      </c>
      <c r="AL762" s="9" t="s">
        <v>4906</v>
      </c>
      <c r="AM762" s="8">
        <v>5</v>
      </c>
      <c r="AN762" s="4" t="s">
        <v>381</v>
      </c>
      <c r="AO762" s="4" t="s">
        <v>382</v>
      </c>
      <c r="AP762" s="4" t="s">
        <v>383</v>
      </c>
      <c r="AQ762" s="7" t="s">
        <v>403</v>
      </c>
      <c r="AR762" s="8" t="s">
        <v>802</v>
      </c>
      <c r="AS762" s="7">
        <v>0</v>
      </c>
      <c r="AT762" s="7">
        <v>0</v>
      </c>
      <c r="AU762" s="4" t="s">
        <v>303</v>
      </c>
      <c r="AV762" s="9" t="s">
        <v>406</v>
      </c>
      <c r="BA762" s="8">
        <v>5</v>
      </c>
      <c r="BG762" s="8"/>
      <c r="BH762" s="8"/>
      <c r="BI762" s="4"/>
      <c r="DZ762" s="31"/>
      <c r="FA762" s="6"/>
      <c r="FN762" s="10">
        <v>3.0799999999999998E-3</v>
      </c>
      <c r="FS762" s="10">
        <f>0.001659/1.2211</f>
        <v>1.3586110883629515E-3</v>
      </c>
      <c r="GP762" s="32"/>
      <c r="GY762" s="6" t="s">
        <v>309</v>
      </c>
      <c r="GZ762" s="6" t="s">
        <v>3709</v>
      </c>
      <c r="HC762" s="6" t="s">
        <v>3847</v>
      </c>
      <c r="HD762" s="8" t="s">
        <v>5579</v>
      </c>
      <c r="HE762" s="8">
        <v>32237</v>
      </c>
      <c r="HF762" s="8" t="s">
        <v>5580</v>
      </c>
      <c r="HG762" s="9" t="s">
        <v>792</v>
      </c>
      <c r="HH762" s="9" t="s">
        <v>5581</v>
      </c>
      <c r="HJ762" s="9" t="s">
        <v>5582</v>
      </c>
      <c r="HK762" s="9" t="s">
        <v>389</v>
      </c>
      <c r="IB762" s="8" t="s">
        <v>5579</v>
      </c>
      <c r="IC762" s="8">
        <v>32237</v>
      </c>
      <c r="ID762" s="8" t="s">
        <v>5583</v>
      </c>
      <c r="IE762" s="9" t="s">
        <v>792</v>
      </c>
      <c r="IF762" s="8" t="s">
        <v>445</v>
      </c>
      <c r="IG762" s="9" t="s">
        <v>5581</v>
      </c>
      <c r="II762" s="9" t="s">
        <v>5582</v>
      </c>
      <c r="IJ762" s="9" t="s">
        <v>389</v>
      </c>
      <c r="IK762" s="8" t="s">
        <v>319</v>
      </c>
      <c r="IM762" s="9"/>
      <c r="KM762" s="4" t="s">
        <v>702</v>
      </c>
      <c r="KN762" s="4" t="s">
        <v>702</v>
      </c>
      <c r="KO762" s="4" t="s">
        <v>445</v>
      </c>
      <c r="KP762" s="5" t="s">
        <v>2992</v>
      </c>
      <c r="KQ762" s="5" t="s">
        <v>5584</v>
      </c>
      <c r="KR762" s="5" t="s">
        <v>1066</v>
      </c>
      <c r="KS762" s="5" t="s">
        <v>2992</v>
      </c>
      <c r="KT762" s="5" t="s">
        <v>5585</v>
      </c>
    </row>
    <row r="763" spans="1:306" ht="60" x14ac:dyDescent="0.2">
      <c r="A763" s="5" t="s">
        <v>5681</v>
      </c>
      <c r="B763" s="4" t="s">
        <v>397</v>
      </c>
      <c r="C763" s="7" t="s">
        <v>528</v>
      </c>
      <c r="D763" s="8" t="s">
        <v>529</v>
      </c>
      <c r="E763" s="44">
        <v>881776</v>
      </c>
      <c r="G763" s="4" t="s">
        <v>330</v>
      </c>
      <c r="H763" s="6">
        <v>120.45719605399999</v>
      </c>
      <c r="I763" s="6">
        <v>-29.088843955000002</v>
      </c>
      <c r="K763" s="4" t="s">
        <v>331</v>
      </c>
      <c r="L763" s="4" t="s">
        <v>500</v>
      </c>
      <c r="M763" s="4" t="s">
        <v>501</v>
      </c>
      <c r="N763" s="4" t="s">
        <v>1061</v>
      </c>
      <c r="Q763" s="8"/>
      <c r="Z763" s="4" t="s">
        <v>397</v>
      </c>
      <c r="AA763" s="7" t="s">
        <v>528</v>
      </c>
      <c r="AB763" s="8" t="s">
        <v>529</v>
      </c>
      <c r="AE763" s="8">
        <v>2625</v>
      </c>
      <c r="AG763" s="9" t="s">
        <v>379</v>
      </c>
      <c r="AH763" s="9" t="s">
        <v>380</v>
      </c>
      <c r="AM763" s="8">
        <v>3</v>
      </c>
      <c r="BP763" s="7">
        <v>12.7</v>
      </c>
      <c r="BW763" s="7">
        <v>1.2</v>
      </c>
      <c r="CO763" s="7"/>
      <c r="DA763" s="7"/>
      <c r="DD763" s="8">
        <f>207/1.2211</f>
        <v>169.51928588977151</v>
      </c>
      <c r="DZ763" s="31"/>
      <c r="EM763" s="10">
        <f>0.4646*BP763*BW763/100</f>
        <v>7.080504E-2</v>
      </c>
      <c r="FD763" s="10"/>
      <c r="FP763" s="10"/>
      <c r="FS763" s="7">
        <f>BP763*DD763/1000</f>
        <v>2.1528949308000978</v>
      </c>
      <c r="GP763" s="32"/>
      <c r="GY763" s="6" t="s">
        <v>338</v>
      </c>
      <c r="GZ763" s="6" t="s">
        <v>534</v>
      </c>
      <c r="HB763" s="6" t="s">
        <v>789</v>
      </c>
      <c r="HC763" s="6" t="s">
        <v>790</v>
      </c>
      <c r="HD763" s="8" t="s">
        <v>5682</v>
      </c>
      <c r="HF763" s="8" t="s">
        <v>5683</v>
      </c>
      <c r="HG763" s="9" t="s">
        <v>507</v>
      </c>
      <c r="HH763" s="9" t="s">
        <v>5684</v>
      </c>
      <c r="HJ763" s="9" t="s">
        <v>796</v>
      </c>
      <c r="HK763" s="9" t="s">
        <v>507</v>
      </c>
      <c r="IB763" s="8" t="s">
        <v>5682</v>
      </c>
      <c r="ID763" s="8" t="s">
        <v>5683</v>
      </c>
      <c r="IE763" s="9" t="s">
        <v>507</v>
      </c>
      <c r="IF763" s="8" t="s">
        <v>445</v>
      </c>
      <c r="IG763" s="9" t="s">
        <v>5685</v>
      </c>
      <c r="II763" s="9" t="s">
        <v>796</v>
      </c>
      <c r="IJ763" s="9" t="s">
        <v>507</v>
      </c>
      <c r="IK763" s="8" t="s">
        <v>319</v>
      </c>
      <c r="KM763" s="4" t="s">
        <v>521</v>
      </c>
      <c r="KN763" s="4" t="s">
        <v>522</v>
      </c>
      <c r="KO763" s="4" t="s">
        <v>445</v>
      </c>
      <c r="KP763" s="5" t="s">
        <v>5686</v>
      </c>
      <c r="KQ763" s="5" t="s">
        <v>5687</v>
      </c>
      <c r="KS763" s="5" t="s">
        <v>5686</v>
      </c>
      <c r="KT763" s="5" t="s">
        <v>5688</v>
      </c>
    </row>
    <row r="764" spans="1:306" ht="60" x14ac:dyDescent="0.25">
      <c r="A764" s="5" t="s">
        <v>5789</v>
      </c>
      <c r="B764" s="4" t="s">
        <v>397</v>
      </c>
      <c r="C764" s="7" t="s">
        <v>528</v>
      </c>
      <c r="D764" s="8" t="s">
        <v>529</v>
      </c>
      <c r="E764" s="4">
        <v>335184</v>
      </c>
      <c r="G764" s="4" t="s">
        <v>330</v>
      </c>
      <c r="H764" s="6">
        <v>121.46299999999999</v>
      </c>
      <c r="I764" s="6">
        <v>-31.074999999999999</v>
      </c>
      <c r="J764" s="4" t="s">
        <v>5789</v>
      </c>
      <c r="K764" s="4" t="s">
        <v>331</v>
      </c>
      <c r="L764" s="4" t="s">
        <v>500</v>
      </c>
      <c r="M764" s="4" t="s">
        <v>501</v>
      </c>
      <c r="N764" s="4" t="s">
        <v>1061</v>
      </c>
      <c r="Q764" s="8"/>
      <c r="Z764" s="4" t="s">
        <v>397</v>
      </c>
      <c r="AA764" s="7" t="s">
        <v>528</v>
      </c>
      <c r="AB764" s="8" t="s">
        <v>529</v>
      </c>
      <c r="AC764" s="4" t="s">
        <v>301</v>
      </c>
      <c r="AD764" s="4" t="s">
        <v>302</v>
      </c>
      <c r="AE764" s="8">
        <v>2625</v>
      </c>
      <c r="AG764" s="9" t="s">
        <v>379</v>
      </c>
      <c r="AH764" s="9" t="s">
        <v>380</v>
      </c>
      <c r="AM764" s="8">
        <v>3</v>
      </c>
      <c r="BP764" s="7">
        <v>77.8</v>
      </c>
      <c r="BQ764" s="7"/>
      <c r="BW764" s="6">
        <v>1.37</v>
      </c>
      <c r="DZ764" s="31"/>
      <c r="EM764" s="6">
        <f>0.4646*BP764*BW764/100</f>
        <v>0.49519855600000001</v>
      </c>
      <c r="GP764" s="32"/>
      <c r="GY764" s="6" t="s">
        <v>338</v>
      </c>
      <c r="GZ764" s="6" t="s">
        <v>534</v>
      </c>
      <c r="HC764" s="6" t="s">
        <v>535</v>
      </c>
      <c r="HF764" s="8" t="s">
        <v>5790</v>
      </c>
      <c r="HG764" s="9" t="s">
        <v>507</v>
      </c>
      <c r="ID764" s="8" t="s">
        <v>5790</v>
      </c>
      <c r="IE764" s="9" t="s">
        <v>507</v>
      </c>
      <c r="IF764" s="8" t="s">
        <v>445</v>
      </c>
      <c r="IG764" s="8" t="s">
        <v>5791</v>
      </c>
      <c r="II764" s="8" t="s">
        <v>5792</v>
      </c>
      <c r="IJ764" s="8" t="s">
        <v>507</v>
      </c>
      <c r="IK764" s="8" t="s">
        <v>319</v>
      </c>
      <c r="KG764" s="4" t="s">
        <v>323</v>
      </c>
      <c r="KM764" s="4" t="s">
        <v>522</v>
      </c>
      <c r="KN764" s="4" t="s">
        <v>522</v>
      </c>
      <c r="KP764" s="5" t="s">
        <v>5793</v>
      </c>
      <c r="KQ764" s="5" t="s">
        <v>5793</v>
      </c>
      <c r="KS764" s="5" t="s">
        <v>5793</v>
      </c>
      <c r="KT764" s="5" t="s">
        <v>5794</v>
      </c>
    </row>
    <row r="765" spans="1:306" ht="96" x14ac:dyDescent="0.2">
      <c r="A765" s="5" t="s">
        <v>5915</v>
      </c>
      <c r="B765" s="4" t="s">
        <v>397</v>
      </c>
      <c r="C765" s="7" t="s">
        <v>528</v>
      </c>
      <c r="D765" s="7" t="s">
        <v>529</v>
      </c>
      <c r="E765" s="44">
        <v>859652</v>
      </c>
      <c r="G765" s="4" t="s">
        <v>530</v>
      </c>
      <c r="H765" s="6">
        <v>131.294842776</v>
      </c>
      <c r="I765" s="6">
        <v>-13.533625218999999</v>
      </c>
      <c r="J765" s="4" t="s">
        <v>5916</v>
      </c>
      <c r="K765" s="4" t="s">
        <v>481</v>
      </c>
      <c r="L765" s="4" t="s">
        <v>532</v>
      </c>
      <c r="M765" s="4" t="s">
        <v>2483</v>
      </c>
      <c r="O765" s="7"/>
      <c r="Q765" s="8"/>
      <c r="R765" s="8"/>
      <c r="Z765" s="4" t="s">
        <v>397</v>
      </c>
      <c r="AA765" s="7" t="s">
        <v>528</v>
      </c>
      <c r="AB765" s="7" t="s">
        <v>529</v>
      </c>
      <c r="AC765" s="4" t="s">
        <v>301</v>
      </c>
      <c r="AD765" s="4" t="s">
        <v>302</v>
      </c>
      <c r="AE765" s="8">
        <v>1775</v>
      </c>
      <c r="AF765" s="8">
        <v>16</v>
      </c>
      <c r="AG765" s="9" t="s">
        <v>379</v>
      </c>
      <c r="AH765" s="9" t="s">
        <v>483</v>
      </c>
      <c r="AM765" s="8">
        <v>2</v>
      </c>
      <c r="DZ765" s="31"/>
      <c r="FN765" s="9">
        <v>0.20795279999999999</v>
      </c>
      <c r="GP765" s="32"/>
      <c r="GY765" s="6" t="s">
        <v>309</v>
      </c>
      <c r="GZ765" s="6" t="s">
        <v>639</v>
      </c>
      <c r="HC765" s="6" t="s">
        <v>5917</v>
      </c>
      <c r="HD765" s="8" t="s">
        <v>536</v>
      </c>
      <c r="HE765" s="8">
        <v>3134</v>
      </c>
      <c r="HF765" s="8" t="s">
        <v>537</v>
      </c>
      <c r="HG765" s="9" t="s">
        <v>538</v>
      </c>
      <c r="IB765" s="8" t="s">
        <v>5918</v>
      </c>
      <c r="ID765" s="8" t="s">
        <v>528</v>
      </c>
      <c r="IE765" s="8" t="s">
        <v>538</v>
      </c>
      <c r="IF765" s="8" t="s">
        <v>319</v>
      </c>
      <c r="IG765" s="8" t="s">
        <v>5919</v>
      </c>
      <c r="IH765" s="8">
        <v>24493</v>
      </c>
      <c r="II765" s="8" t="s">
        <v>5920</v>
      </c>
      <c r="IW765" s="8"/>
      <c r="JB765" s="8"/>
      <c r="KG765" s="4" t="s">
        <v>323</v>
      </c>
      <c r="KP765" s="5" t="s">
        <v>5921</v>
      </c>
      <c r="KQ765" s="5" t="s">
        <v>5922</v>
      </c>
      <c r="KR765" s="5" t="s">
        <v>3227</v>
      </c>
      <c r="KS765" s="5" t="s">
        <v>2485</v>
      </c>
      <c r="KT765" s="5" t="s">
        <v>5923</v>
      </c>
    </row>
    <row r="766" spans="1:306" ht="84" x14ac:dyDescent="0.25">
      <c r="A766" s="5" t="s">
        <v>5988</v>
      </c>
      <c r="B766" s="4" t="s">
        <v>397</v>
      </c>
      <c r="C766" s="7" t="s">
        <v>528</v>
      </c>
      <c r="D766" s="8" t="s">
        <v>529</v>
      </c>
      <c r="E766" s="4">
        <v>336191</v>
      </c>
      <c r="G766" s="4" t="s">
        <v>773</v>
      </c>
      <c r="H766" s="6">
        <v>147.53249515600001</v>
      </c>
      <c r="I766" s="6">
        <v>-36.853922283000003</v>
      </c>
      <c r="J766" s="4" t="s">
        <v>5988</v>
      </c>
      <c r="K766" s="4" t="s">
        <v>298</v>
      </c>
      <c r="L766" s="4" t="s">
        <v>299</v>
      </c>
      <c r="M766" s="4" t="s">
        <v>428</v>
      </c>
      <c r="N766" s="4" t="s">
        <v>800</v>
      </c>
      <c r="Q766" s="8"/>
      <c r="R766" s="8"/>
      <c r="Z766" s="4" t="s">
        <v>397</v>
      </c>
      <c r="AA766" s="7" t="s">
        <v>528</v>
      </c>
      <c r="AB766" s="8" t="s">
        <v>529</v>
      </c>
      <c r="AC766" s="4" t="s">
        <v>301</v>
      </c>
      <c r="AD766" s="4" t="s">
        <v>375</v>
      </c>
      <c r="AE766" s="8">
        <v>420</v>
      </c>
      <c r="AF766" s="8">
        <v>4</v>
      </c>
      <c r="AG766" s="9" t="s">
        <v>379</v>
      </c>
      <c r="AH766" s="9" t="s">
        <v>304</v>
      </c>
      <c r="AI766" s="9" t="s">
        <v>504</v>
      </c>
      <c r="AJ766" s="9" t="s">
        <v>306</v>
      </c>
      <c r="AK766" s="9" t="s">
        <v>307</v>
      </c>
      <c r="AL766" s="9" t="s">
        <v>5989</v>
      </c>
      <c r="AM766" s="8">
        <v>4</v>
      </c>
      <c r="AN766" s="4" t="s">
        <v>381</v>
      </c>
      <c r="AO766" s="4" t="s">
        <v>402</v>
      </c>
      <c r="AP766" s="4" t="s">
        <v>383</v>
      </c>
      <c r="AQ766" s="7" t="s">
        <v>384</v>
      </c>
      <c r="AR766" s="8" t="s">
        <v>711</v>
      </c>
      <c r="AS766" s="7">
        <v>0</v>
      </c>
      <c r="AT766" s="7">
        <v>0</v>
      </c>
      <c r="AU766" s="9" t="s">
        <v>303</v>
      </c>
      <c r="AV766" s="9" t="s">
        <v>406</v>
      </c>
      <c r="BA766" s="8">
        <v>5</v>
      </c>
      <c r="DZ766" s="31"/>
      <c r="FN766" s="6">
        <f>3.246*(118.71/(118.71+2*15.99))</f>
        <v>2.5571216404539117</v>
      </c>
      <c r="GP766" s="32"/>
      <c r="GY766" s="6" t="s">
        <v>309</v>
      </c>
      <c r="GZ766" s="6" t="s">
        <v>639</v>
      </c>
      <c r="HC766" s="6" t="s">
        <v>5917</v>
      </c>
      <c r="HD766" s="8" t="s">
        <v>5990</v>
      </c>
      <c r="HF766" s="8" t="s">
        <v>5991</v>
      </c>
      <c r="HG766" s="8" t="s">
        <v>1025</v>
      </c>
      <c r="IB766" s="8" t="s">
        <v>5990</v>
      </c>
      <c r="ID766" s="8" t="s">
        <v>5991</v>
      </c>
      <c r="IE766" s="8" t="s">
        <v>1025</v>
      </c>
      <c r="IF766" s="8" t="s">
        <v>319</v>
      </c>
      <c r="IG766" s="8" t="s">
        <v>5992</v>
      </c>
      <c r="IH766" s="8">
        <v>13225</v>
      </c>
      <c r="II766" s="8" t="s">
        <v>5993</v>
      </c>
      <c r="IJ766" s="8" t="s">
        <v>1025</v>
      </c>
      <c r="IK766" s="8" t="s">
        <v>319</v>
      </c>
      <c r="KG766" s="4" t="s">
        <v>323</v>
      </c>
      <c r="KP766" s="5" t="s">
        <v>5994</v>
      </c>
      <c r="KQ766" s="5" t="s">
        <v>5995</v>
      </c>
      <c r="KR766" s="5" t="s">
        <v>5996</v>
      </c>
      <c r="KS766" s="5" t="s">
        <v>2819</v>
      </c>
      <c r="KT766" s="5" t="s">
        <v>5997</v>
      </c>
    </row>
    <row r="767" spans="1:306" ht="96" x14ac:dyDescent="0.2">
      <c r="A767" s="5" t="s">
        <v>6604</v>
      </c>
      <c r="B767" s="4" t="s">
        <v>397</v>
      </c>
      <c r="C767" s="7" t="s">
        <v>528</v>
      </c>
      <c r="D767" s="7" t="s">
        <v>529</v>
      </c>
      <c r="E767" s="44">
        <v>917623</v>
      </c>
      <c r="G767" s="4" t="s">
        <v>530</v>
      </c>
      <c r="H767" s="6">
        <v>130.78261996500001</v>
      </c>
      <c r="I767" s="6">
        <v>-12.769424712999999</v>
      </c>
      <c r="J767" s="4" t="s">
        <v>531</v>
      </c>
      <c r="K767" s="4" t="s">
        <v>481</v>
      </c>
      <c r="L767" s="4" t="s">
        <v>532</v>
      </c>
      <c r="M767" s="4" t="s">
        <v>533</v>
      </c>
      <c r="O767" s="7"/>
      <c r="Q767" s="8"/>
      <c r="R767" s="8"/>
      <c r="V767" s="4"/>
      <c r="W767" s="4"/>
      <c r="X767" s="4"/>
      <c r="Z767" s="4" t="s">
        <v>397</v>
      </c>
      <c r="AA767" s="7" t="s">
        <v>528</v>
      </c>
      <c r="AB767" s="7" t="s">
        <v>529</v>
      </c>
      <c r="AC767" s="4" t="s">
        <v>301</v>
      </c>
      <c r="AD767" s="4" t="s">
        <v>375</v>
      </c>
      <c r="AE767" s="8">
        <v>1717</v>
      </c>
      <c r="AF767" s="8"/>
      <c r="AG767" s="9" t="s">
        <v>379</v>
      </c>
      <c r="AH767" s="9" t="s">
        <v>380</v>
      </c>
      <c r="AJ767" s="4"/>
      <c r="AK767" s="4"/>
      <c r="AL767" s="4"/>
      <c r="AM767" s="8">
        <v>3</v>
      </c>
      <c r="AS767" s="7"/>
      <c r="AT767" s="7"/>
      <c r="BP767" s="7">
        <v>0.56999999999999995</v>
      </c>
      <c r="BW767" s="6">
        <v>1.04</v>
      </c>
      <c r="DZ767" s="31"/>
      <c r="EM767" s="10">
        <f>0.4646*BP767*BW767/100</f>
        <v>2.7541488000000004E-3</v>
      </c>
      <c r="EY767" s="6"/>
      <c r="FA767" s="6"/>
      <c r="FD767" s="10"/>
      <c r="FE767" s="10"/>
      <c r="FN767" s="9"/>
      <c r="FP767" s="10"/>
      <c r="FS767" s="9"/>
      <c r="GA767" s="10"/>
      <c r="GB767" s="10"/>
      <c r="GC767" s="10"/>
      <c r="GD767" s="10"/>
      <c r="GE767" s="10"/>
      <c r="GF767" s="10"/>
      <c r="GG767" s="10"/>
      <c r="GH767" s="10"/>
      <c r="GI767" s="10"/>
      <c r="GJ767" s="10"/>
      <c r="GK767" s="10"/>
      <c r="GL767" s="10"/>
      <c r="GM767" s="10"/>
      <c r="GN767" s="10"/>
      <c r="GO767" s="10"/>
      <c r="GP767" s="32"/>
      <c r="GQ767" s="10"/>
      <c r="GY767" s="6" t="s">
        <v>338</v>
      </c>
      <c r="GZ767" s="6" t="s">
        <v>534</v>
      </c>
      <c r="HC767" s="6" t="s">
        <v>535</v>
      </c>
      <c r="HD767" s="8" t="s">
        <v>536</v>
      </c>
      <c r="HE767" s="8">
        <v>3134</v>
      </c>
      <c r="HF767" s="8" t="s">
        <v>537</v>
      </c>
      <c r="HG767" s="9" t="s">
        <v>538</v>
      </c>
      <c r="HY767" s="9"/>
      <c r="IB767" s="8" t="s">
        <v>539</v>
      </c>
      <c r="ID767" s="8" t="s">
        <v>528</v>
      </c>
      <c r="IE767" s="8" t="s">
        <v>538</v>
      </c>
      <c r="IF767" s="8" t="s">
        <v>319</v>
      </c>
      <c r="IG767" s="8" t="s">
        <v>540</v>
      </c>
      <c r="IH767" s="8">
        <v>24544</v>
      </c>
      <c r="II767" s="8" t="s">
        <v>541</v>
      </c>
      <c r="IJ767" s="8" t="s">
        <v>538</v>
      </c>
      <c r="IK767" s="8" t="s">
        <v>445</v>
      </c>
      <c r="IW767" s="8"/>
      <c r="JB767" s="8"/>
      <c r="KG767" s="4" t="s">
        <v>323</v>
      </c>
      <c r="KM767" s="4" t="s">
        <v>471</v>
      </c>
      <c r="KN767" s="4" t="s">
        <v>542</v>
      </c>
      <c r="KP767" s="5" t="s">
        <v>543</v>
      </c>
      <c r="KQ767" s="5" t="s">
        <v>544</v>
      </c>
      <c r="KR767" s="5" t="s">
        <v>545</v>
      </c>
      <c r="KS767" s="5" t="s">
        <v>546</v>
      </c>
      <c r="KT767" s="14" t="s">
        <v>547</v>
      </c>
    </row>
    <row r="768" spans="1:306" ht="204" x14ac:dyDescent="0.25">
      <c r="A768" s="5" t="s">
        <v>6634</v>
      </c>
      <c r="B768" s="4" t="s">
        <v>397</v>
      </c>
      <c r="C768" s="7" t="s">
        <v>528</v>
      </c>
      <c r="D768" s="8" t="s">
        <v>529</v>
      </c>
      <c r="E768" s="4">
        <v>334607</v>
      </c>
      <c r="G768" s="4" t="s">
        <v>330</v>
      </c>
      <c r="H768" s="6">
        <v>118.91</v>
      </c>
      <c r="I768" s="6">
        <v>-21.06</v>
      </c>
      <c r="J768" s="4" t="s">
        <v>2984</v>
      </c>
      <c r="K768" s="4" t="s">
        <v>331</v>
      </c>
      <c r="L768" s="4" t="s">
        <v>368</v>
      </c>
      <c r="M768" s="4" t="s">
        <v>369</v>
      </c>
      <c r="Q768" s="8"/>
      <c r="R768" s="8"/>
      <c r="S768" s="4"/>
      <c r="Z768" s="4" t="s">
        <v>397</v>
      </c>
      <c r="AA768" s="7" t="s">
        <v>528</v>
      </c>
      <c r="AB768" s="8" t="s">
        <v>529</v>
      </c>
      <c r="AC768" s="4" t="s">
        <v>301</v>
      </c>
      <c r="AD768" s="4" t="s">
        <v>375</v>
      </c>
      <c r="AE768" s="8">
        <v>2845</v>
      </c>
      <c r="AF768" s="8">
        <v>4</v>
      </c>
      <c r="AG768" s="4" t="s">
        <v>303</v>
      </c>
      <c r="AH768" s="9" t="s">
        <v>304</v>
      </c>
      <c r="AI768" s="9" t="s">
        <v>1062</v>
      </c>
      <c r="AJ768" s="9" t="s">
        <v>306</v>
      </c>
      <c r="AK768" s="9" t="s">
        <v>307</v>
      </c>
      <c r="AL768" s="9" t="s">
        <v>4906</v>
      </c>
      <c r="AM768" s="8">
        <v>5</v>
      </c>
      <c r="AN768" s="4" t="s">
        <v>381</v>
      </c>
      <c r="AO768" s="4" t="s">
        <v>382</v>
      </c>
      <c r="AP768" s="4" t="s">
        <v>383</v>
      </c>
      <c r="AQ768" s="7" t="s">
        <v>403</v>
      </c>
      <c r="AR768" s="8" t="s">
        <v>802</v>
      </c>
      <c r="AS768" s="7">
        <v>0</v>
      </c>
      <c r="AT768" s="7">
        <v>0</v>
      </c>
      <c r="AU768" s="4" t="s">
        <v>303</v>
      </c>
      <c r="AV768" s="9" t="s">
        <v>406</v>
      </c>
      <c r="BA768" s="8">
        <v>5</v>
      </c>
      <c r="BG768" s="8"/>
      <c r="BH768" s="8"/>
      <c r="BI768" s="4"/>
      <c r="BP768" s="7">
        <v>431</v>
      </c>
      <c r="BQ768" s="7"/>
      <c r="DD768" s="8"/>
      <c r="DZ768" s="31"/>
      <c r="EM768" s="6">
        <v>2.3210000000000002</v>
      </c>
      <c r="FA768" s="6"/>
      <c r="FS768" s="6">
        <v>39.851999999999997</v>
      </c>
      <c r="GP768" s="32"/>
      <c r="GY768" s="6" t="s">
        <v>435</v>
      </c>
      <c r="GZ768" s="6" t="s">
        <v>534</v>
      </c>
      <c r="HB768" s="6" t="s">
        <v>789</v>
      </c>
      <c r="HC768" s="6" t="s">
        <v>790</v>
      </c>
      <c r="HD768" s="8" t="s">
        <v>6033</v>
      </c>
      <c r="HE768" s="8">
        <v>27151</v>
      </c>
      <c r="HF768" s="8" t="s">
        <v>6635</v>
      </c>
      <c r="HG768" s="9" t="s">
        <v>792</v>
      </c>
      <c r="HH768" s="9" t="s">
        <v>6636</v>
      </c>
      <c r="HI768" s="8">
        <v>32238</v>
      </c>
      <c r="HJ768" s="9" t="s">
        <v>6637</v>
      </c>
      <c r="HK768" s="9" t="s">
        <v>389</v>
      </c>
      <c r="HL768" s="8" t="s">
        <v>6638</v>
      </c>
      <c r="HN768" s="8" t="s">
        <v>6639</v>
      </c>
      <c r="HO768" s="8" t="s">
        <v>389</v>
      </c>
      <c r="IB768" s="8" t="s">
        <v>6033</v>
      </c>
      <c r="IC768" s="8">
        <v>27151</v>
      </c>
      <c r="ID768" s="8" t="s">
        <v>6635</v>
      </c>
      <c r="IE768" s="9" t="s">
        <v>792</v>
      </c>
      <c r="IF768" s="9" t="s">
        <v>445</v>
      </c>
      <c r="IG768" s="9" t="s">
        <v>6636</v>
      </c>
      <c r="IH768" s="8">
        <v>32238</v>
      </c>
      <c r="II768" s="9" t="s">
        <v>6637</v>
      </c>
      <c r="IJ768" s="9" t="s">
        <v>389</v>
      </c>
      <c r="IK768" s="8" t="s">
        <v>445</v>
      </c>
      <c r="IL768" s="8" t="s">
        <v>6638</v>
      </c>
      <c r="IN768" s="8" t="s">
        <v>6639</v>
      </c>
      <c r="IO768" s="8" t="s">
        <v>389</v>
      </c>
      <c r="IP768" s="9" t="s">
        <v>319</v>
      </c>
      <c r="JV768" s="7" t="s">
        <v>6640</v>
      </c>
      <c r="KG768" s="4" t="s">
        <v>323</v>
      </c>
      <c r="KM768" s="4" t="s">
        <v>521</v>
      </c>
      <c r="KN768" s="4" t="s">
        <v>521</v>
      </c>
      <c r="KP768" s="5" t="s">
        <v>6641</v>
      </c>
      <c r="KQ768" s="5" t="s">
        <v>6642</v>
      </c>
      <c r="KR768" s="5" t="s">
        <v>6643</v>
      </c>
      <c r="KS768" s="5" t="s">
        <v>6644</v>
      </c>
      <c r="KT768" s="14" t="s">
        <v>6645</v>
      </c>
    </row>
    <row r="769" spans="1:306" ht="120" x14ac:dyDescent="0.2">
      <c r="A769" s="5" t="s">
        <v>6668</v>
      </c>
      <c r="B769" s="4" t="s">
        <v>397</v>
      </c>
      <c r="C769" s="7" t="s">
        <v>528</v>
      </c>
      <c r="D769" s="8" t="s">
        <v>529</v>
      </c>
      <c r="E769" s="44">
        <v>651556</v>
      </c>
      <c r="G769" s="4" t="s">
        <v>330</v>
      </c>
      <c r="H769" s="6">
        <v>121.603133164</v>
      </c>
      <c r="I769" s="6">
        <v>-31.752937242000002</v>
      </c>
      <c r="K769" s="4" t="s">
        <v>331</v>
      </c>
      <c r="L769" s="4" t="s">
        <v>500</v>
      </c>
      <c r="M769" s="4" t="s">
        <v>501</v>
      </c>
      <c r="N769" s="4" t="s">
        <v>1061</v>
      </c>
      <c r="Q769" s="8"/>
      <c r="Z769" s="4" t="s">
        <v>397</v>
      </c>
      <c r="AA769" s="7" t="s">
        <v>528</v>
      </c>
      <c r="AB769" s="8" t="s">
        <v>529</v>
      </c>
      <c r="AE769" s="8">
        <v>2625</v>
      </c>
      <c r="AG769" s="9" t="s">
        <v>379</v>
      </c>
      <c r="AH769" s="9" t="s">
        <v>380</v>
      </c>
      <c r="AM769" s="8">
        <v>3</v>
      </c>
      <c r="BP769" s="7">
        <v>11.2</v>
      </c>
      <c r="BW769" s="6">
        <v>1.1599999999999999</v>
      </c>
      <c r="DD769" s="8">
        <f>57/1.2211</f>
        <v>46.679223650806648</v>
      </c>
      <c r="DZ769" s="31"/>
      <c r="EM769" s="10">
        <f>0.4646*BP769*BW769/100</f>
        <v>6.0360831999999996E-2</v>
      </c>
      <c r="FD769" s="10"/>
      <c r="FP769" s="10"/>
      <c r="FS769" s="6">
        <f>BP769*DD769/1000</f>
        <v>0.52280730488903437</v>
      </c>
      <c r="GP769" s="32"/>
      <c r="GY769" s="6" t="s">
        <v>338</v>
      </c>
      <c r="GZ769" s="6" t="s">
        <v>534</v>
      </c>
      <c r="HB769" s="6" t="s">
        <v>789</v>
      </c>
      <c r="HC769" s="6" t="s">
        <v>790</v>
      </c>
      <c r="HD769" s="8" t="s">
        <v>1445</v>
      </c>
      <c r="HE769" s="8">
        <v>28372</v>
      </c>
      <c r="HF769" s="9" t="s">
        <v>6669</v>
      </c>
      <c r="HG769" s="9" t="s">
        <v>507</v>
      </c>
      <c r="HH769" s="9" t="s">
        <v>6670</v>
      </c>
      <c r="HJ769" s="9" t="s">
        <v>6671</v>
      </c>
      <c r="HK769" s="9" t="s">
        <v>507</v>
      </c>
      <c r="HL769" s="9" t="s">
        <v>6672</v>
      </c>
      <c r="HN769" s="9" t="s">
        <v>6673</v>
      </c>
      <c r="HO769" s="9" t="s">
        <v>507</v>
      </c>
      <c r="HP769" s="9" t="s">
        <v>6674</v>
      </c>
      <c r="HR769" s="9" t="s">
        <v>796</v>
      </c>
      <c r="HS769" s="9" t="s">
        <v>507</v>
      </c>
      <c r="IB769" s="9" t="s">
        <v>6670</v>
      </c>
      <c r="ID769" s="9" t="s">
        <v>6671</v>
      </c>
      <c r="IE769" s="9" t="s">
        <v>507</v>
      </c>
      <c r="IF769" s="8" t="s">
        <v>445</v>
      </c>
      <c r="IG769" s="9" t="s">
        <v>6672</v>
      </c>
      <c r="II769" s="9" t="s">
        <v>6673</v>
      </c>
      <c r="IJ769" s="9" t="s">
        <v>507</v>
      </c>
      <c r="IK769" s="9" t="s">
        <v>445</v>
      </c>
      <c r="IL769" s="9" t="s">
        <v>6674</v>
      </c>
      <c r="IN769" s="9" t="s">
        <v>796</v>
      </c>
      <c r="IO769" s="9" t="s">
        <v>510</v>
      </c>
      <c r="IP769" s="9" t="s">
        <v>319</v>
      </c>
      <c r="IQ769" s="9" t="s">
        <v>6675</v>
      </c>
      <c r="IS769" s="9" t="s">
        <v>6676</v>
      </c>
      <c r="IT769" s="9" t="s">
        <v>507</v>
      </c>
      <c r="IU769" s="9" t="s">
        <v>319</v>
      </c>
      <c r="KP769" s="5" t="s">
        <v>6677</v>
      </c>
      <c r="KQ769" s="5" t="s">
        <v>6678</v>
      </c>
      <c r="KS769" s="5" t="s">
        <v>6677</v>
      </c>
      <c r="KT769" s="5" t="s">
        <v>6679</v>
      </c>
    </row>
    <row r="770" spans="1:306" ht="120" x14ac:dyDescent="0.2">
      <c r="A770" s="5" t="s">
        <v>6680</v>
      </c>
      <c r="B770" s="4" t="s">
        <v>397</v>
      </c>
      <c r="C770" s="7" t="s">
        <v>528</v>
      </c>
      <c r="D770" s="8" t="s">
        <v>529</v>
      </c>
      <c r="E770" s="44">
        <v>628604</v>
      </c>
      <c r="G770" s="4" t="s">
        <v>330</v>
      </c>
      <c r="H770" s="6">
        <v>121.637348</v>
      </c>
      <c r="I770" s="6">
        <v>-31.910496999999999</v>
      </c>
      <c r="K770" s="4" t="s">
        <v>331</v>
      </c>
      <c r="L770" s="4" t="s">
        <v>500</v>
      </c>
      <c r="M770" s="4" t="s">
        <v>501</v>
      </c>
      <c r="N770" s="4" t="s">
        <v>1061</v>
      </c>
      <c r="Q770" s="8"/>
      <c r="Z770" s="4" t="s">
        <v>397</v>
      </c>
      <c r="AA770" s="7" t="s">
        <v>528</v>
      </c>
      <c r="AB770" s="8" t="s">
        <v>529</v>
      </c>
      <c r="AE770" s="8">
        <v>2625</v>
      </c>
      <c r="AG770" s="9" t="s">
        <v>379</v>
      </c>
      <c r="AH770" s="9" t="s">
        <v>380</v>
      </c>
      <c r="BP770" s="6">
        <v>7.11E-3</v>
      </c>
      <c r="DA770" s="7">
        <v>16.399999999999999</v>
      </c>
      <c r="DD770" s="8"/>
      <c r="DZ770" s="31"/>
      <c r="EM770" s="10"/>
      <c r="FD770" s="10"/>
      <c r="FP770" s="9">
        <f>1000*BP770*DA770/100</f>
        <v>1.16604</v>
      </c>
      <c r="GP770" s="32"/>
      <c r="GY770" s="6" t="s">
        <v>338</v>
      </c>
      <c r="GZ770" s="40" t="s">
        <v>6681</v>
      </c>
      <c r="HC770" s="6" t="s">
        <v>6682</v>
      </c>
      <c r="HD770" s="8" t="s">
        <v>1445</v>
      </c>
      <c r="HE770" s="8">
        <v>28372</v>
      </c>
      <c r="HF770" s="9" t="s">
        <v>6669</v>
      </c>
      <c r="HG770" s="9" t="s">
        <v>507</v>
      </c>
      <c r="HH770" s="9" t="s">
        <v>6670</v>
      </c>
      <c r="HJ770" s="9" t="s">
        <v>6671</v>
      </c>
      <c r="HK770" s="9" t="s">
        <v>507</v>
      </c>
      <c r="HL770" s="9" t="s">
        <v>6672</v>
      </c>
      <c r="HN770" s="9" t="s">
        <v>6673</v>
      </c>
      <c r="HO770" s="9" t="s">
        <v>507</v>
      </c>
      <c r="HP770" s="9" t="s">
        <v>6674</v>
      </c>
      <c r="HR770" s="9" t="s">
        <v>796</v>
      </c>
      <c r="HS770" s="9" t="s">
        <v>507</v>
      </c>
      <c r="IB770" s="9" t="s">
        <v>6670</v>
      </c>
      <c r="ID770" s="9" t="s">
        <v>6671</v>
      </c>
      <c r="IE770" s="9" t="s">
        <v>507</v>
      </c>
      <c r="IF770" s="8" t="s">
        <v>445</v>
      </c>
      <c r="IG770" s="9" t="s">
        <v>6672</v>
      </c>
      <c r="II770" s="9" t="s">
        <v>6673</v>
      </c>
      <c r="IJ770" s="9" t="s">
        <v>507</v>
      </c>
      <c r="IK770" s="9" t="s">
        <v>445</v>
      </c>
      <c r="IL770" s="9" t="s">
        <v>6674</v>
      </c>
      <c r="IN770" s="9" t="s">
        <v>796</v>
      </c>
      <c r="IO770" s="9" t="s">
        <v>510</v>
      </c>
      <c r="IP770" s="9" t="s">
        <v>319</v>
      </c>
      <c r="IQ770" s="9" t="s">
        <v>6675</v>
      </c>
      <c r="IS770" s="9" t="s">
        <v>6676</v>
      </c>
      <c r="IT770" s="9" t="s">
        <v>507</v>
      </c>
      <c r="IU770" s="9" t="s">
        <v>319</v>
      </c>
      <c r="KP770" s="5" t="s">
        <v>6683</v>
      </c>
      <c r="KQ770" s="5" t="s">
        <v>6684</v>
      </c>
      <c r="KS770" s="5" t="s">
        <v>6683</v>
      </c>
      <c r="KT770" s="5" t="s">
        <v>6685</v>
      </c>
    </row>
    <row r="771" spans="1:306" ht="96" x14ac:dyDescent="0.25">
      <c r="A771" s="5" t="s">
        <v>7076</v>
      </c>
      <c r="B771" s="4" t="s">
        <v>397</v>
      </c>
      <c r="C771" s="7" t="s">
        <v>528</v>
      </c>
      <c r="D771" s="7" t="s">
        <v>529</v>
      </c>
      <c r="E771" s="4">
        <v>805307</v>
      </c>
      <c r="G771" s="4" t="s">
        <v>530</v>
      </c>
      <c r="H771" s="6">
        <v>130.78163728300001</v>
      </c>
      <c r="I771" s="6">
        <v>-12.868037248</v>
      </c>
      <c r="J771" s="4" t="s">
        <v>1416</v>
      </c>
      <c r="K771" s="4" t="s">
        <v>481</v>
      </c>
      <c r="L771" s="4" t="s">
        <v>532</v>
      </c>
      <c r="M771" s="4" t="s">
        <v>533</v>
      </c>
      <c r="O771" s="7"/>
      <c r="Q771" s="8"/>
      <c r="R771" s="8"/>
      <c r="S771" s="4"/>
      <c r="Z771" s="4" t="s">
        <v>397</v>
      </c>
      <c r="AA771" s="7" t="s">
        <v>528</v>
      </c>
      <c r="AB771" s="7" t="s">
        <v>529</v>
      </c>
      <c r="AC771" s="4" t="s">
        <v>301</v>
      </c>
      <c r="AD771" s="4" t="s">
        <v>375</v>
      </c>
      <c r="AE771" s="8">
        <v>1733</v>
      </c>
      <c r="AF771" s="8">
        <v>13</v>
      </c>
      <c r="AG771" s="4" t="s">
        <v>303</v>
      </c>
      <c r="AH771" s="9" t="s">
        <v>304</v>
      </c>
      <c r="AI771" s="9" t="s">
        <v>1062</v>
      </c>
      <c r="AJ771" s="9" t="s">
        <v>306</v>
      </c>
      <c r="AK771" s="9" t="s">
        <v>307</v>
      </c>
      <c r="AL771" s="9" t="s">
        <v>337</v>
      </c>
      <c r="AM771" s="8">
        <v>5</v>
      </c>
      <c r="AN771" s="4" t="s">
        <v>381</v>
      </c>
      <c r="AO771" s="4" t="s">
        <v>382</v>
      </c>
      <c r="AP771" s="4" t="s">
        <v>383</v>
      </c>
      <c r="AQ771" s="7" t="s">
        <v>403</v>
      </c>
      <c r="AR771" s="8" t="s">
        <v>3846</v>
      </c>
      <c r="AS771" s="7">
        <v>0</v>
      </c>
      <c r="AT771" s="7">
        <v>0</v>
      </c>
      <c r="AU771" s="9" t="s">
        <v>303</v>
      </c>
      <c r="AV771" s="9" t="s">
        <v>406</v>
      </c>
      <c r="BA771" s="8">
        <v>5</v>
      </c>
      <c r="BP771" s="7">
        <v>1.73</v>
      </c>
      <c r="BW771" s="6">
        <v>0.89</v>
      </c>
      <c r="CP771" s="7"/>
      <c r="DK771" s="7"/>
      <c r="DL771" s="7"/>
      <c r="DM771" s="7"/>
      <c r="DN771" s="7"/>
      <c r="DO771" s="7"/>
      <c r="DP771" s="7"/>
      <c r="DQ771" s="7"/>
      <c r="DR771" s="7"/>
      <c r="DS771" s="7"/>
      <c r="DT771" s="7"/>
      <c r="DU771" s="7"/>
      <c r="DV771" s="7"/>
      <c r="DW771" s="7"/>
      <c r="DX771" s="7"/>
      <c r="DY771" s="7"/>
      <c r="DZ771" s="31"/>
      <c r="EA771" s="7"/>
      <c r="EM771" s="10">
        <f>0.4646*BP771*BW771/100</f>
        <v>7.1534462E-3</v>
      </c>
      <c r="EY771" s="6"/>
      <c r="FA771" s="6"/>
      <c r="FD771" s="10"/>
      <c r="FE771" s="10"/>
      <c r="FN771" s="16">
        <v>5.5060230000000007E-5</v>
      </c>
      <c r="FP771" s="10"/>
      <c r="FS771" s="16">
        <v>1.3515150000000001E-5</v>
      </c>
      <c r="GA771" s="10"/>
      <c r="GB771" s="10"/>
      <c r="GC771" s="10"/>
      <c r="GD771" s="10"/>
      <c r="GE771" s="10"/>
      <c r="GF771" s="10"/>
      <c r="GG771" s="10"/>
      <c r="GH771" s="10"/>
      <c r="GI771" s="10"/>
      <c r="GJ771" s="10"/>
      <c r="GK771" s="10"/>
      <c r="GL771" s="10"/>
      <c r="GM771" s="10"/>
      <c r="GN771" s="10"/>
      <c r="GO771" s="10"/>
      <c r="GP771" s="32"/>
      <c r="GQ771" s="10"/>
      <c r="GY771" s="31" t="s">
        <v>407</v>
      </c>
      <c r="GZ771" s="6" t="s">
        <v>534</v>
      </c>
      <c r="HB771" s="6" t="s">
        <v>3709</v>
      </c>
      <c r="HC771" s="6" t="s">
        <v>3847</v>
      </c>
      <c r="HD771" s="8" t="s">
        <v>536</v>
      </c>
      <c r="HE771" s="8">
        <v>3134</v>
      </c>
      <c r="HF771" s="8" t="s">
        <v>537</v>
      </c>
      <c r="HG771" s="9" t="s">
        <v>538</v>
      </c>
      <c r="HY771" s="9"/>
      <c r="IB771" s="8" t="s">
        <v>1417</v>
      </c>
      <c r="ID771" s="8" t="s">
        <v>528</v>
      </c>
      <c r="IE771" s="8" t="s">
        <v>538</v>
      </c>
      <c r="IF771" s="8" t="s">
        <v>319</v>
      </c>
      <c r="IG771" s="8" t="s">
        <v>540</v>
      </c>
      <c r="IH771" s="8">
        <v>24544</v>
      </c>
      <c r="II771" s="8" t="s">
        <v>541</v>
      </c>
      <c r="IJ771" s="8" t="s">
        <v>538</v>
      </c>
      <c r="IK771" s="8" t="s">
        <v>445</v>
      </c>
      <c r="IW771" s="8"/>
      <c r="JB771" s="8"/>
      <c r="KG771" s="4" t="s">
        <v>323</v>
      </c>
      <c r="KM771" s="4" t="s">
        <v>471</v>
      </c>
      <c r="KN771" s="4" t="s">
        <v>542</v>
      </c>
      <c r="KP771" s="5" t="s">
        <v>543</v>
      </c>
      <c r="KQ771" s="5" t="s">
        <v>1418</v>
      </c>
      <c r="KR771" s="5" t="s">
        <v>545</v>
      </c>
      <c r="KS771" s="5" t="s">
        <v>1419</v>
      </c>
      <c r="KT771" s="14" t="s">
        <v>7077</v>
      </c>
    </row>
    <row r="772" spans="1:306" ht="36" x14ac:dyDescent="0.25">
      <c r="A772" s="5" t="s">
        <v>7141</v>
      </c>
      <c r="B772" s="4" t="s">
        <v>397</v>
      </c>
      <c r="C772" s="7" t="s">
        <v>528</v>
      </c>
      <c r="D772" s="8" t="s">
        <v>529</v>
      </c>
      <c r="E772" s="4">
        <v>706260</v>
      </c>
      <c r="G772" s="4" t="s">
        <v>330</v>
      </c>
      <c r="H772" s="6">
        <v>118.614833718</v>
      </c>
      <c r="I772" s="6">
        <v>-21.266058191999999</v>
      </c>
      <c r="K772" s="4" t="s">
        <v>331</v>
      </c>
      <c r="L772" s="4" t="s">
        <v>368</v>
      </c>
      <c r="M772" s="4" t="s">
        <v>369</v>
      </c>
      <c r="Q772" s="8"/>
      <c r="R772" s="8"/>
      <c r="S772" s="4"/>
      <c r="Z772" s="4" t="s">
        <v>397</v>
      </c>
      <c r="AA772" s="7" t="s">
        <v>528</v>
      </c>
      <c r="AB772" s="8" t="s">
        <v>529</v>
      </c>
      <c r="AC772" s="4" t="s">
        <v>301</v>
      </c>
      <c r="AD772" s="4" t="s">
        <v>375</v>
      </c>
      <c r="AE772" s="8">
        <v>2887</v>
      </c>
      <c r="AF772" s="8">
        <v>20</v>
      </c>
      <c r="AG772" s="4" t="s">
        <v>303</v>
      </c>
      <c r="AH772" s="9" t="s">
        <v>304</v>
      </c>
      <c r="AI772" s="9" t="s">
        <v>305</v>
      </c>
      <c r="AJ772" s="9" t="s">
        <v>306</v>
      </c>
      <c r="AK772" s="9" t="s">
        <v>307</v>
      </c>
      <c r="AL772" s="9" t="s">
        <v>4906</v>
      </c>
      <c r="AM772" s="8">
        <v>5</v>
      </c>
      <c r="AN772" s="4" t="s">
        <v>381</v>
      </c>
      <c r="AO772" s="4" t="s">
        <v>382</v>
      </c>
      <c r="AP772" s="4" t="s">
        <v>383</v>
      </c>
      <c r="AQ772" s="7" t="s">
        <v>403</v>
      </c>
      <c r="AR772" s="8" t="s">
        <v>802</v>
      </c>
      <c r="AS772" s="7">
        <v>0</v>
      </c>
      <c r="AT772" s="7">
        <v>0</v>
      </c>
      <c r="AU772" s="4" t="s">
        <v>303</v>
      </c>
      <c r="AV772" s="9" t="s">
        <v>406</v>
      </c>
      <c r="BA772" s="8">
        <v>5</v>
      </c>
      <c r="BG772" s="8"/>
      <c r="BH772" s="8"/>
      <c r="BI772" s="4"/>
      <c r="DZ772" s="31"/>
      <c r="FA772" s="6"/>
      <c r="FN772" s="9">
        <f>0.004/1.2696</f>
        <v>3.1505986137366098E-3</v>
      </c>
      <c r="GP772" s="32"/>
      <c r="GY772" s="6" t="s">
        <v>309</v>
      </c>
      <c r="GZ772" s="6" t="s">
        <v>639</v>
      </c>
      <c r="HC772" s="6" t="s">
        <v>5917</v>
      </c>
      <c r="HD772" s="8" t="s">
        <v>5579</v>
      </c>
      <c r="HE772" s="8">
        <v>32237</v>
      </c>
      <c r="HF772" s="8" t="s">
        <v>7142</v>
      </c>
      <c r="HG772" s="8" t="s">
        <v>792</v>
      </c>
      <c r="HH772" s="8" t="s">
        <v>7143</v>
      </c>
      <c r="HJ772" s="8" t="s">
        <v>529</v>
      </c>
      <c r="HK772" s="8" t="s">
        <v>389</v>
      </c>
      <c r="IB772" s="8" t="s">
        <v>5579</v>
      </c>
      <c r="IC772" s="8">
        <v>32237</v>
      </c>
      <c r="ID772" s="8" t="s">
        <v>7142</v>
      </c>
      <c r="IE772" s="8" t="s">
        <v>792</v>
      </c>
      <c r="IF772" s="8" t="s">
        <v>445</v>
      </c>
      <c r="IG772" s="8" t="s">
        <v>7143</v>
      </c>
      <c r="II772" s="8" t="s">
        <v>529</v>
      </c>
      <c r="IJ772" s="8" t="s">
        <v>389</v>
      </c>
      <c r="IK772" s="8" t="s">
        <v>319</v>
      </c>
      <c r="IM772" s="9"/>
      <c r="KP772" s="5" t="s">
        <v>2992</v>
      </c>
      <c r="KQ772" s="5" t="s">
        <v>5584</v>
      </c>
      <c r="KR772" s="5" t="s">
        <v>1066</v>
      </c>
      <c r="KS772" s="5" t="s">
        <v>2992</v>
      </c>
      <c r="KT772" s="5" t="s">
        <v>7144</v>
      </c>
    </row>
    <row r="773" spans="1:306" ht="24" x14ac:dyDescent="0.25">
      <c r="A773" s="5" t="s">
        <v>7232</v>
      </c>
      <c r="B773" s="4" t="s">
        <v>397</v>
      </c>
      <c r="C773" s="7" t="s">
        <v>528</v>
      </c>
      <c r="D773" s="8" t="s">
        <v>529</v>
      </c>
      <c r="E773" s="4">
        <v>759768</v>
      </c>
      <c r="G773" s="4" t="s">
        <v>330</v>
      </c>
      <c r="H773" s="6">
        <f>121+28/60+10/3600</f>
        <v>121.46944444444445</v>
      </c>
      <c r="I773" s="6">
        <f>-(31+14/60+52/3600)</f>
        <v>-31.247777777777777</v>
      </c>
      <c r="J773" s="4" t="s">
        <v>7232</v>
      </c>
      <c r="K773" s="4" t="s">
        <v>331</v>
      </c>
      <c r="L773" s="4" t="s">
        <v>500</v>
      </c>
      <c r="M773" s="4" t="s">
        <v>501</v>
      </c>
      <c r="N773" s="4" t="s">
        <v>1061</v>
      </c>
      <c r="Q773" s="8"/>
      <c r="R773" s="8"/>
      <c r="Z773" s="4" t="s">
        <v>397</v>
      </c>
      <c r="AA773" s="7" t="s">
        <v>528</v>
      </c>
      <c r="AB773" s="8" t="s">
        <v>529</v>
      </c>
      <c r="AC773" s="4" t="s">
        <v>301</v>
      </c>
      <c r="AD773" s="4" t="s">
        <v>302</v>
      </c>
      <c r="AE773" s="8">
        <v>2627</v>
      </c>
      <c r="AF773" s="8">
        <v>6</v>
      </c>
      <c r="AG773" s="9" t="s">
        <v>303</v>
      </c>
      <c r="AH773" s="9" t="s">
        <v>304</v>
      </c>
      <c r="AI773" s="9" t="s">
        <v>2631</v>
      </c>
      <c r="AJ773" s="9" t="s">
        <v>306</v>
      </c>
      <c r="AK773" s="9" t="s">
        <v>307</v>
      </c>
      <c r="AL773" s="9" t="s">
        <v>308</v>
      </c>
      <c r="AM773" s="8">
        <v>5</v>
      </c>
      <c r="AS773" s="8"/>
      <c r="AT773" s="8"/>
      <c r="BG773" s="8"/>
      <c r="BH773" s="8"/>
      <c r="DZ773" s="31"/>
      <c r="GP773" s="32"/>
      <c r="GY773" s="6" t="s">
        <v>407</v>
      </c>
      <c r="HF773" s="8" t="s">
        <v>7233</v>
      </c>
      <c r="HG773" s="9" t="s">
        <v>507</v>
      </c>
      <c r="ID773" s="8" t="s">
        <v>7233</v>
      </c>
      <c r="IE773" s="9" t="s">
        <v>507</v>
      </c>
      <c r="IF773" s="8" t="s">
        <v>445</v>
      </c>
      <c r="II773" s="8" t="s">
        <v>528</v>
      </c>
      <c r="IJ773" s="9" t="s">
        <v>507</v>
      </c>
      <c r="IK773" s="8" t="s">
        <v>319</v>
      </c>
      <c r="KG773" s="4" t="s">
        <v>323</v>
      </c>
      <c r="KM773" s="4" t="s">
        <v>391</v>
      </c>
      <c r="KN773" s="4" t="s">
        <v>391</v>
      </c>
      <c r="KP773" s="5" t="s">
        <v>2609</v>
      </c>
      <c r="KQ773" s="5" t="s">
        <v>7234</v>
      </c>
      <c r="KR773" s="5" t="s">
        <v>1066</v>
      </c>
      <c r="KS773" s="5" t="s">
        <v>2609</v>
      </c>
      <c r="KT773" s="5" t="s">
        <v>7235</v>
      </c>
    </row>
    <row r="774" spans="1:306" ht="108" x14ac:dyDescent="0.2">
      <c r="A774" s="5" t="s">
        <v>7276</v>
      </c>
      <c r="B774" s="4" t="s">
        <v>397</v>
      </c>
      <c r="C774" s="4" t="s">
        <v>528</v>
      </c>
      <c r="D774" s="4" t="s">
        <v>529</v>
      </c>
      <c r="E774" s="44">
        <v>922813</v>
      </c>
      <c r="G774" s="4" t="s">
        <v>330</v>
      </c>
      <c r="H774" s="4">
        <v>119.55</v>
      </c>
      <c r="I774" s="4">
        <v>-31.74</v>
      </c>
      <c r="K774" s="4" t="s">
        <v>331</v>
      </c>
      <c r="L774" s="4" t="s">
        <v>500</v>
      </c>
      <c r="M774" s="4" t="s">
        <v>676</v>
      </c>
      <c r="N774" s="4" t="s">
        <v>1811</v>
      </c>
      <c r="O774" s="4"/>
      <c r="Q774" s="4"/>
      <c r="R774" s="4"/>
      <c r="S774" s="4"/>
      <c r="T774" s="4"/>
      <c r="U774" s="4"/>
      <c r="V774" s="4"/>
      <c r="W774" s="4"/>
      <c r="X774" s="4"/>
      <c r="Y774" s="4"/>
      <c r="Z774" s="4" t="s">
        <v>397</v>
      </c>
      <c r="AA774" s="4" t="s">
        <v>528</v>
      </c>
      <c r="AB774" s="4" t="s">
        <v>529</v>
      </c>
      <c r="AC774" s="4" t="s">
        <v>301</v>
      </c>
      <c r="AE774" s="4">
        <v>2640</v>
      </c>
      <c r="AF774" s="4" t="s">
        <v>2797</v>
      </c>
      <c r="AG774" s="4" t="s">
        <v>379</v>
      </c>
      <c r="AH774" s="4" t="s">
        <v>380</v>
      </c>
      <c r="AI774" s="4"/>
      <c r="AJ774" s="4"/>
      <c r="AK774" s="4"/>
      <c r="AL774" s="4"/>
      <c r="AM774" s="4">
        <v>3</v>
      </c>
      <c r="AQ774" s="4"/>
      <c r="AR774" s="4"/>
      <c r="AS774" s="4"/>
      <c r="AT774" s="4"/>
      <c r="AU774" s="4"/>
      <c r="AV774" s="4"/>
      <c r="AW774" s="4"/>
      <c r="AX774" s="4"/>
      <c r="AY774" s="4"/>
      <c r="AZ774" s="4"/>
      <c r="BA774" s="4"/>
      <c r="BE774" s="4"/>
      <c r="BF774" s="4"/>
      <c r="BG774" s="4"/>
      <c r="BH774" s="4"/>
      <c r="BI774" s="4"/>
      <c r="BJ774" s="4"/>
      <c r="BK774" s="4"/>
      <c r="BL774" s="4"/>
      <c r="BM774" s="4"/>
      <c r="BN774" s="4"/>
      <c r="BO774" s="4"/>
      <c r="BP774" s="7">
        <v>11.9</v>
      </c>
      <c r="BQ774" s="4"/>
      <c r="BR774" s="4"/>
      <c r="BS774" s="4"/>
      <c r="BT774" s="4"/>
      <c r="BU774" s="4"/>
      <c r="BV774" s="4"/>
      <c r="BW774" s="4">
        <v>0.72</v>
      </c>
      <c r="BX774" s="4"/>
      <c r="BY774" s="4"/>
      <c r="BZ774" s="4"/>
      <c r="CA774" s="4"/>
      <c r="CB774" s="4"/>
      <c r="CC774" s="4"/>
      <c r="CD774" s="4"/>
      <c r="CE774" s="4"/>
      <c r="CF774" s="4"/>
      <c r="CG774" s="4"/>
      <c r="CH774" s="4"/>
      <c r="CI774" s="4"/>
      <c r="CJ774" s="4"/>
      <c r="CK774" s="4"/>
      <c r="CL774" s="4"/>
      <c r="CM774" s="4"/>
      <c r="CN774" s="4"/>
      <c r="CO774" s="4"/>
      <c r="CP774" s="4"/>
      <c r="CQ774" s="4"/>
      <c r="CR774" s="4"/>
      <c r="CS774" s="4">
        <v>75</v>
      </c>
      <c r="CT774" s="4"/>
      <c r="CU774" s="4"/>
      <c r="CV774" s="4"/>
      <c r="CW774" s="4"/>
      <c r="CX774" s="4"/>
      <c r="CY774" s="4">
        <v>0.02</v>
      </c>
      <c r="CZ774" s="4"/>
      <c r="DA774" s="4">
        <v>4.3999999999999997E-2</v>
      </c>
      <c r="DB774" s="4"/>
      <c r="DC774" s="4"/>
      <c r="DD774" s="4">
        <v>59</v>
      </c>
      <c r="DE774" s="4"/>
      <c r="DF774" s="4"/>
      <c r="DG774" s="4"/>
      <c r="DH774" s="4"/>
      <c r="DI774" s="4"/>
      <c r="DJ774" s="4"/>
      <c r="DK774" s="4"/>
      <c r="DL774" s="4"/>
      <c r="DM774" s="4"/>
      <c r="DN774" s="4"/>
      <c r="DO774" s="4"/>
      <c r="DP774" s="4"/>
      <c r="DQ774" s="4"/>
      <c r="DR774" s="4"/>
      <c r="DS774" s="4"/>
      <c r="DT774" s="4"/>
      <c r="DU774" s="4"/>
      <c r="DV774" s="4"/>
      <c r="DW774" s="4"/>
      <c r="DX774" s="4"/>
      <c r="DY774" s="4"/>
      <c r="DZ774" s="31"/>
      <c r="EA774" s="4"/>
      <c r="EB774" s="4"/>
      <c r="EC774" s="4"/>
      <c r="ED774" s="4"/>
      <c r="EE774" s="4"/>
      <c r="EF774" s="4"/>
      <c r="EG774" s="4"/>
      <c r="EH774" s="4"/>
      <c r="EI774" s="4"/>
      <c r="EJ774" s="4"/>
      <c r="EK774" s="4"/>
      <c r="EL774" s="4"/>
      <c r="EM774" s="4">
        <v>3.9800000000000002E-2</v>
      </c>
      <c r="EN774" s="4"/>
      <c r="EO774" s="4"/>
      <c r="EP774" s="4"/>
      <c r="EQ774" s="4"/>
      <c r="ER774" s="4"/>
      <c r="ES774" s="4"/>
      <c r="ET774" s="4"/>
      <c r="EU774" s="4"/>
      <c r="EV774" s="4"/>
      <c r="EW774" s="4"/>
      <c r="EX774" s="4"/>
      <c r="EY774" s="4"/>
      <c r="EZ774" s="4"/>
      <c r="FA774" s="4"/>
      <c r="FB774" s="4"/>
      <c r="FC774" s="4"/>
      <c r="FD774" s="4"/>
      <c r="FE774" s="4"/>
      <c r="FF774" s="4"/>
      <c r="FG774" s="4"/>
      <c r="FH774" s="4">
        <v>0.89</v>
      </c>
      <c r="FI774" s="4"/>
      <c r="FJ774" s="4"/>
      <c r="FK774" s="4"/>
      <c r="FL774" s="4"/>
      <c r="FM774" s="4"/>
      <c r="FN774" s="4">
        <v>2.58</v>
      </c>
      <c r="FO774" s="4"/>
      <c r="FP774" s="4">
        <v>5.24</v>
      </c>
      <c r="FQ774" s="4"/>
      <c r="FR774" s="4"/>
      <c r="FS774" s="4">
        <v>0.7</v>
      </c>
      <c r="FT774" s="4"/>
      <c r="FU774" s="4"/>
      <c r="FV774" s="4"/>
      <c r="FW774" s="4"/>
      <c r="FX774" s="4"/>
      <c r="FY774" s="4"/>
      <c r="FZ774" s="4"/>
      <c r="GA774" s="4"/>
      <c r="GB774" s="4"/>
      <c r="GC774" s="4"/>
      <c r="GD774" s="4"/>
      <c r="GE774" s="4"/>
      <c r="GF774" s="4"/>
      <c r="GG774" s="4"/>
      <c r="GH774" s="4"/>
      <c r="GI774" s="4"/>
      <c r="GJ774" s="4"/>
      <c r="GK774" s="4"/>
      <c r="GL774" s="4"/>
      <c r="GM774" s="4"/>
      <c r="GN774" s="4"/>
      <c r="GO774" s="4"/>
      <c r="GP774" s="32"/>
      <c r="GQ774" s="4"/>
      <c r="GR774" s="4"/>
      <c r="GS774" s="4"/>
      <c r="GT774" s="4"/>
      <c r="GU774" s="4"/>
      <c r="GV774" s="4"/>
      <c r="GW774" s="4"/>
      <c r="GX774" s="4"/>
      <c r="GY774" s="4" t="s">
        <v>338</v>
      </c>
      <c r="GZ774" s="4" t="s">
        <v>534</v>
      </c>
      <c r="HA774" s="4"/>
      <c r="HB774" s="4" t="s">
        <v>7277</v>
      </c>
      <c r="HC774" s="4" t="s">
        <v>7278</v>
      </c>
      <c r="HD774" s="4" t="s">
        <v>2902</v>
      </c>
      <c r="HE774" s="4"/>
      <c r="HF774" s="4" t="s">
        <v>2903</v>
      </c>
      <c r="HG774" s="4" t="s">
        <v>507</v>
      </c>
      <c r="HH774" s="4"/>
      <c r="HI774" s="4"/>
      <c r="HJ774" s="4"/>
      <c r="HK774" s="4"/>
      <c r="HL774" s="4"/>
      <c r="HM774" s="4"/>
      <c r="HN774" s="4"/>
      <c r="HO774" s="4"/>
      <c r="HP774" s="4"/>
      <c r="HQ774" s="4"/>
      <c r="HR774" s="4"/>
      <c r="HS774" s="4"/>
      <c r="HT774" s="4"/>
      <c r="HU774" s="4"/>
      <c r="HV774" s="4"/>
      <c r="HW774" s="4"/>
      <c r="HX774" s="4"/>
      <c r="HY774" s="4"/>
      <c r="HZ774" s="4"/>
      <c r="IA774" s="4"/>
      <c r="IB774" s="4" t="s">
        <v>2902</v>
      </c>
      <c r="IC774" s="4"/>
      <c r="ID774" s="4" t="s">
        <v>2903</v>
      </c>
      <c r="IE774" s="4" t="s">
        <v>507</v>
      </c>
      <c r="IF774" s="4" t="s">
        <v>445</v>
      </c>
      <c r="IG774" s="4" t="s">
        <v>2904</v>
      </c>
      <c r="IH774" s="4"/>
      <c r="II774" s="4" t="s">
        <v>2905</v>
      </c>
      <c r="IJ774" s="4" t="s">
        <v>507</v>
      </c>
      <c r="IK774" s="4" t="s">
        <v>319</v>
      </c>
      <c r="IL774" s="4"/>
      <c r="IM774" s="4"/>
      <c r="IN774" s="4"/>
      <c r="IO774" s="4"/>
      <c r="IP774" s="4"/>
      <c r="IQ774" s="4"/>
      <c r="IR774" s="4"/>
      <c r="IS774" s="4"/>
      <c r="IT774" s="4"/>
      <c r="IU774" s="4"/>
      <c r="IV774" s="4"/>
      <c r="IW774" s="4"/>
      <c r="IX774" s="4"/>
      <c r="IY774" s="4"/>
      <c r="IZ774" s="4"/>
      <c r="JA774" s="4"/>
      <c r="JB774" s="4"/>
      <c r="JC774" s="4"/>
      <c r="JD774" s="4"/>
      <c r="JE774" s="4"/>
      <c r="JF774" s="4"/>
      <c r="JG774" s="4"/>
      <c r="JH774" s="4"/>
      <c r="JI774" s="4"/>
      <c r="JJ774" s="4"/>
      <c r="JK774" s="4"/>
      <c r="JL774" s="4"/>
      <c r="JM774" s="4"/>
      <c r="JN774" s="4"/>
      <c r="JO774" s="4"/>
      <c r="JP774" s="4"/>
      <c r="JQ774" s="4"/>
      <c r="JR774" s="4"/>
      <c r="JS774" s="4"/>
      <c r="JT774" s="4"/>
      <c r="JU774" s="4"/>
      <c r="JV774" s="4"/>
      <c r="JW774" s="4"/>
      <c r="JX774" s="4"/>
      <c r="JY774" s="4"/>
      <c r="JZ774" s="4"/>
      <c r="KA774" s="4"/>
      <c r="KB774" s="4"/>
      <c r="KC774" s="4"/>
      <c r="KD774" s="4"/>
      <c r="KE774" s="4"/>
      <c r="KF774" s="4"/>
      <c r="KM774" s="4" t="s">
        <v>702</v>
      </c>
      <c r="KN774" s="4" t="s">
        <v>702</v>
      </c>
      <c r="KO774" s="4" t="s">
        <v>445</v>
      </c>
      <c r="KP774" s="5" t="s">
        <v>7279</v>
      </c>
      <c r="KQ774" s="5" t="s">
        <v>2909</v>
      </c>
      <c r="KS774" s="5" t="s">
        <v>7279</v>
      </c>
      <c r="KT774" s="5" t="s">
        <v>2910</v>
      </c>
    </row>
    <row r="775" spans="1:306" ht="108" x14ac:dyDescent="0.25">
      <c r="A775" s="5" t="s">
        <v>7321</v>
      </c>
      <c r="B775" s="4" t="s">
        <v>397</v>
      </c>
      <c r="C775" s="7" t="s">
        <v>528</v>
      </c>
      <c r="D775" s="8" t="s">
        <v>529</v>
      </c>
      <c r="E775" s="4">
        <v>701629</v>
      </c>
      <c r="G775" s="4" t="s">
        <v>330</v>
      </c>
      <c r="H775" s="6">
        <v>119.011450776</v>
      </c>
      <c r="I775" s="6">
        <v>-20.534251282</v>
      </c>
      <c r="J775" s="4" t="s">
        <v>7322</v>
      </c>
      <c r="K775" s="4" t="s">
        <v>331</v>
      </c>
      <c r="L775" s="4" t="s">
        <v>368</v>
      </c>
      <c r="M775" s="4" t="s">
        <v>369</v>
      </c>
      <c r="Q775" s="8"/>
      <c r="R775" s="8"/>
      <c r="S775" s="4"/>
      <c r="W775" s="4"/>
      <c r="Z775" s="4" t="s">
        <v>397</v>
      </c>
      <c r="AA775" s="7" t="s">
        <v>528</v>
      </c>
      <c r="AB775" s="8" t="s">
        <v>529</v>
      </c>
      <c r="AC775" s="4" t="s">
        <v>301</v>
      </c>
      <c r="AD775" s="4" t="s">
        <v>375</v>
      </c>
      <c r="AE775" s="8">
        <v>2819</v>
      </c>
      <c r="AF775" s="8">
        <v>6</v>
      </c>
      <c r="AG775" s="4" t="s">
        <v>303</v>
      </c>
      <c r="AH775" s="9" t="s">
        <v>304</v>
      </c>
      <c r="AI775" s="9" t="s">
        <v>7323</v>
      </c>
      <c r="AJ775" s="9" t="s">
        <v>306</v>
      </c>
      <c r="AK775" s="4" t="s">
        <v>307</v>
      </c>
      <c r="AL775" s="9" t="s">
        <v>4906</v>
      </c>
      <c r="AM775" s="8">
        <v>5</v>
      </c>
      <c r="AN775" s="4" t="s">
        <v>381</v>
      </c>
      <c r="AO775" s="4" t="s">
        <v>382</v>
      </c>
      <c r="AP775" s="4" t="s">
        <v>383</v>
      </c>
      <c r="AQ775" s="7" t="s">
        <v>403</v>
      </c>
      <c r="AR775" s="8" t="s">
        <v>802</v>
      </c>
      <c r="AS775" s="7">
        <v>0</v>
      </c>
      <c r="AT775" s="7">
        <v>0</v>
      </c>
      <c r="AU775" s="4" t="s">
        <v>303</v>
      </c>
      <c r="AV775" s="9" t="s">
        <v>406</v>
      </c>
      <c r="AY775" s="4"/>
      <c r="BA775" s="8">
        <v>5</v>
      </c>
      <c r="BG775" s="8"/>
      <c r="BH775" s="8"/>
      <c r="BI775" s="4"/>
      <c r="BM775" s="4"/>
      <c r="DZ775" s="31"/>
      <c r="FA775" s="6"/>
      <c r="FN775" s="16">
        <v>5.0000000000000002E-5</v>
      </c>
      <c r="FS775" s="16">
        <f>0.000381/1.2211</f>
        <v>3.1201375808697073E-4</v>
      </c>
      <c r="GP775" s="32"/>
      <c r="GY775" s="6" t="s">
        <v>309</v>
      </c>
      <c r="GZ775" s="6" t="s">
        <v>789</v>
      </c>
      <c r="HB775" s="6" t="s">
        <v>639</v>
      </c>
      <c r="HC775" s="6" t="s">
        <v>3847</v>
      </c>
      <c r="HF775" s="8" t="s">
        <v>7324</v>
      </c>
      <c r="HH775" s="9" t="s">
        <v>7325</v>
      </c>
      <c r="HJ775" s="9" t="s">
        <v>7326</v>
      </c>
      <c r="HK775" s="9" t="s">
        <v>389</v>
      </c>
      <c r="ID775" s="8" t="s">
        <v>7324</v>
      </c>
      <c r="IE775" s="9"/>
      <c r="IF775" s="8" t="s">
        <v>445</v>
      </c>
      <c r="IG775" s="9" t="s">
        <v>7325</v>
      </c>
      <c r="II775" s="9" t="s">
        <v>7326</v>
      </c>
      <c r="IJ775" s="9" t="s">
        <v>389</v>
      </c>
      <c r="IK775" s="8" t="s">
        <v>319</v>
      </c>
      <c r="IM775" s="9"/>
      <c r="KP775" s="5" t="s">
        <v>2992</v>
      </c>
      <c r="KQ775" s="5" t="s">
        <v>7327</v>
      </c>
      <c r="KR775" s="5" t="s">
        <v>5342</v>
      </c>
      <c r="KS775" s="5" t="s">
        <v>2992</v>
      </c>
      <c r="KT775" s="5" t="s">
        <v>7328</v>
      </c>
    </row>
    <row r="776" spans="1:306" ht="108" x14ac:dyDescent="0.25">
      <c r="A776" s="5" t="s">
        <v>7322</v>
      </c>
      <c r="B776" s="4" t="s">
        <v>397</v>
      </c>
      <c r="C776" s="7" t="s">
        <v>528</v>
      </c>
      <c r="D776" s="8" t="s">
        <v>529</v>
      </c>
      <c r="E776" s="4">
        <v>334190</v>
      </c>
      <c r="G776" s="4" t="s">
        <v>330</v>
      </c>
      <c r="H776" s="6">
        <v>118.908390731</v>
      </c>
      <c r="I776" s="6">
        <v>-20.670945845999999</v>
      </c>
      <c r="J776" s="4" t="s">
        <v>7322</v>
      </c>
      <c r="K776" s="4" t="s">
        <v>331</v>
      </c>
      <c r="L776" s="4" t="s">
        <v>368</v>
      </c>
      <c r="M776" s="4" t="s">
        <v>369</v>
      </c>
      <c r="Q776" s="8"/>
      <c r="R776" s="8"/>
      <c r="V776" s="4"/>
      <c r="W776" s="4"/>
      <c r="X776" s="4"/>
      <c r="Z776" s="4" t="s">
        <v>397</v>
      </c>
      <c r="AA776" s="7" t="s">
        <v>528</v>
      </c>
      <c r="AB776" s="8" t="s">
        <v>529</v>
      </c>
      <c r="AC776" s="4" t="s">
        <v>301</v>
      </c>
      <c r="AD776" s="4" t="s">
        <v>375</v>
      </c>
      <c r="AE776" s="8">
        <v>2886</v>
      </c>
      <c r="AF776" s="8">
        <v>21</v>
      </c>
      <c r="AG776" s="9" t="s">
        <v>303</v>
      </c>
      <c r="AH776" s="9" t="s">
        <v>304</v>
      </c>
      <c r="AI776" s="9" t="s">
        <v>305</v>
      </c>
      <c r="AJ776" s="4" t="s">
        <v>306</v>
      </c>
      <c r="AK776" s="4" t="s">
        <v>307</v>
      </c>
      <c r="AL776" s="4" t="s">
        <v>337</v>
      </c>
      <c r="AM776" s="8">
        <v>5</v>
      </c>
      <c r="AN776" s="4" t="s">
        <v>381</v>
      </c>
      <c r="AO776" s="4" t="s">
        <v>382</v>
      </c>
      <c r="AP776" s="4" t="s">
        <v>383</v>
      </c>
      <c r="AQ776" s="7" t="s">
        <v>403</v>
      </c>
      <c r="AR776" s="8" t="s">
        <v>802</v>
      </c>
      <c r="AS776" s="7">
        <v>0</v>
      </c>
      <c r="AT776" s="7">
        <v>0</v>
      </c>
      <c r="AU776" s="4" t="s">
        <v>303</v>
      </c>
      <c r="AV776" s="9" t="s">
        <v>406</v>
      </c>
      <c r="AX776" s="4"/>
      <c r="AY776" s="4"/>
      <c r="AZ776" s="4"/>
      <c r="BA776" s="8">
        <v>5</v>
      </c>
      <c r="BG776" s="8"/>
      <c r="BH776" s="8"/>
      <c r="BL776" s="4"/>
      <c r="BM776" s="4"/>
      <c r="BN776" s="4"/>
      <c r="DZ776" s="31"/>
      <c r="FA776" s="6"/>
      <c r="FN776" s="9">
        <f>0.13192/1.2696</f>
        <v>0.1039067422810334</v>
      </c>
      <c r="FS776" s="6">
        <f>(0.02/1.2211)+(0.318*950/1.2211)/1000</f>
        <v>0.26377856031447056</v>
      </c>
      <c r="GP776" s="32"/>
      <c r="GY776" s="6" t="s">
        <v>435</v>
      </c>
      <c r="GZ776" s="6" t="s">
        <v>789</v>
      </c>
      <c r="HB776" s="6" t="s">
        <v>639</v>
      </c>
      <c r="HC776" s="6" t="s">
        <v>3847</v>
      </c>
      <c r="HD776" s="8" t="s">
        <v>7389</v>
      </c>
      <c r="HF776" s="8" t="s">
        <v>7390</v>
      </c>
      <c r="HH776" s="9" t="s">
        <v>7391</v>
      </c>
      <c r="HJ776" s="9" t="s">
        <v>7392</v>
      </c>
      <c r="HK776" s="9" t="s">
        <v>389</v>
      </c>
      <c r="IB776" s="8" t="s">
        <v>7389</v>
      </c>
      <c r="ID776" s="8" t="s">
        <v>7390</v>
      </c>
      <c r="IF776" s="8" t="s">
        <v>445</v>
      </c>
      <c r="IG776" s="9" t="s">
        <v>7391</v>
      </c>
      <c r="II776" s="9" t="s">
        <v>7392</v>
      </c>
      <c r="IJ776" s="9" t="s">
        <v>389</v>
      </c>
      <c r="IK776" s="8" t="s">
        <v>319</v>
      </c>
      <c r="IL776" s="9" t="s">
        <v>7393</v>
      </c>
      <c r="IM776" s="9"/>
      <c r="IN776" s="9" t="s">
        <v>2885</v>
      </c>
      <c r="IP776" s="9" t="s">
        <v>350</v>
      </c>
      <c r="KP776" s="5" t="s">
        <v>7394</v>
      </c>
      <c r="KQ776" s="5" t="s">
        <v>7395</v>
      </c>
      <c r="KR776" s="5" t="s">
        <v>7396</v>
      </c>
      <c r="KS776" s="5" t="s">
        <v>7397</v>
      </c>
      <c r="KT776" s="5" t="s">
        <v>7398</v>
      </c>
    </row>
    <row r="777" spans="1:306" ht="60" x14ac:dyDescent="0.2">
      <c r="A777" s="5" t="s">
        <v>7426</v>
      </c>
      <c r="B777" s="4" t="s">
        <v>397</v>
      </c>
      <c r="C777" s="7" t="s">
        <v>528</v>
      </c>
      <c r="D777" s="8" t="s">
        <v>529</v>
      </c>
      <c r="E777" s="44">
        <v>865583</v>
      </c>
      <c r="G777" s="4" t="s">
        <v>330</v>
      </c>
      <c r="H777" s="42">
        <v>121.0779</v>
      </c>
      <c r="I777" s="42">
        <v>-31.098400000000002</v>
      </c>
      <c r="J777" s="4" t="s">
        <v>7427</v>
      </c>
      <c r="K777" s="4" t="s">
        <v>331</v>
      </c>
      <c r="L777" s="4" t="s">
        <v>500</v>
      </c>
      <c r="M777" s="4" t="s">
        <v>501</v>
      </c>
      <c r="N777" s="4" t="s">
        <v>1061</v>
      </c>
      <c r="Q777" s="8"/>
      <c r="R777" s="8"/>
      <c r="Z777" s="4" t="s">
        <v>397</v>
      </c>
      <c r="AA777" s="7" t="s">
        <v>528</v>
      </c>
      <c r="AB777" s="8" t="s">
        <v>529</v>
      </c>
      <c r="AC777" s="4" t="s">
        <v>301</v>
      </c>
      <c r="AD777" s="4" t="s">
        <v>302</v>
      </c>
      <c r="AE777" s="8">
        <v>2622</v>
      </c>
      <c r="AF777" s="8">
        <v>5</v>
      </c>
      <c r="AG777" s="9" t="s">
        <v>303</v>
      </c>
      <c r="AH777" s="9" t="s">
        <v>304</v>
      </c>
      <c r="AI777" s="9" t="s">
        <v>1062</v>
      </c>
      <c r="AJ777" s="9" t="s">
        <v>306</v>
      </c>
      <c r="AK777" s="9" t="s">
        <v>307</v>
      </c>
      <c r="AL777" s="9" t="s">
        <v>308</v>
      </c>
      <c r="AM777" s="8">
        <v>5</v>
      </c>
      <c r="AS777" s="8"/>
      <c r="AT777" s="8"/>
      <c r="BG777" s="8"/>
      <c r="BH777" s="8"/>
      <c r="DZ777" s="31"/>
      <c r="GP777" s="32"/>
      <c r="GY777" s="6" t="s">
        <v>407</v>
      </c>
      <c r="HF777" s="8" t="s">
        <v>7233</v>
      </c>
      <c r="HG777" s="9" t="s">
        <v>507</v>
      </c>
      <c r="ID777" s="8" t="s">
        <v>7233</v>
      </c>
      <c r="IE777" s="9" t="s">
        <v>507</v>
      </c>
      <c r="IF777" s="8" t="s">
        <v>445</v>
      </c>
      <c r="II777" s="8" t="s">
        <v>528</v>
      </c>
      <c r="IJ777" s="9" t="s">
        <v>507</v>
      </c>
      <c r="IK777" s="8" t="s">
        <v>319</v>
      </c>
      <c r="KG777" s="4" t="s">
        <v>323</v>
      </c>
      <c r="KM777" s="4" t="s">
        <v>391</v>
      </c>
      <c r="KN777" s="4" t="s">
        <v>702</v>
      </c>
      <c r="KP777" s="5" t="s">
        <v>2609</v>
      </c>
      <c r="KQ777" s="5" t="s">
        <v>7234</v>
      </c>
      <c r="KR777" s="5" t="s">
        <v>7428</v>
      </c>
      <c r="KT777" s="14" t="s">
        <v>7429</v>
      </c>
    </row>
    <row r="778" spans="1:306" ht="108" x14ac:dyDescent="0.25">
      <c r="A778" s="5" t="s">
        <v>7829</v>
      </c>
      <c r="B778" s="4" t="s">
        <v>397</v>
      </c>
      <c r="C778" s="7" t="s">
        <v>528</v>
      </c>
      <c r="D778" s="7" t="s">
        <v>529</v>
      </c>
      <c r="E778" s="4">
        <v>805295</v>
      </c>
      <c r="G778" s="4" t="s">
        <v>530</v>
      </c>
      <c r="H778" s="6">
        <v>130.78503471100001</v>
      </c>
      <c r="I778" s="6">
        <v>-12.953420682000001</v>
      </c>
      <c r="J778" s="4" t="s">
        <v>7830</v>
      </c>
      <c r="K778" s="4" t="s">
        <v>481</v>
      </c>
      <c r="L778" s="4" t="s">
        <v>532</v>
      </c>
      <c r="M778" s="4" t="s">
        <v>533</v>
      </c>
      <c r="O778" s="7"/>
      <c r="Q778" s="8"/>
      <c r="R778" s="8"/>
      <c r="Z778" s="4" t="s">
        <v>397</v>
      </c>
      <c r="AA778" s="7" t="s">
        <v>528</v>
      </c>
      <c r="AB778" s="7" t="s">
        <v>529</v>
      </c>
      <c r="AC778" s="4" t="s">
        <v>301</v>
      </c>
      <c r="AD778" s="4" t="s">
        <v>375</v>
      </c>
      <c r="AE778" s="8">
        <v>1725</v>
      </c>
      <c r="AF778" s="8"/>
      <c r="AG778" s="9" t="s">
        <v>379</v>
      </c>
      <c r="AH778" s="9" t="s">
        <v>380</v>
      </c>
      <c r="AM778" s="8">
        <v>2</v>
      </c>
      <c r="DZ778" s="31"/>
      <c r="FN778" s="9">
        <f>0.16*160/1000+(0.165+0.056)/1.2696</f>
        <v>0.1996705734089477</v>
      </c>
      <c r="FS778" s="9">
        <f>0.16*0.0035/1000+0.065/1.2211</f>
        <v>5.3231253636884773E-2</v>
      </c>
      <c r="GP778" s="32"/>
      <c r="GY778" s="31" t="s">
        <v>407</v>
      </c>
      <c r="GZ778" s="6" t="s">
        <v>3709</v>
      </c>
      <c r="HC778" s="6" t="s">
        <v>3847</v>
      </c>
      <c r="HD778" s="8" t="s">
        <v>536</v>
      </c>
      <c r="HE778" s="8">
        <v>3134</v>
      </c>
      <c r="HF778" s="8" t="s">
        <v>537</v>
      </c>
      <c r="HG778" s="9" t="s">
        <v>538</v>
      </c>
      <c r="IB778" s="8" t="s">
        <v>7831</v>
      </c>
      <c r="ID778" s="8" t="s">
        <v>528</v>
      </c>
      <c r="IE778" s="8" t="s">
        <v>538</v>
      </c>
      <c r="IF778" s="8" t="s">
        <v>319</v>
      </c>
      <c r="IG778" s="8" t="s">
        <v>540</v>
      </c>
      <c r="IH778" s="8">
        <v>24544</v>
      </c>
      <c r="II778" s="8" t="s">
        <v>541</v>
      </c>
      <c r="IJ778" s="8" t="s">
        <v>538</v>
      </c>
      <c r="IK778" s="8" t="s">
        <v>445</v>
      </c>
      <c r="IW778" s="8"/>
      <c r="JB778" s="8"/>
      <c r="JV778" s="7" t="s">
        <v>7832</v>
      </c>
      <c r="KG778" s="4" t="s">
        <v>323</v>
      </c>
      <c r="KP778" s="5" t="s">
        <v>545</v>
      </c>
      <c r="KQ778" s="5" t="s">
        <v>4851</v>
      </c>
      <c r="KR778" s="5" t="s">
        <v>545</v>
      </c>
      <c r="KS778" s="5" t="s">
        <v>7833</v>
      </c>
      <c r="KT778" s="5" t="s">
        <v>7834</v>
      </c>
    </row>
    <row r="779" spans="1:306" ht="96" x14ac:dyDescent="0.25">
      <c r="A779" s="5" t="s">
        <v>7855</v>
      </c>
      <c r="B779" s="4" t="s">
        <v>397</v>
      </c>
      <c r="C779" s="7" t="s">
        <v>528</v>
      </c>
      <c r="D779" s="8" t="s">
        <v>529</v>
      </c>
      <c r="E779" s="4">
        <v>334479</v>
      </c>
      <c r="G779" s="4" t="s">
        <v>773</v>
      </c>
      <c r="H779" s="6">
        <v>147.7093294</v>
      </c>
      <c r="I779" s="6">
        <v>-35.947839000000002</v>
      </c>
      <c r="J779" s="4" t="s">
        <v>7855</v>
      </c>
      <c r="K779" s="4" t="s">
        <v>298</v>
      </c>
      <c r="L779" s="4" t="s">
        <v>299</v>
      </c>
      <c r="M779" s="4" t="s">
        <v>428</v>
      </c>
      <c r="N779" s="4" t="s">
        <v>800</v>
      </c>
      <c r="Q779" s="25"/>
      <c r="R779" s="25"/>
      <c r="S779" s="25"/>
      <c r="T779" s="25"/>
      <c r="Z779" s="4" t="s">
        <v>397</v>
      </c>
      <c r="AA779" s="7" t="s">
        <v>528</v>
      </c>
      <c r="AB779" s="8" t="s">
        <v>529</v>
      </c>
      <c r="AC779" s="4" t="s">
        <v>301</v>
      </c>
      <c r="AD779" s="4" t="s">
        <v>375</v>
      </c>
      <c r="AE779" s="25">
        <v>420</v>
      </c>
      <c r="AF779" s="25"/>
      <c r="AG779" s="25" t="s">
        <v>379</v>
      </c>
      <c r="AH779" s="25" t="s">
        <v>380</v>
      </c>
      <c r="AM779" s="8">
        <v>3</v>
      </c>
      <c r="AS779" s="7"/>
      <c r="AT779" s="7"/>
      <c r="DZ779" s="31"/>
      <c r="FN779" s="6">
        <f>0.11555*(118.71/(118.71+2*15.99))+1000*(0.36*0.17+0.15*0.24)/100</f>
        <v>1.0630275433008163</v>
      </c>
      <c r="GP779" s="32"/>
      <c r="GY779" s="6" t="s">
        <v>309</v>
      </c>
      <c r="GZ779" s="6" t="s">
        <v>639</v>
      </c>
      <c r="HC779" s="6" t="s">
        <v>5917</v>
      </c>
      <c r="HF779" s="8" t="s">
        <v>7856</v>
      </c>
      <c r="HG779" s="8" t="s">
        <v>1025</v>
      </c>
      <c r="ID779" s="8" t="s">
        <v>7856</v>
      </c>
      <c r="IE779" s="8" t="s">
        <v>1025</v>
      </c>
      <c r="IF779" s="8" t="s">
        <v>319</v>
      </c>
      <c r="IG779" s="8" t="s">
        <v>7857</v>
      </c>
      <c r="IH779" s="8">
        <v>4755</v>
      </c>
      <c r="II779" s="8" t="s">
        <v>7858</v>
      </c>
      <c r="IJ779" s="8" t="s">
        <v>1760</v>
      </c>
      <c r="IK779" s="8" t="s">
        <v>319</v>
      </c>
      <c r="JV779" s="7" t="s">
        <v>7859</v>
      </c>
      <c r="JW779" s="7" t="s">
        <v>644</v>
      </c>
      <c r="KP779" s="18" t="s">
        <v>7860</v>
      </c>
      <c r="KQ779" s="5" t="s">
        <v>7861</v>
      </c>
      <c r="KR779" s="5" t="s">
        <v>5996</v>
      </c>
      <c r="KS779" s="5" t="s">
        <v>7653</v>
      </c>
      <c r="KT779" s="5" t="s">
        <v>7862</v>
      </c>
    </row>
    <row r="780" spans="1:306" ht="300" x14ac:dyDescent="0.25">
      <c r="A780" s="5" t="s">
        <v>8172</v>
      </c>
      <c r="B780" s="4" t="s">
        <v>397</v>
      </c>
      <c r="C780" s="7" t="s">
        <v>528</v>
      </c>
      <c r="D780" s="8" t="s">
        <v>529</v>
      </c>
      <c r="E780" s="4">
        <v>334472</v>
      </c>
      <c r="G780" s="4" t="s">
        <v>330</v>
      </c>
      <c r="H780" s="6">
        <v>118.67518255900001</v>
      </c>
      <c r="I780" s="6">
        <v>-21.187337501999998</v>
      </c>
      <c r="J780" s="4" t="s">
        <v>8170</v>
      </c>
      <c r="K780" s="4" t="s">
        <v>331</v>
      </c>
      <c r="L780" s="4" t="s">
        <v>368</v>
      </c>
      <c r="M780" s="4" t="s">
        <v>369</v>
      </c>
      <c r="Q780" s="8"/>
      <c r="R780" s="8"/>
      <c r="S780" s="4"/>
      <c r="Z780" s="4" t="s">
        <v>397</v>
      </c>
      <c r="AA780" s="7" t="s">
        <v>528</v>
      </c>
      <c r="AB780" s="8" t="s">
        <v>529</v>
      </c>
      <c r="AC780" s="4" t="s">
        <v>301</v>
      </c>
      <c r="AD780" s="4" t="s">
        <v>375</v>
      </c>
      <c r="AE780" s="8">
        <v>2829</v>
      </c>
      <c r="AF780" s="8">
        <v>11</v>
      </c>
      <c r="AG780" s="4" t="s">
        <v>303</v>
      </c>
      <c r="AH780" s="9" t="s">
        <v>304</v>
      </c>
      <c r="AI780" s="9" t="s">
        <v>1062</v>
      </c>
      <c r="AJ780" s="9" t="s">
        <v>306</v>
      </c>
      <c r="AK780" s="9" t="s">
        <v>307</v>
      </c>
      <c r="AL780" s="9" t="s">
        <v>337</v>
      </c>
      <c r="AM780" s="8">
        <v>5</v>
      </c>
      <c r="AN780" s="4" t="s">
        <v>381</v>
      </c>
      <c r="AO780" s="4" t="s">
        <v>402</v>
      </c>
      <c r="AP780" s="4" t="s">
        <v>383</v>
      </c>
      <c r="AQ780" s="7" t="s">
        <v>403</v>
      </c>
      <c r="AR780" s="8" t="s">
        <v>802</v>
      </c>
      <c r="AS780" s="7">
        <v>0</v>
      </c>
      <c r="AT780" s="7">
        <v>0</v>
      </c>
      <c r="AU780" s="4" t="s">
        <v>303</v>
      </c>
      <c r="AV780" s="9" t="s">
        <v>406</v>
      </c>
      <c r="BA780" s="8">
        <v>5</v>
      </c>
      <c r="BG780" s="8"/>
      <c r="BH780" s="8"/>
      <c r="BI780" s="4"/>
      <c r="DZ780" s="31"/>
      <c r="EM780" s="6">
        <f>0.4646*(236.92*1.19+22.27*0.96)/100</f>
        <v>1.409196844</v>
      </c>
      <c r="FA780" s="6"/>
      <c r="FH780" s="6">
        <f>(44+39+0.402*210/1.4305)/1000</f>
        <v>0.1420143306536176</v>
      </c>
      <c r="FN780" s="6">
        <f>(193+(4.37*292/1.2696))/1000</f>
        <v>1.1980724637681159</v>
      </c>
      <c r="FS780" s="6">
        <f>(269+308+(0.402*1280+28*415+0.059*800+236.92*160+22.27*190)/1.2211)/1000</f>
        <v>45.061694128245023</v>
      </c>
      <c r="GP780" s="32"/>
      <c r="GY780" s="6" t="s">
        <v>435</v>
      </c>
      <c r="GZ780" s="6" t="s">
        <v>534</v>
      </c>
      <c r="HB780" s="6" t="s">
        <v>7277</v>
      </c>
      <c r="HC780" s="6" t="s">
        <v>7278</v>
      </c>
      <c r="HD780" s="8" t="s">
        <v>8173</v>
      </c>
      <c r="HF780" s="8" t="s">
        <v>8174</v>
      </c>
      <c r="HG780" s="9" t="s">
        <v>389</v>
      </c>
      <c r="HH780" s="8" t="s">
        <v>8173</v>
      </c>
      <c r="HJ780" s="9" t="s">
        <v>8175</v>
      </c>
      <c r="HK780" s="9" t="s">
        <v>389</v>
      </c>
      <c r="HL780" s="9" t="s">
        <v>8176</v>
      </c>
      <c r="HN780" s="9" t="s">
        <v>8177</v>
      </c>
      <c r="HO780" s="9" t="s">
        <v>389</v>
      </c>
      <c r="HP780" s="9" t="s">
        <v>8178</v>
      </c>
      <c r="HQ780" s="8">
        <v>38606</v>
      </c>
      <c r="HR780" s="9" t="s">
        <v>8179</v>
      </c>
      <c r="HS780" s="9" t="s">
        <v>389</v>
      </c>
      <c r="IB780" s="8" t="s">
        <v>8173</v>
      </c>
      <c r="ID780" s="8" t="s">
        <v>8175</v>
      </c>
      <c r="IE780" s="8" t="s">
        <v>389</v>
      </c>
      <c r="IF780" s="8" t="s">
        <v>445</v>
      </c>
      <c r="IG780" s="8" t="s">
        <v>8176</v>
      </c>
      <c r="II780" s="8" t="s">
        <v>8177</v>
      </c>
      <c r="IJ780" s="8" t="s">
        <v>389</v>
      </c>
      <c r="IK780" s="8" t="s">
        <v>319</v>
      </c>
      <c r="IL780" s="8" t="s">
        <v>8178</v>
      </c>
      <c r="IM780" s="8">
        <v>38606</v>
      </c>
      <c r="IN780" s="9" t="s">
        <v>8179</v>
      </c>
      <c r="IO780" s="9" t="s">
        <v>389</v>
      </c>
      <c r="IP780" s="9" t="s">
        <v>319</v>
      </c>
      <c r="KP780" s="5" t="s">
        <v>8180</v>
      </c>
      <c r="KQ780" s="5" t="s">
        <v>8181</v>
      </c>
      <c r="KR780" s="5" t="s">
        <v>7396</v>
      </c>
      <c r="KS780" s="5" t="s">
        <v>8182</v>
      </c>
      <c r="KT780" s="5" t="s">
        <v>8183</v>
      </c>
    </row>
    <row r="781" spans="1:306" ht="144" x14ac:dyDescent="0.2">
      <c r="A781" s="11" t="s">
        <v>8351</v>
      </c>
      <c r="B781" s="4" t="s">
        <v>397</v>
      </c>
      <c r="C781" s="4" t="s">
        <v>528</v>
      </c>
      <c r="D781" s="4" t="s">
        <v>529</v>
      </c>
      <c r="E781" s="44">
        <v>922815</v>
      </c>
      <c r="G781" s="4" t="s">
        <v>330</v>
      </c>
      <c r="H781" s="6">
        <v>116.27800000000001</v>
      </c>
      <c r="I781" s="4">
        <v>-24.52</v>
      </c>
      <c r="K781" s="4" t="s">
        <v>331</v>
      </c>
      <c r="L781" s="4" t="s">
        <v>332</v>
      </c>
      <c r="M781" s="4" t="s">
        <v>3448</v>
      </c>
      <c r="O781" s="4"/>
      <c r="Q781" s="4"/>
      <c r="R781" s="4"/>
      <c r="S781" s="4"/>
      <c r="T781" s="4"/>
      <c r="U781" s="4"/>
      <c r="V781" s="4"/>
      <c r="W781" s="4"/>
      <c r="X781" s="4"/>
      <c r="Y781" s="4"/>
      <c r="Z781" s="4" t="s">
        <v>397</v>
      </c>
      <c r="AA781" s="4" t="s">
        <v>528</v>
      </c>
      <c r="AB781" s="4" t="s">
        <v>529</v>
      </c>
      <c r="AC781" s="4" t="s">
        <v>301</v>
      </c>
      <c r="AD781" s="4" t="s">
        <v>302</v>
      </c>
      <c r="AE781" s="4">
        <v>970</v>
      </c>
      <c r="AF781" s="4">
        <v>70</v>
      </c>
      <c r="AG781" s="4" t="s">
        <v>379</v>
      </c>
      <c r="AH781" s="4" t="s">
        <v>380</v>
      </c>
      <c r="AI781" s="4" t="s">
        <v>8352</v>
      </c>
      <c r="AJ781" s="4" t="s">
        <v>8353</v>
      </c>
      <c r="AK781" s="4" t="s">
        <v>307</v>
      </c>
      <c r="AL781" s="4" t="s">
        <v>8354</v>
      </c>
      <c r="AM781" s="4">
        <v>2</v>
      </c>
      <c r="AQ781" s="4"/>
      <c r="AR781" s="4"/>
      <c r="AS781" s="4"/>
      <c r="AT781" s="4"/>
      <c r="AU781" s="4"/>
      <c r="AV781" s="4"/>
      <c r="AW781" s="4"/>
      <c r="AX781" s="4"/>
      <c r="AY781" s="4"/>
      <c r="AZ781" s="4"/>
      <c r="BA781" s="4"/>
      <c r="BE781" s="4"/>
      <c r="BF781" s="4"/>
      <c r="BG781" s="4"/>
      <c r="BH781" s="4"/>
      <c r="BI781" s="4"/>
      <c r="BJ781" s="4"/>
      <c r="BK781" s="4"/>
      <c r="BL781" s="4"/>
      <c r="BM781" s="4"/>
      <c r="BN781" s="4"/>
      <c r="BO781" s="4"/>
      <c r="BP781" s="7">
        <v>25.7</v>
      </c>
      <c r="BQ781" s="4"/>
      <c r="BR781" s="4"/>
      <c r="BS781" s="4"/>
      <c r="BT781" s="4"/>
      <c r="BU781" s="4"/>
      <c r="BV781" s="4"/>
      <c r="BW781" s="4">
        <v>1</v>
      </c>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v>62</v>
      </c>
      <c r="DE781" s="4"/>
      <c r="DF781" s="4"/>
      <c r="DG781" s="4"/>
      <c r="DH781" s="4"/>
      <c r="DI781" s="4"/>
      <c r="DJ781" s="4"/>
      <c r="DK781" s="4"/>
      <c r="DL781" s="4"/>
      <c r="DM781" s="4"/>
      <c r="DN781" s="4"/>
      <c r="DO781" s="4"/>
      <c r="DP781" s="4"/>
      <c r="DQ781" s="4"/>
      <c r="DR781" s="4"/>
      <c r="DS781" s="4"/>
      <c r="DT781" s="4"/>
      <c r="DU781" s="4"/>
      <c r="DV781" s="4"/>
      <c r="DW781" s="4"/>
      <c r="DX781" s="4"/>
      <c r="DY781" s="4"/>
      <c r="DZ781" s="31"/>
      <c r="EA781" s="4"/>
      <c r="EB781" s="4"/>
      <c r="EC781" s="4"/>
      <c r="ED781" s="4"/>
      <c r="EE781" s="4"/>
      <c r="EF781" s="4"/>
      <c r="EG781" s="4"/>
      <c r="EH781" s="4"/>
      <c r="EI781" s="4"/>
      <c r="EJ781" s="4"/>
      <c r="EK781" s="4"/>
      <c r="EL781" s="4"/>
      <c r="EM781" s="4">
        <v>0.11940000000000001</v>
      </c>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v>1.6</v>
      </c>
      <c r="FT781" s="4"/>
      <c r="FU781" s="4"/>
      <c r="FV781" s="4"/>
      <c r="FW781" s="4"/>
      <c r="FX781" s="4"/>
      <c r="FY781" s="4"/>
      <c r="FZ781" s="4"/>
      <c r="GA781" s="4"/>
      <c r="GB781" s="4"/>
      <c r="GC781" s="4"/>
      <c r="GD781" s="4"/>
      <c r="GE781" s="4"/>
      <c r="GF781" s="4"/>
      <c r="GG781" s="4"/>
      <c r="GH781" s="4"/>
      <c r="GI781" s="4"/>
      <c r="GJ781" s="4"/>
      <c r="GK781" s="4"/>
      <c r="GL781" s="4"/>
      <c r="GM781" s="4"/>
      <c r="GN781" s="4"/>
      <c r="GO781" s="4"/>
      <c r="GP781" s="32"/>
      <c r="GQ781" s="4"/>
      <c r="GR781" s="4"/>
      <c r="GS781" s="4"/>
      <c r="GT781" s="4"/>
      <c r="GU781" s="4"/>
      <c r="GV781" s="4"/>
      <c r="GW781" s="4"/>
      <c r="GX781" s="4"/>
      <c r="GY781" s="4" t="s">
        <v>338</v>
      </c>
      <c r="GZ781" s="4" t="s">
        <v>534</v>
      </c>
      <c r="HA781" s="4"/>
      <c r="HB781" s="4" t="s">
        <v>789</v>
      </c>
      <c r="HC781" s="4" t="s">
        <v>790</v>
      </c>
      <c r="HD781" s="4" t="s">
        <v>8355</v>
      </c>
      <c r="HE781" s="4">
        <v>75111</v>
      </c>
      <c r="HF781" s="4" t="s">
        <v>8356</v>
      </c>
      <c r="HG781" s="4" t="s">
        <v>2350</v>
      </c>
      <c r="HH781" s="4" t="s">
        <v>8357</v>
      </c>
      <c r="HI781" s="4"/>
      <c r="HJ781" s="4"/>
      <c r="HK781" s="4"/>
      <c r="HL781" s="4"/>
      <c r="HM781" s="4"/>
      <c r="HN781" s="4"/>
      <c r="HO781" s="4"/>
      <c r="HP781" s="4"/>
      <c r="HQ781" s="4"/>
      <c r="HR781" s="4"/>
      <c r="HS781" s="4"/>
      <c r="HT781" s="4"/>
      <c r="HU781" s="4"/>
      <c r="HV781" s="4"/>
      <c r="HW781" s="4"/>
      <c r="HX781" s="4"/>
      <c r="HY781" s="4"/>
      <c r="HZ781" s="4"/>
      <c r="IA781" s="4"/>
      <c r="IB781" s="4" t="s">
        <v>8358</v>
      </c>
      <c r="IC781" s="4">
        <v>73634</v>
      </c>
      <c r="ID781" s="4" t="s">
        <v>8359</v>
      </c>
      <c r="IE781" s="4" t="s">
        <v>2974</v>
      </c>
      <c r="IF781" s="4" t="s">
        <v>319</v>
      </c>
      <c r="IG781" s="4"/>
      <c r="IH781" s="4"/>
      <c r="II781" s="4"/>
      <c r="IJ781" s="4"/>
      <c r="IK781" s="4"/>
      <c r="IL781" s="4"/>
      <c r="IM781" s="4"/>
      <c r="IN781" s="4"/>
      <c r="IO781" s="4"/>
      <c r="IP781" s="4"/>
      <c r="IQ781" s="4"/>
      <c r="IR781" s="4"/>
      <c r="IS781" s="4"/>
      <c r="IT781" s="4"/>
      <c r="IU781" s="4"/>
      <c r="IV781" s="4"/>
      <c r="IW781" s="4"/>
      <c r="IX781" s="4"/>
      <c r="IY781" s="4"/>
      <c r="IZ781" s="4"/>
      <c r="JA781" s="4"/>
      <c r="JB781" s="4"/>
      <c r="JC781" s="4"/>
      <c r="JD781" s="4"/>
      <c r="JE781" s="4"/>
      <c r="JF781" s="4"/>
      <c r="JG781" s="4"/>
      <c r="JH781" s="4"/>
      <c r="JI781" s="4"/>
      <c r="JJ781" s="4"/>
      <c r="JK781" s="4"/>
      <c r="JL781" s="4"/>
      <c r="JM781" s="4"/>
      <c r="JN781" s="4"/>
      <c r="JO781" s="4"/>
      <c r="JP781" s="4"/>
      <c r="JQ781" s="4"/>
      <c r="JR781" s="4"/>
      <c r="JS781" s="4"/>
      <c r="JT781" s="4"/>
      <c r="JU781" s="4"/>
      <c r="JV781" s="4"/>
      <c r="JW781" s="4"/>
      <c r="JX781" s="4"/>
      <c r="JY781" s="4"/>
      <c r="JZ781" s="4"/>
      <c r="KA781" s="4"/>
      <c r="KB781" s="4"/>
      <c r="KC781" s="4"/>
      <c r="KD781" s="4"/>
      <c r="KE781" s="4"/>
      <c r="KF781" s="4"/>
      <c r="KP781" s="5" t="s">
        <v>8360</v>
      </c>
      <c r="KQ781" s="5" t="s">
        <v>8360</v>
      </c>
      <c r="KR781" s="5" t="s">
        <v>8361</v>
      </c>
      <c r="KS781" s="5" t="s">
        <v>8360</v>
      </c>
      <c r="KT781" s="5" t="s">
        <v>8362</v>
      </c>
    </row>
    <row r="782" spans="1:306" ht="24" x14ac:dyDescent="0.25">
      <c r="A782" s="5" t="s">
        <v>2984</v>
      </c>
      <c r="B782" s="4" t="s">
        <v>383</v>
      </c>
      <c r="C782" s="7" t="s">
        <v>403</v>
      </c>
      <c r="D782" s="8" t="s">
        <v>802</v>
      </c>
      <c r="E782" s="4">
        <v>701736</v>
      </c>
      <c r="G782" s="4" t="s">
        <v>330</v>
      </c>
      <c r="H782" s="6">
        <v>119.500856965</v>
      </c>
      <c r="I782" s="6">
        <v>-21.643511871000001</v>
      </c>
      <c r="J782" s="4" t="s">
        <v>2986</v>
      </c>
      <c r="K782" s="4" t="s">
        <v>331</v>
      </c>
      <c r="L782" s="4" t="s">
        <v>368</v>
      </c>
      <c r="M782" s="4" t="s">
        <v>369</v>
      </c>
      <c r="Q782" s="8"/>
      <c r="R782" s="8"/>
      <c r="V782" s="4"/>
      <c r="W782" s="4"/>
      <c r="X782" s="4"/>
      <c r="Z782" s="4" t="s">
        <v>397</v>
      </c>
      <c r="AA782" s="7" t="s">
        <v>528</v>
      </c>
      <c r="AB782" s="8" t="s">
        <v>2985</v>
      </c>
      <c r="AC782" s="4" t="s">
        <v>301</v>
      </c>
      <c r="AD782" s="4" t="s">
        <v>402</v>
      </c>
      <c r="AE782" s="8">
        <v>2877</v>
      </c>
      <c r="AF782" s="8">
        <v>20</v>
      </c>
      <c r="AG782" s="9" t="s">
        <v>303</v>
      </c>
      <c r="AH782" s="9" t="s">
        <v>304</v>
      </c>
      <c r="AI782" s="9" t="s">
        <v>305</v>
      </c>
      <c r="AJ782" s="4" t="s">
        <v>306</v>
      </c>
      <c r="AK782" s="4" t="s">
        <v>307</v>
      </c>
      <c r="AL782" s="4" t="s">
        <v>337</v>
      </c>
      <c r="AM782" s="8">
        <v>5</v>
      </c>
      <c r="AN782" s="4" t="s">
        <v>381</v>
      </c>
      <c r="AO782" s="4" t="s">
        <v>375</v>
      </c>
      <c r="AP782" s="4" t="s">
        <v>383</v>
      </c>
      <c r="AQ782" s="7" t="s">
        <v>403</v>
      </c>
      <c r="AR782" s="8" t="s">
        <v>802</v>
      </c>
      <c r="AS782" s="7">
        <v>0</v>
      </c>
      <c r="AT782" s="7">
        <v>0</v>
      </c>
      <c r="AU782" s="4" t="s">
        <v>303</v>
      </c>
      <c r="AV782" s="9" t="s">
        <v>406</v>
      </c>
      <c r="AX782" s="4"/>
      <c r="AY782" s="4"/>
      <c r="AZ782" s="4"/>
      <c r="BA782" s="8">
        <v>5</v>
      </c>
      <c r="BE782" s="4"/>
      <c r="BF782" s="4"/>
      <c r="BG782" s="4"/>
      <c r="BH782" s="4"/>
      <c r="BI782" s="4"/>
      <c r="BJ782" s="4"/>
      <c r="BK782" s="4"/>
      <c r="BL782" s="4"/>
      <c r="BM782" s="4"/>
      <c r="BN782" s="4"/>
      <c r="BO782" s="4"/>
      <c r="DZ782" s="31"/>
      <c r="FA782" s="6"/>
      <c r="FN782" s="6">
        <v>0.85277999999999998</v>
      </c>
      <c r="FS782" s="9">
        <f>0.008552/1.2211</f>
        <v>7.0035214151175171E-3</v>
      </c>
      <c r="GP782" s="32"/>
      <c r="GY782" s="6" t="s">
        <v>309</v>
      </c>
      <c r="GZ782" s="6" t="s">
        <v>639</v>
      </c>
      <c r="HB782" s="6" t="s">
        <v>789</v>
      </c>
      <c r="HC782" s="6" t="s">
        <v>2987</v>
      </c>
      <c r="HD782" s="8" t="s">
        <v>2988</v>
      </c>
      <c r="HE782" s="8">
        <v>72903</v>
      </c>
      <c r="HF782" s="8" t="s">
        <v>2989</v>
      </c>
      <c r="HG782" s="9" t="s">
        <v>792</v>
      </c>
      <c r="HH782" s="9" t="s">
        <v>2990</v>
      </c>
      <c r="HJ782" s="9" t="s">
        <v>2991</v>
      </c>
      <c r="HK782" s="9" t="s">
        <v>389</v>
      </c>
      <c r="IB782" s="8" t="s">
        <v>2988</v>
      </c>
      <c r="IC782" s="8">
        <v>72903</v>
      </c>
      <c r="ID782" s="8" t="s">
        <v>2989</v>
      </c>
      <c r="IE782" s="9" t="s">
        <v>792</v>
      </c>
      <c r="IF782" s="8" t="s">
        <v>445</v>
      </c>
      <c r="IG782" s="9" t="s">
        <v>2990</v>
      </c>
      <c r="II782" s="9" t="s">
        <v>2991</v>
      </c>
      <c r="IJ782" s="9" t="s">
        <v>389</v>
      </c>
      <c r="IK782" s="8" t="s">
        <v>319</v>
      </c>
      <c r="IM782" s="9"/>
      <c r="KP782" s="5" t="s">
        <v>2992</v>
      </c>
      <c r="KQ782" s="5" t="s">
        <v>2993</v>
      </c>
      <c r="KR782" s="5" t="s">
        <v>2994</v>
      </c>
      <c r="KS782" s="5" t="s">
        <v>2992</v>
      </c>
      <c r="KT782" s="5" t="s">
        <v>2995</v>
      </c>
    </row>
    <row r="783" spans="1:306" ht="84" x14ac:dyDescent="0.25">
      <c r="A783" s="5" t="s">
        <v>5335</v>
      </c>
      <c r="B783" s="4" t="s">
        <v>397</v>
      </c>
      <c r="C783" s="7" t="s">
        <v>528</v>
      </c>
      <c r="D783" s="8" t="s">
        <v>2985</v>
      </c>
      <c r="E783" s="4">
        <v>334415</v>
      </c>
      <c r="G783" s="4" t="s">
        <v>330</v>
      </c>
      <c r="H783" s="6">
        <f>119+54/60</f>
        <v>119.9</v>
      </c>
      <c r="I783" s="6">
        <f>-(21+9/60)</f>
        <v>-21.15</v>
      </c>
      <c r="J783" s="4" t="s">
        <v>2984</v>
      </c>
      <c r="K783" s="4" t="s">
        <v>331</v>
      </c>
      <c r="L783" s="4" t="s">
        <v>368</v>
      </c>
      <c r="M783" s="4" t="s">
        <v>369</v>
      </c>
      <c r="Q783" s="8"/>
      <c r="R783" s="8"/>
      <c r="S783" s="4"/>
      <c r="Z783" s="4" t="s">
        <v>397</v>
      </c>
      <c r="AA783" s="7" t="s">
        <v>528</v>
      </c>
      <c r="AB783" s="8" t="s">
        <v>2985</v>
      </c>
      <c r="AC783" s="4" t="s">
        <v>301</v>
      </c>
      <c r="AD783" s="4" t="s">
        <v>375</v>
      </c>
      <c r="AE783" s="8">
        <v>2843</v>
      </c>
      <c r="AF783" s="8">
        <v>9</v>
      </c>
      <c r="AG783" s="4" t="s">
        <v>303</v>
      </c>
      <c r="AH783" s="9" t="s">
        <v>304</v>
      </c>
      <c r="AI783" s="9" t="s">
        <v>305</v>
      </c>
      <c r="AJ783" s="9" t="s">
        <v>306</v>
      </c>
      <c r="AK783" s="9" t="s">
        <v>307</v>
      </c>
      <c r="AL783" s="9" t="s">
        <v>4906</v>
      </c>
      <c r="AM783" s="8">
        <v>5</v>
      </c>
      <c r="AN783" s="4" t="s">
        <v>381</v>
      </c>
      <c r="AO783" s="4" t="s">
        <v>382</v>
      </c>
      <c r="AP783" s="4" t="s">
        <v>383</v>
      </c>
      <c r="AQ783" s="7" t="s">
        <v>403</v>
      </c>
      <c r="AR783" s="8" t="s">
        <v>802</v>
      </c>
      <c r="AS783" s="7">
        <v>0</v>
      </c>
      <c r="AT783" s="7">
        <v>0</v>
      </c>
      <c r="AU783" s="4" t="s">
        <v>303</v>
      </c>
      <c r="AV783" s="9" t="s">
        <v>406</v>
      </c>
      <c r="BA783" s="8">
        <v>5</v>
      </c>
      <c r="BG783" s="8"/>
      <c r="BH783" s="8"/>
      <c r="BI783" s="4"/>
      <c r="DZ783" s="31"/>
      <c r="FA783" s="6"/>
      <c r="FN783" s="6">
        <f>8.864/1.2696</f>
        <v>6.981726528040328</v>
      </c>
      <c r="FS783" s="6">
        <f>0.141*0.7044</f>
        <v>9.9320399999999989E-2</v>
      </c>
      <c r="GP783" s="32"/>
      <c r="GY783" s="6" t="s">
        <v>309</v>
      </c>
      <c r="GZ783" s="6" t="s">
        <v>639</v>
      </c>
      <c r="HA783" s="6" t="s">
        <v>789</v>
      </c>
      <c r="HC783" s="6" t="s">
        <v>2987</v>
      </c>
      <c r="HD783" s="9" t="s">
        <v>793</v>
      </c>
      <c r="HE783" s="8">
        <v>68766</v>
      </c>
      <c r="HF783" s="9" t="s">
        <v>794</v>
      </c>
      <c r="HG783" s="9" t="s">
        <v>792</v>
      </c>
      <c r="HH783" s="9" t="s">
        <v>5336</v>
      </c>
      <c r="HJ783" s="9" t="s">
        <v>5337</v>
      </c>
      <c r="HK783" s="9" t="s">
        <v>389</v>
      </c>
      <c r="IB783" s="9" t="s">
        <v>793</v>
      </c>
      <c r="IC783" s="8">
        <v>68766</v>
      </c>
      <c r="ID783" s="9" t="s">
        <v>794</v>
      </c>
      <c r="IE783" s="9" t="s">
        <v>792</v>
      </c>
      <c r="IF783" s="8" t="s">
        <v>445</v>
      </c>
      <c r="IG783" s="9" t="s">
        <v>5338</v>
      </c>
      <c r="IH783" s="8">
        <v>38010</v>
      </c>
      <c r="II783" s="8" t="s">
        <v>5339</v>
      </c>
      <c r="IJ783" s="8" t="s">
        <v>389</v>
      </c>
      <c r="IK783" s="9" t="s">
        <v>319</v>
      </c>
      <c r="IL783" s="9" t="s">
        <v>5336</v>
      </c>
      <c r="IN783" s="9" t="s">
        <v>5337</v>
      </c>
      <c r="IO783" s="9" t="s">
        <v>389</v>
      </c>
      <c r="IP783" s="9" t="s">
        <v>319</v>
      </c>
      <c r="IR783" s="9"/>
      <c r="KP783" s="5" t="s">
        <v>5340</v>
      </c>
      <c r="KQ783" s="5" t="s">
        <v>5341</v>
      </c>
      <c r="KR783" s="5" t="s">
        <v>5342</v>
      </c>
      <c r="KS783" s="5" t="s">
        <v>5340</v>
      </c>
      <c r="KT783" s="14" t="s">
        <v>5343</v>
      </c>
    </row>
    <row r="784" spans="1:306" ht="24" x14ac:dyDescent="0.25">
      <c r="A784" s="5" t="s">
        <v>1625</v>
      </c>
      <c r="B784" s="4" t="s">
        <v>397</v>
      </c>
      <c r="C784" s="7" t="s">
        <v>528</v>
      </c>
      <c r="D784" s="8" t="s">
        <v>2985</v>
      </c>
      <c r="E784" s="4">
        <v>705964</v>
      </c>
      <c r="G784" s="4" t="s">
        <v>330</v>
      </c>
      <c r="H784" s="6">
        <v>119.430616</v>
      </c>
      <c r="I784" s="6">
        <v>-21.506969999999999</v>
      </c>
      <c r="J784" s="4" t="s">
        <v>7769</v>
      </c>
      <c r="K784" s="4" t="s">
        <v>331</v>
      </c>
      <c r="L784" s="4" t="s">
        <v>368</v>
      </c>
      <c r="M784" s="4" t="s">
        <v>369</v>
      </c>
      <c r="Q784" s="8"/>
      <c r="R784" s="8"/>
      <c r="V784" s="4"/>
      <c r="W784" s="4"/>
      <c r="X784" s="4"/>
      <c r="Z784" s="4" t="s">
        <v>397</v>
      </c>
      <c r="AA784" s="7" t="s">
        <v>528</v>
      </c>
      <c r="AB784" s="8" t="s">
        <v>2985</v>
      </c>
      <c r="AC784" s="4" t="s">
        <v>301</v>
      </c>
      <c r="AD784" s="4" t="s">
        <v>375</v>
      </c>
      <c r="AE784" s="8">
        <v>2880</v>
      </c>
      <c r="AF784" s="8">
        <v>29</v>
      </c>
      <c r="AG784" s="9" t="s">
        <v>303</v>
      </c>
      <c r="AH784" s="9" t="s">
        <v>304</v>
      </c>
      <c r="AI784" s="9" t="s">
        <v>305</v>
      </c>
      <c r="AJ784" s="4" t="s">
        <v>306</v>
      </c>
      <c r="AK784" s="4" t="s">
        <v>307</v>
      </c>
      <c r="AL784" s="4" t="s">
        <v>337</v>
      </c>
      <c r="AM784" s="8">
        <v>5</v>
      </c>
      <c r="AN784" s="4" t="s">
        <v>381</v>
      </c>
      <c r="AO784" s="4" t="s">
        <v>382</v>
      </c>
      <c r="AP784" s="4" t="s">
        <v>383</v>
      </c>
      <c r="AQ784" s="7" t="s">
        <v>403</v>
      </c>
      <c r="AR784" s="8" t="s">
        <v>802</v>
      </c>
      <c r="AS784" s="7">
        <v>0</v>
      </c>
      <c r="AT784" s="7">
        <v>0</v>
      </c>
      <c r="AU784" s="4" t="s">
        <v>303</v>
      </c>
      <c r="AV784" s="9" t="s">
        <v>406</v>
      </c>
      <c r="AX784" s="4"/>
      <c r="AY784" s="4"/>
      <c r="AZ784" s="4"/>
      <c r="BA784" s="8">
        <v>5</v>
      </c>
      <c r="BG784" s="8"/>
      <c r="BH784" s="8"/>
      <c r="BL784" s="4"/>
      <c r="BM784" s="4"/>
      <c r="BN784" s="4"/>
      <c r="DZ784" s="31"/>
      <c r="FA784" s="6"/>
      <c r="GP784" s="32"/>
      <c r="GY784" s="31" t="s">
        <v>407</v>
      </c>
      <c r="IM784" s="9"/>
      <c r="KP784" s="5" t="s">
        <v>2994</v>
      </c>
      <c r="KQ784" s="5" t="s">
        <v>2994</v>
      </c>
      <c r="KR784" s="5" t="s">
        <v>2994</v>
      </c>
      <c r="KT784" s="5" t="s">
        <v>7770</v>
      </c>
    </row>
    <row r="785" spans="1:306" ht="96" x14ac:dyDescent="0.25">
      <c r="A785" s="5" t="s">
        <v>2097</v>
      </c>
      <c r="B785" s="4" t="s">
        <v>397</v>
      </c>
      <c r="C785" s="7" t="s">
        <v>528</v>
      </c>
      <c r="D785" s="8" t="s">
        <v>2098</v>
      </c>
      <c r="E785" s="4">
        <v>334304</v>
      </c>
      <c r="G785" s="4" t="s">
        <v>330</v>
      </c>
      <c r="H785" s="6">
        <v>121.51479999999999</v>
      </c>
      <c r="I785" s="6">
        <v>-31.815899999999999</v>
      </c>
      <c r="J785" s="4" t="s">
        <v>2099</v>
      </c>
      <c r="K785" s="4" t="s">
        <v>331</v>
      </c>
      <c r="L785" s="4" t="s">
        <v>500</v>
      </c>
      <c r="M785" s="4" t="s">
        <v>501</v>
      </c>
      <c r="N785" s="4" t="s">
        <v>1061</v>
      </c>
      <c r="Q785" s="8"/>
      <c r="R785" s="8"/>
      <c r="Z785" s="4" t="s">
        <v>397</v>
      </c>
      <c r="AA785" s="7" t="s">
        <v>528</v>
      </c>
      <c r="AB785" s="8" t="s">
        <v>2098</v>
      </c>
      <c r="AC785" s="4" t="s">
        <v>301</v>
      </c>
      <c r="AD785" s="4" t="s">
        <v>302</v>
      </c>
      <c r="AE785" s="8">
        <v>2622</v>
      </c>
      <c r="AF785" s="8">
        <v>13</v>
      </c>
      <c r="AG785" s="9" t="s">
        <v>303</v>
      </c>
      <c r="AH785" s="9" t="s">
        <v>304</v>
      </c>
      <c r="AI785" s="9" t="s">
        <v>503</v>
      </c>
      <c r="AJ785" s="9" t="s">
        <v>306</v>
      </c>
      <c r="AK785" s="9" t="s">
        <v>307</v>
      </c>
      <c r="AL785" s="9" t="s">
        <v>337</v>
      </c>
      <c r="AM785" s="8">
        <v>5</v>
      </c>
      <c r="AS785" s="8"/>
      <c r="AT785" s="8"/>
      <c r="BG785" s="8"/>
      <c r="BH785" s="8"/>
      <c r="DZ785" s="31"/>
      <c r="GP785" s="32"/>
      <c r="GY785" s="6" t="s">
        <v>407</v>
      </c>
      <c r="HD785" s="8" t="s">
        <v>1803</v>
      </c>
      <c r="HF785" s="8" t="s">
        <v>2100</v>
      </c>
      <c r="HG785" s="9" t="s">
        <v>507</v>
      </c>
      <c r="HH785" s="9" t="s">
        <v>2101</v>
      </c>
      <c r="HJ785" s="9" t="s">
        <v>2102</v>
      </c>
      <c r="HK785" s="9" t="s">
        <v>507</v>
      </c>
      <c r="IB785" s="8" t="s">
        <v>1803</v>
      </c>
      <c r="ID785" s="8" t="s">
        <v>2100</v>
      </c>
      <c r="IE785" s="8" t="s">
        <v>507</v>
      </c>
      <c r="IF785" s="8" t="s">
        <v>445</v>
      </c>
      <c r="IG785" s="8" t="s">
        <v>2101</v>
      </c>
      <c r="II785" s="8" t="s">
        <v>2102</v>
      </c>
      <c r="IJ785" s="8" t="s">
        <v>507</v>
      </c>
      <c r="IK785" s="8" t="s">
        <v>445</v>
      </c>
      <c r="IL785" s="9" t="s">
        <v>2103</v>
      </c>
      <c r="IN785" s="9" t="s">
        <v>2104</v>
      </c>
      <c r="IO785" s="9" t="s">
        <v>507</v>
      </c>
      <c r="IP785" s="9" t="s">
        <v>319</v>
      </c>
      <c r="KG785" s="4" t="s">
        <v>323</v>
      </c>
      <c r="KM785" s="4" t="s">
        <v>1439</v>
      </c>
      <c r="KN785" s="4" t="s">
        <v>1439</v>
      </c>
      <c r="KP785" s="5" t="s">
        <v>358</v>
      </c>
      <c r="KQ785" s="5" t="s">
        <v>2105</v>
      </c>
      <c r="KR785" s="5" t="s">
        <v>2105</v>
      </c>
      <c r="KT785" s="5" t="s">
        <v>2106</v>
      </c>
    </row>
    <row r="786" spans="1:306" ht="132" x14ac:dyDescent="0.25">
      <c r="A786" s="5" t="s">
        <v>5542</v>
      </c>
      <c r="B786" s="4" t="s">
        <v>397</v>
      </c>
      <c r="C786" s="7" t="s">
        <v>528</v>
      </c>
      <c r="D786" s="7" t="s">
        <v>2098</v>
      </c>
      <c r="E786" s="4">
        <v>806017</v>
      </c>
      <c r="G786" s="4" t="s">
        <v>530</v>
      </c>
      <c r="H786" s="6">
        <f>131+(19.5+4.2/11.6)/60</f>
        <v>131.33103448275861</v>
      </c>
      <c r="I786" s="6">
        <f>-(22+(2+3.6/11.6)/60)</f>
        <v>-22.038505747126436</v>
      </c>
      <c r="J786" s="4" t="s">
        <v>5543</v>
      </c>
      <c r="K786" s="4" t="s">
        <v>481</v>
      </c>
      <c r="L786" s="4" t="s">
        <v>1498</v>
      </c>
      <c r="O786" s="7"/>
      <c r="Q786" s="8"/>
      <c r="R786" s="8"/>
      <c r="Z786" s="4" t="s">
        <v>397</v>
      </c>
      <c r="AA786" s="7" t="s">
        <v>528</v>
      </c>
      <c r="AB786" s="7" t="s">
        <v>2098</v>
      </c>
      <c r="AC786" s="4" t="s">
        <v>301</v>
      </c>
      <c r="AD786" s="4" t="s">
        <v>375</v>
      </c>
      <c r="AE786" s="8">
        <v>1548</v>
      </c>
      <c r="AF786" s="8">
        <v>3</v>
      </c>
      <c r="AG786" s="9" t="s">
        <v>379</v>
      </c>
      <c r="AH786" s="9" t="s">
        <v>335</v>
      </c>
      <c r="AI786" s="9" t="s">
        <v>845</v>
      </c>
      <c r="AJ786" s="9" t="s">
        <v>431</v>
      </c>
      <c r="AK786" s="9" t="s">
        <v>432</v>
      </c>
      <c r="AM786" s="8">
        <v>3</v>
      </c>
      <c r="AN786" s="4" t="s">
        <v>381</v>
      </c>
      <c r="AO786" s="4" t="s">
        <v>402</v>
      </c>
      <c r="AP786" s="4" t="s">
        <v>383</v>
      </c>
      <c r="AQ786" s="7" t="s">
        <v>384</v>
      </c>
      <c r="AR786" s="8" t="s">
        <v>5544</v>
      </c>
      <c r="AS786" s="7">
        <v>0</v>
      </c>
      <c r="AT786" s="7">
        <v>0</v>
      </c>
      <c r="AU786" s="9" t="s">
        <v>303</v>
      </c>
      <c r="AV786" s="9" t="s">
        <v>406</v>
      </c>
      <c r="BA786" s="8">
        <v>5</v>
      </c>
      <c r="DZ786" s="31"/>
      <c r="FT786" s="9">
        <v>0.25600000000000001</v>
      </c>
      <c r="GP786" s="32"/>
      <c r="GY786" s="6" t="s">
        <v>309</v>
      </c>
      <c r="GZ786" s="6" t="s">
        <v>916</v>
      </c>
      <c r="HD786" s="8" t="s">
        <v>5545</v>
      </c>
      <c r="HE786" s="8">
        <v>69780</v>
      </c>
      <c r="HF786" s="8" t="s">
        <v>5546</v>
      </c>
      <c r="HG786" s="9" t="s">
        <v>538</v>
      </c>
      <c r="IB786" s="8" t="s">
        <v>5547</v>
      </c>
      <c r="ID786" s="8" t="s">
        <v>5548</v>
      </c>
      <c r="IE786" s="8" t="s">
        <v>538</v>
      </c>
      <c r="IF786" s="8" t="s">
        <v>319</v>
      </c>
      <c r="IG786" s="8" t="s">
        <v>5549</v>
      </c>
      <c r="IH786" s="8">
        <v>23298</v>
      </c>
      <c r="II786" s="8" t="s">
        <v>5550</v>
      </c>
      <c r="IJ786" s="8" t="s">
        <v>538</v>
      </c>
      <c r="IK786" s="8" t="s">
        <v>319</v>
      </c>
      <c r="IW786" s="8"/>
      <c r="JB786" s="8"/>
      <c r="JX786" s="7" t="s">
        <v>320</v>
      </c>
      <c r="KG786" s="4" t="s">
        <v>323</v>
      </c>
      <c r="KM786" s="4" t="s">
        <v>522</v>
      </c>
      <c r="KN786" s="4" t="s">
        <v>522</v>
      </c>
      <c r="KO786" s="4" t="s">
        <v>445</v>
      </c>
      <c r="KP786" s="5" t="s">
        <v>5551</v>
      </c>
      <c r="KQ786" s="5" t="s">
        <v>5552</v>
      </c>
      <c r="KR786" s="5" t="s">
        <v>5553</v>
      </c>
      <c r="KS786" s="5" t="s">
        <v>5554</v>
      </c>
      <c r="KT786" s="5" t="s">
        <v>5555</v>
      </c>
    </row>
    <row r="787" spans="1:306" ht="36" x14ac:dyDescent="0.25">
      <c r="A787" s="5" t="s">
        <v>6173</v>
      </c>
      <c r="B787" s="4" t="s">
        <v>397</v>
      </c>
      <c r="C787" s="7" t="s">
        <v>528</v>
      </c>
      <c r="D787" s="8" t="s">
        <v>2098</v>
      </c>
      <c r="E787" s="4">
        <v>335934</v>
      </c>
      <c r="G787" s="4" t="s">
        <v>330</v>
      </c>
      <c r="H787" s="6">
        <v>119.5835</v>
      </c>
      <c r="I787" s="6">
        <v>-31.506699999999999</v>
      </c>
      <c r="J787" s="4" t="s">
        <v>1811</v>
      </c>
      <c r="K787" s="4" t="s">
        <v>331</v>
      </c>
      <c r="L787" s="4" t="s">
        <v>500</v>
      </c>
      <c r="M787" s="4" t="s">
        <v>676</v>
      </c>
      <c r="N787" s="4" t="s">
        <v>1811</v>
      </c>
      <c r="Q787" s="8"/>
      <c r="R787" s="8"/>
      <c r="Z787" s="4" t="s">
        <v>397</v>
      </c>
      <c r="AA787" s="7" t="s">
        <v>528</v>
      </c>
      <c r="AB787" s="8" t="s">
        <v>2098</v>
      </c>
      <c r="AC787" s="4" t="s">
        <v>301</v>
      </c>
      <c r="AD787" s="4" t="s">
        <v>302</v>
      </c>
      <c r="AE787" s="8">
        <v>2634</v>
      </c>
      <c r="AF787" s="8">
        <v>4</v>
      </c>
      <c r="AG787" s="9" t="s">
        <v>303</v>
      </c>
      <c r="AH787" s="9" t="s">
        <v>304</v>
      </c>
      <c r="AI787" s="9" t="s">
        <v>373</v>
      </c>
      <c r="AJ787" s="9" t="s">
        <v>306</v>
      </c>
      <c r="AK787" s="9" t="s">
        <v>307</v>
      </c>
      <c r="AL787" s="9" t="s">
        <v>337</v>
      </c>
      <c r="AM787" s="8">
        <v>5</v>
      </c>
      <c r="AS787" s="8"/>
      <c r="AT787" s="8"/>
      <c r="BG787" s="8"/>
      <c r="BH787" s="8"/>
      <c r="DZ787" s="31"/>
      <c r="GP787" s="32"/>
      <c r="GY787" s="6" t="s">
        <v>407</v>
      </c>
      <c r="HD787" s="8" t="s">
        <v>6174</v>
      </c>
      <c r="HE787" s="8">
        <v>23744</v>
      </c>
      <c r="HF787" s="8" t="s">
        <v>6183</v>
      </c>
      <c r="HG787" s="9" t="s">
        <v>507</v>
      </c>
      <c r="IB787" s="8" t="s">
        <v>6174</v>
      </c>
      <c r="IC787" s="8">
        <v>23744</v>
      </c>
      <c r="ID787" s="8" t="s">
        <v>702</v>
      </c>
      <c r="IE787" s="8" t="s">
        <v>507</v>
      </c>
      <c r="IF787" s="8" t="s">
        <v>445</v>
      </c>
      <c r="IG787" s="8" t="s">
        <v>6176</v>
      </c>
      <c r="II787" s="8" t="s">
        <v>6177</v>
      </c>
      <c r="IJ787" s="8" t="s">
        <v>507</v>
      </c>
      <c r="IK787" s="8" t="s">
        <v>319</v>
      </c>
      <c r="KG787" s="4" t="s">
        <v>323</v>
      </c>
      <c r="KM787" s="4" t="s">
        <v>1439</v>
      </c>
      <c r="KN787" s="4" t="s">
        <v>1192</v>
      </c>
      <c r="KP787" s="5" t="s">
        <v>358</v>
      </c>
      <c r="KQ787" s="5" t="s">
        <v>6184</v>
      </c>
      <c r="KR787" s="5" t="s">
        <v>6185</v>
      </c>
      <c r="KT787" s="14" t="s">
        <v>6186</v>
      </c>
    </row>
    <row r="788" spans="1:306" ht="132" x14ac:dyDescent="0.25">
      <c r="A788" s="5" t="s">
        <v>6809</v>
      </c>
      <c r="B788" s="4" t="s">
        <v>397</v>
      </c>
      <c r="C788" s="7" t="s">
        <v>528</v>
      </c>
      <c r="D788" s="8" t="s">
        <v>2098</v>
      </c>
      <c r="E788" s="4">
        <v>333388</v>
      </c>
      <c r="G788" s="4" t="s">
        <v>530</v>
      </c>
      <c r="H788" s="6">
        <v>132.91726499999999</v>
      </c>
      <c r="I788" s="6">
        <v>-12.674956</v>
      </c>
      <c r="J788" s="4" t="s">
        <v>722</v>
      </c>
      <c r="K788" s="4" t="s">
        <v>481</v>
      </c>
      <c r="L788" s="4" t="s">
        <v>532</v>
      </c>
      <c r="Q788" s="8"/>
      <c r="R788" s="8"/>
      <c r="Z788" s="4" t="s">
        <v>397</v>
      </c>
      <c r="AA788" s="7" t="s">
        <v>528</v>
      </c>
      <c r="AB788" s="8" t="s">
        <v>2098</v>
      </c>
      <c r="AC788" s="4" t="s">
        <v>301</v>
      </c>
      <c r="AD788" s="4" t="s">
        <v>302</v>
      </c>
      <c r="AE788" s="8">
        <v>1847</v>
      </c>
      <c r="AF788" s="8">
        <v>1</v>
      </c>
      <c r="AG788" s="9" t="s">
        <v>303</v>
      </c>
      <c r="AH788" s="9" t="s">
        <v>304</v>
      </c>
      <c r="AI788" s="9" t="s">
        <v>504</v>
      </c>
      <c r="AJ788" s="9" t="s">
        <v>306</v>
      </c>
      <c r="AK788" s="9" t="s">
        <v>307</v>
      </c>
      <c r="AL788" s="9" t="s">
        <v>1295</v>
      </c>
      <c r="AM788" s="8">
        <v>5</v>
      </c>
      <c r="DZ788" s="31"/>
      <c r="GP788" s="32"/>
      <c r="GY788" s="6" t="s">
        <v>407</v>
      </c>
      <c r="HD788" s="8" t="s">
        <v>724</v>
      </c>
      <c r="HE788" s="8">
        <v>24806</v>
      </c>
      <c r="HF788" s="8" t="s">
        <v>725</v>
      </c>
      <c r="HG788" s="9" t="s">
        <v>538</v>
      </c>
      <c r="ID788" s="8" t="s">
        <v>528</v>
      </c>
      <c r="IE788" s="8" t="s">
        <v>538</v>
      </c>
      <c r="IF788" s="8" t="s">
        <v>319</v>
      </c>
      <c r="IW788" s="8"/>
      <c r="JB788" s="8"/>
      <c r="KP788" s="5" t="s">
        <v>358</v>
      </c>
      <c r="KQ788" s="5" t="s">
        <v>6810</v>
      </c>
      <c r="KR788" s="5" t="s">
        <v>6810</v>
      </c>
      <c r="KT788" s="5" t="s">
        <v>6811</v>
      </c>
    </row>
    <row r="789" spans="1:306" ht="24" x14ac:dyDescent="0.25">
      <c r="A789" s="5" t="s">
        <v>7990</v>
      </c>
      <c r="B789" s="4" t="s">
        <v>397</v>
      </c>
      <c r="C789" s="7" t="s">
        <v>528</v>
      </c>
      <c r="D789" s="8" t="s">
        <v>2098</v>
      </c>
      <c r="E789" s="4">
        <v>756221</v>
      </c>
      <c r="G789" s="4" t="s">
        <v>330</v>
      </c>
      <c r="H789" s="6">
        <f>119+1/60+4/3600</f>
        <v>119.01777777777778</v>
      </c>
      <c r="I789" s="6">
        <f>-(31+57/60+2/3600)</f>
        <v>-31.950555555555553</v>
      </c>
      <c r="J789" s="4" t="s">
        <v>7991</v>
      </c>
      <c r="K789" s="4" t="s">
        <v>331</v>
      </c>
      <c r="L789" s="4" t="s">
        <v>500</v>
      </c>
      <c r="M789" s="4" t="s">
        <v>676</v>
      </c>
      <c r="N789" s="4" t="s">
        <v>1811</v>
      </c>
      <c r="Q789" s="8"/>
      <c r="R789" s="8"/>
      <c r="Z789" s="4" t="s">
        <v>397</v>
      </c>
      <c r="AA789" s="7" t="s">
        <v>528</v>
      </c>
      <c r="AB789" s="8" t="s">
        <v>2098</v>
      </c>
      <c r="AC789" s="4" t="s">
        <v>301</v>
      </c>
      <c r="AD789" s="4" t="s">
        <v>302</v>
      </c>
      <c r="AE789" s="8">
        <v>2640</v>
      </c>
      <c r="AF789" s="8">
        <v>11</v>
      </c>
      <c r="AG789" s="9" t="s">
        <v>379</v>
      </c>
      <c r="AH789" s="9" t="s">
        <v>335</v>
      </c>
      <c r="AI789" s="9" t="s">
        <v>7992</v>
      </c>
      <c r="AJ789" s="9" t="s">
        <v>5057</v>
      </c>
      <c r="AK789" s="9" t="s">
        <v>1081</v>
      </c>
      <c r="AL789" s="9" t="s">
        <v>1727</v>
      </c>
      <c r="AM789" s="8">
        <v>4</v>
      </c>
      <c r="AS789" s="8"/>
      <c r="AT789" s="8"/>
      <c r="BG789" s="8"/>
      <c r="BH789" s="8"/>
      <c r="DZ789" s="31"/>
      <c r="GP789" s="32"/>
      <c r="GY789" s="6" t="s">
        <v>407</v>
      </c>
      <c r="ID789" s="8" t="s">
        <v>528</v>
      </c>
      <c r="IE789" s="8" t="s">
        <v>510</v>
      </c>
      <c r="IF789" s="8" t="s">
        <v>319</v>
      </c>
      <c r="KP789" s="5" t="s">
        <v>2609</v>
      </c>
      <c r="KQ789" s="5" t="s">
        <v>5531</v>
      </c>
      <c r="KR789" s="5" t="s">
        <v>7993</v>
      </c>
    </row>
    <row r="790" spans="1:306" ht="36" x14ac:dyDescent="0.25">
      <c r="A790" s="5" t="s">
        <v>1496</v>
      </c>
      <c r="B790" s="4" t="s">
        <v>397</v>
      </c>
      <c r="C790" s="7" t="s">
        <v>860</v>
      </c>
      <c r="D790" s="4" t="s">
        <v>1497</v>
      </c>
      <c r="E790" s="38">
        <v>859639</v>
      </c>
      <c r="G790" s="4" t="s">
        <v>530</v>
      </c>
      <c r="H790" s="6">
        <v>134.19999999999999</v>
      </c>
      <c r="I790" s="6">
        <v>-22.86</v>
      </c>
      <c r="K790" s="4" t="s">
        <v>481</v>
      </c>
      <c r="L790" s="4" t="s">
        <v>1498</v>
      </c>
      <c r="O790" s="4"/>
      <c r="Q790" s="8"/>
      <c r="R790" s="8"/>
      <c r="Z790" s="4" t="s">
        <v>397</v>
      </c>
      <c r="AA790" s="7" t="s">
        <v>860</v>
      </c>
      <c r="AB790" s="4" t="s">
        <v>1497</v>
      </c>
      <c r="AC790" s="4" t="s">
        <v>301</v>
      </c>
      <c r="AD790" s="4" t="s">
        <v>382</v>
      </c>
      <c r="AE790" s="8"/>
      <c r="AF790" s="8"/>
      <c r="DZ790" s="31"/>
      <c r="GP790" s="32"/>
      <c r="GY790" s="6" t="s">
        <v>407</v>
      </c>
      <c r="HF790" s="8" t="s">
        <v>1499</v>
      </c>
      <c r="HG790" s="9" t="s">
        <v>538</v>
      </c>
      <c r="HH790" s="9" t="s">
        <v>1496</v>
      </c>
      <c r="IB790" s="8" t="s">
        <v>1496</v>
      </c>
      <c r="IF790" s="8" t="s">
        <v>319</v>
      </c>
      <c r="IW790" s="8"/>
      <c r="JB790" s="8"/>
      <c r="KM790" s="4" t="s">
        <v>702</v>
      </c>
      <c r="KN790" s="4" t="s">
        <v>888</v>
      </c>
      <c r="KO790" s="4" t="s">
        <v>445</v>
      </c>
      <c r="KP790" s="5" t="s">
        <v>1500</v>
      </c>
      <c r="KQ790" s="5" t="s">
        <v>1500</v>
      </c>
      <c r="KT790" s="5" t="s">
        <v>1501</v>
      </c>
    </row>
    <row r="791" spans="1:306" ht="132" x14ac:dyDescent="0.25">
      <c r="A791" s="5" t="s">
        <v>2525</v>
      </c>
      <c r="B791" s="4" t="s">
        <v>397</v>
      </c>
      <c r="C791" s="7" t="s">
        <v>860</v>
      </c>
      <c r="D791" s="8" t="s">
        <v>1497</v>
      </c>
      <c r="E791" s="4">
        <v>335930</v>
      </c>
      <c r="G791" s="4" t="s">
        <v>330</v>
      </c>
      <c r="H791" s="6">
        <v>127.17473</v>
      </c>
      <c r="I791" s="6">
        <v>-19.287212</v>
      </c>
      <c r="J791" s="4" t="s">
        <v>2525</v>
      </c>
      <c r="K791" s="4" t="s">
        <v>481</v>
      </c>
      <c r="L791" s="4" t="s">
        <v>863</v>
      </c>
      <c r="Q791" s="8"/>
      <c r="R791" s="8"/>
      <c r="Z791" s="4" t="s">
        <v>397</v>
      </c>
      <c r="AA791" s="7" t="s">
        <v>860</v>
      </c>
      <c r="AB791" s="8" t="s">
        <v>1497</v>
      </c>
      <c r="AC791" s="4" t="s">
        <v>301</v>
      </c>
      <c r="AD791" s="4" t="s">
        <v>302</v>
      </c>
      <c r="AE791" s="8">
        <v>1012</v>
      </c>
      <c r="AF791" s="8">
        <v>12</v>
      </c>
      <c r="AG791" s="9" t="s">
        <v>303</v>
      </c>
      <c r="AH791" s="9" t="s">
        <v>335</v>
      </c>
      <c r="AI791" s="9" t="s">
        <v>373</v>
      </c>
      <c r="AJ791" s="9" t="s">
        <v>306</v>
      </c>
      <c r="AK791" s="9" t="s">
        <v>307</v>
      </c>
      <c r="AL791" s="9" t="s">
        <v>1727</v>
      </c>
      <c r="AM791" s="8">
        <v>5</v>
      </c>
      <c r="AS791" s="8"/>
      <c r="AT791" s="8"/>
      <c r="BG791" s="8"/>
      <c r="BH791" s="8"/>
      <c r="BP791" s="7">
        <v>18.8</v>
      </c>
      <c r="BW791" s="4"/>
      <c r="BY791" s="7"/>
      <c r="BZ791" s="7"/>
      <c r="CC791" s="7">
        <v>11.2</v>
      </c>
      <c r="CD791" s="7"/>
      <c r="CO791" s="4"/>
      <c r="CP791" s="4"/>
      <c r="CQ791" s="4"/>
      <c r="CS791" s="4">
        <v>979</v>
      </c>
      <c r="DA791" s="4"/>
      <c r="DC791" s="4"/>
      <c r="DK791" s="4">
        <v>0.24</v>
      </c>
      <c r="DL791" s="4">
        <v>0.54</v>
      </c>
      <c r="DM791" s="4">
        <v>5.3999999999999999E-2</v>
      </c>
      <c r="DN791" s="4">
        <v>0.22</v>
      </c>
      <c r="DO791" s="4">
        <v>3.6999999999999998E-2</v>
      </c>
      <c r="DP791" s="4">
        <v>8.9999999999999993E-3</v>
      </c>
      <c r="DQ791" s="4">
        <v>2.7E-2</v>
      </c>
      <c r="DR791" s="4">
        <v>3.2000000000000002E-3</v>
      </c>
      <c r="DS791" s="4">
        <v>1.2999999999999999E-2</v>
      </c>
      <c r="DT791" s="4">
        <v>2.2000000000000001E-3</v>
      </c>
      <c r="DU791" s="4">
        <v>4.5999999999999999E-3</v>
      </c>
      <c r="DV791" s="4">
        <v>5.0000000000000002E-5</v>
      </c>
      <c r="DW791" s="4">
        <v>2.7000000000000001E-3</v>
      </c>
      <c r="DX791" s="4">
        <v>2.0000000000000001E-4</v>
      </c>
      <c r="DY791" s="4">
        <v>1.1499999999999999</v>
      </c>
      <c r="DZ791" s="31">
        <f>GP791/BP791*100</f>
        <v>2.2988829787234044</v>
      </c>
      <c r="EA791" s="4"/>
      <c r="EB791" s="4">
        <v>1.4500000000000001E-2</v>
      </c>
      <c r="ED791" s="7"/>
      <c r="EM791" s="4"/>
      <c r="EO791" s="10"/>
      <c r="EP791" s="10"/>
      <c r="ES791" s="10">
        <f>BP791*CC791/100</f>
        <v>2.1055999999999999</v>
      </c>
      <c r="FD791" s="4"/>
      <c r="FH791" s="4">
        <v>18.399999999999999</v>
      </c>
      <c r="FP791" s="4"/>
      <c r="GA791" s="4">
        <v>4.564E-2</v>
      </c>
      <c r="GB791" s="4">
        <v>0.10085</v>
      </c>
      <c r="GC791" s="4">
        <v>1.0149999999999999E-2</v>
      </c>
      <c r="GD791" s="4">
        <v>4.0919999999999998E-2</v>
      </c>
      <c r="GE791" s="4">
        <v>6.8900000000000003E-3</v>
      </c>
      <c r="GF791" s="4">
        <v>1.6900000000000001E-3</v>
      </c>
      <c r="GG791" s="4">
        <v>5.1000000000000004E-3</v>
      </c>
      <c r="GH791" s="4">
        <v>5.9000000000000003E-4</v>
      </c>
      <c r="GI791" s="4">
        <v>2.5300000000000001E-3</v>
      </c>
      <c r="GJ791" s="4">
        <v>4.0999999999999999E-4</v>
      </c>
      <c r="GK791" s="4">
        <v>8.5999999999999998E-4</v>
      </c>
      <c r="GL791" s="4">
        <v>1.0000000000000001E-5</v>
      </c>
      <c r="GM791" s="4">
        <v>5.1999999999999995E-4</v>
      </c>
      <c r="GN791" s="4">
        <v>3.0000000000000001E-5</v>
      </c>
      <c r="GO791" s="4">
        <v>0.216</v>
      </c>
      <c r="GP791" s="32">
        <f>SUM(GA791:GO791)+FE791</f>
        <v>0.43219000000000002</v>
      </c>
      <c r="GQ791" s="4"/>
      <c r="GR791" s="6">
        <f>1000*BP791*EB791/100</f>
        <v>2.7260000000000004</v>
      </c>
      <c r="GT791" s="10"/>
      <c r="GW791" s="10"/>
      <c r="GY791" s="10" t="s">
        <v>435</v>
      </c>
      <c r="GZ791" s="10" t="s">
        <v>583</v>
      </c>
      <c r="HA791" s="10"/>
      <c r="HB791" s="10" t="s">
        <v>2526</v>
      </c>
      <c r="HC791" s="10"/>
      <c r="HD791" s="8" t="s">
        <v>2527</v>
      </c>
      <c r="HE791" s="8">
        <v>14567</v>
      </c>
      <c r="HF791" s="8" t="s">
        <v>2528</v>
      </c>
      <c r="HG791" s="9" t="s">
        <v>538</v>
      </c>
      <c r="IB791" s="8" t="s">
        <v>2529</v>
      </c>
      <c r="IC791" s="8">
        <v>5020</v>
      </c>
      <c r="ID791" s="8" t="s">
        <v>2530</v>
      </c>
      <c r="IE791" s="8" t="s">
        <v>349</v>
      </c>
      <c r="IF791" s="8" t="s">
        <v>319</v>
      </c>
      <c r="JV791" s="7" t="s">
        <v>2531</v>
      </c>
      <c r="JX791" s="7" t="s">
        <v>353</v>
      </c>
      <c r="JY791" s="7" t="s">
        <v>354</v>
      </c>
      <c r="JZ791" s="7" t="s">
        <v>320</v>
      </c>
      <c r="KA791" s="7" t="s">
        <v>321</v>
      </c>
      <c r="KB791" s="7" t="s">
        <v>322</v>
      </c>
      <c r="KG791" s="4" t="s">
        <v>356</v>
      </c>
      <c r="KH791" s="4" t="s">
        <v>402</v>
      </c>
      <c r="KP791" s="5" t="s">
        <v>358</v>
      </c>
      <c r="KQ791" s="5" t="s">
        <v>2532</v>
      </c>
      <c r="KR791" s="5" t="s">
        <v>2533</v>
      </c>
      <c r="KS791" s="5" t="s">
        <v>2534</v>
      </c>
      <c r="KT791" s="5" t="s">
        <v>2535</v>
      </c>
    </row>
    <row r="792" spans="1:306" ht="192" x14ac:dyDescent="0.25">
      <c r="A792" s="11" t="s">
        <v>3446</v>
      </c>
      <c r="B792" s="4" t="s">
        <v>397</v>
      </c>
      <c r="C792" s="4" t="s">
        <v>860</v>
      </c>
      <c r="D792" s="4" t="s">
        <v>1497</v>
      </c>
      <c r="E792" s="4">
        <v>761657</v>
      </c>
      <c r="F792" s="4" t="s">
        <v>2797</v>
      </c>
      <c r="G792" s="4" t="s">
        <v>330</v>
      </c>
      <c r="H792" s="4">
        <v>116.25</v>
      </c>
      <c r="I792" s="4">
        <v>-23.92</v>
      </c>
      <c r="J792" s="4" t="s">
        <v>3447</v>
      </c>
      <c r="K792" s="4" t="s">
        <v>331</v>
      </c>
      <c r="L792" s="4" t="s">
        <v>332</v>
      </c>
      <c r="M792" s="4" t="s">
        <v>3448</v>
      </c>
      <c r="O792" s="4"/>
      <c r="Q792" s="4"/>
      <c r="R792" s="4"/>
      <c r="S792" s="4"/>
      <c r="T792" s="4"/>
      <c r="U792" s="4"/>
      <c r="V792" s="4"/>
      <c r="W792" s="4"/>
      <c r="X792" s="4"/>
      <c r="Y792" s="4"/>
      <c r="Z792" s="4" t="s">
        <v>397</v>
      </c>
      <c r="AA792" s="4" t="s">
        <v>860</v>
      </c>
      <c r="AB792" s="4" t="s">
        <v>1497</v>
      </c>
      <c r="AC792" s="4" t="s">
        <v>301</v>
      </c>
      <c r="AD792" s="4" t="s">
        <v>302</v>
      </c>
      <c r="AE792" s="4">
        <v>1368</v>
      </c>
      <c r="AF792" s="4">
        <v>5</v>
      </c>
      <c r="AG792" s="4" t="s">
        <v>303</v>
      </c>
      <c r="AH792" s="4" t="s">
        <v>335</v>
      </c>
      <c r="AI792" s="4" t="s">
        <v>373</v>
      </c>
      <c r="AJ792" s="4" t="s">
        <v>3449</v>
      </c>
      <c r="AK792" s="4" t="s">
        <v>307</v>
      </c>
      <c r="AL792" s="4" t="s">
        <v>308</v>
      </c>
      <c r="AM792" s="4">
        <v>5</v>
      </c>
      <c r="AO792" s="4" t="s">
        <v>2797</v>
      </c>
      <c r="AQ792" s="4"/>
      <c r="AR792" s="4"/>
      <c r="AS792" s="4" t="s">
        <v>2797</v>
      </c>
      <c r="AT792" s="4" t="s">
        <v>2797</v>
      </c>
      <c r="AU792" s="4" t="s">
        <v>2797</v>
      </c>
      <c r="AV792" s="4" t="s">
        <v>2797</v>
      </c>
      <c r="AW792" s="4"/>
      <c r="AX792" s="4"/>
      <c r="AY792" s="4"/>
      <c r="AZ792" s="4"/>
      <c r="BA792" s="4" t="s">
        <v>2797</v>
      </c>
      <c r="BE792" s="4"/>
      <c r="BF792" s="4"/>
      <c r="BG792" s="4"/>
      <c r="BH792" s="4"/>
      <c r="BI792" s="4"/>
      <c r="BJ792" s="4"/>
      <c r="BK792" s="4"/>
      <c r="BL792" s="4"/>
      <c r="BM792" s="4"/>
      <c r="BN792" s="4"/>
      <c r="BO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v>1.3899999999999999E-2</v>
      </c>
      <c r="CQ792" s="4">
        <v>109</v>
      </c>
      <c r="CR792" s="4"/>
      <c r="CS792" s="4"/>
      <c r="CT792" s="4"/>
      <c r="CU792" s="4"/>
      <c r="CV792" s="4"/>
      <c r="CW792" s="4"/>
      <c r="CX792" s="4"/>
      <c r="CY792" s="4"/>
      <c r="CZ792" s="4"/>
      <c r="DA792" s="4"/>
      <c r="DB792" s="4"/>
      <c r="DC792" s="4"/>
      <c r="DD792" s="4"/>
      <c r="DE792" s="4"/>
      <c r="DF792" s="4"/>
      <c r="DG792" s="4"/>
      <c r="DH792" s="4"/>
      <c r="DI792" s="4"/>
      <c r="DJ792" s="4"/>
      <c r="DK792" s="4">
        <v>0.104</v>
      </c>
      <c r="DL792" s="4">
        <v>0.39500000000000002</v>
      </c>
      <c r="DM792" s="4">
        <v>7.3200000000000001E-2</v>
      </c>
      <c r="DN792" s="4">
        <v>0.314</v>
      </c>
      <c r="DO792" s="4">
        <v>3.3300000000000003E-2</v>
      </c>
      <c r="DP792" s="4">
        <v>6.7999999999999996E-3</v>
      </c>
      <c r="DQ792" s="4">
        <v>1.6500000000000001E-2</v>
      </c>
      <c r="DR792" s="4">
        <v>1.6000000000000001E-3</v>
      </c>
      <c r="DS792" s="4">
        <v>5.4999999999999997E-3</v>
      </c>
      <c r="DT792" s="4">
        <v>5.9999999999999995E-4</v>
      </c>
      <c r="DU792" s="4">
        <v>8.9999999999999998E-4</v>
      </c>
      <c r="DV792" s="4">
        <v>1E-4</v>
      </c>
      <c r="DW792" s="4">
        <v>4.0000000000000002E-4</v>
      </c>
      <c r="DX792" s="4">
        <v>1E-4</v>
      </c>
      <c r="DY792" s="4">
        <v>0.95199999999999996</v>
      </c>
      <c r="DZ792" s="31"/>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v>9.7999999999999997E-3</v>
      </c>
      <c r="FF792" s="4">
        <v>7.74</v>
      </c>
      <c r="FG792" s="4"/>
      <c r="FH792" s="4">
        <v>16.57</v>
      </c>
      <c r="FI792" s="4"/>
      <c r="FJ792" s="4"/>
      <c r="FK792" s="4"/>
      <c r="FL792" s="4"/>
      <c r="FM792" s="4"/>
      <c r="FN792" s="4"/>
      <c r="FO792" s="4"/>
      <c r="FP792" s="4"/>
      <c r="FQ792" s="4"/>
      <c r="FR792" s="4"/>
      <c r="FS792" s="4"/>
      <c r="FT792" s="4"/>
      <c r="FU792" s="4"/>
      <c r="FV792" s="4"/>
      <c r="FW792" s="4"/>
      <c r="FX792" s="4"/>
      <c r="FY792" s="4"/>
      <c r="FZ792" s="4"/>
      <c r="GA792" s="4">
        <v>2.8500000000000001E-2</v>
      </c>
      <c r="GB792" s="4">
        <v>0.10829</v>
      </c>
      <c r="GC792" s="4">
        <v>2.0080000000000001E-2</v>
      </c>
      <c r="GD792" s="4">
        <v>8.6199999999999999E-2</v>
      </c>
      <c r="GE792" s="4">
        <v>9.1400000000000006E-3</v>
      </c>
      <c r="GF792" s="4">
        <v>1.8799999999999999E-3</v>
      </c>
      <c r="GG792" s="4">
        <v>4.5100000000000001E-3</v>
      </c>
      <c r="GH792" s="4">
        <v>4.4000000000000002E-4</v>
      </c>
      <c r="GI792" s="4">
        <v>1.5E-3</v>
      </c>
      <c r="GJ792" s="4">
        <v>1.7000000000000001E-4</v>
      </c>
      <c r="GK792" s="4">
        <v>2.4000000000000001E-4</v>
      </c>
      <c r="GL792" s="4">
        <v>2.0000000000000002E-5</v>
      </c>
      <c r="GM792" s="4">
        <v>1.2E-4</v>
      </c>
      <c r="GN792" s="4">
        <v>2.0000000000000002E-5</v>
      </c>
      <c r="GO792" s="4">
        <v>0.26100000000000001</v>
      </c>
      <c r="GP792" s="32">
        <f>SUM(GA792:GO792)+FE792</f>
        <v>0.5319100000000001</v>
      </c>
      <c r="GQ792" s="4"/>
      <c r="GR792" s="4"/>
      <c r="GS792" s="4"/>
      <c r="GT792" s="4"/>
      <c r="GU792" s="4"/>
      <c r="GV792" s="4"/>
      <c r="GW792" s="4"/>
      <c r="GX792" s="4"/>
      <c r="GY792" s="4" t="s">
        <v>435</v>
      </c>
      <c r="GZ792" s="4" t="s">
        <v>583</v>
      </c>
      <c r="HA792" s="4"/>
      <c r="HB792" s="4" t="s">
        <v>3450</v>
      </c>
      <c r="HC792" s="4"/>
      <c r="HD792" s="4" t="s">
        <v>3451</v>
      </c>
      <c r="HE792" s="4">
        <v>37648</v>
      </c>
      <c r="HF792" s="4" t="s">
        <v>3452</v>
      </c>
      <c r="HG792" s="4" t="s">
        <v>538</v>
      </c>
      <c r="HH792" s="4" t="s">
        <v>3453</v>
      </c>
      <c r="HI792" s="4">
        <v>37649</v>
      </c>
      <c r="HJ792" s="4" t="s">
        <v>3454</v>
      </c>
      <c r="HK792" s="4" t="s">
        <v>538</v>
      </c>
      <c r="HL792" s="4"/>
      <c r="HM792" s="4"/>
      <c r="HN792" s="4"/>
      <c r="HO792" s="4"/>
      <c r="HP792" s="4"/>
      <c r="HQ792" s="4"/>
      <c r="HR792" s="4"/>
      <c r="HS792" s="4"/>
      <c r="HT792" s="4"/>
      <c r="HU792" s="4"/>
      <c r="HV792" s="4"/>
      <c r="HW792" s="4"/>
      <c r="HX792" s="4"/>
      <c r="HY792" s="4"/>
      <c r="HZ792" s="4"/>
      <c r="IA792" s="4"/>
      <c r="IB792" s="4" t="s">
        <v>3455</v>
      </c>
      <c r="IC792" s="4">
        <v>37648</v>
      </c>
      <c r="ID792" s="4" t="s">
        <v>3452</v>
      </c>
      <c r="IE792" s="4" t="s">
        <v>538</v>
      </c>
      <c r="IF792" s="4" t="s">
        <v>445</v>
      </c>
      <c r="IG792" s="4" t="s">
        <v>3456</v>
      </c>
      <c r="IH792" s="4">
        <v>79804</v>
      </c>
      <c r="II792" s="4" t="s">
        <v>3457</v>
      </c>
      <c r="IJ792" s="4" t="s">
        <v>349</v>
      </c>
      <c r="IK792" s="4" t="s">
        <v>319</v>
      </c>
      <c r="IL792" s="4"/>
      <c r="IM792" s="4"/>
      <c r="IN792" s="4"/>
      <c r="IO792" s="4"/>
      <c r="IP792" s="4"/>
      <c r="IQ792" s="4"/>
      <c r="IR792" s="4"/>
      <c r="IS792" s="4"/>
      <c r="IT792" s="4"/>
      <c r="IU792" s="4"/>
      <c r="IV792" s="4"/>
      <c r="IW792" s="4"/>
      <c r="IX792" s="4"/>
      <c r="IY792" s="4"/>
      <c r="IZ792" s="4"/>
      <c r="JA792" s="4"/>
      <c r="JB792" s="4"/>
      <c r="JC792" s="4"/>
      <c r="JD792" s="4"/>
      <c r="JE792" s="4"/>
      <c r="JF792" s="4"/>
      <c r="JG792" s="4"/>
      <c r="JH792" s="4"/>
      <c r="JI792" s="4"/>
      <c r="JJ792" s="4"/>
      <c r="JK792" s="4"/>
      <c r="JL792" s="4"/>
      <c r="JM792" s="4"/>
      <c r="JN792" s="4"/>
      <c r="JO792" s="4"/>
      <c r="JP792" s="4"/>
      <c r="JQ792" s="4"/>
      <c r="JR792" s="4"/>
      <c r="JS792" s="4"/>
      <c r="JT792" s="4"/>
      <c r="JU792" s="4"/>
      <c r="JV792" s="4" t="s">
        <v>3458</v>
      </c>
      <c r="JW792" s="4" t="s">
        <v>3459</v>
      </c>
      <c r="JX792" s="4" t="s">
        <v>353</v>
      </c>
      <c r="JY792" s="4"/>
      <c r="JZ792" s="4"/>
      <c r="KA792" s="4"/>
      <c r="KB792" s="4"/>
      <c r="KC792" s="4"/>
      <c r="KD792" s="4"/>
      <c r="KE792" s="4"/>
      <c r="KF792" s="4"/>
      <c r="KG792" s="4" t="s">
        <v>3460</v>
      </c>
      <c r="KH792" s="4" t="s">
        <v>1317</v>
      </c>
      <c r="KI792" s="4" t="s">
        <v>356</v>
      </c>
      <c r="KJ792" s="4" t="s">
        <v>1317</v>
      </c>
      <c r="KP792" s="5" t="s">
        <v>3461</v>
      </c>
      <c r="KQ792" s="5" t="s">
        <v>3462</v>
      </c>
      <c r="KR792" s="5" t="s">
        <v>3463</v>
      </c>
      <c r="KS792" s="5" t="s">
        <v>3464</v>
      </c>
      <c r="KT792" s="5" t="s">
        <v>3465</v>
      </c>
    </row>
    <row r="793" spans="1:306" ht="60" x14ac:dyDescent="0.25">
      <c r="A793" s="5" t="s">
        <v>4917</v>
      </c>
      <c r="B793" s="4" t="s">
        <v>383</v>
      </c>
      <c r="C793" s="7" t="s">
        <v>384</v>
      </c>
      <c r="D793" s="8" t="s">
        <v>4919</v>
      </c>
      <c r="G793" s="4" t="s">
        <v>330</v>
      </c>
      <c r="H793" s="6">
        <v>128.38</v>
      </c>
      <c r="I793" s="6">
        <v>-22.24</v>
      </c>
      <c r="J793" s="4" t="s">
        <v>4918</v>
      </c>
      <c r="K793" s="4" t="s">
        <v>481</v>
      </c>
      <c r="L793" s="4" t="s">
        <v>1498</v>
      </c>
      <c r="Q793" s="7"/>
      <c r="R793" s="7"/>
      <c r="Z793" s="4" t="s">
        <v>397</v>
      </c>
      <c r="AA793" s="7" t="s">
        <v>860</v>
      </c>
      <c r="AB793" s="8" t="s">
        <v>1497</v>
      </c>
      <c r="AC793" s="4" t="s">
        <v>301</v>
      </c>
      <c r="AD793" s="4" t="s">
        <v>382</v>
      </c>
      <c r="AE793" s="7"/>
      <c r="AF793" s="7"/>
      <c r="AN793" s="4" t="s">
        <v>381</v>
      </c>
      <c r="AO793" s="4" t="s">
        <v>375</v>
      </c>
      <c r="AP793" s="4" t="s">
        <v>383</v>
      </c>
      <c r="AQ793" s="7" t="s">
        <v>384</v>
      </c>
      <c r="AR793" s="8" t="s">
        <v>4919</v>
      </c>
      <c r="BP793" s="8">
        <v>200</v>
      </c>
      <c r="BQ793" s="8"/>
      <c r="BY793" s="8"/>
      <c r="CC793" s="7">
        <v>8.8000000000000007</v>
      </c>
      <c r="CD793" s="8"/>
      <c r="CS793" s="8">
        <v>10000</v>
      </c>
      <c r="DZ793" s="31"/>
      <c r="ED793" s="8"/>
      <c r="EO793" s="8"/>
      <c r="ES793" s="6">
        <v>17</v>
      </c>
      <c r="EZ793" s="4"/>
      <c r="FA793" s="4"/>
      <c r="FH793" s="8">
        <v>1900</v>
      </c>
      <c r="FY793" s="4"/>
      <c r="GC793" s="7"/>
      <c r="GP793" s="32"/>
      <c r="GT793" s="8"/>
      <c r="GW793" s="8"/>
      <c r="GY793" s="8" t="s">
        <v>338</v>
      </c>
      <c r="GZ793" s="8" t="s">
        <v>4920</v>
      </c>
      <c r="HA793" s="8" t="s">
        <v>435</v>
      </c>
      <c r="HB793" s="8"/>
      <c r="HC793" s="8"/>
      <c r="HD793" s="8" t="s">
        <v>4921</v>
      </c>
      <c r="HF793" s="8" t="s">
        <v>4922</v>
      </c>
      <c r="IB793" s="8" t="s">
        <v>4923</v>
      </c>
      <c r="ID793" s="8" t="s">
        <v>4924</v>
      </c>
      <c r="IF793" s="8" t="s">
        <v>445</v>
      </c>
      <c r="IG793" s="8" t="s">
        <v>4921</v>
      </c>
      <c r="II793" s="8" t="s">
        <v>4922</v>
      </c>
      <c r="IK793" s="8" t="s">
        <v>319</v>
      </c>
      <c r="JW793" s="7" t="s">
        <v>3459</v>
      </c>
      <c r="KP793" s="5" t="s">
        <v>4925</v>
      </c>
      <c r="KQ793" s="5" t="s">
        <v>4925</v>
      </c>
      <c r="KS793" s="5" t="s">
        <v>4926</v>
      </c>
      <c r="KT793" s="5" t="s">
        <v>4927</v>
      </c>
    </row>
    <row r="794" spans="1:306" ht="204" x14ac:dyDescent="0.25">
      <c r="A794" s="11" t="s">
        <v>5968</v>
      </c>
      <c r="B794" s="4" t="s">
        <v>383</v>
      </c>
      <c r="C794" s="4" t="s">
        <v>384</v>
      </c>
      <c r="D794" s="4" t="s">
        <v>4919</v>
      </c>
      <c r="E794" s="4">
        <v>335557</v>
      </c>
      <c r="F794" s="4" t="s">
        <v>2797</v>
      </c>
      <c r="G794" s="4" t="s">
        <v>330</v>
      </c>
      <c r="H794" s="4">
        <v>122.54</v>
      </c>
      <c r="I794" s="4">
        <v>-28.86</v>
      </c>
      <c r="J794" s="4" t="s">
        <v>5969</v>
      </c>
      <c r="K794" s="4" t="s">
        <v>331</v>
      </c>
      <c r="L794" s="4" t="s">
        <v>500</v>
      </c>
      <c r="M794" s="4" t="s">
        <v>501</v>
      </c>
      <c r="O794" s="4"/>
      <c r="Q794" s="4"/>
      <c r="R794" s="4"/>
      <c r="S794" s="4"/>
      <c r="T794" s="4"/>
      <c r="U794" s="4"/>
      <c r="V794" s="4"/>
      <c r="W794" s="4"/>
      <c r="X794" s="4"/>
      <c r="Y794" s="4"/>
      <c r="Z794" s="4" t="s">
        <v>397</v>
      </c>
      <c r="AA794" s="4" t="s">
        <v>860</v>
      </c>
      <c r="AB794" s="4" t="s">
        <v>1497</v>
      </c>
      <c r="AC794" s="4" t="s">
        <v>370</v>
      </c>
      <c r="AD794" s="4" t="s">
        <v>371</v>
      </c>
      <c r="AE794" s="4">
        <v>2058</v>
      </c>
      <c r="AF794" s="4">
        <v>5</v>
      </c>
      <c r="AG794" s="4" t="s">
        <v>379</v>
      </c>
      <c r="AH794" s="4" t="s">
        <v>483</v>
      </c>
      <c r="AI794" s="4" t="s">
        <v>873</v>
      </c>
      <c r="AJ794" s="4" t="s">
        <v>4264</v>
      </c>
      <c r="AK794" s="4" t="s">
        <v>1081</v>
      </c>
      <c r="AL794" s="4"/>
      <c r="AM794" s="4">
        <v>3</v>
      </c>
      <c r="AN794" s="4" t="s">
        <v>381</v>
      </c>
      <c r="AO794" s="4" t="s">
        <v>302</v>
      </c>
      <c r="AP794" s="4" t="s">
        <v>383</v>
      </c>
      <c r="AQ794" s="4" t="s">
        <v>384</v>
      </c>
      <c r="AR794" s="4" t="s">
        <v>4919</v>
      </c>
      <c r="AS794" s="4">
        <v>0</v>
      </c>
      <c r="AT794" s="4">
        <v>0</v>
      </c>
      <c r="AU794" s="4" t="s">
        <v>303</v>
      </c>
      <c r="AV794" s="4" t="s">
        <v>406</v>
      </c>
      <c r="AW794" s="4"/>
      <c r="AX794" s="4"/>
      <c r="AY794" s="4"/>
      <c r="AZ794" s="4"/>
      <c r="BA794" s="4">
        <v>5</v>
      </c>
      <c r="BE794" s="4"/>
      <c r="BF794" s="4"/>
      <c r="BG794" s="4"/>
      <c r="BH794" s="4"/>
      <c r="BI794" s="4"/>
      <c r="BJ794" s="4"/>
      <c r="BK794" s="4"/>
      <c r="BL794" s="4"/>
      <c r="BM794" s="4"/>
      <c r="BN794" s="4"/>
      <c r="BO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31"/>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v>1.2999999999999999E-2</v>
      </c>
      <c r="FG794" s="4"/>
      <c r="FH794" s="4"/>
      <c r="FI794" s="4"/>
      <c r="FJ794" s="4"/>
      <c r="FK794" s="4"/>
      <c r="FL794" s="4"/>
      <c r="FM794" s="4"/>
      <c r="FN794" s="4"/>
      <c r="FO794" s="4"/>
      <c r="FP794" s="4"/>
      <c r="FQ794" s="4"/>
      <c r="FR794" s="4"/>
      <c r="FS794" s="4"/>
      <c r="FT794" s="4"/>
      <c r="FU794" s="4"/>
      <c r="FV794" s="4"/>
      <c r="FW794" s="4"/>
      <c r="FX794" s="4"/>
      <c r="FY794" s="4"/>
      <c r="FZ794" s="4"/>
      <c r="GA794" s="4">
        <v>0.75</v>
      </c>
      <c r="GB794" s="4">
        <v>1.44</v>
      </c>
      <c r="GC794" s="4">
        <v>0.15</v>
      </c>
      <c r="GD794" s="4">
        <v>0.54</v>
      </c>
      <c r="GE794" s="4">
        <v>7.2999999999999995E-2</v>
      </c>
      <c r="GF794" s="4">
        <v>1.4999999999999999E-2</v>
      </c>
      <c r="GG794" s="4">
        <v>2.8000000000000001E-2</v>
      </c>
      <c r="GH794" s="4">
        <v>2E-3</v>
      </c>
      <c r="GI794" s="4">
        <v>5.3E-3</v>
      </c>
      <c r="GJ794" s="4">
        <v>5.9999999999999995E-4</v>
      </c>
      <c r="GK794" s="4">
        <v>1E-3</v>
      </c>
      <c r="GL794" s="4">
        <v>1E-4</v>
      </c>
      <c r="GM794" s="4">
        <v>5.0000000000000001E-4</v>
      </c>
      <c r="GN794" s="4">
        <v>1E-4</v>
      </c>
      <c r="GO794" s="4">
        <v>3.02</v>
      </c>
      <c r="GP794" s="32">
        <f>SUM(GA794:GO794)+FE794</f>
        <v>6.0256000000000007</v>
      </c>
      <c r="GQ794" s="4"/>
      <c r="GR794" s="4"/>
      <c r="GS794" s="4"/>
      <c r="GT794" s="4"/>
      <c r="GU794" s="4"/>
      <c r="GV794" s="4"/>
      <c r="GW794" s="4"/>
      <c r="GX794" s="4"/>
      <c r="GY794" s="4" t="s">
        <v>435</v>
      </c>
      <c r="GZ794" s="4" t="s">
        <v>583</v>
      </c>
      <c r="HA794" s="4"/>
      <c r="HB794" s="4"/>
      <c r="HC794" s="4"/>
      <c r="HD794" s="4" t="s">
        <v>5970</v>
      </c>
      <c r="HE794" s="4">
        <v>34990</v>
      </c>
      <c r="HF794" s="4" t="s">
        <v>5971</v>
      </c>
      <c r="HG794" s="4" t="s">
        <v>538</v>
      </c>
      <c r="HH794" s="4"/>
      <c r="HI794" s="4"/>
      <c r="HJ794" s="4"/>
      <c r="HK794" s="4"/>
      <c r="HL794" s="4"/>
      <c r="HM794" s="4"/>
      <c r="HN794" s="4"/>
      <c r="HO794" s="4"/>
      <c r="HP794" s="4"/>
      <c r="HQ794" s="4"/>
      <c r="HR794" s="4"/>
      <c r="HS794" s="4"/>
      <c r="HT794" s="4"/>
      <c r="HU794" s="4"/>
      <c r="HV794" s="4"/>
      <c r="HW794" s="4"/>
      <c r="HX794" s="4"/>
      <c r="HY794" s="4"/>
      <c r="HZ794" s="4"/>
      <c r="IA794" s="4"/>
      <c r="IB794" s="4"/>
      <c r="IC794" s="4"/>
      <c r="ID794" s="4" t="s">
        <v>5972</v>
      </c>
      <c r="IE794" s="4" t="s">
        <v>507</v>
      </c>
      <c r="IF794" s="4" t="s">
        <v>445</v>
      </c>
      <c r="IG794" s="4" t="s">
        <v>5970</v>
      </c>
      <c r="IH794" s="4">
        <v>34990</v>
      </c>
      <c r="II794" s="4" t="s">
        <v>5971</v>
      </c>
      <c r="IJ794" s="4" t="s">
        <v>538</v>
      </c>
      <c r="IK794" s="4" t="s">
        <v>319</v>
      </c>
      <c r="IL794" s="4"/>
      <c r="IM794" s="4"/>
      <c r="IN794" s="4"/>
      <c r="IO794" s="4"/>
      <c r="IP794" s="4"/>
      <c r="IQ794" s="4"/>
      <c r="IR794" s="4"/>
      <c r="IS794" s="4"/>
      <c r="IT794" s="4"/>
      <c r="IU794" s="4"/>
      <c r="IV794" s="4"/>
      <c r="IW794" s="4"/>
      <c r="IX794" s="4"/>
      <c r="IY794" s="4"/>
      <c r="IZ794" s="4"/>
      <c r="JA794" s="4"/>
      <c r="JB794" s="4"/>
      <c r="JC794" s="4"/>
      <c r="JD794" s="4"/>
      <c r="JE794" s="4"/>
      <c r="JF794" s="4"/>
      <c r="JG794" s="4"/>
      <c r="JH794" s="4"/>
      <c r="JI794" s="4"/>
      <c r="JJ794" s="4"/>
      <c r="JK794" s="4"/>
      <c r="JL794" s="4"/>
      <c r="JM794" s="4"/>
      <c r="JN794" s="4"/>
      <c r="JO794" s="4"/>
      <c r="JP794" s="4"/>
      <c r="JQ794" s="4"/>
      <c r="JR794" s="4"/>
      <c r="JS794" s="4"/>
      <c r="JT794" s="4"/>
      <c r="JU794" s="4"/>
      <c r="JV794" s="4" t="s">
        <v>5973</v>
      </c>
      <c r="JW794" s="4" t="s">
        <v>5974</v>
      </c>
      <c r="JX794" s="4" t="s">
        <v>353</v>
      </c>
      <c r="JY794" s="4" t="s">
        <v>448</v>
      </c>
      <c r="JZ794" s="4" t="s">
        <v>320</v>
      </c>
      <c r="KA794" s="4"/>
      <c r="KB794" s="4"/>
      <c r="KC794" s="4"/>
      <c r="KD794" s="4"/>
      <c r="KE794" s="4"/>
      <c r="KF794" s="4"/>
      <c r="KG794" s="4" t="s">
        <v>356</v>
      </c>
      <c r="KH794" s="4" t="s">
        <v>1317</v>
      </c>
      <c r="KP794" s="5" t="s">
        <v>5975</v>
      </c>
      <c r="KQ794" s="5" t="s">
        <v>5976</v>
      </c>
      <c r="KR794" s="5" t="s">
        <v>5977</v>
      </c>
      <c r="KS794" s="5" t="s">
        <v>5978</v>
      </c>
      <c r="KT794" s="5" t="s">
        <v>5979</v>
      </c>
    </row>
    <row r="795" spans="1:306" ht="156" x14ac:dyDescent="0.2">
      <c r="A795" s="11" t="s">
        <v>5980</v>
      </c>
      <c r="B795" s="4" t="s">
        <v>383</v>
      </c>
      <c r="C795" s="4" t="s">
        <v>384</v>
      </c>
      <c r="D795" s="4" t="s">
        <v>4919</v>
      </c>
      <c r="E795" s="44">
        <v>450343</v>
      </c>
      <c r="F795" s="4" t="s">
        <v>2797</v>
      </c>
      <c r="G795" s="4" t="s">
        <v>330</v>
      </c>
      <c r="H795" s="4">
        <v>122.55</v>
      </c>
      <c r="I795" s="4">
        <v>-28.87</v>
      </c>
      <c r="J795" s="4" t="s">
        <v>5969</v>
      </c>
      <c r="K795" s="4" t="s">
        <v>331</v>
      </c>
      <c r="L795" s="4" t="s">
        <v>500</v>
      </c>
      <c r="M795" s="4" t="s">
        <v>501</v>
      </c>
      <c r="O795" s="4"/>
      <c r="Q795" s="4"/>
      <c r="R795" s="4"/>
      <c r="S795" s="4"/>
      <c r="T795" s="4"/>
      <c r="U795" s="4"/>
      <c r="V795" s="4"/>
      <c r="W795" s="4"/>
      <c r="X795" s="4"/>
      <c r="Y795" s="4"/>
      <c r="Z795" s="4" t="s">
        <v>397</v>
      </c>
      <c r="AA795" s="4" t="s">
        <v>860</v>
      </c>
      <c r="AB795" s="4" t="s">
        <v>1497</v>
      </c>
      <c r="AC795" s="4" t="s">
        <v>370</v>
      </c>
      <c r="AD795" s="4" t="s">
        <v>371</v>
      </c>
      <c r="AE795" s="4">
        <v>2058</v>
      </c>
      <c r="AF795" s="4">
        <v>5</v>
      </c>
      <c r="AG795" s="4" t="s">
        <v>379</v>
      </c>
      <c r="AH795" s="4" t="s">
        <v>1156</v>
      </c>
      <c r="AI795" s="4" t="s">
        <v>873</v>
      </c>
      <c r="AJ795" s="4" t="s">
        <v>4264</v>
      </c>
      <c r="AK795" s="4" t="s">
        <v>1081</v>
      </c>
      <c r="AL795" s="4"/>
      <c r="AM795" s="4">
        <v>3</v>
      </c>
      <c r="AN795" s="4" t="s">
        <v>381</v>
      </c>
      <c r="AO795" s="4" t="s">
        <v>302</v>
      </c>
      <c r="AP795" s="4" t="s">
        <v>383</v>
      </c>
      <c r="AQ795" s="4" t="s">
        <v>384</v>
      </c>
      <c r="AR795" s="4" t="s">
        <v>4919</v>
      </c>
      <c r="AS795" s="4">
        <v>0</v>
      </c>
      <c r="AT795" s="4">
        <v>0</v>
      </c>
      <c r="AU795" s="4" t="s">
        <v>303</v>
      </c>
      <c r="AV795" s="4" t="s">
        <v>406</v>
      </c>
      <c r="AW795" s="4"/>
      <c r="AX795" s="4"/>
      <c r="AY795" s="4"/>
      <c r="AZ795" s="4"/>
      <c r="BA795" s="4">
        <v>5</v>
      </c>
      <c r="BE795" s="4"/>
      <c r="BF795" s="4"/>
      <c r="BG795" s="4"/>
      <c r="BH795" s="4"/>
      <c r="BI795" s="4"/>
      <c r="BJ795" s="4"/>
      <c r="BK795" s="4"/>
      <c r="BL795" s="4"/>
      <c r="BM795" s="4"/>
      <c r="BN795" s="4"/>
      <c r="BO795" s="4"/>
      <c r="BP795" s="7">
        <v>37.700000000000003</v>
      </c>
      <c r="BQ795" s="4"/>
      <c r="BR795" s="4"/>
      <c r="BS795" s="4"/>
      <c r="BT795" s="4"/>
      <c r="BU795" s="4"/>
      <c r="BV795" s="4"/>
      <c r="BW795" s="4"/>
      <c r="BX795" s="4"/>
      <c r="BY795" s="4"/>
      <c r="BZ795" s="4"/>
      <c r="CA795" s="4"/>
      <c r="CB795" s="4"/>
      <c r="CC795" s="4"/>
      <c r="CD795" s="4"/>
      <c r="CE795" s="4"/>
      <c r="CF795" s="4">
        <v>2.4</v>
      </c>
      <c r="CG795" s="4"/>
      <c r="CH795" s="4"/>
      <c r="CI795" s="4"/>
      <c r="CJ795" s="4"/>
      <c r="CK795" s="4"/>
      <c r="CL795" s="4"/>
      <c r="CM795" s="4"/>
      <c r="CN795" s="4"/>
      <c r="CO795" s="4"/>
      <c r="CP795" s="4">
        <v>0.09</v>
      </c>
      <c r="CQ795" s="4">
        <v>709</v>
      </c>
      <c r="CR795" s="4">
        <v>0.22</v>
      </c>
      <c r="CS795" s="4">
        <v>7480</v>
      </c>
      <c r="CT795" s="4"/>
      <c r="CU795" s="4"/>
      <c r="CV795" s="4"/>
      <c r="CW795" s="4"/>
      <c r="CX795" s="4"/>
      <c r="CY795" s="4"/>
      <c r="CZ795" s="4"/>
      <c r="DA795" s="4"/>
      <c r="DB795" s="4"/>
      <c r="DC795" s="4"/>
      <c r="DD795" s="4">
        <v>205</v>
      </c>
      <c r="DE795" s="4"/>
      <c r="DF795" s="4"/>
      <c r="DG795" s="4"/>
      <c r="DH795" s="4"/>
      <c r="DI795" s="4"/>
      <c r="DJ795" s="4"/>
      <c r="DK795" s="4"/>
      <c r="DL795" s="4"/>
      <c r="DM795" s="4"/>
      <c r="DN795" s="4"/>
      <c r="DO795" s="4"/>
      <c r="DP795" s="4"/>
      <c r="DQ795" s="4"/>
      <c r="DR795" s="4"/>
      <c r="DS795" s="4"/>
      <c r="DT795" s="4"/>
      <c r="DU795" s="4"/>
      <c r="DV795" s="4"/>
      <c r="DW795" s="4"/>
      <c r="DX795" s="4"/>
      <c r="DY795" s="4"/>
      <c r="DZ795" s="31"/>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v>27</v>
      </c>
      <c r="FG795" s="4"/>
      <c r="FH795" s="4">
        <v>282</v>
      </c>
      <c r="FI795" s="4"/>
      <c r="FJ795" s="4"/>
      <c r="FK795" s="4"/>
      <c r="FL795" s="4"/>
      <c r="FM795" s="4"/>
      <c r="FN795" s="4"/>
      <c r="FO795" s="4"/>
      <c r="FP795" s="4"/>
      <c r="FQ795" s="4"/>
      <c r="FR795" s="4"/>
      <c r="FS795" s="4">
        <v>7.7</v>
      </c>
      <c r="FT795" s="4"/>
      <c r="FU795" s="4"/>
      <c r="FV795" s="4"/>
      <c r="FW795" s="4"/>
      <c r="FX795" s="4"/>
      <c r="FY795" s="4"/>
      <c r="FZ795" s="4"/>
      <c r="GA795" s="4"/>
      <c r="GB795" s="4"/>
      <c r="GC795" s="4"/>
      <c r="GD795" s="4"/>
      <c r="GE795" s="4"/>
      <c r="GF795" s="4"/>
      <c r="GG795" s="4"/>
      <c r="GH795" s="4"/>
      <c r="GI795" s="4"/>
      <c r="GJ795" s="4"/>
      <c r="GK795" s="4"/>
      <c r="GL795" s="4"/>
      <c r="GM795" s="4"/>
      <c r="GN795" s="4"/>
      <c r="GO795" s="4"/>
      <c r="GP795" s="32"/>
      <c r="GQ795" s="4"/>
      <c r="GR795" s="4"/>
      <c r="GS795" s="4"/>
      <c r="GT795" s="4"/>
      <c r="GU795" s="4"/>
      <c r="GV795" s="4"/>
      <c r="GW795" s="4"/>
      <c r="GX795" s="4"/>
      <c r="GY795" s="4" t="s">
        <v>435</v>
      </c>
      <c r="GZ795" s="4" t="s">
        <v>3033</v>
      </c>
      <c r="HA795" s="4"/>
      <c r="HB795" s="4"/>
      <c r="HC795" s="4"/>
      <c r="HD795" s="4" t="s">
        <v>5970</v>
      </c>
      <c r="HE795" s="4">
        <v>34990</v>
      </c>
      <c r="HF795" s="4" t="s">
        <v>5971</v>
      </c>
      <c r="HG795" s="4" t="s">
        <v>538</v>
      </c>
      <c r="HH795" s="4"/>
      <c r="HI795" s="4"/>
      <c r="HJ795" s="4"/>
      <c r="HK795" s="4"/>
      <c r="HL795" s="4"/>
      <c r="HM795" s="4"/>
      <c r="HN795" s="4"/>
      <c r="HO795" s="4"/>
      <c r="HP795" s="4"/>
      <c r="HQ795" s="4"/>
      <c r="HR795" s="4"/>
      <c r="HS795" s="4"/>
      <c r="HT795" s="4"/>
      <c r="HU795" s="4"/>
      <c r="HV795" s="4"/>
      <c r="HW795" s="4"/>
      <c r="HX795" s="4"/>
      <c r="HY795" s="4"/>
      <c r="HZ795" s="4"/>
      <c r="IA795" s="4"/>
      <c r="IB795" s="4"/>
      <c r="IC795" s="4"/>
      <c r="ID795" s="4" t="s">
        <v>5972</v>
      </c>
      <c r="IE795" s="4" t="s">
        <v>507</v>
      </c>
      <c r="IF795" s="4" t="s">
        <v>445</v>
      </c>
      <c r="IG795" s="4" t="s">
        <v>5970</v>
      </c>
      <c r="IH795" s="4">
        <v>34990</v>
      </c>
      <c r="II795" s="4" t="s">
        <v>5971</v>
      </c>
      <c r="IJ795" s="4" t="s">
        <v>538</v>
      </c>
      <c r="IK795" s="4" t="s">
        <v>319</v>
      </c>
      <c r="IL795" s="4"/>
      <c r="IM795" s="4"/>
      <c r="IN795" s="4"/>
      <c r="IO795" s="4"/>
      <c r="IP795" s="4"/>
      <c r="IQ795" s="4"/>
      <c r="IR795" s="4"/>
      <c r="IS795" s="4"/>
      <c r="IT795" s="4"/>
      <c r="IU795" s="4"/>
      <c r="IV795" s="4"/>
      <c r="IW795" s="4"/>
      <c r="IX795" s="4"/>
      <c r="IY795" s="4"/>
      <c r="IZ795" s="4"/>
      <c r="JA795" s="4"/>
      <c r="JB795" s="4"/>
      <c r="JC795" s="4"/>
      <c r="JD795" s="4"/>
      <c r="JE795" s="4"/>
      <c r="JF795" s="4"/>
      <c r="JG795" s="4"/>
      <c r="JH795" s="4"/>
      <c r="JI795" s="4"/>
      <c r="JJ795" s="4"/>
      <c r="JK795" s="4"/>
      <c r="JL795" s="4"/>
      <c r="JM795" s="4"/>
      <c r="JN795" s="4"/>
      <c r="JO795" s="4"/>
      <c r="JP795" s="4"/>
      <c r="JQ795" s="4"/>
      <c r="JR795" s="4"/>
      <c r="JS795" s="4"/>
      <c r="JT795" s="4"/>
      <c r="JU795" s="4"/>
      <c r="JV795" s="4" t="s">
        <v>5973</v>
      </c>
      <c r="JW795" s="4" t="s">
        <v>5974</v>
      </c>
      <c r="JX795" s="4" t="s">
        <v>353</v>
      </c>
      <c r="JY795" s="4" t="s">
        <v>448</v>
      </c>
      <c r="JZ795" s="4" t="s">
        <v>320</v>
      </c>
      <c r="KA795" s="4"/>
      <c r="KB795" s="4"/>
      <c r="KC795" s="4"/>
      <c r="KD795" s="4"/>
      <c r="KE795" s="4"/>
      <c r="KF795" s="4"/>
      <c r="KG795" s="4" t="s">
        <v>356</v>
      </c>
      <c r="KH795" s="4" t="s">
        <v>1317</v>
      </c>
      <c r="KP795" s="5" t="s">
        <v>5975</v>
      </c>
      <c r="KQ795" s="5" t="s">
        <v>5976</v>
      </c>
      <c r="KR795" s="5" t="s">
        <v>5977</v>
      </c>
      <c r="KS795" s="5" t="s">
        <v>5981</v>
      </c>
      <c r="KT795" s="5" t="s">
        <v>5982</v>
      </c>
    </row>
    <row r="796" spans="1:306" ht="144" x14ac:dyDescent="0.25">
      <c r="A796" s="5" t="s">
        <v>6048</v>
      </c>
      <c r="B796" s="4" t="s">
        <v>383</v>
      </c>
      <c r="C796" s="7" t="s">
        <v>384</v>
      </c>
      <c r="D796" s="8" t="s">
        <v>6050</v>
      </c>
      <c r="E796" s="4">
        <v>806071</v>
      </c>
      <c r="G796" s="4" t="s">
        <v>530</v>
      </c>
      <c r="H796" s="6">
        <v>134.27000000000001</v>
      </c>
      <c r="I796" s="6">
        <v>-23.01</v>
      </c>
      <c r="K796" s="4" t="s">
        <v>481</v>
      </c>
      <c r="L796" s="4" t="s">
        <v>1498</v>
      </c>
      <c r="O796" s="4"/>
      <c r="Q796" s="8"/>
      <c r="R796" s="8"/>
      <c r="Z796" s="4" t="s">
        <v>397</v>
      </c>
      <c r="AA796" s="7" t="s">
        <v>860</v>
      </c>
      <c r="AB796" s="4" t="s">
        <v>1497</v>
      </c>
      <c r="AC796" s="4" t="s">
        <v>301</v>
      </c>
      <c r="AD796" s="4" t="s">
        <v>382</v>
      </c>
      <c r="AE796" s="8">
        <v>732</v>
      </c>
      <c r="AF796" s="8">
        <v>5</v>
      </c>
      <c r="AG796" s="9" t="s">
        <v>303</v>
      </c>
      <c r="AH796" s="9" t="s">
        <v>304</v>
      </c>
      <c r="AI796" s="9" t="s">
        <v>373</v>
      </c>
      <c r="AJ796" s="9" t="s">
        <v>306</v>
      </c>
      <c r="AK796" s="9" t="s">
        <v>6049</v>
      </c>
      <c r="AL796" s="9" t="s">
        <v>1727</v>
      </c>
      <c r="AM796" s="8">
        <v>5</v>
      </c>
      <c r="AN796" s="4" t="s">
        <v>381</v>
      </c>
      <c r="AO796" s="4" t="s">
        <v>375</v>
      </c>
      <c r="AP796" s="4" t="s">
        <v>383</v>
      </c>
      <c r="AQ796" s="7" t="s">
        <v>384</v>
      </c>
      <c r="AR796" s="8" t="s">
        <v>6050</v>
      </c>
      <c r="AS796" s="7">
        <v>0</v>
      </c>
      <c r="AT796" s="7">
        <v>0</v>
      </c>
      <c r="AU796" s="9" t="s">
        <v>303</v>
      </c>
      <c r="AV796" s="9" t="s">
        <v>6051</v>
      </c>
      <c r="BA796" s="8">
        <v>5</v>
      </c>
      <c r="DZ796" s="31"/>
      <c r="GP796" s="32"/>
      <c r="GY796" s="6" t="s">
        <v>407</v>
      </c>
      <c r="HD796" s="8" t="s">
        <v>2937</v>
      </c>
      <c r="HE796" s="8">
        <v>20788</v>
      </c>
      <c r="HF796" s="8" t="s">
        <v>6052</v>
      </c>
      <c r="HG796" s="9" t="s">
        <v>538</v>
      </c>
      <c r="HH796" s="9" t="s">
        <v>6048</v>
      </c>
      <c r="HI796" s="8">
        <v>13301</v>
      </c>
      <c r="HJ796" s="9" t="s">
        <v>6053</v>
      </c>
      <c r="HK796" s="9" t="s">
        <v>6054</v>
      </c>
      <c r="IB796" s="9" t="s">
        <v>6048</v>
      </c>
      <c r="IC796" s="8">
        <v>13301</v>
      </c>
      <c r="ID796" s="9" t="s">
        <v>6053</v>
      </c>
      <c r="IE796" s="9" t="s">
        <v>6054</v>
      </c>
      <c r="IF796" s="8" t="s">
        <v>319</v>
      </c>
      <c r="IW796" s="8"/>
      <c r="JB796" s="8"/>
      <c r="JX796" s="7" t="s">
        <v>353</v>
      </c>
      <c r="JY796" s="7" t="s">
        <v>448</v>
      </c>
      <c r="JZ796" s="7" t="s">
        <v>320</v>
      </c>
      <c r="KG796" s="4" t="s">
        <v>323</v>
      </c>
      <c r="KM796" s="4" t="s">
        <v>702</v>
      </c>
      <c r="KN796" s="4" t="s">
        <v>888</v>
      </c>
      <c r="KO796" s="4" t="s">
        <v>445</v>
      </c>
      <c r="KP796" s="5" t="s">
        <v>6055</v>
      </c>
      <c r="KQ796" s="5" t="s">
        <v>6056</v>
      </c>
      <c r="KR796" s="5" t="s">
        <v>6057</v>
      </c>
      <c r="KT796" s="5" t="s">
        <v>6058</v>
      </c>
    </row>
    <row r="797" spans="1:306" ht="168" x14ac:dyDescent="0.25">
      <c r="A797" s="5" t="s">
        <v>6247</v>
      </c>
      <c r="B797" s="4" t="s">
        <v>383</v>
      </c>
      <c r="C797" s="7" t="s">
        <v>384</v>
      </c>
      <c r="D797" s="8" t="s">
        <v>4919</v>
      </c>
      <c r="E797" s="4">
        <v>334715</v>
      </c>
      <c r="G797" s="4" t="s">
        <v>530</v>
      </c>
      <c r="H797" s="6">
        <v>133.22999999999999</v>
      </c>
      <c r="I797" s="6">
        <v>-22.58</v>
      </c>
      <c r="J797" s="4" t="s">
        <v>6248</v>
      </c>
      <c r="K797" s="4" t="s">
        <v>481</v>
      </c>
      <c r="L797" s="4" t="s">
        <v>1498</v>
      </c>
      <c r="Q797" s="8"/>
      <c r="R797" s="8"/>
      <c r="Z797" s="4" t="s">
        <v>397</v>
      </c>
      <c r="AA797" s="7" t="s">
        <v>860</v>
      </c>
      <c r="AB797" s="8" t="s">
        <v>1497</v>
      </c>
      <c r="AC797" s="4" t="s">
        <v>301</v>
      </c>
      <c r="AD797" s="4" t="s">
        <v>402</v>
      </c>
      <c r="AE797" s="8">
        <v>1532</v>
      </c>
      <c r="AF797" s="8">
        <v>25</v>
      </c>
      <c r="AG797" s="9" t="s">
        <v>379</v>
      </c>
      <c r="AH797" s="9" t="s">
        <v>460</v>
      </c>
      <c r="AM797" s="8">
        <v>4</v>
      </c>
      <c r="AN797" s="4" t="s">
        <v>381</v>
      </c>
      <c r="AO797" s="4" t="s">
        <v>402</v>
      </c>
      <c r="AP797" s="4" t="s">
        <v>376</v>
      </c>
      <c r="AQ797" s="7" t="s">
        <v>377</v>
      </c>
      <c r="AR797" s="8" t="s">
        <v>6249</v>
      </c>
      <c r="AS797" s="8">
        <v>349</v>
      </c>
      <c r="AT797" s="8">
        <v>6</v>
      </c>
      <c r="AU797" s="9" t="s">
        <v>303</v>
      </c>
      <c r="AV797" s="9" t="s">
        <v>304</v>
      </c>
      <c r="AW797" s="9" t="s">
        <v>504</v>
      </c>
      <c r="AX797" s="9" t="s">
        <v>306</v>
      </c>
      <c r="AY797" s="9" t="s">
        <v>307</v>
      </c>
      <c r="AZ797" s="9" t="s">
        <v>308</v>
      </c>
      <c r="BA797" s="8">
        <v>5</v>
      </c>
      <c r="BB797" s="4" t="s">
        <v>381</v>
      </c>
      <c r="BC797" s="4" t="s">
        <v>375</v>
      </c>
      <c r="BD797" s="4" t="s">
        <v>383</v>
      </c>
      <c r="BE797" s="7" t="s">
        <v>384</v>
      </c>
      <c r="BF797" s="8" t="s">
        <v>4919</v>
      </c>
      <c r="BG797" s="7">
        <v>0</v>
      </c>
      <c r="BH797" s="7">
        <v>0</v>
      </c>
      <c r="BI797" s="9" t="s">
        <v>303</v>
      </c>
      <c r="BJ797" s="9" t="s">
        <v>406</v>
      </c>
      <c r="BO797" s="8">
        <v>5</v>
      </c>
      <c r="BP797" s="7">
        <v>56</v>
      </c>
      <c r="BQ797" s="8"/>
      <c r="CC797" s="8">
        <v>12</v>
      </c>
      <c r="CP797" s="9">
        <v>3.5000000000000003E-2</v>
      </c>
      <c r="CQ797" s="8">
        <v>276</v>
      </c>
      <c r="DK797" s="6">
        <v>0.5</v>
      </c>
      <c r="DL797" s="6">
        <v>1.27</v>
      </c>
      <c r="DM797" s="6">
        <v>0.15</v>
      </c>
      <c r="DN797" s="6">
        <v>0.54</v>
      </c>
      <c r="DO797" s="9">
        <v>0.06</v>
      </c>
      <c r="DP797" s="9">
        <v>0.01</v>
      </c>
      <c r="DQ797" s="9">
        <v>2.5999999999999999E-2</v>
      </c>
      <c r="DR797" s="10">
        <v>2E-3</v>
      </c>
      <c r="DS797" s="10">
        <v>8.3000000000000001E-3</v>
      </c>
      <c r="DT797" s="10">
        <v>1E-3</v>
      </c>
      <c r="DU797" s="10">
        <v>2.3E-3</v>
      </c>
      <c r="DV797" s="10">
        <v>2.9999999999999997E-4</v>
      </c>
      <c r="DW797" s="10">
        <v>1.6000000000000001E-3</v>
      </c>
      <c r="DX797" s="10">
        <v>2.9999999999999997E-4</v>
      </c>
      <c r="DY797" s="6">
        <v>2.5579999999999998</v>
      </c>
      <c r="DZ797" s="31">
        <f>GP797/BP797*100</f>
        <v>5.1470714285714276</v>
      </c>
      <c r="EB797" s="6">
        <v>0.02</v>
      </c>
      <c r="ES797" s="7">
        <v>6.7</v>
      </c>
      <c r="EY797" s="6"/>
      <c r="FA797" s="6"/>
      <c r="FE797" s="6">
        <f>BP797*CP797/100</f>
        <v>1.9600000000000003E-2</v>
      </c>
      <c r="FF797" s="6">
        <v>15.48</v>
      </c>
      <c r="GA797" s="6">
        <v>0.27810000000000001</v>
      </c>
      <c r="GB797" s="6">
        <v>0.70906999999999998</v>
      </c>
      <c r="GC797" s="6">
        <v>8.3210000000000006E-2</v>
      </c>
      <c r="GD797" s="6">
        <v>0.29993999999999998</v>
      </c>
      <c r="GE797" s="6">
        <v>3.3489999999999999E-2</v>
      </c>
      <c r="GF797" s="6">
        <v>5.6800000000000002E-3</v>
      </c>
      <c r="GG797" s="6">
        <v>1.4409999999999999E-2</v>
      </c>
      <c r="GH797" s="6">
        <v>1.14E-3</v>
      </c>
      <c r="GI797" s="6">
        <v>4.6600000000000001E-3</v>
      </c>
      <c r="GJ797" s="6">
        <v>5.8E-4</v>
      </c>
      <c r="GK797" s="6">
        <v>1.31E-3</v>
      </c>
      <c r="GL797" s="6">
        <v>1.4999999999999999E-4</v>
      </c>
      <c r="GM797" s="6">
        <v>8.7000000000000001E-4</v>
      </c>
      <c r="GN797" s="6">
        <v>1.4999999999999999E-4</v>
      </c>
      <c r="GO797" s="6">
        <v>1.43</v>
      </c>
      <c r="GP797" s="32">
        <f>SUM(GA797:GO797)+FE797</f>
        <v>2.8823599999999998</v>
      </c>
      <c r="GR797" s="6">
        <v>11.2</v>
      </c>
      <c r="GY797" s="6" t="s">
        <v>435</v>
      </c>
      <c r="GZ797" s="6" t="s">
        <v>583</v>
      </c>
      <c r="HB797" s="6" t="s">
        <v>6250</v>
      </c>
      <c r="HF797" s="8" t="s">
        <v>6251</v>
      </c>
      <c r="HG797" s="8" t="s">
        <v>349</v>
      </c>
      <c r="HY797" s="9"/>
      <c r="ID797" s="8" t="s">
        <v>6251</v>
      </c>
      <c r="IE797" s="8" t="s">
        <v>349</v>
      </c>
      <c r="IF797" s="8" t="s">
        <v>319</v>
      </c>
      <c r="IW797" s="8"/>
      <c r="JB797" s="8"/>
      <c r="JV797" s="7" t="s">
        <v>6252</v>
      </c>
      <c r="JW797" s="7" t="s">
        <v>910</v>
      </c>
      <c r="KG797" s="4" t="s">
        <v>356</v>
      </c>
      <c r="KH797" s="4" t="s">
        <v>402</v>
      </c>
      <c r="KP797" s="5" t="s">
        <v>6253</v>
      </c>
      <c r="KQ797" s="5" t="s">
        <v>6254</v>
      </c>
      <c r="KR797" s="5" t="s">
        <v>6255</v>
      </c>
      <c r="KS797" s="5" t="s">
        <v>6256</v>
      </c>
      <c r="KT797" s="5" t="s">
        <v>6257</v>
      </c>
    </row>
    <row r="798" spans="1:306" ht="60" x14ac:dyDescent="0.25">
      <c r="A798" s="5" t="s">
        <v>859</v>
      </c>
      <c r="B798" s="4" t="s">
        <v>397</v>
      </c>
      <c r="C798" s="7" t="s">
        <v>860</v>
      </c>
      <c r="D798" s="8" t="s">
        <v>861</v>
      </c>
      <c r="E798" s="8">
        <v>334460</v>
      </c>
      <c r="F798" s="8"/>
      <c r="G798" s="8" t="s">
        <v>330</v>
      </c>
      <c r="H798" s="6">
        <v>128.38266899999999</v>
      </c>
      <c r="I798" s="6">
        <v>-16.713045999999999</v>
      </c>
      <c r="J798" s="4" t="s">
        <v>862</v>
      </c>
      <c r="K798" s="4" t="s">
        <v>481</v>
      </c>
      <c r="L798" s="4" t="s">
        <v>863</v>
      </c>
      <c r="Q798" s="8"/>
      <c r="R798" s="8"/>
      <c r="Z798" s="4" t="s">
        <v>397</v>
      </c>
      <c r="AA798" s="7" t="s">
        <v>860</v>
      </c>
      <c r="AB798" s="8" t="s">
        <v>861</v>
      </c>
      <c r="AC798" s="4" t="s">
        <v>301</v>
      </c>
      <c r="AD798" s="4" t="s">
        <v>375</v>
      </c>
      <c r="AE798" s="8">
        <v>1257</v>
      </c>
      <c r="AF798" s="8">
        <v>15</v>
      </c>
      <c r="AG798" s="9" t="s">
        <v>303</v>
      </c>
      <c r="AH798" s="9" t="s">
        <v>483</v>
      </c>
      <c r="AI798" s="9" t="s">
        <v>503</v>
      </c>
      <c r="AJ798" s="9" t="s">
        <v>306</v>
      </c>
      <c r="AK798" s="9" t="s">
        <v>864</v>
      </c>
      <c r="AM798" s="8">
        <v>4</v>
      </c>
      <c r="AN798" s="4" t="s">
        <v>381</v>
      </c>
      <c r="AO798" s="4" t="s">
        <v>382</v>
      </c>
      <c r="AP798" s="4" t="s">
        <v>383</v>
      </c>
      <c r="AQ798" s="7" t="s">
        <v>403</v>
      </c>
      <c r="AR798" s="8" t="s">
        <v>865</v>
      </c>
      <c r="AS798" s="7">
        <v>0</v>
      </c>
      <c r="AT798" s="7">
        <v>0</v>
      </c>
      <c r="AU798" s="9" t="s">
        <v>303</v>
      </c>
      <c r="AV798" s="9" t="s">
        <v>406</v>
      </c>
      <c r="BA798" s="8">
        <v>5</v>
      </c>
      <c r="BG798" s="8"/>
      <c r="BH798" s="8"/>
      <c r="DZ798" s="31"/>
      <c r="EO798" s="8"/>
      <c r="EP798" s="8"/>
      <c r="ES798" s="8"/>
      <c r="FA798" s="6"/>
      <c r="GP798" s="32"/>
      <c r="GS798" s="8">
        <f>32.7+835+15*3.2+29*2.3</f>
        <v>982.40000000000009</v>
      </c>
      <c r="GT798" s="8"/>
      <c r="GU798" s="8"/>
      <c r="GV798" s="8"/>
      <c r="GW798" s="8"/>
      <c r="GX798" s="8"/>
      <c r="GY798" s="31" t="s">
        <v>407</v>
      </c>
      <c r="GZ798" s="8" t="s">
        <v>861</v>
      </c>
      <c r="HA798" s="8"/>
      <c r="HB798" s="8"/>
      <c r="HC798" s="8"/>
      <c r="HD798" s="8" t="s">
        <v>866</v>
      </c>
      <c r="HE798" s="8">
        <v>578</v>
      </c>
      <c r="HF798" s="8" t="s">
        <v>867</v>
      </c>
      <c r="HG798" s="8" t="s">
        <v>349</v>
      </c>
      <c r="IB798" s="8" t="s">
        <v>866</v>
      </c>
      <c r="IC798" s="8">
        <v>578</v>
      </c>
      <c r="ID798" s="8" t="s">
        <v>867</v>
      </c>
      <c r="IE798" s="8" t="s">
        <v>349</v>
      </c>
      <c r="IF798" s="8" t="s">
        <v>319</v>
      </c>
      <c r="IM798" s="9"/>
      <c r="IR798" s="9"/>
      <c r="KG798" s="4" t="s">
        <v>323</v>
      </c>
      <c r="KP798" s="5" t="s">
        <v>358</v>
      </c>
      <c r="KQ798" s="5" t="s">
        <v>868</v>
      </c>
      <c r="KR798" s="5" t="s">
        <v>869</v>
      </c>
      <c r="KT798" s="5" t="s">
        <v>870</v>
      </c>
    </row>
    <row r="799" spans="1:306" ht="84" x14ac:dyDescent="0.25">
      <c r="A799" s="5" t="s">
        <v>871</v>
      </c>
      <c r="B799" s="4" t="s">
        <v>397</v>
      </c>
      <c r="C799" s="7" t="s">
        <v>860</v>
      </c>
      <c r="D799" s="8" t="s">
        <v>861</v>
      </c>
      <c r="E799" s="8">
        <v>701702</v>
      </c>
      <c r="F799" s="8"/>
      <c r="G799" s="8" t="s">
        <v>330</v>
      </c>
      <c r="H799" s="6">
        <v>126.12788</v>
      </c>
      <c r="I799" s="6">
        <v>-16.902529999999999</v>
      </c>
      <c r="J799" s="4" t="s">
        <v>871</v>
      </c>
      <c r="K799" s="4" t="s">
        <v>481</v>
      </c>
      <c r="L799" s="4" t="s">
        <v>872</v>
      </c>
      <c r="Q799" s="8"/>
      <c r="R799" s="8"/>
      <c r="Z799" s="4" t="s">
        <v>397</v>
      </c>
      <c r="AA799" s="7" t="s">
        <v>860</v>
      </c>
      <c r="AB799" s="8" t="s">
        <v>861</v>
      </c>
      <c r="AC799" s="4" t="s">
        <v>301</v>
      </c>
      <c r="AD799" s="4" t="s">
        <v>302</v>
      </c>
      <c r="AE799" s="8">
        <v>815</v>
      </c>
      <c r="AF799" s="8">
        <v>9</v>
      </c>
      <c r="AG799" s="9" t="s">
        <v>303</v>
      </c>
      <c r="AH799" s="9" t="s">
        <v>483</v>
      </c>
      <c r="AI799" s="9" t="s">
        <v>873</v>
      </c>
      <c r="AJ799" s="9" t="s">
        <v>431</v>
      </c>
      <c r="AK799" s="9" t="s">
        <v>432</v>
      </c>
      <c r="AM799" s="8">
        <v>4</v>
      </c>
      <c r="AS799" s="8"/>
      <c r="AT799" s="8"/>
      <c r="BG799" s="8"/>
      <c r="BH799" s="8"/>
      <c r="DZ799" s="31"/>
      <c r="FA799" s="6"/>
      <c r="GP799" s="32"/>
      <c r="GY799" s="6" t="s">
        <v>407</v>
      </c>
      <c r="GZ799" s="6" t="s">
        <v>861</v>
      </c>
      <c r="HD799" s="8" t="s">
        <v>874</v>
      </c>
      <c r="HE799" s="8">
        <v>36759</v>
      </c>
      <c r="HF799" s="6" t="s">
        <v>875</v>
      </c>
      <c r="HG799" s="9" t="s">
        <v>876</v>
      </c>
      <c r="IB799" s="8" t="s">
        <v>874</v>
      </c>
      <c r="IC799" s="8">
        <v>36759</v>
      </c>
      <c r="ID799" s="8" t="s">
        <v>877</v>
      </c>
      <c r="IE799" s="9" t="s">
        <v>876</v>
      </c>
      <c r="IF799" s="8" t="s">
        <v>319</v>
      </c>
      <c r="IM799" s="9"/>
      <c r="IR799" s="9"/>
      <c r="KG799" s="4" t="s">
        <v>323</v>
      </c>
      <c r="KM799" s="4" t="s">
        <v>471</v>
      </c>
      <c r="KN799" s="4" t="s">
        <v>471</v>
      </c>
      <c r="KP799" s="18" t="s">
        <v>878</v>
      </c>
      <c r="KQ799" s="5" t="s">
        <v>879</v>
      </c>
      <c r="KR799" s="5" t="s">
        <v>879</v>
      </c>
    </row>
    <row r="800" spans="1:306" ht="144" x14ac:dyDescent="0.25">
      <c r="A800" s="5" t="s">
        <v>3004</v>
      </c>
      <c r="B800" s="4" t="s">
        <v>397</v>
      </c>
      <c r="C800" s="7" t="s">
        <v>860</v>
      </c>
      <c r="D800" s="8" t="s">
        <v>861</v>
      </c>
      <c r="E800" s="8">
        <v>335211</v>
      </c>
      <c r="F800" s="8"/>
      <c r="G800" s="8" t="s">
        <v>330</v>
      </c>
      <c r="H800" s="6">
        <v>124.858</v>
      </c>
      <c r="I800" s="6">
        <v>-17.563199999999998</v>
      </c>
      <c r="J800" s="4" t="s">
        <v>3005</v>
      </c>
      <c r="K800" s="4" t="s">
        <v>331</v>
      </c>
      <c r="L800" s="4" t="s">
        <v>458</v>
      </c>
      <c r="M800" s="4" t="s">
        <v>1888</v>
      </c>
      <c r="Q800" s="7"/>
      <c r="R800" s="7"/>
      <c r="Z800" s="4" t="s">
        <v>397</v>
      </c>
      <c r="AA800" s="7" t="s">
        <v>860</v>
      </c>
      <c r="AB800" s="8" t="s">
        <v>861</v>
      </c>
      <c r="AC800" s="4" t="s">
        <v>301</v>
      </c>
      <c r="AD800" s="4" t="s">
        <v>302</v>
      </c>
      <c r="AE800" s="7">
        <v>21.3</v>
      </c>
      <c r="AF800" s="7">
        <v>1.2</v>
      </c>
      <c r="AG800" s="9" t="s">
        <v>303</v>
      </c>
      <c r="AH800" s="9" t="s">
        <v>483</v>
      </c>
      <c r="AI800" s="9" t="s">
        <v>873</v>
      </c>
      <c r="AJ800" s="9" t="s">
        <v>3006</v>
      </c>
      <c r="AM800" s="8">
        <v>3</v>
      </c>
      <c r="AS800" s="7"/>
      <c r="AT800" s="7"/>
      <c r="BG800" s="7"/>
      <c r="BH800" s="7"/>
      <c r="DZ800" s="31"/>
      <c r="EO800" s="8"/>
      <c r="EP800" s="8"/>
      <c r="ES800" s="8"/>
      <c r="FA800" s="6"/>
      <c r="GP800" s="32"/>
      <c r="GS800" s="8">
        <v>2</v>
      </c>
      <c r="GT800" s="8"/>
      <c r="GU800" s="8"/>
      <c r="GV800" s="8"/>
      <c r="GW800" s="8"/>
      <c r="GX800" s="8"/>
      <c r="GY800" s="8" t="s">
        <v>309</v>
      </c>
      <c r="GZ800" s="8" t="s">
        <v>861</v>
      </c>
      <c r="HA800" s="8"/>
      <c r="HB800" s="8"/>
      <c r="HC800" s="8"/>
      <c r="HD800" s="8" t="s">
        <v>3007</v>
      </c>
      <c r="HE800" s="8">
        <v>7696</v>
      </c>
      <c r="HF800" s="8" t="s">
        <v>3008</v>
      </c>
      <c r="HG800" s="9" t="s">
        <v>493</v>
      </c>
      <c r="IB800" s="8" t="s">
        <v>3009</v>
      </c>
      <c r="ID800" s="8" t="s">
        <v>3010</v>
      </c>
      <c r="IE800" s="8" t="s">
        <v>1333</v>
      </c>
      <c r="IF800" s="8" t="s">
        <v>319</v>
      </c>
      <c r="IM800" s="9"/>
      <c r="IR800" s="9"/>
      <c r="KG800" s="4" t="s">
        <v>323</v>
      </c>
      <c r="KP800" s="5" t="s">
        <v>358</v>
      </c>
      <c r="KQ800" s="5" t="s">
        <v>3011</v>
      </c>
      <c r="KR800" s="5" t="s">
        <v>3012</v>
      </c>
      <c r="KS800" s="5" t="s">
        <v>3013</v>
      </c>
      <c r="KT800" s="5" t="s">
        <v>3014</v>
      </c>
    </row>
    <row r="801" spans="1:306" ht="72" x14ac:dyDescent="0.25">
      <c r="A801" s="5" t="s">
        <v>5199</v>
      </c>
      <c r="B801" s="4" t="s">
        <v>397</v>
      </c>
      <c r="C801" s="7" t="s">
        <v>860</v>
      </c>
      <c r="D801" s="8" t="s">
        <v>861</v>
      </c>
      <c r="E801" s="4">
        <v>336052</v>
      </c>
      <c r="G801" s="4" t="s">
        <v>530</v>
      </c>
      <c r="H801" s="6">
        <v>136.3451</v>
      </c>
      <c r="I801" s="6">
        <v>-16.847899999999999</v>
      </c>
      <c r="J801" s="4" t="s">
        <v>5187</v>
      </c>
      <c r="K801" s="4" t="s">
        <v>481</v>
      </c>
      <c r="L801" s="4" t="s">
        <v>651</v>
      </c>
      <c r="Q801" s="7"/>
      <c r="R801" s="7"/>
      <c r="Z801" s="4" t="s">
        <v>397</v>
      </c>
      <c r="AA801" s="7" t="s">
        <v>860</v>
      </c>
      <c r="AB801" s="8" t="s">
        <v>861</v>
      </c>
      <c r="AC801" s="4" t="s">
        <v>301</v>
      </c>
      <c r="AD801" s="4" t="s">
        <v>302</v>
      </c>
      <c r="AE801" s="7">
        <v>380</v>
      </c>
      <c r="AF801" s="7">
        <v>2</v>
      </c>
      <c r="AG801" s="9" t="s">
        <v>303</v>
      </c>
      <c r="AH801" s="9" t="s">
        <v>483</v>
      </c>
      <c r="AI801" s="9" t="s">
        <v>873</v>
      </c>
      <c r="AJ801" s="9" t="s">
        <v>431</v>
      </c>
      <c r="AK801" s="9" t="s">
        <v>432</v>
      </c>
      <c r="AM801" s="8">
        <v>4</v>
      </c>
      <c r="AS801" s="7"/>
      <c r="AT801" s="7"/>
      <c r="BP801" s="7">
        <f>2.237447+0.0966+27.8</f>
        <v>30.134047000000002</v>
      </c>
      <c r="DZ801" s="31"/>
      <c r="EC801" s="6">
        <f>GS801/BP801</f>
        <v>0.16270502929792338</v>
      </c>
      <c r="EY801" s="6"/>
      <c r="FA801" s="6"/>
      <c r="GP801" s="32"/>
      <c r="GS801" s="6">
        <f>0.507+0.035961+4.36</f>
        <v>4.9029610000000003</v>
      </c>
      <c r="GY801" s="6" t="s">
        <v>435</v>
      </c>
      <c r="GZ801" s="6" t="s">
        <v>861</v>
      </c>
      <c r="HD801" s="8" t="s">
        <v>5200</v>
      </c>
      <c r="HE801" s="8">
        <v>36790</v>
      </c>
      <c r="HF801" s="8" t="s">
        <v>5201</v>
      </c>
      <c r="HG801" s="9" t="s">
        <v>1507</v>
      </c>
      <c r="HY801" s="9"/>
      <c r="IB801" s="8" t="s">
        <v>5200</v>
      </c>
      <c r="IC801" s="8">
        <v>36790</v>
      </c>
      <c r="ID801" s="8" t="s">
        <v>5201</v>
      </c>
      <c r="IE801" s="8" t="s">
        <v>1507</v>
      </c>
      <c r="IF801" s="8" t="s">
        <v>319</v>
      </c>
      <c r="IW801" s="8"/>
      <c r="JB801" s="8"/>
      <c r="KG801" s="4" t="s">
        <v>323</v>
      </c>
      <c r="KM801" s="4" t="s">
        <v>471</v>
      </c>
      <c r="KN801" s="4" t="s">
        <v>471</v>
      </c>
      <c r="KP801" s="5" t="s">
        <v>358</v>
      </c>
      <c r="KQ801" s="5" t="s">
        <v>5202</v>
      </c>
      <c r="KR801" s="5" t="s">
        <v>5203</v>
      </c>
      <c r="KS801" s="5" t="s">
        <v>5204</v>
      </c>
      <c r="KT801" s="5" t="s">
        <v>5205</v>
      </c>
    </row>
    <row r="802" spans="1:306" ht="108" x14ac:dyDescent="0.25">
      <c r="A802" s="5" t="s">
        <v>7632</v>
      </c>
      <c r="B802" s="4" t="s">
        <v>397</v>
      </c>
      <c r="C802" s="7" t="s">
        <v>860</v>
      </c>
      <c r="D802" s="8" t="s">
        <v>7633</v>
      </c>
      <c r="E802" s="4">
        <v>335050</v>
      </c>
      <c r="G802" s="4" t="s">
        <v>427</v>
      </c>
      <c r="H802" s="6">
        <v>148.62</v>
      </c>
      <c r="I802" s="6">
        <v>-32.450000000000003</v>
      </c>
      <c r="J802" s="4" t="s">
        <v>7634</v>
      </c>
      <c r="K802" s="4" t="s">
        <v>298</v>
      </c>
      <c r="L802" s="4" t="s">
        <v>299</v>
      </c>
      <c r="M802" s="4" t="s">
        <v>1359</v>
      </c>
      <c r="Q802" s="8"/>
      <c r="R802" s="8"/>
      <c r="Z802" s="4" t="s">
        <v>397</v>
      </c>
      <c r="AA802" s="7" t="s">
        <v>860</v>
      </c>
      <c r="AB802" s="8" t="s">
        <v>7633</v>
      </c>
      <c r="AC802" s="4" t="s">
        <v>301</v>
      </c>
      <c r="AD802" s="4" t="s">
        <v>375</v>
      </c>
      <c r="AE802" s="8">
        <v>184</v>
      </c>
      <c r="AF802" s="8">
        <v>19</v>
      </c>
      <c r="AG802" s="9" t="s">
        <v>303</v>
      </c>
      <c r="AH802" s="9" t="s">
        <v>304</v>
      </c>
      <c r="AI802" s="9" t="s">
        <v>373</v>
      </c>
      <c r="AJ802" s="9" t="s">
        <v>7635</v>
      </c>
      <c r="AM802" s="8">
        <v>5</v>
      </c>
      <c r="AN802" s="4" t="s">
        <v>381</v>
      </c>
      <c r="AO802" s="4" t="s">
        <v>402</v>
      </c>
      <c r="AP802" s="4" t="s">
        <v>383</v>
      </c>
      <c r="AQ802" s="7" t="s">
        <v>384</v>
      </c>
      <c r="AR802" s="8" t="s">
        <v>4919</v>
      </c>
      <c r="AS802" s="7">
        <v>0</v>
      </c>
      <c r="AT802" s="7">
        <v>0</v>
      </c>
      <c r="AU802" s="9" t="s">
        <v>303</v>
      </c>
      <c r="AV802" s="9" t="s">
        <v>406</v>
      </c>
      <c r="BA802" s="8">
        <v>5</v>
      </c>
      <c r="BP802" s="7">
        <v>73.2</v>
      </c>
      <c r="CP802" s="6">
        <f>1.2699*CQ802/10000</f>
        <v>0.14006997000000002</v>
      </c>
      <c r="CQ802" s="8">
        <v>1103</v>
      </c>
      <c r="CR802" s="6">
        <v>1.67</v>
      </c>
      <c r="CS802" s="8">
        <v>3656</v>
      </c>
      <c r="DC802" s="8">
        <v>339</v>
      </c>
      <c r="DD802" s="8">
        <v>265</v>
      </c>
      <c r="DY802" s="6">
        <v>0.75</v>
      </c>
      <c r="DZ802" s="31">
        <f>GP802/BP802*100</f>
        <v>0.89143609021857928</v>
      </c>
      <c r="FE802" s="6">
        <f>BP802*CP802/100</f>
        <v>0.10253121804000001</v>
      </c>
      <c r="FF802" s="6">
        <v>80.709999999999994</v>
      </c>
      <c r="FG802" s="6">
        <v>1.22</v>
      </c>
      <c r="FH802" s="8">
        <v>268</v>
      </c>
      <c r="FR802" s="6">
        <v>24.83</v>
      </c>
      <c r="FS802" s="7">
        <v>19.39</v>
      </c>
      <c r="GO802" s="6">
        <v>0.55000000000000004</v>
      </c>
      <c r="GP802" s="32">
        <f>SUM(GA802:GO802)+FE802</f>
        <v>0.65253121804000003</v>
      </c>
      <c r="GY802" s="6" t="s">
        <v>338</v>
      </c>
      <c r="GZ802" s="6" t="s">
        <v>7636</v>
      </c>
      <c r="HB802" s="6" t="s">
        <v>7637</v>
      </c>
      <c r="HC802" s="6" t="s">
        <v>7638</v>
      </c>
      <c r="HD802" s="8" t="s">
        <v>7639</v>
      </c>
      <c r="HE802" s="8">
        <v>74636</v>
      </c>
      <c r="HF802" s="8" t="s">
        <v>7640</v>
      </c>
      <c r="HG802" s="9" t="s">
        <v>2688</v>
      </c>
      <c r="IB802" s="8" t="s">
        <v>7639</v>
      </c>
      <c r="IC802" s="8">
        <v>74636</v>
      </c>
      <c r="ID802" s="8" t="s">
        <v>7640</v>
      </c>
      <c r="IE802" s="9" t="s">
        <v>2688</v>
      </c>
      <c r="IF802" s="8" t="s">
        <v>319</v>
      </c>
      <c r="IW802" s="8"/>
      <c r="JB802" s="8"/>
      <c r="JV802" s="7" t="s">
        <v>7641</v>
      </c>
      <c r="JX802" s="7" t="s">
        <v>390</v>
      </c>
      <c r="KG802" s="4" t="s">
        <v>323</v>
      </c>
      <c r="KP802" s="5" t="s">
        <v>7642</v>
      </c>
      <c r="KQ802" s="5" t="s">
        <v>7643</v>
      </c>
      <c r="KR802" s="5" t="s">
        <v>7644</v>
      </c>
      <c r="KS802" s="5" t="s">
        <v>7642</v>
      </c>
      <c r="KT802" s="5" t="s">
        <v>7645</v>
      </c>
    </row>
    <row r="803" spans="1:306" ht="120" x14ac:dyDescent="0.25">
      <c r="A803" s="5" t="s">
        <v>1645</v>
      </c>
      <c r="B803" s="4" t="s">
        <v>397</v>
      </c>
      <c r="C803" s="7" t="s">
        <v>860</v>
      </c>
      <c r="D803" s="8" t="s">
        <v>1646</v>
      </c>
      <c r="E803" s="4">
        <v>337801</v>
      </c>
      <c r="G803" s="4" t="s">
        <v>330</v>
      </c>
      <c r="H803" s="6">
        <v>127.78</v>
      </c>
      <c r="I803" s="6">
        <v>-18.329999999999998</v>
      </c>
      <c r="J803" s="4" t="s">
        <v>1645</v>
      </c>
      <c r="K803" s="4" t="s">
        <v>481</v>
      </c>
      <c r="L803" s="4" t="s">
        <v>863</v>
      </c>
      <c r="Q803" s="8"/>
      <c r="R803" s="8"/>
      <c r="Z803" s="4" t="s">
        <v>397</v>
      </c>
      <c r="AA803" s="7" t="s">
        <v>860</v>
      </c>
      <c r="AB803" s="8" t="s">
        <v>1646</v>
      </c>
      <c r="AC803" s="4" t="s">
        <v>301</v>
      </c>
      <c r="AD803" s="4" t="s">
        <v>302</v>
      </c>
      <c r="AE803" s="8">
        <v>1850</v>
      </c>
      <c r="AF803" s="8">
        <v>10</v>
      </c>
      <c r="AG803" s="9" t="s">
        <v>379</v>
      </c>
      <c r="AH803" s="9" t="s">
        <v>304</v>
      </c>
      <c r="AI803" s="9" t="s">
        <v>373</v>
      </c>
      <c r="AJ803" s="9" t="s">
        <v>306</v>
      </c>
      <c r="AK803" s="9" t="s">
        <v>307</v>
      </c>
      <c r="AL803" s="9" t="s">
        <v>337</v>
      </c>
      <c r="AM803" s="8">
        <v>3</v>
      </c>
      <c r="AS803" s="8"/>
      <c r="AT803" s="8"/>
      <c r="BG803" s="8"/>
      <c r="BH803" s="8"/>
      <c r="BP803" s="7">
        <v>41.6</v>
      </c>
      <c r="CP803" s="6">
        <v>0.11</v>
      </c>
      <c r="CQ803" s="8">
        <v>866</v>
      </c>
      <c r="CR803" s="9">
        <v>0.64</v>
      </c>
      <c r="CS803" s="8">
        <v>2495</v>
      </c>
      <c r="DD803" s="8">
        <v>164</v>
      </c>
      <c r="DY803" s="6">
        <v>0.2</v>
      </c>
      <c r="DZ803" s="31">
        <f>GP803/BP803*100</f>
        <v>0.30951923076923077</v>
      </c>
      <c r="FE803" s="9">
        <f>BP803*CP803/100</f>
        <v>4.5760000000000002E-2</v>
      </c>
      <c r="FF803" s="7">
        <v>36.03</v>
      </c>
      <c r="FG803" s="9">
        <v>0.26500000000000001</v>
      </c>
      <c r="FH803" s="8">
        <v>104</v>
      </c>
      <c r="FS803" s="6">
        <v>6.81</v>
      </c>
      <c r="GO803" s="9">
        <v>8.3000000000000004E-2</v>
      </c>
      <c r="GP803" s="32">
        <f>SUM(GA803:GO803)+FE803</f>
        <v>0.12876000000000001</v>
      </c>
      <c r="GY803" s="6" t="s">
        <v>338</v>
      </c>
      <c r="GZ803" s="6" t="s">
        <v>1647</v>
      </c>
      <c r="HB803" s="6" t="s">
        <v>338</v>
      </c>
      <c r="HC803" s="6" t="s">
        <v>1648</v>
      </c>
      <c r="HD803" s="8" t="s">
        <v>1649</v>
      </c>
      <c r="HE803" s="8">
        <v>23447</v>
      </c>
      <c r="HF803" s="8" t="s">
        <v>1650</v>
      </c>
      <c r="HG803" s="8" t="s">
        <v>538</v>
      </c>
      <c r="HH803" s="8"/>
      <c r="HJ803" s="8"/>
      <c r="HK803" s="8"/>
      <c r="IB803" s="8" t="s">
        <v>1649</v>
      </c>
      <c r="IC803" s="8">
        <v>23447</v>
      </c>
      <c r="ID803" s="8" t="s">
        <v>1650</v>
      </c>
      <c r="IE803" s="8" t="s">
        <v>538</v>
      </c>
      <c r="IF803" s="8" t="s">
        <v>319</v>
      </c>
      <c r="JX803" s="7" t="s">
        <v>320</v>
      </c>
      <c r="KG803" s="4" t="s">
        <v>323</v>
      </c>
      <c r="KM803" s="4" t="s">
        <v>391</v>
      </c>
      <c r="KN803" s="4" t="s">
        <v>391</v>
      </c>
      <c r="KP803" s="5" t="s">
        <v>1651</v>
      </c>
      <c r="KQ803" s="5" t="s">
        <v>1652</v>
      </c>
      <c r="KR803" s="5" t="s">
        <v>1653</v>
      </c>
      <c r="KS803" s="5" t="s">
        <v>1654</v>
      </c>
      <c r="KT803" s="5" t="s">
        <v>1655</v>
      </c>
    </row>
    <row r="804" spans="1:306" ht="60" x14ac:dyDescent="0.25">
      <c r="A804" s="5" t="s">
        <v>1719</v>
      </c>
      <c r="B804" s="4" t="s">
        <v>383</v>
      </c>
      <c r="C804" s="7" t="s">
        <v>926</v>
      </c>
      <c r="D804" s="8" t="s">
        <v>944</v>
      </c>
      <c r="E804" s="38">
        <v>859582</v>
      </c>
      <c r="F804" s="4">
        <v>558610</v>
      </c>
      <c r="G804" s="4" t="s">
        <v>330</v>
      </c>
      <c r="H804" s="6">
        <v>116.528397</v>
      </c>
      <c r="I804" s="6">
        <v>-32.215710000000001</v>
      </c>
      <c r="J804" s="4" t="s">
        <v>1720</v>
      </c>
      <c r="K804" s="4" t="s">
        <v>331</v>
      </c>
      <c r="L804" s="4" t="s">
        <v>500</v>
      </c>
      <c r="M804" s="4" t="s">
        <v>1430</v>
      </c>
      <c r="O804" s="8" t="s">
        <v>514</v>
      </c>
      <c r="P804" s="4" t="s">
        <v>371</v>
      </c>
      <c r="AN804" s="4" t="s">
        <v>381</v>
      </c>
      <c r="AO804" s="4" t="s">
        <v>302</v>
      </c>
      <c r="AP804" s="4" t="s">
        <v>383</v>
      </c>
      <c r="AQ804" s="7" t="s">
        <v>926</v>
      </c>
      <c r="AR804" s="8" t="s">
        <v>944</v>
      </c>
      <c r="AS804" s="8">
        <f>(41.2+27.82)/2</f>
        <v>34.510000000000005</v>
      </c>
      <c r="AT804" s="8">
        <f>(41.2-27.82)/2</f>
        <v>6.6900000000000013</v>
      </c>
      <c r="AU804" s="9" t="s">
        <v>379</v>
      </c>
      <c r="AV804" s="9" t="s">
        <v>460</v>
      </c>
      <c r="BP804" s="7">
        <v>145</v>
      </c>
      <c r="CB804" s="7">
        <v>27.5</v>
      </c>
      <c r="DZ804" s="31"/>
      <c r="ER804" s="8">
        <f>BP804*CB804/100</f>
        <v>39.875</v>
      </c>
      <c r="GP804" s="32"/>
      <c r="GY804" s="31" t="s">
        <v>407</v>
      </c>
      <c r="GZ804" s="6" t="s">
        <v>945</v>
      </c>
      <c r="HC804" s="6" t="s">
        <v>946</v>
      </c>
      <c r="HF804" s="8" t="s">
        <v>1721</v>
      </c>
      <c r="HG804" s="9" t="s">
        <v>507</v>
      </c>
      <c r="ID804" s="8" t="s">
        <v>1721</v>
      </c>
      <c r="IE804" s="9" t="s">
        <v>507</v>
      </c>
      <c r="IF804" s="8" t="s">
        <v>445</v>
      </c>
      <c r="KP804" s="5" t="s">
        <v>358</v>
      </c>
      <c r="KQ804" s="5" t="s">
        <v>1722</v>
      </c>
      <c r="KR804" s="5" t="s">
        <v>1723</v>
      </c>
      <c r="KS804" s="5" t="s">
        <v>1724</v>
      </c>
      <c r="KT804" s="5" t="s">
        <v>1725</v>
      </c>
    </row>
    <row r="805" spans="1:306" ht="36" x14ac:dyDescent="0.2">
      <c r="A805" s="5" t="s">
        <v>2440</v>
      </c>
      <c r="B805" s="4" t="s">
        <v>383</v>
      </c>
      <c r="C805" s="7" t="s">
        <v>2442</v>
      </c>
      <c r="D805" s="8" t="s">
        <v>2443</v>
      </c>
      <c r="E805" s="44">
        <v>896660</v>
      </c>
      <c r="G805" s="4" t="s">
        <v>330</v>
      </c>
      <c r="H805" s="6">
        <v>122.26</v>
      </c>
      <c r="I805" s="6">
        <v>-32.909999999999997</v>
      </c>
      <c r="K805" s="4" t="s">
        <v>1918</v>
      </c>
      <c r="L805" s="4" t="s">
        <v>2441</v>
      </c>
      <c r="O805" s="8" t="s">
        <v>514</v>
      </c>
      <c r="P805" s="4" t="s">
        <v>371</v>
      </c>
      <c r="Q805" s="7"/>
      <c r="R805" s="7"/>
      <c r="AE805" s="7"/>
      <c r="AF805" s="7"/>
      <c r="AN805" s="4" t="s">
        <v>301</v>
      </c>
      <c r="AO805" s="4" t="s">
        <v>302</v>
      </c>
      <c r="AP805" s="4" t="s">
        <v>383</v>
      </c>
      <c r="AQ805" s="7" t="s">
        <v>2442</v>
      </c>
      <c r="AR805" s="8" t="s">
        <v>2443</v>
      </c>
      <c r="AS805" s="7">
        <v>0</v>
      </c>
      <c r="AT805" s="7">
        <v>0</v>
      </c>
      <c r="AU805" s="9" t="s">
        <v>379</v>
      </c>
      <c r="AV805" s="9" t="s">
        <v>406</v>
      </c>
      <c r="BA805" s="8">
        <v>5</v>
      </c>
      <c r="BP805" s="7">
        <v>158.9</v>
      </c>
      <c r="BQ805" s="8"/>
      <c r="BY805" s="8"/>
      <c r="CD805" s="8"/>
      <c r="CE805" s="6">
        <v>20.86</v>
      </c>
      <c r="CP805" s="10">
        <v>1.4160000000000001E-2</v>
      </c>
      <c r="CQ805" s="8">
        <v>112</v>
      </c>
      <c r="DK805" s="10">
        <v>1.4579999999999999E-2</v>
      </c>
      <c r="DL805" s="10">
        <v>2.274E-2</v>
      </c>
      <c r="DM805" s="10">
        <v>4.1999999999999997E-3</v>
      </c>
      <c r="DN805" s="10">
        <v>1.7049999999999999E-2</v>
      </c>
      <c r="DO805" s="10">
        <v>3.4199999999999999E-3</v>
      </c>
      <c r="DP805" s="16">
        <v>7.5000000000000002E-4</v>
      </c>
      <c r="DQ805" s="10">
        <v>3.0100000000000001E-3</v>
      </c>
      <c r="DR805" s="16">
        <v>4.2000000000000002E-4</v>
      </c>
      <c r="DS805" s="10">
        <v>2.33E-3</v>
      </c>
      <c r="DT805" s="16">
        <v>4.6000000000000001E-4</v>
      </c>
      <c r="DU805" s="10">
        <v>1.24E-3</v>
      </c>
      <c r="DV805" s="16">
        <v>1.8000000000000001E-4</v>
      </c>
      <c r="DW805" s="10">
        <v>1.09E-3</v>
      </c>
      <c r="DX805" s="16">
        <v>1.6000000000000001E-4</v>
      </c>
      <c r="DY805" s="10">
        <v>7.2099999999999997E-2</v>
      </c>
      <c r="DZ805" s="31">
        <f>GP805/BP805*100</f>
        <v>0.15754577721837631</v>
      </c>
      <c r="EA805" s="10">
        <v>1.74E-3</v>
      </c>
      <c r="EB805" s="16">
        <v>6.4999999999999997E-4</v>
      </c>
      <c r="ED805" s="8"/>
      <c r="EO805" s="8"/>
      <c r="ET805" s="6">
        <v>3.32</v>
      </c>
      <c r="FE805" s="9">
        <f>BP805*CP805/100</f>
        <v>2.2500240000000001E-2</v>
      </c>
      <c r="FF805" s="7">
        <v>17.7</v>
      </c>
      <c r="GA805" s="9">
        <v>2.3199999999999998E-2</v>
      </c>
      <c r="GB805" s="9">
        <v>3.61E-2</v>
      </c>
      <c r="GC805" s="9">
        <v>6.7000000000000002E-3</v>
      </c>
      <c r="GD805" s="9">
        <v>2.7099999999999999E-2</v>
      </c>
      <c r="GE805" s="9">
        <v>5.4299999999999999E-3</v>
      </c>
      <c r="GF805" s="9">
        <v>1.1900000000000001E-3</v>
      </c>
      <c r="GG805" s="9">
        <v>4.7800000000000004E-3</v>
      </c>
      <c r="GH805" s="9">
        <v>6.7000000000000002E-4</v>
      </c>
      <c r="GI805" s="9">
        <v>3.7000000000000002E-3</v>
      </c>
      <c r="GJ805" s="9">
        <v>7.2999999999999996E-4</v>
      </c>
      <c r="GK805" s="9">
        <v>1.97E-3</v>
      </c>
      <c r="GL805" s="9">
        <v>2.8600000000000001E-4</v>
      </c>
      <c r="GM805" s="9">
        <v>1.73E-3</v>
      </c>
      <c r="GN805" s="9">
        <v>2.5399999999999999E-4</v>
      </c>
      <c r="GO805" s="9">
        <v>0.114</v>
      </c>
      <c r="GP805" s="32">
        <f>SUM(GA805:GO805)+FE805</f>
        <v>0.25034023999999999</v>
      </c>
      <c r="GQ805" s="6">
        <v>2.77</v>
      </c>
      <c r="GR805" s="6">
        <v>1.03</v>
      </c>
      <c r="GT805" s="8"/>
      <c r="GW805" s="8"/>
      <c r="GY805" s="8" t="s">
        <v>338</v>
      </c>
      <c r="GZ805" s="8" t="s">
        <v>655</v>
      </c>
      <c r="HA805" s="8"/>
      <c r="HB805" s="8" t="s">
        <v>2444</v>
      </c>
      <c r="HC805" s="8"/>
      <c r="KP805" s="5" t="s">
        <v>2445</v>
      </c>
      <c r="KQ805" s="5" t="s">
        <v>2445</v>
      </c>
      <c r="KS805" s="5" t="s">
        <v>2445</v>
      </c>
      <c r="KT805" s="5" t="s">
        <v>2446</v>
      </c>
    </row>
    <row r="806" spans="1:306" ht="60" x14ac:dyDescent="0.25">
      <c r="A806" s="5" t="s">
        <v>4180</v>
      </c>
      <c r="B806" s="4" t="s">
        <v>383</v>
      </c>
      <c r="C806" s="7" t="s">
        <v>926</v>
      </c>
      <c r="D806" s="8" t="s">
        <v>944</v>
      </c>
      <c r="E806" s="4">
        <v>333696</v>
      </c>
      <c r="G806" s="4" t="s">
        <v>330</v>
      </c>
      <c r="H806" s="6">
        <v>116.16500000000001</v>
      </c>
      <c r="I806" s="6">
        <v>-32.557000000000002</v>
      </c>
      <c r="J806" s="4" t="s">
        <v>1720</v>
      </c>
      <c r="K806" s="4" t="s">
        <v>331</v>
      </c>
      <c r="L806" s="4" t="s">
        <v>500</v>
      </c>
      <c r="M806" s="4" t="s">
        <v>1430</v>
      </c>
      <c r="O806" s="8" t="s">
        <v>514</v>
      </c>
      <c r="P806" s="4" t="s">
        <v>371</v>
      </c>
      <c r="Q806" s="8"/>
      <c r="R806" s="8"/>
      <c r="AE806" s="8"/>
      <c r="AF806" s="8"/>
      <c r="AN806" s="4" t="s">
        <v>301</v>
      </c>
      <c r="AO806" s="4" t="s">
        <v>302</v>
      </c>
      <c r="AP806" s="4" t="s">
        <v>383</v>
      </c>
      <c r="AQ806" s="7" t="s">
        <v>926</v>
      </c>
      <c r="AR806" s="8" t="s">
        <v>944</v>
      </c>
      <c r="AS806" s="8">
        <f>(41.2+27.82)/2</f>
        <v>34.510000000000005</v>
      </c>
      <c r="AT806" s="8">
        <f>(41.2-27.82)/2</f>
        <v>6.6900000000000013</v>
      </c>
      <c r="AU806" s="9" t="s">
        <v>379</v>
      </c>
      <c r="AV806" s="9" t="s">
        <v>460</v>
      </c>
      <c r="BA806" s="8">
        <v>3</v>
      </c>
      <c r="BP806" s="7">
        <f>190+233</f>
        <v>423</v>
      </c>
      <c r="CB806" s="7">
        <f>100*2.9/10.3</f>
        <v>28.155339805825239</v>
      </c>
      <c r="DZ806" s="31"/>
      <c r="ER806" s="8">
        <f>BP806*CB806/100</f>
        <v>119.09708737864075</v>
      </c>
      <c r="GP806" s="32"/>
      <c r="GY806" s="31" t="s">
        <v>407</v>
      </c>
      <c r="GZ806" s="6" t="s">
        <v>945</v>
      </c>
      <c r="HC806" s="6" t="s">
        <v>946</v>
      </c>
      <c r="HF806" s="8" t="s">
        <v>1721</v>
      </c>
      <c r="HG806" s="9" t="s">
        <v>507</v>
      </c>
      <c r="ID806" s="8" t="s">
        <v>1721</v>
      </c>
      <c r="IE806" s="9" t="s">
        <v>507</v>
      </c>
      <c r="IF806" s="8" t="s">
        <v>445</v>
      </c>
      <c r="KP806" s="5" t="s">
        <v>358</v>
      </c>
      <c r="KQ806" s="5" t="s">
        <v>1722</v>
      </c>
      <c r="KR806" s="5" t="s">
        <v>1723</v>
      </c>
      <c r="KS806" s="5" t="s">
        <v>1724</v>
      </c>
      <c r="KT806" s="5" t="s">
        <v>4181</v>
      </c>
    </row>
    <row r="807" spans="1:306" ht="60" x14ac:dyDescent="0.25">
      <c r="A807" s="5" t="s">
        <v>4247</v>
      </c>
      <c r="B807" s="4" t="s">
        <v>383</v>
      </c>
      <c r="C807" s="7" t="s">
        <v>926</v>
      </c>
      <c r="D807" s="8" t="s">
        <v>944</v>
      </c>
      <c r="E807" s="4">
        <v>334288</v>
      </c>
      <c r="G807" s="4" t="s">
        <v>330</v>
      </c>
      <c r="H807" s="6">
        <v>116.074</v>
      </c>
      <c r="I807" s="6">
        <v>-32.271599999999999</v>
      </c>
      <c r="J807" s="4" t="s">
        <v>1720</v>
      </c>
      <c r="K807" s="4" t="s">
        <v>331</v>
      </c>
      <c r="L807" s="4" t="s">
        <v>500</v>
      </c>
      <c r="M807" s="4" t="s">
        <v>1430</v>
      </c>
      <c r="O807" s="8" t="s">
        <v>514</v>
      </c>
      <c r="P807" s="4" t="s">
        <v>371</v>
      </c>
      <c r="Q807" s="8"/>
      <c r="R807" s="8"/>
      <c r="AE807" s="8"/>
      <c r="AF807" s="8"/>
      <c r="AN807" s="4" t="s">
        <v>381</v>
      </c>
      <c r="AO807" s="4" t="s">
        <v>302</v>
      </c>
      <c r="AP807" s="4" t="s">
        <v>383</v>
      </c>
      <c r="AQ807" s="7" t="s">
        <v>926</v>
      </c>
      <c r="AR807" s="8" t="s">
        <v>944</v>
      </c>
      <c r="AS807" s="8">
        <f>(41.2+27.82)/2</f>
        <v>34.510000000000005</v>
      </c>
      <c r="AT807" s="8">
        <f>(41.2-27.82)/2</f>
        <v>6.6900000000000013</v>
      </c>
      <c r="AU807" s="9" t="s">
        <v>379</v>
      </c>
      <c r="AV807" s="9" t="s">
        <v>460</v>
      </c>
      <c r="BA807" s="8">
        <v>3</v>
      </c>
      <c r="BP807" s="7">
        <f>130+140</f>
        <v>270</v>
      </c>
      <c r="CB807" s="7">
        <f>0.8*33+0.2*27</f>
        <v>31.800000000000004</v>
      </c>
      <c r="DZ807" s="31"/>
      <c r="ER807" s="8">
        <f>BP807*CB807/100</f>
        <v>85.860000000000014</v>
      </c>
      <c r="GP807" s="32"/>
      <c r="GY807" s="31" t="s">
        <v>407</v>
      </c>
      <c r="GZ807" s="6" t="s">
        <v>945</v>
      </c>
      <c r="HC807" s="6" t="s">
        <v>946</v>
      </c>
      <c r="HF807" s="8" t="s">
        <v>4248</v>
      </c>
      <c r="HG807" s="9" t="s">
        <v>507</v>
      </c>
      <c r="ID807" s="8" t="s">
        <v>4248</v>
      </c>
      <c r="IE807" s="9" t="s">
        <v>507</v>
      </c>
      <c r="IF807" s="8" t="s">
        <v>445</v>
      </c>
      <c r="KP807" s="5" t="s">
        <v>358</v>
      </c>
      <c r="KQ807" s="5" t="s">
        <v>1722</v>
      </c>
      <c r="KR807" s="5" t="s">
        <v>1723</v>
      </c>
      <c r="KS807" s="5" t="s">
        <v>4249</v>
      </c>
      <c r="KT807" s="5" t="s">
        <v>4181</v>
      </c>
    </row>
    <row r="808" spans="1:306" ht="60" x14ac:dyDescent="0.25">
      <c r="A808" s="5" t="s">
        <v>7805</v>
      </c>
      <c r="B808" s="4" t="s">
        <v>383</v>
      </c>
      <c r="C808" s="7" t="s">
        <v>926</v>
      </c>
      <c r="D808" s="8" t="s">
        <v>944</v>
      </c>
      <c r="E808" s="4">
        <v>466209</v>
      </c>
      <c r="G808" s="4" t="s">
        <v>330</v>
      </c>
      <c r="H808" s="6">
        <v>115.9237</v>
      </c>
      <c r="I808" s="6">
        <v>-32.898499999999999</v>
      </c>
      <c r="J808" s="4" t="s">
        <v>1720</v>
      </c>
      <c r="K808" s="4" t="s">
        <v>331</v>
      </c>
      <c r="L808" s="4" t="s">
        <v>500</v>
      </c>
      <c r="M808" s="4" t="s">
        <v>1430</v>
      </c>
      <c r="O808" s="8" t="s">
        <v>514</v>
      </c>
      <c r="P808" s="4" t="s">
        <v>371</v>
      </c>
      <c r="Q808" s="4"/>
      <c r="R808" s="4"/>
      <c r="S808" s="4"/>
      <c r="T808" s="4"/>
      <c r="U808" s="4"/>
      <c r="V808" s="4"/>
      <c r="W808" s="4"/>
      <c r="X808" s="4"/>
      <c r="Y808" s="4"/>
      <c r="AE808" s="4"/>
      <c r="AF808" s="4"/>
      <c r="AG808" s="4"/>
      <c r="AH808" s="4"/>
      <c r="AI808" s="4"/>
      <c r="AJ808" s="4"/>
      <c r="AK808" s="4"/>
      <c r="AL808" s="4"/>
      <c r="AM808" s="4"/>
      <c r="AN808" s="4" t="s">
        <v>381</v>
      </c>
      <c r="AO808" s="4" t="s">
        <v>302</v>
      </c>
      <c r="AP808" s="4" t="s">
        <v>383</v>
      </c>
      <c r="AQ808" s="7" t="s">
        <v>926</v>
      </c>
      <c r="AR808" s="8" t="s">
        <v>944</v>
      </c>
      <c r="AS808" s="8">
        <f>(41.2+27.82)/2</f>
        <v>34.510000000000005</v>
      </c>
      <c r="AT808" s="8">
        <f>(41.2-27.82)/2</f>
        <v>6.6900000000000013</v>
      </c>
      <c r="AU808" s="9" t="s">
        <v>379</v>
      </c>
      <c r="AV808" s="9" t="s">
        <v>460</v>
      </c>
      <c r="BA808" s="8">
        <v>3</v>
      </c>
      <c r="BP808" s="7">
        <v>240</v>
      </c>
      <c r="CB808" s="7">
        <v>27.5</v>
      </c>
      <c r="DZ808" s="31"/>
      <c r="ER808" s="8">
        <f>BP808*CB808/100</f>
        <v>66</v>
      </c>
      <c r="GP808" s="32"/>
      <c r="GY808" s="31" t="s">
        <v>407</v>
      </c>
      <c r="GZ808" s="6" t="s">
        <v>945</v>
      </c>
      <c r="HC808" s="6" t="s">
        <v>946</v>
      </c>
      <c r="HF808" s="8" t="s">
        <v>1721</v>
      </c>
      <c r="HG808" s="9" t="s">
        <v>507</v>
      </c>
      <c r="ID808" s="8" t="s">
        <v>1721</v>
      </c>
      <c r="IE808" s="9" t="s">
        <v>507</v>
      </c>
      <c r="IF808" s="8" t="s">
        <v>445</v>
      </c>
      <c r="KP808" s="5" t="s">
        <v>358</v>
      </c>
      <c r="KQ808" s="5" t="s">
        <v>1722</v>
      </c>
      <c r="KR808" s="5" t="s">
        <v>1723</v>
      </c>
      <c r="KS808" s="5" t="s">
        <v>4249</v>
      </c>
      <c r="KT808" s="5" t="s">
        <v>1725</v>
      </c>
    </row>
    <row r="809" spans="1:306" ht="60" x14ac:dyDescent="0.25">
      <c r="A809" s="5" t="s">
        <v>8095</v>
      </c>
      <c r="B809" s="4" t="s">
        <v>383</v>
      </c>
      <c r="C809" s="7" t="s">
        <v>926</v>
      </c>
      <c r="D809" s="8" t="s">
        <v>944</v>
      </c>
      <c r="E809" s="4">
        <v>335465</v>
      </c>
      <c r="G809" s="4" t="s">
        <v>330</v>
      </c>
      <c r="H809" s="6">
        <v>116.06180000000001</v>
      </c>
      <c r="I809" s="6">
        <v>-32.845100000000002</v>
      </c>
      <c r="J809" s="4" t="s">
        <v>1720</v>
      </c>
      <c r="K809" s="4" t="s">
        <v>331</v>
      </c>
      <c r="L809" s="4" t="s">
        <v>500</v>
      </c>
      <c r="M809" s="4" t="s">
        <v>1430</v>
      </c>
      <c r="O809" s="8" t="s">
        <v>514</v>
      </c>
      <c r="P809" s="4" t="s">
        <v>371</v>
      </c>
      <c r="Q809" s="4"/>
      <c r="R809" s="4"/>
      <c r="S809" s="4"/>
      <c r="T809" s="4"/>
      <c r="U809" s="4"/>
      <c r="V809" s="4"/>
      <c r="W809" s="4"/>
      <c r="X809" s="4"/>
      <c r="Y809" s="4"/>
      <c r="AE809" s="4"/>
      <c r="AF809" s="4"/>
      <c r="AG809" s="4"/>
      <c r="AH809" s="4"/>
      <c r="AI809" s="4"/>
      <c r="AJ809" s="4"/>
      <c r="AK809" s="4"/>
      <c r="AL809" s="4"/>
      <c r="AM809" s="4"/>
      <c r="AN809" s="4" t="s">
        <v>381</v>
      </c>
      <c r="AO809" s="4" t="s">
        <v>302</v>
      </c>
      <c r="AP809" s="4" t="s">
        <v>383</v>
      </c>
      <c r="AQ809" s="7" t="s">
        <v>926</v>
      </c>
      <c r="AR809" s="8" t="s">
        <v>944</v>
      </c>
      <c r="AS809" s="8">
        <f>(41.2+27.82)/2</f>
        <v>34.510000000000005</v>
      </c>
      <c r="AT809" s="8">
        <f>(41.2-27.82)/2</f>
        <v>6.6900000000000013</v>
      </c>
      <c r="AU809" s="9" t="s">
        <v>379</v>
      </c>
      <c r="AV809" s="9" t="s">
        <v>460</v>
      </c>
      <c r="BA809" s="8">
        <v>3</v>
      </c>
      <c r="BP809" s="7">
        <f>39+289</f>
        <v>328</v>
      </c>
      <c r="CB809" s="7">
        <v>27.5</v>
      </c>
      <c r="DZ809" s="31"/>
      <c r="ER809" s="8">
        <f>BP809*CB809/100</f>
        <v>90.2</v>
      </c>
      <c r="GP809" s="32"/>
      <c r="GY809" s="31" t="s">
        <v>407</v>
      </c>
      <c r="GZ809" s="6" t="s">
        <v>945</v>
      </c>
      <c r="HC809" s="6" t="s">
        <v>946</v>
      </c>
      <c r="HF809" s="8" t="s">
        <v>8096</v>
      </c>
      <c r="HG809" s="9" t="s">
        <v>507</v>
      </c>
      <c r="ID809" s="8" t="s">
        <v>8096</v>
      </c>
      <c r="IE809" s="9" t="s">
        <v>507</v>
      </c>
      <c r="IF809" s="8" t="s">
        <v>445</v>
      </c>
      <c r="KP809" s="5" t="s">
        <v>358</v>
      </c>
      <c r="KQ809" s="5" t="s">
        <v>1722</v>
      </c>
      <c r="KR809" s="5" t="s">
        <v>1723</v>
      </c>
      <c r="KS809" s="5" t="s">
        <v>4249</v>
      </c>
      <c r="KT809" s="5" t="s">
        <v>1725</v>
      </c>
    </row>
    <row r="810" spans="1:306" ht="60" x14ac:dyDescent="0.25">
      <c r="A810" s="5" t="s">
        <v>8275</v>
      </c>
      <c r="B810" s="4" t="s">
        <v>383</v>
      </c>
      <c r="C810" s="7" t="s">
        <v>926</v>
      </c>
      <c r="D810" s="8" t="s">
        <v>944</v>
      </c>
      <c r="E810" s="4">
        <v>333781</v>
      </c>
      <c r="G810" s="4" t="s">
        <v>330</v>
      </c>
      <c r="H810" s="6">
        <v>116.4559</v>
      </c>
      <c r="I810" s="6">
        <v>-32.929200000000002</v>
      </c>
      <c r="J810" s="4" t="s">
        <v>1720</v>
      </c>
      <c r="K810" s="4" t="s">
        <v>331</v>
      </c>
      <c r="L810" s="4" t="s">
        <v>500</v>
      </c>
      <c r="M810" s="4" t="s">
        <v>1430</v>
      </c>
      <c r="O810" s="8" t="s">
        <v>960</v>
      </c>
      <c r="P810" s="4" t="s">
        <v>371</v>
      </c>
      <c r="Q810" s="8"/>
      <c r="R810" s="8"/>
      <c r="AE810" s="8"/>
      <c r="AF810" s="8"/>
      <c r="AN810" s="4" t="s">
        <v>381</v>
      </c>
      <c r="AO810" s="4" t="s">
        <v>302</v>
      </c>
      <c r="AP810" s="4" t="s">
        <v>383</v>
      </c>
      <c r="AQ810" s="7" t="s">
        <v>926</v>
      </c>
      <c r="AR810" s="8" t="s">
        <v>944</v>
      </c>
      <c r="AS810" s="8">
        <f>(41.2+27.82)/2</f>
        <v>34.510000000000005</v>
      </c>
      <c r="AT810" s="8">
        <f>(41.2-27.82)/2</f>
        <v>6.6900000000000013</v>
      </c>
      <c r="AU810" s="9" t="s">
        <v>379</v>
      </c>
      <c r="AV810" s="9" t="s">
        <v>460</v>
      </c>
      <c r="BA810" s="8">
        <v>3</v>
      </c>
      <c r="BP810" s="7">
        <f>56+390</f>
        <v>446</v>
      </c>
      <c r="CB810" s="7">
        <v>27.5</v>
      </c>
      <c r="DZ810" s="31"/>
      <c r="ER810" s="8">
        <f>BP810*CB810/100</f>
        <v>122.65</v>
      </c>
      <c r="GP810" s="32"/>
      <c r="GY810" s="31" t="s">
        <v>407</v>
      </c>
      <c r="GZ810" s="6" t="s">
        <v>945</v>
      </c>
      <c r="HD810" s="8" t="s">
        <v>8276</v>
      </c>
      <c r="HE810" s="8">
        <v>26017</v>
      </c>
      <c r="HF810" s="8" t="s">
        <v>8277</v>
      </c>
      <c r="HG810" s="9" t="s">
        <v>507</v>
      </c>
      <c r="IB810" s="8" t="s">
        <v>8276</v>
      </c>
      <c r="IC810" s="8">
        <v>26017</v>
      </c>
      <c r="ID810" s="8" t="s">
        <v>8277</v>
      </c>
      <c r="IE810" s="9" t="s">
        <v>507</v>
      </c>
      <c r="IF810" s="8" t="s">
        <v>445</v>
      </c>
      <c r="KP810" s="5" t="s">
        <v>358</v>
      </c>
      <c r="KQ810" s="5" t="s">
        <v>1722</v>
      </c>
      <c r="KR810" s="5" t="s">
        <v>1723</v>
      </c>
      <c r="KS810" s="5" t="s">
        <v>4249</v>
      </c>
      <c r="KT810" s="5" t="s">
        <v>1725</v>
      </c>
    </row>
    <row r="811" spans="1:306" ht="36" x14ac:dyDescent="0.2">
      <c r="A811" s="5" t="s">
        <v>2684</v>
      </c>
      <c r="B811" s="4" t="s">
        <v>383</v>
      </c>
      <c r="C811" s="7" t="s">
        <v>2442</v>
      </c>
      <c r="D811" s="8" t="s">
        <v>2443</v>
      </c>
      <c r="E811" s="44">
        <v>923860</v>
      </c>
      <c r="G811" s="4" t="s">
        <v>296</v>
      </c>
      <c r="H811" s="6">
        <v>146.80000000000001</v>
      </c>
      <c r="I811" s="6">
        <v>-41.5</v>
      </c>
      <c r="K811" s="4" t="s">
        <v>298</v>
      </c>
      <c r="L811" s="4" t="s">
        <v>400</v>
      </c>
      <c r="M811" s="4" t="s">
        <v>401</v>
      </c>
      <c r="O811" s="8" t="s">
        <v>658</v>
      </c>
      <c r="P811" s="4" t="s">
        <v>371</v>
      </c>
      <c r="Q811" s="7">
        <v>175</v>
      </c>
      <c r="R811" s="7">
        <v>5</v>
      </c>
      <c r="S811" s="9" t="s">
        <v>303</v>
      </c>
      <c r="T811" s="9" t="s">
        <v>1071</v>
      </c>
      <c r="U811" s="9" t="s">
        <v>2685</v>
      </c>
      <c r="V811" s="9" t="s">
        <v>599</v>
      </c>
      <c r="W811" s="9" t="s">
        <v>1081</v>
      </c>
      <c r="Y811" s="8">
        <v>5</v>
      </c>
      <c r="AE811" s="7"/>
      <c r="AF811" s="7"/>
      <c r="AN811" s="4" t="s">
        <v>301</v>
      </c>
      <c r="AO811" s="4" t="s">
        <v>302</v>
      </c>
      <c r="AP811" s="4" t="s">
        <v>383</v>
      </c>
      <c r="AQ811" s="7" t="s">
        <v>2442</v>
      </c>
      <c r="AR811" s="8" t="s">
        <v>2443</v>
      </c>
      <c r="AS811" s="7">
        <v>0</v>
      </c>
      <c r="AT811" s="7">
        <v>0</v>
      </c>
      <c r="AU811" s="9" t="s">
        <v>379</v>
      </c>
      <c r="AV811" s="9" t="s">
        <v>406</v>
      </c>
      <c r="BA811" s="8">
        <v>5</v>
      </c>
      <c r="BP811" s="7">
        <v>27</v>
      </c>
      <c r="BQ811" s="8"/>
      <c r="BY811" s="8"/>
      <c r="CD811" s="8"/>
      <c r="CP811" s="10">
        <v>1.83E-2</v>
      </c>
      <c r="CQ811" s="8">
        <v>144</v>
      </c>
      <c r="DK811" s="10">
        <v>1.15E-2</v>
      </c>
      <c r="DL811" s="10">
        <v>1.9099999999999999E-2</v>
      </c>
      <c r="DM811" s="10">
        <v>3.2000000000000002E-3</v>
      </c>
      <c r="DN811" s="10">
        <v>1.2800000000000001E-2</v>
      </c>
      <c r="DO811" s="10">
        <v>2.8999999999999998E-3</v>
      </c>
      <c r="DP811" s="16">
        <v>7.5000000000000002E-4</v>
      </c>
      <c r="DQ811" s="10">
        <v>2.8999999999999998E-3</v>
      </c>
      <c r="DR811" s="16">
        <v>4.6999999999999999E-4</v>
      </c>
      <c r="DS811" s="10">
        <v>3.0000000000000001E-3</v>
      </c>
      <c r="DT811" s="16">
        <v>5.9999999999999995E-4</v>
      </c>
      <c r="DU811" s="10">
        <v>1.6999999999999999E-3</v>
      </c>
      <c r="DV811" s="16">
        <v>2.4000000000000001E-4</v>
      </c>
      <c r="DW811" s="10">
        <v>1.5E-3</v>
      </c>
      <c r="DX811" s="16">
        <v>2.3000000000000001E-4</v>
      </c>
      <c r="DY811" s="10">
        <v>6.13E-2</v>
      </c>
      <c r="DZ811" s="31">
        <f>GP811/BP811*100</f>
        <v>0.13851111111111111</v>
      </c>
      <c r="EA811" s="10">
        <v>3.8000000000000002E-4</v>
      </c>
      <c r="EB811" s="16">
        <v>1.1E-4</v>
      </c>
      <c r="ED811" s="8"/>
      <c r="EO811" s="8"/>
      <c r="FE811" s="10">
        <f>BP811*CP811/100</f>
        <v>4.9410000000000001E-3</v>
      </c>
      <c r="FF811" s="7">
        <v>3.9</v>
      </c>
      <c r="GA811" s="10">
        <v>3.0999999999999999E-3</v>
      </c>
      <c r="GB811" s="10">
        <v>5.1000000000000004E-3</v>
      </c>
      <c r="GC811" s="16">
        <v>8.9999999999999998E-4</v>
      </c>
      <c r="GD811" s="10">
        <v>3.5000000000000001E-3</v>
      </c>
      <c r="GE811" s="16">
        <v>7.7999999999999999E-4</v>
      </c>
      <c r="GF811" s="16">
        <v>2.0000000000000001E-4</v>
      </c>
      <c r="GG811" s="16">
        <v>7.7999999999999999E-4</v>
      </c>
      <c r="GH811" s="16">
        <v>1.2999999999999999E-4</v>
      </c>
      <c r="GI811" s="16">
        <v>8.0999999999999996E-4</v>
      </c>
      <c r="GJ811" s="16">
        <v>1.6000000000000001E-4</v>
      </c>
      <c r="GK811" s="16">
        <v>4.6000000000000001E-4</v>
      </c>
      <c r="GL811" s="16">
        <v>6.4999999999999994E-5</v>
      </c>
      <c r="GM811" s="16">
        <v>4.0999999999999999E-4</v>
      </c>
      <c r="GN811" s="16">
        <v>6.2000000000000003E-5</v>
      </c>
      <c r="GO811" s="9">
        <v>1.6E-2</v>
      </c>
      <c r="GP811" s="32">
        <f>SUM(GA811:GO811)+FE811</f>
        <v>3.7398000000000001E-2</v>
      </c>
      <c r="GQ811" s="6">
        <v>0.1</v>
      </c>
      <c r="GR811" s="6">
        <v>0.03</v>
      </c>
      <c r="GT811" s="8"/>
      <c r="GW811" s="8"/>
      <c r="GY811" s="8" t="s">
        <v>338</v>
      </c>
      <c r="GZ811" s="8" t="s">
        <v>583</v>
      </c>
      <c r="HA811" s="8"/>
      <c r="HB811" s="8" t="s">
        <v>2686</v>
      </c>
      <c r="HC811" s="8"/>
      <c r="HD811" s="8" t="s">
        <v>2687</v>
      </c>
      <c r="HF811" s="8" t="s">
        <v>658</v>
      </c>
      <c r="HG811" s="9" t="s">
        <v>2688</v>
      </c>
      <c r="IB811" s="8" t="s">
        <v>2687</v>
      </c>
      <c r="ID811" s="8" t="s">
        <v>658</v>
      </c>
      <c r="IE811" s="8" t="s">
        <v>2688</v>
      </c>
      <c r="IF811" s="8" t="s">
        <v>445</v>
      </c>
      <c r="KP811" s="5" t="s">
        <v>2689</v>
      </c>
      <c r="KQ811" s="5" t="s">
        <v>2689</v>
      </c>
      <c r="KR811" s="5" t="s">
        <v>2690</v>
      </c>
      <c r="KS811" s="5" t="s">
        <v>2689</v>
      </c>
      <c r="KT811" s="5" t="s">
        <v>2691</v>
      </c>
    </row>
    <row r="812" spans="1:306" ht="84" x14ac:dyDescent="0.2">
      <c r="A812" s="11" t="s">
        <v>7254</v>
      </c>
      <c r="B812" s="4" t="s">
        <v>397</v>
      </c>
      <c r="C812" s="4" t="s">
        <v>3550</v>
      </c>
      <c r="D812" s="4" t="s">
        <v>1078</v>
      </c>
      <c r="E812" s="44">
        <v>520087</v>
      </c>
      <c r="G812" s="4" t="s">
        <v>330</v>
      </c>
      <c r="H812" s="4">
        <v>127.95</v>
      </c>
      <c r="I812" s="4">
        <v>-16.32</v>
      </c>
      <c r="L812" s="4" t="s">
        <v>872</v>
      </c>
      <c r="O812" s="4"/>
      <c r="Q812" s="4"/>
      <c r="R812" s="4"/>
      <c r="S812" s="4"/>
      <c r="T812" s="4"/>
      <c r="U812" s="4"/>
      <c r="V812" s="4"/>
      <c r="W812" s="4"/>
      <c r="X812" s="4"/>
      <c r="Y812" s="4"/>
      <c r="Z812" s="4" t="s">
        <v>397</v>
      </c>
      <c r="AA812" s="4" t="s">
        <v>3550</v>
      </c>
      <c r="AB812" s="4" t="s">
        <v>1078</v>
      </c>
      <c r="AC812" s="4" t="s">
        <v>301</v>
      </c>
      <c r="AD812" s="4" t="s">
        <v>302</v>
      </c>
      <c r="AE812" s="4">
        <v>1793</v>
      </c>
      <c r="AF812" s="4">
        <v>1</v>
      </c>
      <c r="AG812" s="4" t="s">
        <v>303</v>
      </c>
      <c r="AH812" s="4" t="s">
        <v>335</v>
      </c>
      <c r="AI812" s="4" t="s">
        <v>7147</v>
      </c>
      <c r="AJ812" s="4" t="s">
        <v>306</v>
      </c>
      <c r="AK812" s="4" t="s">
        <v>6049</v>
      </c>
      <c r="AL812" s="4" t="s">
        <v>1295</v>
      </c>
      <c r="AM812" s="4">
        <v>5</v>
      </c>
      <c r="AQ812" s="4"/>
      <c r="AR812" s="4"/>
      <c r="AS812" s="4"/>
      <c r="AT812" s="4"/>
      <c r="AU812" s="4"/>
      <c r="AV812" s="4"/>
      <c r="AW812" s="4"/>
      <c r="AX812" s="4"/>
      <c r="AY812" s="4"/>
      <c r="AZ812" s="4"/>
      <c r="BA812" s="4"/>
      <c r="BE812" s="4"/>
      <c r="BF812" s="4"/>
      <c r="BG812" s="4"/>
      <c r="BH812" s="4"/>
      <c r="BI812" s="4"/>
      <c r="BJ812" s="4"/>
      <c r="BK812" s="4"/>
      <c r="BL812" s="4"/>
      <c r="BM812" s="4"/>
      <c r="BN812" s="4"/>
      <c r="BO812" s="4"/>
      <c r="BP812" s="7">
        <v>4712</v>
      </c>
      <c r="BQ812" s="4"/>
      <c r="BR812" s="4"/>
      <c r="BS812" s="4"/>
      <c r="BT812" s="4"/>
      <c r="BU812" s="4"/>
      <c r="BV812" s="4"/>
      <c r="BW812" s="4"/>
      <c r="BX812" s="4"/>
      <c r="BY812" s="4"/>
      <c r="BZ812" s="4"/>
      <c r="CA812" s="4"/>
      <c r="CB812" s="4"/>
      <c r="CC812" s="4"/>
      <c r="CD812" s="4"/>
      <c r="CE812" s="4"/>
      <c r="CF812" s="4">
        <v>2</v>
      </c>
      <c r="CG812" s="4">
        <v>0.3</v>
      </c>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31"/>
      <c r="EA812" s="4"/>
      <c r="EB812" s="4"/>
      <c r="EC812" s="4"/>
      <c r="ED812" s="4"/>
      <c r="EE812" s="4"/>
      <c r="EF812" s="4"/>
      <c r="EG812" s="4"/>
      <c r="EH812" s="4"/>
      <c r="EI812" s="4"/>
      <c r="EJ812" s="4"/>
      <c r="EK812" s="4"/>
      <c r="EL812" s="4"/>
      <c r="EM812" s="4"/>
      <c r="EN812" s="4"/>
      <c r="EO812" s="4"/>
      <c r="EP812" s="4"/>
      <c r="EQ812" s="4"/>
      <c r="ER812" s="4"/>
      <c r="ES812" s="4"/>
      <c r="ET812" s="4"/>
      <c r="EU812" s="4">
        <v>94.24</v>
      </c>
      <c r="EV812" s="4">
        <v>14136</v>
      </c>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32"/>
      <c r="GQ812" s="4"/>
      <c r="GR812" s="4"/>
      <c r="GS812" s="4"/>
      <c r="GT812" s="4"/>
      <c r="GU812" s="4"/>
      <c r="GV812" s="4"/>
      <c r="GW812" s="4"/>
      <c r="GX812" s="4"/>
      <c r="GY812" s="4" t="s">
        <v>338</v>
      </c>
      <c r="GZ812" s="4" t="s">
        <v>7255</v>
      </c>
      <c r="HA812" s="4"/>
      <c r="HB812" s="4"/>
      <c r="HC812" s="4"/>
      <c r="HD812" s="4" t="s">
        <v>7244</v>
      </c>
      <c r="HE812" s="4">
        <v>17150</v>
      </c>
      <c r="HF812" s="4" t="s">
        <v>7245</v>
      </c>
      <c r="HG812" s="4" t="s">
        <v>7246</v>
      </c>
      <c r="HH812" s="4"/>
      <c r="HI812" s="4"/>
      <c r="HJ812" s="4"/>
      <c r="HK812" s="4"/>
      <c r="HL812" s="4"/>
      <c r="HM812" s="4"/>
      <c r="HN812" s="4"/>
      <c r="HO812" s="4"/>
      <c r="HP812" s="4"/>
      <c r="HQ812" s="4"/>
      <c r="HR812" s="4"/>
      <c r="HS812" s="4"/>
      <c r="HT812" s="4"/>
      <c r="HU812" s="4"/>
      <c r="HV812" s="4"/>
      <c r="HW812" s="4"/>
      <c r="HX812" s="4"/>
      <c r="HY812" s="4"/>
      <c r="HZ812" s="4"/>
      <c r="IA812" s="4"/>
      <c r="IB812" s="4" t="s">
        <v>7256</v>
      </c>
      <c r="IC812" s="4">
        <v>8108</v>
      </c>
      <c r="ID812" s="4" t="s">
        <v>7257</v>
      </c>
      <c r="IE812" s="4" t="s">
        <v>490</v>
      </c>
      <c r="IF812" s="4" t="s">
        <v>319</v>
      </c>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c r="JM812" s="4"/>
      <c r="JN812" s="4"/>
      <c r="JO812" s="4"/>
      <c r="JP812" s="4"/>
      <c r="JQ812" s="4"/>
      <c r="JR812" s="4"/>
      <c r="JS812" s="4"/>
      <c r="JT812" s="4"/>
      <c r="JU812" s="4"/>
      <c r="JV812" s="4"/>
      <c r="JW812" s="4"/>
      <c r="JX812" s="4"/>
      <c r="JY812" s="4"/>
      <c r="JZ812" s="4"/>
      <c r="KA812" s="4"/>
      <c r="KB812" s="4"/>
      <c r="KC812" s="4"/>
      <c r="KD812" s="4"/>
      <c r="KE812" s="4"/>
      <c r="KF812" s="4"/>
      <c r="KP812" s="5" t="s">
        <v>7258</v>
      </c>
      <c r="KQ812" s="5" t="s">
        <v>7259</v>
      </c>
      <c r="KR812" s="5" t="s">
        <v>7260</v>
      </c>
      <c r="KS812" s="5" t="s">
        <v>7258</v>
      </c>
      <c r="KT812" s="5" t="s">
        <v>7261</v>
      </c>
    </row>
    <row r="813" spans="1:306" ht="120" x14ac:dyDescent="0.2">
      <c r="A813" s="5" t="s">
        <v>3549</v>
      </c>
      <c r="B813" s="4" t="s">
        <v>397</v>
      </c>
      <c r="C813" s="7" t="s">
        <v>3550</v>
      </c>
      <c r="D813" s="8" t="s">
        <v>1069</v>
      </c>
      <c r="E813" s="44">
        <v>815731</v>
      </c>
      <c r="G813" s="4" t="s">
        <v>330</v>
      </c>
      <c r="H813" s="6">
        <v>116.21326290499999</v>
      </c>
      <c r="I813" s="6">
        <v>-31.516378118999999</v>
      </c>
      <c r="J813" s="4" t="s">
        <v>3551</v>
      </c>
      <c r="K813" s="4" t="s">
        <v>331</v>
      </c>
      <c r="L813" s="4" t="s">
        <v>500</v>
      </c>
      <c r="M813" s="4" t="s">
        <v>676</v>
      </c>
      <c r="Q813" s="8"/>
      <c r="R813" s="8"/>
      <c r="Z813" s="4" t="s">
        <v>397</v>
      </c>
      <c r="AA813" s="7" t="s">
        <v>3550</v>
      </c>
      <c r="AB813" s="8" t="s">
        <v>1069</v>
      </c>
      <c r="AC813" s="4" t="s">
        <v>301</v>
      </c>
      <c r="AD813" s="4" t="s">
        <v>375</v>
      </c>
      <c r="AE813" s="8">
        <v>2668</v>
      </c>
      <c r="AF813" s="8">
        <v>4</v>
      </c>
      <c r="AG813" s="9" t="s">
        <v>379</v>
      </c>
      <c r="AH813" s="9" t="s">
        <v>372</v>
      </c>
      <c r="AI813" s="9" t="s">
        <v>373</v>
      </c>
      <c r="AJ813" s="9" t="s">
        <v>306</v>
      </c>
      <c r="AK813" s="9" t="s">
        <v>307</v>
      </c>
      <c r="AL813" s="9" t="s">
        <v>337</v>
      </c>
      <c r="AM813" s="8">
        <v>4</v>
      </c>
      <c r="AN813" s="4" t="s">
        <v>381</v>
      </c>
      <c r="AO813" s="4" t="s">
        <v>402</v>
      </c>
      <c r="AP813" s="4" t="s">
        <v>383</v>
      </c>
      <c r="AQ813" s="7" t="s">
        <v>384</v>
      </c>
      <c r="AR813" s="8" t="s">
        <v>3552</v>
      </c>
      <c r="AS813" s="8">
        <v>0</v>
      </c>
      <c r="AT813" s="8">
        <v>0</v>
      </c>
      <c r="AU813" s="9" t="s">
        <v>303</v>
      </c>
      <c r="AV813" s="9" t="s">
        <v>406</v>
      </c>
      <c r="BA813" s="8">
        <v>5</v>
      </c>
      <c r="BP813" s="7">
        <v>660</v>
      </c>
      <c r="BR813" s="9">
        <v>8.3000000000000004E-2</v>
      </c>
      <c r="BV813" s="6">
        <v>0.02</v>
      </c>
      <c r="CK813" s="9">
        <v>1.4999999999999999E-2</v>
      </c>
      <c r="CL813" s="6">
        <v>0.15</v>
      </c>
      <c r="CV813" s="6">
        <v>0.63</v>
      </c>
      <c r="DI813" s="6">
        <v>0.14000000000000001</v>
      </c>
      <c r="DZ813" s="31"/>
      <c r="EH813" s="10">
        <f>BP813*BR813/100</f>
        <v>0.54780000000000006</v>
      </c>
      <c r="EZ813" s="8">
        <f>1000*BP813*CK813/100</f>
        <v>99</v>
      </c>
      <c r="FA813" s="6">
        <f>BP813*CL813/100</f>
        <v>0.99</v>
      </c>
      <c r="FK813" s="8">
        <f>BP813*CV813</f>
        <v>415.8</v>
      </c>
      <c r="FY813" s="8">
        <f>BP813*DI813</f>
        <v>92.4</v>
      </c>
      <c r="GP813" s="32"/>
      <c r="GY813" s="6" t="s">
        <v>338</v>
      </c>
      <c r="GZ813" s="6" t="s">
        <v>3553</v>
      </c>
      <c r="HB813" s="6" t="s">
        <v>1187</v>
      </c>
      <c r="HC813" s="6" t="s">
        <v>436</v>
      </c>
      <c r="HD813" s="8" t="s">
        <v>3554</v>
      </c>
      <c r="HF813" s="8" t="s">
        <v>3555</v>
      </c>
      <c r="HG813" s="9" t="s">
        <v>507</v>
      </c>
      <c r="IB813" s="8" t="s">
        <v>3554</v>
      </c>
      <c r="ID813" s="8" t="s">
        <v>3555</v>
      </c>
      <c r="IE813" s="9" t="s">
        <v>507</v>
      </c>
      <c r="IF813" s="8" t="s">
        <v>319</v>
      </c>
      <c r="IG813" s="8" t="s">
        <v>1841</v>
      </c>
      <c r="II813" s="8" t="s">
        <v>3556</v>
      </c>
      <c r="IJ813" s="8" t="s">
        <v>507</v>
      </c>
      <c r="IK813" s="8" t="s">
        <v>350</v>
      </c>
      <c r="IL813" s="9" t="s">
        <v>3557</v>
      </c>
      <c r="IN813" s="9" t="s">
        <v>3558</v>
      </c>
      <c r="IP813" s="9" t="s">
        <v>350</v>
      </c>
      <c r="JX813" s="7" t="s">
        <v>322</v>
      </c>
      <c r="JY813" s="7" t="s">
        <v>448</v>
      </c>
      <c r="JZ813" s="7" t="s">
        <v>320</v>
      </c>
      <c r="KG813" s="4" t="s">
        <v>323</v>
      </c>
      <c r="KM813" s="4" t="s">
        <v>521</v>
      </c>
      <c r="KN813" s="4" t="s">
        <v>522</v>
      </c>
      <c r="KO813" s="4" t="s">
        <v>350</v>
      </c>
      <c r="KP813" s="5" t="s">
        <v>3559</v>
      </c>
      <c r="KQ813" s="5" t="s">
        <v>3560</v>
      </c>
      <c r="KR813" s="5" t="s">
        <v>3561</v>
      </c>
      <c r="KS813" s="5" t="s">
        <v>3559</v>
      </c>
      <c r="KT813" s="5" t="s">
        <v>3562</v>
      </c>
    </row>
    <row r="814" spans="1:306" ht="36" x14ac:dyDescent="0.25">
      <c r="A814" s="5" t="s">
        <v>7145</v>
      </c>
      <c r="B814" s="4" t="s">
        <v>383</v>
      </c>
      <c r="C814" s="7" t="s">
        <v>403</v>
      </c>
      <c r="D814" s="8" t="s">
        <v>3570</v>
      </c>
      <c r="E814" s="4">
        <v>806693</v>
      </c>
      <c r="G814" s="4" t="s">
        <v>530</v>
      </c>
      <c r="H814" s="6">
        <v>134.04</v>
      </c>
      <c r="I814" s="6">
        <v>-14.94</v>
      </c>
      <c r="K814" s="4" t="s">
        <v>481</v>
      </c>
      <c r="L814" s="4" t="s">
        <v>651</v>
      </c>
      <c r="Q814" s="7"/>
      <c r="R814" s="7"/>
      <c r="Z814" s="4" t="s">
        <v>397</v>
      </c>
      <c r="AA814" s="7" t="s">
        <v>398</v>
      </c>
      <c r="AB814" s="8" t="s">
        <v>7146</v>
      </c>
      <c r="AC814" s="4" t="s">
        <v>370</v>
      </c>
      <c r="AD814" s="4" t="s">
        <v>371</v>
      </c>
      <c r="AE814" s="7">
        <v>1327.5</v>
      </c>
      <c r="AF814" s="7">
        <v>0.6</v>
      </c>
      <c r="AG814" s="9" t="s">
        <v>379</v>
      </c>
      <c r="AH814" s="9" t="s">
        <v>483</v>
      </c>
      <c r="AI814" s="9" t="s">
        <v>7147</v>
      </c>
      <c r="AJ814" s="9" t="s">
        <v>306</v>
      </c>
      <c r="AL814" s="9" t="s">
        <v>1727</v>
      </c>
      <c r="AM814" s="8">
        <v>5</v>
      </c>
      <c r="AN814" s="4" t="s">
        <v>381</v>
      </c>
      <c r="AO814" s="4" t="s">
        <v>302</v>
      </c>
      <c r="AP814" s="4" t="s">
        <v>383</v>
      </c>
      <c r="AQ814" s="7" t="s">
        <v>403</v>
      </c>
      <c r="AR814" s="8" t="s">
        <v>3570</v>
      </c>
      <c r="AS814" s="7">
        <v>0</v>
      </c>
      <c r="AT814" s="7">
        <v>0</v>
      </c>
      <c r="AU814" s="9" t="s">
        <v>303</v>
      </c>
      <c r="AV814" s="9" t="s">
        <v>6051</v>
      </c>
      <c r="BA814" s="8">
        <v>5</v>
      </c>
      <c r="DZ814" s="31"/>
      <c r="EU814" s="7">
        <f>4.5*(0.3156)</f>
        <v>1.4201999999999999</v>
      </c>
      <c r="GP814" s="32"/>
      <c r="GY814" s="6" t="s">
        <v>309</v>
      </c>
      <c r="GZ814" s="6" t="s">
        <v>1082</v>
      </c>
      <c r="HD814" s="8" t="s">
        <v>7148</v>
      </c>
      <c r="HE814" s="8">
        <v>35928</v>
      </c>
      <c r="HF814" s="8" t="s">
        <v>7149</v>
      </c>
      <c r="HG814" s="9" t="s">
        <v>349</v>
      </c>
      <c r="IW814" s="8"/>
      <c r="JB814" s="8"/>
      <c r="KM814" s="4" t="s">
        <v>471</v>
      </c>
      <c r="KN814" s="4" t="s">
        <v>471</v>
      </c>
      <c r="KP814" s="5" t="s">
        <v>358</v>
      </c>
      <c r="KQ814" s="5" t="s">
        <v>7150</v>
      </c>
      <c r="KR814" s="47" t="s">
        <v>7151</v>
      </c>
      <c r="KS814" s="5" t="s">
        <v>1826</v>
      </c>
      <c r="KT814" s="5" t="s">
        <v>7152</v>
      </c>
    </row>
    <row r="815" spans="1:306" ht="72" x14ac:dyDescent="0.25">
      <c r="A815" s="5" t="s">
        <v>1475</v>
      </c>
      <c r="B815" s="4" t="s">
        <v>397</v>
      </c>
      <c r="C815" s="7" t="s">
        <v>398</v>
      </c>
      <c r="D815" s="8" t="s">
        <v>1476</v>
      </c>
      <c r="E815" s="4">
        <v>334649</v>
      </c>
      <c r="G815" s="4" t="s">
        <v>330</v>
      </c>
      <c r="H815" s="6">
        <v>121.652</v>
      </c>
      <c r="I815" s="6">
        <v>-30.3934</v>
      </c>
      <c r="J815" s="4" t="s">
        <v>1477</v>
      </c>
      <c r="K815" s="4" t="s">
        <v>331</v>
      </c>
      <c r="L815" s="4" t="s">
        <v>500</v>
      </c>
      <c r="M815" s="4" t="s">
        <v>501</v>
      </c>
      <c r="Q815" s="8"/>
      <c r="R815" s="8"/>
      <c r="Z815" s="4" t="s">
        <v>397</v>
      </c>
      <c r="AA815" s="7" t="s">
        <v>398</v>
      </c>
      <c r="AB815" s="8" t="s">
        <v>1476</v>
      </c>
      <c r="AC815" s="4" t="s">
        <v>301</v>
      </c>
      <c r="AD815" s="4" t="s">
        <v>302</v>
      </c>
      <c r="AE815" s="8">
        <v>2706</v>
      </c>
      <c r="AF815" s="8">
        <v>5</v>
      </c>
      <c r="AG815" s="9" t="s">
        <v>379</v>
      </c>
      <c r="AH815" s="9" t="s">
        <v>372</v>
      </c>
      <c r="AI815" s="9" t="s">
        <v>373</v>
      </c>
      <c r="AJ815" s="9" t="s">
        <v>306</v>
      </c>
      <c r="AK815" s="9" t="s">
        <v>307</v>
      </c>
      <c r="AL815" s="9" t="s">
        <v>337</v>
      </c>
      <c r="AM815" s="8">
        <v>4</v>
      </c>
      <c r="AS815" s="8"/>
      <c r="AT815" s="8"/>
      <c r="BG815" s="8"/>
      <c r="BH815" s="8"/>
      <c r="BP815" s="7">
        <f>5.9+2.7+26.3</f>
        <v>34.900000000000006</v>
      </c>
      <c r="BQ815" s="7"/>
      <c r="CL815" s="6">
        <f>(0.7*5.9+5.1*2.7+0.72*26.3)/(5.9+2.7+26.3)</f>
        <v>1.0554727793696272</v>
      </c>
      <c r="DZ815" s="31"/>
      <c r="FA815" s="10">
        <f>BP815*CL815/100</f>
        <v>0.36835999999999997</v>
      </c>
      <c r="GP815" s="32"/>
      <c r="GY815" s="6" t="s">
        <v>435</v>
      </c>
      <c r="GZ815" s="6" t="s">
        <v>928</v>
      </c>
      <c r="HC815" s="6" t="s">
        <v>1478</v>
      </c>
      <c r="HD815" s="8" t="s">
        <v>1479</v>
      </c>
      <c r="HE815" s="8">
        <v>27156</v>
      </c>
      <c r="HF815" s="8" t="s">
        <v>1480</v>
      </c>
      <c r="HG815" s="9" t="s">
        <v>507</v>
      </c>
      <c r="IB815" s="8" t="s">
        <v>1479</v>
      </c>
      <c r="IC815" s="8">
        <v>27156</v>
      </c>
      <c r="ID815" s="8" t="s">
        <v>1480</v>
      </c>
      <c r="IE815" s="9" t="s">
        <v>507</v>
      </c>
      <c r="IF815" s="9" t="s">
        <v>319</v>
      </c>
      <c r="IG815" s="9"/>
      <c r="II815" s="9"/>
      <c r="IJ815" s="9"/>
      <c r="IK815" s="9"/>
      <c r="IR815" s="9"/>
      <c r="JX815" s="7" t="s">
        <v>320</v>
      </c>
      <c r="JY815" s="7" t="s">
        <v>448</v>
      </c>
      <c r="JZ815" s="7" t="s">
        <v>322</v>
      </c>
      <c r="KA815" s="7" t="s">
        <v>321</v>
      </c>
      <c r="KB815" s="7" t="s">
        <v>353</v>
      </c>
      <c r="KC815" s="7" t="s">
        <v>321</v>
      </c>
      <c r="KD815" s="7" t="s">
        <v>355</v>
      </c>
      <c r="KG815" s="4" t="s">
        <v>323</v>
      </c>
      <c r="KM815" s="4" t="s">
        <v>521</v>
      </c>
      <c r="KN815" s="4" t="s">
        <v>521</v>
      </c>
      <c r="KP815" s="5" t="s">
        <v>358</v>
      </c>
      <c r="KQ815" s="5" t="s">
        <v>1481</v>
      </c>
      <c r="KR815" s="5" t="s">
        <v>1482</v>
      </c>
      <c r="KS815" s="5" t="s">
        <v>1483</v>
      </c>
      <c r="KT815" s="5" t="s">
        <v>1484</v>
      </c>
    </row>
    <row r="816" spans="1:306" ht="48" x14ac:dyDescent="0.25">
      <c r="A816" s="5" t="s">
        <v>2221</v>
      </c>
      <c r="B816" s="4" t="s">
        <v>397</v>
      </c>
      <c r="C816" s="7" t="s">
        <v>398</v>
      </c>
      <c r="D816" s="8" t="s">
        <v>1476</v>
      </c>
      <c r="E816" s="4">
        <v>335342</v>
      </c>
      <c r="G816" s="4" t="s">
        <v>330</v>
      </c>
      <c r="H816" s="6">
        <v>120.5478</v>
      </c>
      <c r="I816" s="6">
        <v>-27.303899999999999</v>
      </c>
      <c r="J816" s="4" t="s">
        <v>2222</v>
      </c>
      <c r="K816" s="4" t="s">
        <v>331</v>
      </c>
      <c r="L816" s="4" t="s">
        <v>500</v>
      </c>
      <c r="M816" s="4" t="s">
        <v>501</v>
      </c>
      <c r="Q816" s="8"/>
      <c r="R816" s="8"/>
      <c r="Z816" s="4" t="s">
        <v>397</v>
      </c>
      <c r="AA816" s="7" t="s">
        <v>398</v>
      </c>
      <c r="AB816" s="8" t="s">
        <v>1476</v>
      </c>
      <c r="AC816" s="4" t="s">
        <v>301</v>
      </c>
      <c r="AD816" s="4" t="s">
        <v>302</v>
      </c>
      <c r="AE816" s="8">
        <v>2705</v>
      </c>
      <c r="AF816" s="8">
        <v>4</v>
      </c>
      <c r="AG816" s="9" t="s">
        <v>379</v>
      </c>
      <c r="AH816" s="9" t="s">
        <v>372</v>
      </c>
      <c r="AI816" s="9" t="s">
        <v>373</v>
      </c>
      <c r="AJ816" s="9" t="s">
        <v>306</v>
      </c>
      <c r="AK816" s="9" t="s">
        <v>307</v>
      </c>
      <c r="AL816" s="9" t="s">
        <v>337</v>
      </c>
      <c r="AM816" s="8">
        <v>4</v>
      </c>
      <c r="AS816" s="8"/>
      <c r="AT816" s="8"/>
      <c r="BG816" s="8"/>
      <c r="BH816" s="8"/>
      <c r="BP816" s="7">
        <v>8.1</v>
      </c>
      <c r="CL816" s="7">
        <v>2</v>
      </c>
      <c r="DZ816" s="31"/>
      <c r="FA816" s="6">
        <f>BP816*CL816/100</f>
        <v>0.16200000000000001</v>
      </c>
      <c r="GP816" s="32"/>
      <c r="GY816" s="31" t="s">
        <v>407</v>
      </c>
      <c r="GZ816" s="6" t="s">
        <v>928</v>
      </c>
      <c r="HC816" s="6" t="s">
        <v>1478</v>
      </c>
      <c r="HD816" s="8" t="s">
        <v>2223</v>
      </c>
      <c r="HE816" s="8">
        <v>75825</v>
      </c>
      <c r="HF816" s="8" t="s">
        <v>2224</v>
      </c>
      <c r="HG816" s="9" t="s">
        <v>507</v>
      </c>
      <c r="IB816" s="8" t="s">
        <v>2223</v>
      </c>
      <c r="IC816" s="8">
        <v>75825</v>
      </c>
      <c r="ID816" s="8" t="s">
        <v>2224</v>
      </c>
      <c r="IE816" s="9" t="s">
        <v>507</v>
      </c>
      <c r="IF816" s="9" t="s">
        <v>319</v>
      </c>
      <c r="IG816" s="9"/>
      <c r="II816" s="9"/>
      <c r="IJ816" s="9"/>
      <c r="IK816" s="9"/>
      <c r="IR816" s="9"/>
      <c r="JV816" s="7" t="s">
        <v>2225</v>
      </c>
      <c r="JW816" s="7" t="s">
        <v>1491</v>
      </c>
      <c r="KG816" s="4" t="s">
        <v>323</v>
      </c>
      <c r="KM816" s="4" t="s">
        <v>542</v>
      </c>
      <c r="KN816" s="4" t="s">
        <v>542</v>
      </c>
      <c r="KP816" s="5" t="s">
        <v>358</v>
      </c>
      <c r="KQ816" s="5" t="s">
        <v>2226</v>
      </c>
      <c r="KR816" s="5" t="s">
        <v>2227</v>
      </c>
      <c r="KS816" s="5" t="s">
        <v>2228</v>
      </c>
      <c r="KT816" s="5" t="s">
        <v>2229</v>
      </c>
    </row>
    <row r="817" spans="1:306" ht="84" x14ac:dyDescent="0.25">
      <c r="A817" s="5" t="s">
        <v>2408</v>
      </c>
      <c r="B817" s="4" t="s">
        <v>397</v>
      </c>
      <c r="C817" s="7" t="s">
        <v>398</v>
      </c>
      <c r="D817" s="8" t="s">
        <v>1476</v>
      </c>
      <c r="E817" s="4">
        <v>333803</v>
      </c>
      <c r="G817" s="4" t="s">
        <v>330</v>
      </c>
      <c r="H817" s="6">
        <v>120.57769999999999</v>
      </c>
      <c r="I817" s="6">
        <v>-27.599</v>
      </c>
      <c r="J817" s="4" t="s">
        <v>2222</v>
      </c>
      <c r="K817" s="4" t="s">
        <v>331</v>
      </c>
      <c r="L817" s="4" t="s">
        <v>500</v>
      </c>
      <c r="M817" s="4" t="s">
        <v>501</v>
      </c>
      <c r="Q817" s="8"/>
      <c r="R817" s="8"/>
      <c r="Z817" s="4" t="s">
        <v>397</v>
      </c>
      <c r="AA817" s="7" t="s">
        <v>398</v>
      </c>
      <c r="AB817" s="8" t="s">
        <v>1476</v>
      </c>
      <c r="AC817" s="4" t="s">
        <v>301</v>
      </c>
      <c r="AD817" s="4" t="s">
        <v>302</v>
      </c>
      <c r="AE817" s="8">
        <v>2685</v>
      </c>
      <c r="AF817" s="8">
        <v>8</v>
      </c>
      <c r="AG817" s="9" t="s">
        <v>379</v>
      </c>
      <c r="AH817" s="9" t="s">
        <v>372</v>
      </c>
      <c r="AI817" s="9" t="s">
        <v>373</v>
      </c>
      <c r="AJ817" s="9" t="s">
        <v>306</v>
      </c>
      <c r="AK817" s="9" t="s">
        <v>307</v>
      </c>
      <c r="AL817" s="9" t="s">
        <v>2409</v>
      </c>
      <c r="AM817" s="8">
        <v>4</v>
      </c>
      <c r="AS817" s="8"/>
      <c r="AT817" s="8"/>
      <c r="BG817" s="8"/>
      <c r="BH817" s="8"/>
      <c r="BP817" s="7">
        <v>54.189799999999998</v>
      </c>
      <c r="BQ817" s="7"/>
      <c r="CL817" s="6">
        <v>0.77086584240634815</v>
      </c>
      <c r="DZ817" s="31"/>
      <c r="FA817" s="10">
        <f>BP817*CL817/100</f>
        <v>0.41773065826831529</v>
      </c>
      <c r="GP817" s="32"/>
      <c r="GY817" s="31" t="s">
        <v>407</v>
      </c>
      <c r="GZ817" s="6" t="s">
        <v>928</v>
      </c>
      <c r="HC817" s="6" t="s">
        <v>1478</v>
      </c>
      <c r="HD817" s="8" t="s">
        <v>2410</v>
      </c>
      <c r="HF817" s="8" t="s">
        <v>2411</v>
      </c>
      <c r="HG817" s="9" t="s">
        <v>507</v>
      </c>
      <c r="IB817" s="8" t="s">
        <v>2410</v>
      </c>
      <c r="ID817" s="8" t="s">
        <v>2411</v>
      </c>
      <c r="IE817" s="9" t="s">
        <v>507</v>
      </c>
      <c r="IF817" s="9" t="s">
        <v>319</v>
      </c>
      <c r="IG817" s="9"/>
      <c r="II817" s="9"/>
      <c r="IJ817" s="9"/>
      <c r="IK817" s="9"/>
      <c r="IR817" s="9"/>
      <c r="JV817" s="7" t="s">
        <v>2412</v>
      </c>
      <c r="JW817" s="7" t="s">
        <v>2412</v>
      </c>
      <c r="JX817" s="7" t="s">
        <v>322</v>
      </c>
      <c r="JY817" s="7" t="s">
        <v>354</v>
      </c>
      <c r="JZ817" s="7" t="s">
        <v>320</v>
      </c>
      <c r="KG817" s="4" t="s">
        <v>323</v>
      </c>
      <c r="KM817" s="4" t="s">
        <v>702</v>
      </c>
      <c r="KN817" s="4" t="s">
        <v>702</v>
      </c>
      <c r="KP817" s="5" t="s">
        <v>358</v>
      </c>
      <c r="KQ817" s="5" t="s">
        <v>2413</v>
      </c>
      <c r="KR817" s="5" t="s">
        <v>2414</v>
      </c>
      <c r="KS817" s="5" t="s">
        <v>2414</v>
      </c>
      <c r="KT817" s="5" t="s">
        <v>2415</v>
      </c>
    </row>
    <row r="818" spans="1:306" ht="48" x14ac:dyDescent="0.25">
      <c r="A818" s="5" t="s">
        <v>3035</v>
      </c>
      <c r="B818" s="4" t="s">
        <v>397</v>
      </c>
      <c r="C818" s="7" t="s">
        <v>398</v>
      </c>
      <c r="D818" s="8" t="s">
        <v>1476</v>
      </c>
      <c r="E818" s="4">
        <v>333934</v>
      </c>
      <c r="G818" s="4" t="s">
        <v>330</v>
      </c>
      <c r="H818" s="6">
        <v>120.4823</v>
      </c>
      <c r="I818" s="6">
        <v>-32.1997</v>
      </c>
      <c r="J818" s="4" t="s">
        <v>3036</v>
      </c>
      <c r="K818" s="4" t="s">
        <v>331</v>
      </c>
      <c r="L818" s="4" t="s">
        <v>500</v>
      </c>
      <c r="M818" s="4" t="s">
        <v>676</v>
      </c>
      <c r="N818" s="4" t="s">
        <v>1811</v>
      </c>
      <c r="Q818" s="8"/>
      <c r="R818" s="7"/>
      <c r="Z818" s="4" t="s">
        <v>397</v>
      </c>
      <c r="AA818" s="7" t="s">
        <v>398</v>
      </c>
      <c r="AB818" s="8" t="s">
        <v>1476</v>
      </c>
      <c r="AC818" s="4" t="s">
        <v>301</v>
      </c>
      <c r="AD818" s="4" t="s">
        <v>302</v>
      </c>
      <c r="AE818" s="8">
        <v>2876</v>
      </c>
      <c r="AF818" s="7"/>
      <c r="AG818" s="9" t="s">
        <v>379</v>
      </c>
      <c r="AH818" s="9" t="s">
        <v>1156</v>
      </c>
      <c r="AM818" s="8">
        <v>3</v>
      </c>
      <c r="AS818" s="8"/>
      <c r="AT818" s="7"/>
      <c r="BG818" s="8"/>
      <c r="BH818" s="7"/>
      <c r="BP818" s="7">
        <v>1.5</v>
      </c>
      <c r="BQ818" s="9"/>
      <c r="CL818" s="7">
        <v>3.5</v>
      </c>
      <c r="DZ818" s="31"/>
      <c r="FA818" s="10">
        <f>BP818*CL818/100</f>
        <v>5.2499999999999998E-2</v>
      </c>
      <c r="GP818" s="32"/>
      <c r="GY818" s="6" t="s">
        <v>309</v>
      </c>
      <c r="GZ818" s="6" t="s">
        <v>928</v>
      </c>
      <c r="HC818" s="6" t="s">
        <v>1478</v>
      </c>
      <c r="HD818" s="8" t="s">
        <v>3037</v>
      </c>
      <c r="HE818" s="8">
        <v>75984</v>
      </c>
      <c r="HF818" s="8" t="s">
        <v>3038</v>
      </c>
      <c r="HG818" s="9" t="s">
        <v>507</v>
      </c>
      <c r="IB818" s="8" t="s">
        <v>3039</v>
      </c>
      <c r="IC818" s="8">
        <v>75984</v>
      </c>
      <c r="ID818" s="8" t="s">
        <v>3038</v>
      </c>
      <c r="IE818" s="9" t="s">
        <v>507</v>
      </c>
      <c r="IF818" s="9"/>
      <c r="IG818" s="9"/>
      <c r="II818" s="9"/>
      <c r="IJ818" s="9"/>
      <c r="IK818" s="9"/>
      <c r="IR818" s="9"/>
      <c r="JX818" s="7" t="s">
        <v>322</v>
      </c>
      <c r="KG818" s="4" t="s">
        <v>323</v>
      </c>
      <c r="KM818" s="4" t="s">
        <v>702</v>
      </c>
      <c r="KN818" s="4" t="s">
        <v>702</v>
      </c>
      <c r="KP818" s="5" t="s">
        <v>358</v>
      </c>
      <c r="KQ818" s="5" t="s">
        <v>3040</v>
      </c>
      <c r="KS818" s="5" t="s">
        <v>3041</v>
      </c>
      <c r="KT818" s="5" t="s">
        <v>3042</v>
      </c>
    </row>
    <row r="819" spans="1:306" ht="84" x14ac:dyDescent="0.25">
      <c r="A819" s="5" t="s">
        <v>3342</v>
      </c>
      <c r="B819" s="4" t="s">
        <v>397</v>
      </c>
      <c r="C819" s="7" t="s">
        <v>398</v>
      </c>
      <c r="D819" s="8" t="s">
        <v>1476</v>
      </c>
      <c r="E819" s="4">
        <v>340600</v>
      </c>
      <c r="G819" s="4" t="s">
        <v>330</v>
      </c>
      <c r="H819" s="6">
        <f>119+44/60</f>
        <v>119.73333333333333</v>
      </c>
      <c r="I819" s="6">
        <f>-(32+35/60)</f>
        <v>-32.583333333333336</v>
      </c>
      <c r="J819" s="4" t="s">
        <v>3343</v>
      </c>
      <c r="K819" s="4" t="s">
        <v>331</v>
      </c>
      <c r="L819" s="4" t="s">
        <v>500</v>
      </c>
      <c r="M819" s="4" t="s">
        <v>676</v>
      </c>
      <c r="N819" s="4" t="s">
        <v>1811</v>
      </c>
      <c r="Q819" s="8"/>
      <c r="R819" s="7"/>
      <c r="Z819" s="4" t="s">
        <v>397</v>
      </c>
      <c r="AA819" s="7" t="s">
        <v>398</v>
      </c>
      <c r="AB819" s="8" t="s">
        <v>1476</v>
      </c>
      <c r="AC819" s="4" t="s">
        <v>301</v>
      </c>
      <c r="AD819" s="4" t="s">
        <v>302</v>
      </c>
      <c r="AE819" s="8">
        <v>2876</v>
      </c>
      <c r="AF819" s="7"/>
      <c r="AG819" s="9" t="s">
        <v>379</v>
      </c>
      <c r="AH819" s="9" t="s">
        <v>380</v>
      </c>
      <c r="AM819" s="8">
        <v>3</v>
      </c>
      <c r="AS819" s="8"/>
      <c r="AT819" s="7"/>
      <c r="BG819" s="8"/>
      <c r="BH819" s="7"/>
      <c r="DZ819" s="31"/>
      <c r="FA819" s="9">
        <f>3.8*1.92/100+0.293+12.45*1.79/100</f>
        <v>0.58881499999999998</v>
      </c>
      <c r="GP819" s="32"/>
      <c r="GY819" s="31" t="s">
        <v>407</v>
      </c>
      <c r="GZ819" s="6" t="s">
        <v>928</v>
      </c>
      <c r="HC819" s="6" t="s">
        <v>1478</v>
      </c>
      <c r="HD819" s="8" t="s">
        <v>3344</v>
      </c>
      <c r="HE819" s="8">
        <v>34537</v>
      </c>
      <c r="HF819" s="8" t="s">
        <v>3345</v>
      </c>
      <c r="HG819" s="9" t="s">
        <v>507</v>
      </c>
      <c r="IB819" s="8" t="s">
        <v>3344</v>
      </c>
      <c r="IC819" s="8">
        <v>34537</v>
      </c>
      <c r="ID819" s="8" t="s">
        <v>3345</v>
      </c>
      <c r="IE819" s="9" t="s">
        <v>507</v>
      </c>
      <c r="IF819" s="9"/>
      <c r="IG819" s="9"/>
      <c r="II819" s="9"/>
      <c r="IJ819" s="9"/>
      <c r="IK819" s="9"/>
      <c r="IR819" s="9"/>
      <c r="JX819" s="7" t="s">
        <v>322</v>
      </c>
      <c r="JY819" s="7" t="s">
        <v>354</v>
      </c>
      <c r="JZ819" s="7" t="s">
        <v>320</v>
      </c>
      <c r="KG819" s="4" t="s">
        <v>323</v>
      </c>
      <c r="KM819" s="4" t="s">
        <v>1192</v>
      </c>
      <c r="KN819" s="4" t="s">
        <v>1192</v>
      </c>
      <c r="KP819" s="5" t="s">
        <v>3346</v>
      </c>
      <c r="KQ819" s="5" t="s">
        <v>3347</v>
      </c>
      <c r="KR819" s="5" t="s">
        <v>3348</v>
      </c>
      <c r="KS819" s="5" t="s">
        <v>3349</v>
      </c>
      <c r="KT819" s="5" t="s">
        <v>3350</v>
      </c>
    </row>
    <row r="820" spans="1:306" ht="48" x14ac:dyDescent="0.25">
      <c r="A820" s="5" t="s">
        <v>3542</v>
      </c>
      <c r="B820" s="4" t="s">
        <v>397</v>
      </c>
      <c r="C820" s="7" t="s">
        <v>398</v>
      </c>
      <c r="D820" s="8" t="s">
        <v>1476</v>
      </c>
      <c r="E820" s="4">
        <v>333787</v>
      </c>
      <c r="G820" s="4" t="s">
        <v>330</v>
      </c>
      <c r="H820" s="6">
        <v>121.86360000000001</v>
      </c>
      <c r="I820" s="6">
        <v>-31.0533</v>
      </c>
      <c r="J820" s="4" t="s">
        <v>3543</v>
      </c>
      <c r="K820" s="4" t="s">
        <v>331</v>
      </c>
      <c r="L820" s="4" t="s">
        <v>500</v>
      </c>
      <c r="M820" s="4" t="s">
        <v>501</v>
      </c>
      <c r="Q820" s="8"/>
      <c r="R820" s="8"/>
      <c r="S820" s="4"/>
      <c r="Z820" s="4" t="s">
        <v>397</v>
      </c>
      <c r="AA820" s="7" t="s">
        <v>398</v>
      </c>
      <c r="AB820" s="8" t="s">
        <v>1476</v>
      </c>
      <c r="AC820" s="4" t="s">
        <v>301</v>
      </c>
      <c r="AD820" s="4" t="s">
        <v>302</v>
      </c>
      <c r="AE820" s="8">
        <v>2706</v>
      </c>
      <c r="AF820" s="8"/>
      <c r="AG820" s="4" t="s">
        <v>379</v>
      </c>
      <c r="AH820" s="9" t="s">
        <v>1156</v>
      </c>
      <c r="AM820" s="8">
        <v>3</v>
      </c>
      <c r="AS820" s="8"/>
      <c r="AT820" s="8"/>
      <c r="AU820" s="4"/>
      <c r="BG820" s="8"/>
      <c r="BH820" s="8"/>
      <c r="BI820" s="4"/>
      <c r="BP820" s="7">
        <f>1.7+0.392</f>
        <v>2.0920000000000001</v>
      </c>
      <c r="CL820" s="7">
        <f>(3.3*1.7+3.78*0.392)/(1.7+0.392)</f>
        <v>3.3899426386233262</v>
      </c>
      <c r="DZ820" s="31"/>
      <c r="FA820" s="9">
        <f t="shared" ref="FA820:FA832" si="27">BP820*CL820/100</f>
        <v>7.0917599999999983E-2</v>
      </c>
      <c r="GP820" s="32"/>
      <c r="GY820" s="6" t="s">
        <v>435</v>
      </c>
      <c r="GZ820" s="6" t="s">
        <v>928</v>
      </c>
      <c r="HC820" s="6" t="s">
        <v>1478</v>
      </c>
      <c r="HD820" s="8" t="s">
        <v>3544</v>
      </c>
      <c r="HE820" s="8">
        <v>9165</v>
      </c>
      <c r="HF820" s="8" t="s">
        <v>3545</v>
      </c>
      <c r="HG820" s="9" t="s">
        <v>507</v>
      </c>
      <c r="IB820" s="8" t="s">
        <v>3544</v>
      </c>
      <c r="IC820" s="8">
        <v>9165</v>
      </c>
      <c r="ID820" s="8" t="s">
        <v>3545</v>
      </c>
      <c r="IE820" s="9" t="s">
        <v>507</v>
      </c>
      <c r="IF820" s="9"/>
      <c r="IG820" s="9"/>
      <c r="II820" s="9"/>
      <c r="IJ820" s="9"/>
      <c r="IK820" s="9"/>
      <c r="IR820" s="9"/>
      <c r="KG820" s="4" t="s">
        <v>323</v>
      </c>
      <c r="KP820" s="5" t="s">
        <v>358</v>
      </c>
      <c r="KQ820" s="5" t="s">
        <v>3546</v>
      </c>
      <c r="KS820" s="5" t="s">
        <v>3547</v>
      </c>
      <c r="KT820" s="5" t="s">
        <v>3548</v>
      </c>
    </row>
    <row r="821" spans="1:306" ht="60" x14ac:dyDescent="0.25">
      <c r="A821" s="5" t="s">
        <v>4123</v>
      </c>
      <c r="B821" s="4" t="s">
        <v>397</v>
      </c>
      <c r="C821" s="7" t="s">
        <v>398</v>
      </c>
      <c r="D821" s="8" t="s">
        <v>1476</v>
      </c>
      <c r="E821" s="4">
        <v>335749</v>
      </c>
      <c r="G821" s="4" t="s">
        <v>330</v>
      </c>
      <c r="H821" s="6">
        <v>120.379</v>
      </c>
      <c r="I821" s="6">
        <v>-26.920400000000001</v>
      </c>
      <c r="J821" s="4" t="s">
        <v>2222</v>
      </c>
      <c r="K821" s="4" t="s">
        <v>331</v>
      </c>
      <c r="L821" s="4" t="s">
        <v>500</v>
      </c>
      <c r="M821" s="4" t="s">
        <v>501</v>
      </c>
      <c r="Q821" s="8"/>
      <c r="R821" s="8"/>
      <c r="Z821" s="4" t="s">
        <v>397</v>
      </c>
      <c r="AA821" s="7" t="s">
        <v>398</v>
      </c>
      <c r="AB821" s="8" t="s">
        <v>1476</v>
      </c>
      <c r="AC821" s="4" t="s">
        <v>301</v>
      </c>
      <c r="AD821" s="4" t="s">
        <v>302</v>
      </c>
      <c r="AE821" s="8">
        <v>2705</v>
      </c>
      <c r="AF821" s="8">
        <v>4</v>
      </c>
      <c r="AG821" s="9" t="s">
        <v>379</v>
      </c>
      <c r="AH821" s="9" t="s">
        <v>372</v>
      </c>
      <c r="AI821" s="9" t="s">
        <v>373</v>
      </c>
      <c r="AJ821" s="9" t="s">
        <v>306</v>
      </c>
      <c r="AK821" s="9" t="s">
        <v>307</v>
      </c>
      <c r="AL821" s="9" t="s">
        <v>337</v>
      </c>
      <c r="AM821" s="8">
        <v>4</v>
      </c>
      <c r="AS821" s="8"/>
      <c r="AT821" s="8"/>
      <c r="BG821" s="8"/>
      <c r="BH821" s="8"/>
      <c r="BP821" s="7">
        <v>155.5</v>
      </c>
      <c r="BQ821" s="7"/>
      <c r="CL821" s="6">
        <v>0.71</v>
      </c>
      <c r="DZ821" s="31"/>
      <c r="FA821" s="10">
        <f t="shared" si="27"/>
        <v>1.10405</v>
      </c>
      <c r="GP821" s="32"/>
      <c r="GY821" s="6" t="s">
        <v>309</v>
      </c>
      <c r="GZ821" s="6" t="s">
        <v>928</v>
      </c>
      <c r="HC821" s="6" t="s">
        <v>1478</v>
      </c>
      <c r="HD821" s="8" t="s">
        <v>4124</v>
      </c>
      <c r="HE821" s="8">
        <v>37897</v>
      </c>
      <c r="HF821" s="8" t="s">
        <v>4125</v>
      </c>
      <c r="HG821" s="9" t="s">
        <v>507</v>
      </c>
      <c r="IB821" s="8" t="s">
        <v>4124</v>
      </c>
      <c r="IC821" s="8">
        <v>37897</v>
      </c>
      <c r="ID821" s="8" t="s">
        <v>4125</v>
      </c>
      <c r="IE821" s="9" t="s">
        <v>507</v>
      </c>
      <c r="IF821" s="9" t="s">
        <v>319</v>
      </c>
      <c r="IG821" s="9"/>
      <c r="II821" s="9"/>
      <c r="IJ821" s="9"/>
      <c r="IK821" s="9"/>
      <c r="IR821" s="9"/>
      <c r="JV821" s="7" t="s">
        <v>4126</v>
      </c>
      <c r="JW821" s="7" t="s">
        <v>1491</v>
      </c>
      <c r="JX821" s="7" t="s">
        <v>322</v>
      </c>
      <c r="JY821" s="7" t="s">
        <v>354</v>
      </c>
      <c r="JZ821" s="7" t="s">
        <v>320</v>
      </c>
      <c r="KG821" s="4" t="s">
        <v>323</v>
      </c>
      <c r="KM821" s="4" t="s">
        <v>391</v>
      </c>
      <c r="KN821" s="4" t="s">
        <v>391</v>
      </c>
      <c r="KP821" s="5" t="s">
        <v>358</v>
      </c>
      <c r="KQ821" s="5" t="s">
        <v>4127</v>
      </c>
      <c r="KR821" s="5" t="s">
        <v>2227</v>
      </c>
      <c r="KS821" s="5" t="s">
        <v>4128</v>
      </c>
      <c r="KT821" s="5" t="s">
        <v>4129</v>
      </c>
    </row>
    <row r="822" spans="1:306" ht="108" x14ac:dyDescent="0.25">
      <c r="A822" s="5" t="s">
        <v>4452</v>
      </c>
      <c r="B822" s="4" t="s">
        <v>397</v>
      </c>
      <c r="C822" s="7" t="s">
        <v>398</v>
      </c>
      <c r="D822" s="8" t="s">
        <v>1476</v>
      </c>
      <c r="E822" s="4">
        <v>333868</v>
      </c>
      <c r="G822" s="4" t="s">
        <v>330</v>
      </c>
      <c r="H822" s="6">
        <v>121.6506</v>
      </c>
      <c r="I822" s="6">
        <v>-31.178999999999998</v>
      </c>
      <c r="J822" s="4" t="s">
        <v>3543</v>
      </c>
      <c r="K822" s="4" t="s">
        <v>331</v>
      </c>
      <c r="L822" s="4" t="s">
        <v>500</v>
      </c>
      <c r="M822" s="4" t="s">
        <v>501</v>
      </c>
      <c r="Q822" s="8"/>
      <c r="R822" s="8"/>
      <c r="S822" s="4"/>
      <c r="Z822" s="4" t="s">
        <v>397</v>
      </c>
      <c r="AA822" s="7" t="s">
        <v>398</v>
      </c>
      <c r="AB822" s="8" t="s">
        <v>1476</v>
      </c>
      <c r="AC822" s="4" t="s">
        <v>301</v>
      </c>
      <c r="AD822" s="4" t="s">
        <v>302</v>
      </c>
      <c r="AE822" s="8">
        <v>2706</v>
      </c>
      <c r="AF822" s="8">
        <v>36</v>
      </c>
      <c r="AG822" s="4" t="s">
        <v>303</v>
      </c>
      <c r="AH822" s="9" t="s">
        <v>304</v>
      </c>
      <c r="AI822" s="9" t="s">
        <v>598</v>
      </c>
      <c r="AJ822" s="9" t="s">
        <v>599</v>
      </c>
      <c r="AK822" s="9" t="s">
        <v>1081</v>
      </c>
      <c r="AM822" s="8">
        <v>4</v>
      </c>
      <c r="AS822" s="8"/>
      <c r="AT822" s="8"/>
      <c r="AU822" s="4"/>
      <c r="BG822" s="8"/>
      <c r="BH822" s="8"/>
      <c r="BI822" s="4"/>
      <c r="BP822" s="7">
        <v>9.6590000000000007</v>
      </c>
      <c r="CL822" s="7">
        <v>3.8967287784679092</v>
      </c>
      <c r="DZ822" s="31"/>
      <c r="FA822" s="10">
        <f t="shared" si="27"/>
        <v>0.37638503271221535</v>
      </c>
      <c r="GP822" s="32"/>
      <c r="GY822" s="31" t="s">
        <v>407</v>
      </c>
      <c r="GZ822" s="6" t="s">
        <v>928</v>
      </c>
      <c r="HC822" s="6" t="s">
        <v>1478</v>
      </c>
      <c r="HD822" s="8" t="s">
        <v>4453</v>
      </c>
      <c r="HE822" s="8">
        <v>23972</v>
      </c>
      <c r="HF822" s="8" t="s">
        <v>4454</v>
      </c>
      <c r="HG822" s="9" t="s">
        <v>507</v>
      </c>
      <c r="IB822" s="8" t="s">
        <v>4453</v>
      </c>
      <c r="IC822" s="8">
        <v>23972</v>
      </c>
      <c r="ID822" s="8" t="s">
        <v>4454</v>
      </c>
      <c r="IE822" s="9" t="s">
        <v>507</v>
      </c>
      <c r="IF822" s="9" t="s">
        <v>319</v>
      </c>
      <c r="IG822" s="9"/>
      <c r="II822" s="9"/>
      <c r="IJ822" s="9"/>
      <c r="IK822" s="9"/>
      <c r="IR822" s="9"/>
      <c r="JX822" s="7" t="s">
        <v>322</v>
      </c>
      <c r="JY822" s="7" t="s">
        <v>448</v>
      </c>
      <c r="JZ822" s="7" t="s">
        <v>320</v>
      </c>
      <c r="KA822" s="7" t="s">
        <v>354</v>
      </c>
      <c r="KB822" s="7" t="s">
        <v>353</v>
      </c>
      <c r="KG822" s="4" t="s">
        <v>323</v>
      </c>
      <c r="KM822" s="4" t="s">
        <v>521</v>
      </c>
      <c r="KN822" s="4" t="s">
        <v>522</v>
      </c>
      <c r="KP822" s="5" t="s">
        <v>358</v>
      </c>
      <c r="KQ822" s="5" t="s">
        <v>4455</v>
      </c>
      <c r="KR822" s="5" t="s">
        <v>4456</v>
      </c>
      <c r="KS822" s="5" t="s">
        <v>4457</v>
      </c>
      <c r="KT822" s="5" t="s">
        <v>4458</v>
      </c>
    </row>
    <row r="823" spans="1:306" ht="132" x14ac:dyDescent="0.25">
      <c r="A823" s="5" t="s">
        <v>4932</v>
      </c>
      <c r="B823" s="4" t="s">
        <v>397</v>
      </c>
      <c r="C823" s="7" t="s">
        <v>398</v>
      </c>
      <c r="D823" s="8" t="s">
        <v>1476</v>
      </c>
      <c r="E823" s="4">
        <v>335313</v>
      </c>
      <c r="G823" s="4" t="s">
        <v>330</v>
      </c>
      <c r="H823" s="6">
        <v>120.5059</v>
      </c>
      <c r="I823" s="6">
        <v>-32.232399999999998</v>
      </c>
      <c r="J823" s="4" t="s">
        <v>3036</v>
      </c>
      <c r="K823" s="4" t="s">
        <v>331</v>
      </c>
      <c r="L823" s="4" t="s">
        <v>500</v>
      </c>
      <c r="M823" s="4" t="s">
        <v>676</v>
      </c>
      <c r="N823" s="4" t="s">
        <v>1811</v>
      </c>
      <c r="Q823" s="8"/>
      <c r="R823" s="8"/>
      <c r="Z823" s="4" t="s">
        <v>397</v>
      </c>
      <c r="AA823" s="7" t="s">
        <v>398</v>
      </c>
      <c r="AB823" s="8" t="s">
        <v>1476</v>
      </c>
      <c r="AC823" s="4" t="s">
        <v>301</v>
      </c>
      <c r="AD823" s="4" t="s">
        <v>302</v>
      </c>
      <c r="AE823" s="8">
        <v>2876</v>
      </c>
      <c r="AF823" s="8">
        <v>3</v>
      </c>
      <c r="AG823" s="9" t="s">
        <v>379</v>
      </c>
      <c r="AH823" s="9" t="s">
        <v>460</v>
      </c>
      <c r="AM823" s="8">
        <v>4</v>
      </c>
      <c r="AS823" s="8"/>
      <c r="AT823" s="8"/>
      <c r="BG823" s="8"/>
      <c r="BH823" s="8"/>
      <c r="BP823" s="7">
        <f>10+3.5</f>
        <v>13.5</v>
      </c>
      <c r="BQ823" s="8"/>
      <c r="CL823" s="6">
        <f>(0.6*10+3.5*1.49)/(10+3.5)</f>
        <v>0.83074074074074078</v>
      </c>
      <c r="DZ823" s="31"/>
      <c r="FA823" s="6">
        <f t="shared" si="27"/>
        <v>0.11215</v>
      </c>
      <c r="GP823" s="32"/>
      <c r="GY823" s="31" t="s">
        <v>407</v>
      </c>
      <c r="GZ823" s="6" t="s">
        <v>928</v>
      </c>
      <c r="HC823" s="6" t="s">
        <v>1478</v>
      </c>
      <c r="HD823" s="8" t="s">
        <v>3037</v>
      </c>
      <c r="HE823" s="8">
        <v>75984</v>
      </c>
      <c r="HF823" s="8" t="s">
        <v>3038</v>
      </c>
      <c r="HG823" s="9" t="s">
        <v>507</v>
      </c>
      <c r="IB823" s="8" t="s">
        <v>4933</v>
      </c>
      <c r="IC823" s="8">
        <v>75984</v>
      </c>
      <c r="ID823" s="8" t="s">
        <v>3038</v>
      </c>
      <c r="IE823" s="9" t="s">
        <v>507</v>
      </c>
      <c r="IF823" s="9" t="s">
        <v>319</v>
      </c>
      <c r="IG823" s="9"/>
      <c r="II823" s="9"/>
      <c r="IJ823" s="9"/>
      <c r="IK823" s="9"/>
      <c r="IR823" s="9"/>
      <c r="JV823" s="7" t="s">
        <v>4934</v>
      </c>
      <c r="JW823" s="7" t="s">
        <v>2412</v>
      </c>
      <c r="JX823" s="7" t="s">
        <v>322</v>
      </c>
      <c r="JY823" s="7" t="s">
        <v>354</v>
      </c>
      <c r="JZ823" s="7" t="s">
        <v>320</v>
      </c>
      <c r="KG823" s="4" t="s">
        <v>323</v>
      </c>
      <c r="KM823" s="4" t="s">
        <v>702</v>
      </c>
      <c r="KN823" s="4" t="s">
        <v>702</v>
      </c>
      <c r="KP823" s="5" t="s">
        <v>358</v>
      </c>
      <c r="KQ823" s="5" t="s">
        <v>3040</v>
      </c>
      <c r="KR823" s="5" t="s">
        <v>4935</v>
      </c>
      <c r="KS823" s="5" t="s">
        <v>4936</v>
      </c>
      <c r="KT823" s="5" t="s">
        <v>4937</v>
      </c>
    </row>
    <row r="824" spans="1:306" ht="96" x14ac:dyDescent="0.25">
      <c r="A824" s="5" t="s">
        <v>2222</v>
      </c>
      <c r="B824" s="4" t="s">
        <v>397</v>
      </c>
      <c r="C824" s="7" t="s">
        <v>398</v>
      </c>
      <c r="D824" s="8" t="s">
        <v>1476</v>
      </c>
      <c r="E824" s="4">
        <v>336234</v>
      </c>
      <c r="G824" s="4" t="s">
        <v>330</v>
      </c>
      <c r="H824" s="6">
        <v>120.54170000000001</v>
      </c>
      <c r="I824" s="6">
        <v>-27.229600000000001</v>
      </c>
      <c r="J824" s="4" t="s">
        <v>2222</v>
      </c>
      <c r="K824" s="4" t="s">
        <v>331</v>
      </c>
      <c r="L824" s="4" t="s">
        <v>500</v>
      </c>
      <c r="M824" s="4" t="s">
        <v>501</v>
      </c>
      <c r="Q824" s="8"/>
      <c r="R824" s="8"/>
      <c r="Z824" s="4" t="s">
        <v>397</v>
      </c>
      <c r="AA824" s="7" t="s">
        <v>398</v>
      </c>
      <c r="AB824" s="8" t="s">
        <v>1476</v>
      </c>
      <c r="AC824" s="4" t="s">
        <v>301</v>
      </c>
      <c r="AD824" s="4" t="s">
        <v>302</v>
      </c>
      <c r="AE824" s="8">
        <v>2710</v>
      </c>
      <c r="AF824" s="8">
        <v>10</v>
      </c>
      <c r="AG824" s="9" t="s">
        <v>379</v>
      </c>
      <c r="AH824" s="9" t="s">
        <v>460</v>
      </c>
      <c r="AM824" s="8">
        <v>4</v>
      </c>
      <c r="AS824" s="8"/>
      <c r="AT824" s="8"/>
      <c r="BG824" s="8"/>
      <c r="BH824" s="8"/>
      <c r="BP824" s="7">
        <v>301</v>
      </c>
      <c r="BQ824" s="8"/>
      <c r="CL824" s="6">
        <v>0.52</v>
      </c>
      <c r="DZ824" s="31"/>
      <c r="FA824" s="10">
        <f t="shared" si="27"/>
        <v>1.5652000000000001</v>
      </c>
      <c r="GP824" s="32"/>
      <c r="GY824" s="31" t="s">
        <v>407</v>
      </c>
      <c r="GZ824" s="6" t="s">
        <v>928</v>
      </c>
      <c r="HC824" s="6" t="s">
        <v>1478</v>
      </c>
      <c r="HD824" s="8" t="s">
        <v>5710</v>
      </c>
      <c r="HE824" s="8">
        <v>75824</v>
      </c>
      <c r="HF824" s="8" t="s">
        <v>5711</v>
      </c>
      <c r="HG824" s="9" t="s">
        <v>507</v>
      </c>
      <c r="IB824" s="8" t="s">
        <v>5710</v>
      </c>
      <c r="IC824" s="8">
        <v>75824</v>
      </c>
      <c r="ID824" s="8" t="s">
        <v>5711</v>
      </c>
      <c r="IE824" s="9" t="s">
        <v>507</v>
      </c>
      <c r="IF824" s="9" t="s">
        <v>319</v>
      </c>
      <c r="IG824" s="9"/>
      <c r="II824" s="9"/>
      <c r="IJ824" s="9"/>
      <c r="IK824" s="9"/>
      <c r="IR824" s="9"/>
      <c r="JV824" s="7" t="s">
        <v>1491</v>
      </c>
      <c r="JW824" s="7" t="s">
        <v>1491</v>
      </c>
      <c r="JX824" s="7" t="s">
        <v>322</v>
      </c>
      <c r="JY824" s="7" t="s">
        <v>354</v>
      </c>
      <c r="JZ824" s="7" t="s">
        <v>353</v>
      </c>
      <c r="KG824" s="4" t="s">
        <v>323</v>
      </c>
      <c r="KM824" s="4" t="s">
        <v>542</v>
      </c>
      <c r="KN824" s="4" t="s">
        <v>542</v>
      </c>
      <c r="KP824" s="5" t="s">
        <v>358</v>
      </c>
      <c r="KQ824" s="5" t="s">
        <v>5712</v>
      </c>
      <c r="KR824" s="5" t="s">
        <v>5713</v>
      </c>
      <c r="KS824" s="5" t="s">
        <v>5714</v>
      </c>
      <c r="KT824" s="5" t="s">
        <v>5715</v>
      </c>
    </row>
    <row r="825" spans="1:306" ht="144" x14ac:dyDescent="0.25">
      <c r="A825" s="5" t="s">
        <v>5998</v>
      </c>
      <c r="B825" s="4" t="s">
        <v>397</v>
      </c>
      <c r="C825" s="7" t="s">
        <v>398</v>
      </c>
      <c r="D825" s="8" t="s">
        <v>1476</v>
      </c>
      <c r="E825" s="4">
        <v>334464</v>
      </c>
      <c r="G825" s="4" t="s">
        <v>330</v>
      </c>
      <c r="H825" s="6">
        <v>122.233</v>
      </c>
      <c r="I825" s="6">
        <v>-28.485199999999999</v>
      </c>
      <c r="J825" s="4" t="s">
        <v>5999</v>
      </c>
      <c r="K825" s="4" t="s">
        <v>331</v>
      </c>
      <c r="L825" s="4" t="s">
        <v>500</v>
      </c>
      <c r="M825" s="4" t="s">
        <v>501</v>
      </c>
      <c r="Q825" s="8"/>
      <c r="R825" s="8"/>
      <c r="Z825" s="4" t="s">
        <v>397</v>
      </c>
      <c r="AA825" s="7" t="s">
        <v>398</v>
      </c>
      <c r="AB825" s="8" t="s">
        <v>1476</v>
      </c>
      <c r="AC825" s="4" t="s">
        <v>301</v>
      </c>
      <c r="AD825" s="4" t="s">
        <v>302</v>
      </c>
      <c r="AE825" s="8">
        <v>2808</v>
      </c>
      <c r="AF825" s="8">
        <v>8</v>
      </c>
      <c r="AG825" s="9" t="s">
        <v>379</v>
      </c>
      <c r="AH825" s="9" t="s">
        <v>372</v>
      </c>
      <c r="AI825" s="9" t="s">
        <v>373</v>
      </c>
      <c r="AJ825" s="9" t="s">
        <v>306</v>
      </c>
      <c r="AK825" s="9" t="s">
        <v>307</v>
      </c>
      <c r="AL825" s="9" t="s">
        <v>337</v>
      </c>
      <c r="AM825" s="8">
        <v>4</v>
      </c>
      <c r="AS825" s="8"/>
      <c r="AT825" s="8"/>
      <c r="BG825" s="8"/>
      <c r="BH825" s="8"/>
      <c r="BP825" s="7">
        <f>7.723+2.109+0.268+4.358+0.772+4.551</f>
        <v>19.781000000000002</v>
      </c>
      <c r="CL825" s="6">
        <f>(1.69*7.723+1.42*2.109+1.22*0.268+1.64*4.358+0.98*0.772+1.51*4.551)/(7.723+2.109+0.268+4.358+0.772+4.551)</f>
        <v>1.5747080531823465</v>
      </c>
      <c r="DZ825" s="31"/>
      <c r="FA825" s="10">
        <f t="shared" si="27"/>
        <v>0.31149300000000002</v>
      </c>
      <c r="GP825" s="32"/>
      <c r="GY825" s="6" t="s">
        <v>435</v>
      </c>
      <c r="GZ825" s="6" t="s">
        <v>928</v>
      </c>
      <c r="HC825" s="6" t="s">
        <v>1478</v>
      </c>
      <c r="HD825" s="8" t="s">
        <v>6000</v>
      </c>
      <c r="HF825" s="8" t="s">
        <v>6001</v>
      </c>
      <c r="HG825" s="9" t="s">
        <v>876</v>
      </c>
      <c r="IB825" s="8" t="s">
        <v>6000</v>
      </c>
      <c r="ID825" s="8" t="s">
        <v>6001</v>
      </c>
      <c r="IE825" s="9" t="s">
        <v>876</v>
      </c>
      <c r="IF825" s="9" t="s">
        <v>319</v>
      </c>
      <c r="IG825" s="9"/>
      <c r="II825" s="9"/>
      <c r="IJ825" s="9"/>
      <c r="IK825" s="9"/>
      <c r="IR825" s="9"/>
      <c r="JX825" s="7" t="s">
        <v>322</v>
      </c>
      <c r="JY825" s="7" t="s">
        <v>354</v>
      </c>
      <c r="JZ825" s="7" t="s">
        <v>320</v>
      </c>
      <c r="KG825" s="4" t="s">
        <v>323</v>
      </c>
      <c r="KM825" s="4" t="s">
        <v>702</v>
      </c>
      <c r="KN825" s="4" t="s">
        <v>702</v>
      </c>
      <c r="KP825" s="5" t="s">
        <v>358</v>
      </c>
      <c r="KQ825" s="5" t="s">
        <v>6002</v>
      </c>
      <c r="KR825" s="5" t="s">
        <v>1482</v>
      </c>
      <c r="KS825" s="18" t="s">
        <v>6003</v>
      </c>
      <c r="KT825" s="5" t="s">
        <v>6004</v>
      </c>
    </row>
    <row r="826" spans="1:306" ht="60" x14ac:dyDescent="0.25">
      <c r="A826" s="5" t="s">
        <v>6608</v>
      </c>
      <c r="B826" s="4" t="s">
        <v>397</v>
      </c>
      <c r="C826" s="7" t="s">
        <v>398</v>
      </c>
      <c r="D826" s="8" t="s">
        <v>1476</v>
      </c>
      <c r="E826" s="4">
        <v>334058</v>
      </c>
      <c r="G826" s="4" t="s">
        <v>330</v>
      </c>
      <c r="H826" s="6">
        <v>120.6927</v>
      </c>
      <c r="I826" s="6">
        <v>-27.788900000000002</v>
      </c>
      <c r="J826" s="4" t="s">
        <v>2222</v>
      </c>
      <c r="K826" s="4" t="s">
        <v>331</v>
      </c>
      <c r="L826" s="4" t="s">
        <v>500</v>
      </c>
      <c r="M826" s="4" t="s">
        <v>501</v>
      </c>
      <c r="Q826" s="7"/>
      <c r="R826" s="7"/>
      <c r="Z826" s="4" t="s">
        <v>397</v>
      </c>
      <c r="AA826" s="7" t="s">
        <v>398</v>
      </c>
      <c r="AB826" s="8" t="s">
        <v>1476</v>
      </c>
      <c r="AC826" s="4" t="s">
        <v>301</v>
      </c>
      <c r="AD826" s="4" t="s">
        <v>302</v>
      </c>
      <c r="AE826" s="7">
        <v>2711</v>
      </c>
      <c r="AF826" s="7">
        <v>2</v>
      </c>
      <c r="AG826" s="9" t="s">
        <v>379</v>
      </c>
      <c r="AH826" s="9" t="s">
        <v>372</v>
      </c>
      <c r="AI826" s="9" t="s">
        <v>373</v>
      </c>
      <c r="AJ826" s="9" t="s">
        <v>306</v>
      </c>
      <c r="AK826" s="9" t="s">
        <v>307</v>
      </c>
      <c r="AL826" s="9" t="s">
        <v>337</v>
      </c>
      <c r="AM826" s="8">
        <v>4</v>
      </c>
      <c r="AS826" s="7"/>
      <c r="AT826" s="7"/>
      <c r="BG826" s="7"/>
      <c r="BH826" s="7"/>
      <c r="BP826" s="7">
        <v>62.75</v>
      </c>
      <c r="CL826" s="6">
        <v>2.2199681274900396</v>
      </c>
      <c r="DZ826" s="31"/>
      <c r="FA826" s="10">
        <f t="shared" si="27"/>
        <v>1.39303</v>
      </c>
      <c r="GP826" s="32"/>
      <c r="GY826" s="6" t="s">
        <v>435</v>
      </c>
      <c r="GZ826" s="6" t="s">
        <v>928</v>
      </c>
      <c r="HC826" s="6" t="s">
        <v>1478</v>
      </c>
      <c r="HD826" s="8" t="s">
        <v>6609</v>
      </c>
      <c r="HE826" s="8">
        <v>38554</v>
      </c>
      <c r="HF826" s="8" t="s">
        <v>6610</v>
      </c>
      <c r="HG826" s="9" t="s">
        <v>507</v>
      </c>
      <c r="IB826" s="8" t="s">
        <v>6609</v>
      </c>
      <c r="IC826" s="8">
        <v>38554</v>
      </c>
      <c r="ID826" s="8" t="s">
        <v>6610</v>
      </c>
      <c r="IE826" s="9" t="s">
        <v>507</v>
      </c>
      <c r="IF826" s="9" t="s">
        <v>319</v>
      </c>
      <c r="IG826" s="9"/>
      <c r="II826" s="9"/>
      <c r="IJ826" s="9"/>
      <c r="IK826" s="9"/>
      <c r="IR826" s="9"/>
      <c r="JV826" s="7" t="s">
        <v>1491</v>
      </c>
      <c r="JW826" s="7" t="s">
        <v>1491</v>
      </c>
      <c r="JX826" s="7" t="s">
        <v>322</v>
      </c>
      <c r="KG826" s="4" t="s">
        <v>323</v>
      </c>
      <c r="KM826" s="4" t="s">
        <v>522</v>
      </c>
      <c r="KN826" s="4" t="s">
        <v>522</v>
      </c>
      <c r="KP826" s="5" t="s">
        <v>358</v>
      </c>
      <c r="KQ826" s="5" t="s">
        <v>6611</v>
      </c>
      <c r="KR826" s="5" t="s">
        <v>6612</v>
      </c>
      <c r="KS826" s="5" t="s">
        <v>5714</v>
      </c>
      <c r="KT826" s="5" t="s">
        <v>6613</v>
      </c>
    </row>
    <row r="827" spans="1:306" ht="48" x14ac:dyDescent="0.25">
      <c r="A827" s="5" t="s">
        <v>6959</v>
      </c>
      <c r="B827" s="4" t="s">
        <v>397</v>
      </c>
      <c r="C827" s="7" t="s">
        <v>398</v>
      </c>
      <c r="D827" s="8" t="s">
        <v>1476</v>
      </c>
      <c r="E827" s="4">
        <v>337206</v>
      </c>
      <c r="G827" s="4" t="s">
        <v>330</v>
      </c>
      <c r="H827" s="6">
        <v>120.69849000000001</v>
      </c>
      <c r="I827" s="6">
        <v>-27.794450000000001</v>
      </c>
      <c r="J827" s="4" t="s">
        <v>2222</v>
      </c>
      <c r="K827" s="4" t="s">
        <v>331</v>
      </c>
      <c r="L827" s="4" t="s">
        <v>500</v>
      </c>
      <c r="M827" s="4" t="s">
        <v>501</v>
      </c>
      <c r="Q827" s="8"/>
      <c r="R827" s="8"/>
      <c r="Z827" s="4" t="s">
        <v>397</v>
      </c>
      <c r="AA827" s="7" t="s">
        <v>398</v>
      </c>
      <c r="AB827" s="8" t="s">
        <v>1476</v>
      </c>
      <c r="AC827" s="4" t="s">
        <v>301</v>
      </c>
      <c r="AD827" s="4" t="s">
        <v>302</v>
      </c>
      <c r="AE827" s="8">
        <v>2711</v>
      </c>
      <c r="AF827" s="8"/>
      <c r="AG827" s="9" t="s">
        <v>379</v>
      </c>
      <c r="AH827" s="9" t="s">
        <v>1156</v>
      </c>
      <c r="AM827" s="8">
        <v>3</v>
      </c>
      <c r="AS827" s="8"/>
      <c r="AT827" s="8"/>
      <c r="BG827" s="8"/>
      <c r="BH827" s="8"/>
      <c r="BP827" s="7">
        <v>18.43</v>
      </c>
      <c r="CL827" s="6">
        <v>1.93</v>
      </c>
      <c r="DZ827" s="31"/>
      <c r="FA827" s="10">
        <f t="shared" si="27"/>
        <v>0.35569899999999999</v>
      </c>
      <c r="GP827" s="32"/>
      <c r="GY827" s="31" t="s">
        <v>407</v>
      </c>
      <c r="GZ827" s="6" t="s">
        <v>928</v>
      </c>
      <c r="HC827" s="6" t="s">
        <v>1478</v>
      </c>
      <c r="HD827" s="8" t="s">
        <v>6960</v>
      </c>
      <c r="HE827" s="8">
        <v>38989</v>
      </c>
      <c r="HF827" s="8" t="s">
        <v>6961</v>
      </c>
      <c r="HG827" s="9" t="s">
        <v>507</v>
      </c>
      <c r="IB827" s="8" t="s">
        <v>6960</v>
      </c>
      <c r="IC827" s="8">
        <v>38989</v>
      </c>
      <c r="ID827" s="8" t="s">
        <v>6961</v>
      </c>
      <c r="IE827" s="9" t="s">
        <v>507</v>
      </c>
      <c r="IF827" s="9"/>
      <c r="IG827" s="9"/>
      <c r="II827" s="9"/>
      <c r="IJ827" s="9"/>
      <c r="IK827" s="9"/>
      <c r="IR827" s="9"/>
      <c r="JV827" s="7" t="s">
        <v>1491</v>
      </c>
      <c r="JW827" s="7" t="s">
        <v>1491</v>
      </c>
      <c r="JX827" s="7" t="s">
        <v>322</v>
      </c>
      <c r="KG827" s="4" t="s">
        <v>323</v>
      </c>
      <c r="KM827" s="4" t="s">
        <v>522</v>
      </c>
      <c r="KN827" s="4" t="s">
        <v>522</v>
      </c>
      <c r="KP827" s="18" t="s">
        <v>6962</v>
      </c>
      <c r="KQ827" s="5" t="s">
        <v>6963</v>
      </c>
      <c r="KS827" s="5" t="s">
        <v>5714</v>
      </c>
      <c r="KT827" s="5" t="s">
        <v>6964</v>
      </c>
    </row>
    <row r="828" spans="1:306" ht="72" x14ac:dyDescent="0.25">
      <c r="A828" s="5" t="s">
        <v>7035</v>
      </c>
      <c r="B828" s="4" t="s">
        <v>397</v>
      </c>
      <c r="C828" s="7" t="s">
        <v>398</v>
      </c>
      <c r="D828" s="8" t="s">
        <v>1476</v>
      </c>
      <c r="E828" s="4">
        <v>335166</v>
      </c>
      <c r="G828" s="4" t="s">
        <v>330</v>
      </c>
      <c r="H828" s="6">
        <v>116.8655</v>
      </c>
      <c r="I828" s="6">
        <v>-20.868400000000001</v>
      </c>
      <c r="J828" s="4" t="s">
        <v>7035</v>
      </c>
      <c r="K828" s="4" t="s">
        <v>331</v>
      </c>
      <c r="L828" s="4" t="s">
        <v>368</v>
      </c>
      <c r="M828" s="4" t="s">
        <v>666</v>
      </c>
      <c r="Q828" s="8"/>
      <c r="R828" s="8"/>
      <c r="Z828" s="4" t="s">
        <v>397</v>
      </c>
      <c r="AA828" s="7" t="s">
        <v>398</v>
      </c>
      <c r="AB828" s="8" t="s">
        <v>1476</v>
      </c>
      <c r="AC828" s="4" t="s">
        <v>301</v>
      </c>
      <c r="AD828" s="4" t="s">
        <v>302</v>
      </c>
      <c r="AE828" s="8">
        <v>3280</v>
      </c>
      <c r="AF828" s="8">
        <v>2</v>
      </c>
      <c r="AG828" s="9" t="s">
        <v>379</v>
      </c>
      <c r="AH828" s="9" t="s">
        <v>690</v>
      </c>
      <c r="AM828" s="8">
        <v>4</v>
      </c>
      <c r="AS828" s="8"/>
      <c r="AT828" s="8"/>
      <c r="BG828" s="8"/>
      <c r="BH828" s="8"/>
      <c r="BP828" s="7">
        <v>0.152</v>
      </c>
      <c r="BR828" s="6">
        <v>0.47</v>
      </c>
      <c r="CL828" s="6">
        <v>0.63</v>
      </c>
      <c r="DZ828" s="31"/>
      <c r="EH828" s="10">
        <f>BP828*BR828/100</f>
        <v>7.1439999999999991E-4</v>
      </c>
      <c r="FA828" s="10">
        <f t="shared" si="27"/>
        <v>9.5759999999999997E-4</v>
      </c>
      <c r="GP828" s="32"/>
      <c r="GY828" s="6" t="s">
        <v>338</v>
      </c>
      <c r="GZ828" s="6" t="s">
        <v>2539</v>
      </c>
      <c r="HC828" s="6" t="s">
        <v>1478</v>
      </c>
      <c r="HD828" s="8" t="s">
        <v>7036</v>
      </c>
      <c r="HE828" s="8">
        <v>33889</v>
      </c>
      <c r="HF828" s="8" t="s">
        <v>7037</v>
      </c>
      <c r="HG828" s="9" t="s">
        <v>792</v>
      </c>
      <c r="IB828" s="8" t="s">
        <v>7036</v>
      </c>
      <c r="IC828" s="8">
        <v>33889</v>
      </c>
      <c r="ID828" s="8" t="s">
        <v>7038</v>
      </c>
      <c r="IE828" s="9" t="s">
        <v>792</v>
      </c>
      <c r="IF828" s="9" t="s">
        <v>319</v>
      </c>
      <c r="IR828" s="9"/>
      <c r="JX828" s="7" t="s">
        <v>353</v>
      </c>
      <c r="JY828" s="7" t="s">
        <v>354</v>
      </c>
      <c r="JZ828" s="7" t="s">
        <v>320</v>
      </c>
      <c r="KG828" s="4" t="s">
        <v>323</v>
      </c>
      <c r="KM828" s="4" t="s">
        <v>391</v>
      </c>
      <c r="KN828" s="4" t="s">
        <v>391</v>
      </c>
      <c r="KP828" s="5" t="s">
        <v>358</v>
      </c>
      <c r="KQ828" s="5" t="s">
        <v>7039</v>
      </c>
      <c r="KR828" s="5" t="s">
        <v>7040</v>
      </c>
      <c r="KS828" s="5" t="s">
        <v>7041</v>
      </c>
      <c r="KT828" s="5" t="s">
        <v>7042</v>
      </c>
    </row>
    <row r="829" spans="1:306" ht="96" x14ac:dyDescent="0.25">
      <c r="A829" s="5" t="s">
        <v>7055</v>
      </c>
      <c r="B829" s="4" t="s">
        <v>397</v>
      </c>
      <c r="C829" s="7" t="s">
        <v>398</v>
      </c>
      <c r="D829" s="8" t="s">
        <v>1476</v>
      </c>
      <c r="E829" s="4">
        <v>337687</v>
      </c>
      <c r="G829" s="4" t="s">
        <v>330</v>
      </c>
      <c r="H829" s="6">
        <v>121.79458</v>
      </c>
      <c r="I829" s="6">
        <v>-31.373909999999999</v>
      </c>
      <c r="J829" s="4" t="s">
        <v>3543</v>
      </c>
      <c r="K829" s="4" t="s">
        <v>331</v>
      </c>
      <c r="L829" s="4" t="s">
        <v>500</v>
      </c>
      <c r="M829" s="4" t="s">
        <v>501</v>
      </c>
      <c r="Q829" s="8"/>
      <c r="R829" s="8"/>
      <c r="S829" s="4"/>
      <c r="Z829" s="4" t="s">
        <v>397</v>
      </c>
      <c r="AA829" s="7" t="s">
        <v>398</v>
      </c>
      <c r="AB829" s="8" t="s">
        <v>1476</v>
      </c>
      <c r="AC829" s="4" t="s">
        <v>301</v>
      </c>
      <c r="AD829" s="4" t="s">
        <v>302</v>
      </c>
      <c r="AE829" s="8">
        <v>2706</v>
      </c>
      <c r="AF829" s="8"/>
      <c r="AG829" s="4" t="s">
        <v>379</v>
      </c>
      <c r="AH829" s="9" t="s">
        <v>1156</v>
      </c>
      <c r="AM829" s="8">
        <v>3</v>
      </c>
      <c r="AS829" s="8"/>
      <c r="AT829" s="8"/>
      <c r="AU829" s="4"/>
      <c r="BG829" s="8"/>
      <c r="BH829" s="8"/>
      <c r="BI829" s="4"/>
      <c r="BP829" s="7">
        <v>0.98799999999999999</v>
      </c>
      <c r="CL829" s="6">
        <v>2.52</v>
      </c>
      <c r="DZ829" s="31"/>
      <c r="FA829" s="10">
        <f t="shared" si="27"/>
        <v>2.4897599999999999E-2</v>
      </c>
      <c r="GP829" s="32"/>
      <c r="GY829" s="31" t="s">
        <v>407</v>
      </c>
      <c r="GZ829" s="6" t="s">
        <v>928</v>
      </c>
      <c r="HC829" s="6" t="s">
        <v>1478</v>
      </c>
      <c r="HD829" s="8" t="s">
        <v>3544</v>
      </c>
      <c r="HE829" s="8">
        <v>9165</v>
      </c>
      <c r="HF829" s="8" t="s">
        <v>4454</v>
      </c>
      <c r="HG829" s="9" t="s">
        <v>507</v>
      </c>
      <c r="IB829" s="8" t="s">
        <v>3544</v>
      </c>
      <c r="IC829" s="8">
        <v>9165</v>
      </c>
      <c r="ID829" s="8" t="s">
        <v>4454</v>
      </c>
      <c r="IE829" s="9" t="s">
        <v>507</v>
      </c>
      <c r="IF829" s="9"/>
      <c r="IG829" s="9"/>
      <c r="II829" s="9"/>
      <c r="IJ829" s="9"/>
      <c r="IK829" s="9"/>
      <c r="IR829" s="9"/>
      <c r="JX829" s="7" t="s">
        <v>322</v>
      </c>
      <c r="JY829" s="7" t="s">
        <v>448</v>
      </c>
      <c r="JZ829" s="7" t="s">
        <v>320</v>
      </c>
      <c r="KA829" s="7" t="s">
        <v>354</v>
      </c>
      <c r="KB829" s="7" t="s">
        <v>353</v>
      </c>
      <c r="KG829" s="4" t="s">
        <v>323</v>
      </c>
      <c r="KM829" s="4" t="s">
        <v>521</v>
      </c>
      <c r="KN829" s="4" t="s">
        <v>522</v>
      </c>
      <c r="KP829" s="18" t="s">
        <v>7056</v>
      </c>
      <c r="KQ829" s="5" t="s">
        <v>7057</v>
      </c>
      <c r="KS829" s="5" t="s">
        <v>7058</v>
      </c>
      <c r="KT829" s="5" t="s">
        <v>7059</v>
      </c>
    </row>
    <row r="830" spans="1:306" ht="96" x14ac:dyDescent="0.25">
      <c r="A830" s="5" t="s">
        <v>7664</v>
      </c>
      <c r="B830" s="4" t="s">
        <v>397</v>
      </c>
      <c r="C830" s="7" t="s">
        <v>398</v>
      </c>
      <c r="D830" s="8" t="s">
        <v>1476</v>
      </c>
      <c r="E830" s="4">
        <v>362733</v>
      </c>
      <c r="G830" s="4" t="s">
        <v>330</v>
      </c>
      <c r="H830" s="6">
        <v>121.8429</v>
      </c>
      <c r="I830" s="6">
        <v>-31.505500000000001</v>
      </c>
      <c r="J830" s="4" t="s">
        <v>3543</v>
      </c>
      <c r="K830" s="4" t="s">
        <v>331</v>
      </c>
      <c r="L830" s="4" t="s">
        <v>500</v>
      </c>
      <c r="M830" s="4" t="s">
        <v>501</v>
      </c>
      <c r="Q830" s="8"/>
      <c r="R830" s="8"/>
      <c r="S830" s="4"/>
      <c r="Z830" s="4" t="s">
        <v>397</v>
      </c>
      <c r="AA830" s="7" t="s">
        <v>398</v>
      </c>
      <c r="AB830" s="8" t="s">
        <v>1476</v>
      </c>
      <c r="AC830" s="4" t="s">
        <v>301</v>
      </c>
      <c r="AD830" s="4" t="s">
        <v>302</v>
      </c>
      <c r="AE830" s="8">
        <v>2706</v>
      </c>
      <c r="AF830" s="8"/>
      <c r="AG830" s="4" t="s">
        <v>379</v>
      </c>
      <c r="AH830" s="9" t="s">
        <v>1156</v>
      </c>
      <c r="AM830" s="8">
        <v>3</v>
      </c>
      <c r="AS830" s="8"/>
      <c r="AT830" s="8"/>
      <c r="AU830" s="4"/>
      <c r="BG830" s="8"/>
      <c r="BH830" s="8"/>
      <c r="BI830" s="4"/>
      <c r="BP830" s="7">
        <v>12.6</v>
      </c>
      <c r="CL830" s="6">
        <v>2.2906825396825399</v>
      </c>
      <c r="DZ830" s="31"/>
      <c r="FA830" s="10">
        <f t="shared" si="27"/>
        <v>0.28862599999999999</v>
      </c>
      <c r="GP830" s="32"/>
      <c r="GY830" s="31" t="s">
        <v>407</v>
      </c>
      <c r="GZ830" s="6" t="s">
        <v>928</v>
      </c>
      <c r="HC830" s="6" t="s">
        <v>1478</v>
      </c>
      <c r="HD830" s="8" t="s">
        <v>3544</v>
      </c>
      <c r="HE830" s="8">
        <v>9165</v>
      </c>
      <c r="HF830" s="8" t="s">
        <v>4454</v>
      </c>
      <c r="HG830" s="9" t="s">
        <v>507</v>
      </c>
      <c r="IB830" s="8" t="s">
        <v>3544</v>
      </c>
      <c r="IC830" s="8">
        <v>9165</v>
      </c>
      <c r="ID830" s="8" t="s">
        <v>4454</v>
      </c>
      <c r="IE830" s="9" t="s">
        <v>507</v>
      </c>
      <c r="IF830" s="9"/>
      <c r="IG830" s="9"/>
      <c r="II830" s="9"/>
      <c r="IJ830" s="9"/>
      <c r="IK830" s="9"/>
      <c r="IR830" s="9"/>
      <c r="JX830" s="7" t="s">
        <v>322</v>
      </c>
      <c r="JY830" s="7" t="s">
        <v>448</v>
      </c>
      <c r="JZ830" s="7" t="s">
        <v>320</v>
      </c>
      <c r="KA830" s="7" t="s">
        <v>354</v>
      </c>
      <c r="KB830" s="7" t="s">
        <v>353</v>
      </c>
      <c r="KG830" s="4" t="s">
        <v>323</v>
      </c>
      <c r="KM830" s="4" t="s">
        <v>521</v>
      </c>
      <c r="KN830" s="4" t="s">
        <v>522</v>
      </c>
      <c r="KP830" s="5" t="s">
        <v>358</v>
      </c>
      <c r="KQ830" s="5" t="s">
        <v>7665</v>
      </c>
      <c r="KS830" s="5" t="s">
        <v>7666</v>
      </c>
      <c r="KT830" s="5" t="s">
        <v>7667</v>
      </c>
    </row>
    <row r="831" spans="1:306" ht="132" x14ac:dyDescent="0.25">
      <c r="A831" s="5" t="s">
        <v>8059</v>
      </c>
      <c r="B831" s="4" t="s">
        <v>397</v>
      </c>
      <c r="C831" s="7" t="s">
        <v>398</v>
      </c>
      <c r="D831" s="8" t="s">
        <v>1476</v>
      </c>
      <c r="E831" s="4">
        <v>705920</v>
      </c>
      <c r="G831" s="4" t="s">
        <v>330</v>
      </c>
      <c r="H831" s="6">
        <v>121.59</v>
      </c>
      <c r="I831" s="6">
        <v>-31.61</v>
      </c>
      <c r="J831" s="4" t="s">
        <v>3543</v>
      </c>
      <c r="K831" s="4" t="s">
        <v>331</v>
      </c>
      <c r="L831" s="4" t="s">
        <v>500</v>
      </c>
      <c r="M831" s="4" t="s">
        <v>501</v>
      </c>
      <c r="Q831" s="8"/>
      <c r="R831" s="8"/>
      <c r="S831" s="4"/>
      <c r="Z831" s="4" t="s">
        <v>397</v>
      </c>
      <c r="AA831" s="7" t="s">
        <v>398</v>
      </c>
      <c r="AB831" s="8" t="s">
        <v>1476</v>
      </c>
      <c r="AC831" s="4" t="s">
        <v>301</v>
      </c>
      <c r="AD831" s="4" t="s">
        <v>302</v>
      </c>
      <c r="AE831" s="8">
        <v>2706</v>
      </c>
      <c r="AF831" s="8"/>
      <c r="AG831" s="4" t="s">
        <v>379</v>
      </c>
      <c r="AH831" s="9" t="s">
        <v>1156</v>
      </c>
      <c r="AM831" s="8">
        <v>3</v>
      </c>
      <c r="AS831" s="8"/>
      <c r="AT831" s="8"/>
      <c r="AU831" s="4"/>
      <c r="BG831" s="8"/>
      <c r="BH831" s="8"/>
      <c r="BI831" s="4"/>
      <c r="BP831" s="7">
        <v>12.65</v>
      </c>
      <c r="CL831" s="6">
        <v>2.65</v>
      </c>
      <c r="DZ831" s="31"/>
      <c r="FA831" s="10">
        <f t="shared" si="27"/>
        <v>0.335225</v>
      </c>
      <c r="GP831" s="32"/>
      <c r="GY831" s="31" t="s">
        <v>407</v>
      </c>
      <c r="GZ831" s="6" t="s">
        <v>928</v>
      </c>
      <c r="HC831" s="6" t="s">
        <v>1478</v>
      </c>
      <c r="HD831" s="8" t="s">
        <v>8060</v>
      </c>
      <c r="HE831" s="8">
        <v>9165</v>
      </c>
      <c r="HF831" s="8" t="s">
        <v>2334</v>
      </c>
      <c r="HG831" s="9" t="s">
        <v>507</v>
      </c>
      <c r="IB831" s="8" t="s">
        <v>8060</v>
      </c>
      <c r="IC831" s="8">
        <v>9165</v>
      </c>
      <c r="ID831" s="8" t="s">
        <v>2334</v>
      </c>
      <c r="IE831" s="9" t="s">
        <v>507</v>
      </c>
      <c r="IF831" s="9"/>
      <c r="IG831" s="9"/>
      <c r="II831" s="9"/>
      <c r="IJ831" s="9"/>
      <c r="IK831" s="9"/>
      <c r="IR831" s="9"/>
      <c r="JX831" s="7" t="s">
        <v>322</v>
      </c>
      <c r="JY831" s="7" t="s">
        <v>448</v>
      </c>
      <c r="JZ831" s="7" t="s">
        <v>320</v>
      </c>
      <c r="KG831" s="4" t="s">
        <v>323</v>
      </c>
      <c r="KM831" s="4" t="s">
        <v>522</v>
      </c>
      <c r="KN831" s="4" t="s">
        <v>522</v>
      </c>
      <c r="KP831" s="5" t="s">
        <v>8061</v>
      </c>
      <c r="KQ831" s="5" t="s">
        <v>8062</v>
      </c>
      <c r="KS831" s="5" t="s">
        <v>8063</v>
      </c>
      <c r="KT831" s="5" t="s">
        <v>8064</v>
      </c>
    </row>
    <row r="832" spans="1:306" ht="48" x14ac:dyDescent="0.25">
      <c r="A832" s="5" t="s">
        <v>8279</v>
      </c>
      <c r="B832" s="4" t="s">
        <v>397</v>
      </c>
      <c r="C832" s="7" t="s">
        <v>398</v>
      </c>
      <c r="D832" s="8" t="s">
        <v>1476</v>
      </c>
      <c r="E832" s="4">
        <v>335559</v>
      </c>
      <c r="G832" s="4" t="s">
        <v>330</v>
      </c>
      <c r="H832" s="6">
        <v>120.5775</v>
      </c>
      <c r="I832" s="6">
        <v>-27.455500000000001</v>
      </c>
      <c r="J832" s="4" t="s">
        <v>2222</v>
      </c>
      <c r="K832" s="4" t="s">
        <v>331</v>
      </c>
      <c r="L832" s="4" t="s">
        <v>500</v>
      </c>
      <c r="M832" s="4" t="s">
        <v>501</v>
      </c>
      <c r="Q832" s="8"/>
      <c r="R832" s="8"/>
      <c r="Z832" s="4" t="s">
        <v>397</v>
      </c>
      <c r="AA832" s="7" t="s">
        <v>398</v>
      </c>
      <c r="AB832" s="8" t="s">
        <v>1476</v>
      </c>
      <c r="AC832" s="4" t="s">
        <v>301</v>
      </c>
      <c r="AD832" s="4" t="s">
        <v>302</v>
      </c>
      <c r="AE832" s="8">
        <v>2705</v>
      </c>
      <c r="AF832" s="8">
        <v>4</v>
      </c>
      <c r="AG832" s="9" t="s">
        <v>379</v>
      </c>
      <c r="AH832" s="9" t="s">
        <v>372</v>
      </c>
      <c r="AI832" s="9" t="s">
        <v>373</v>
      </c>
      <c r="AJ832" s="9" t="s">
        <v>306</v>
      </c>
      <c r="AK832" s="9" t="s">
        <v>307</v>
      </c>
      <c r="AL832" s="9" t="s">
        <v>337</v>
      </c>
      <c r="AM832" s="8">
        <v>4</v>
      </c>
      <c r="AS832" s="8"/>
      <c r="AT832" s="8"/>
      <c r="BG832" s="8"/>
      <c r="BH832" s="8"/>
      <c r="BP832" s="7">
        <v>440</v>
      </c>
      <c r="BQ832" s="8"/>
      <c r="CL832" s="6">
        <v>0.61</v>
      </c>
      <c r="DZ832" s="31"/>
      <c r="FA832" s="10">
        <f t="shared" si="27"/>
        <v>2.6839999999999997</v>
      </c>
      <c r="GP832" s="32"/>
      <c r="GY832" s="6" t="s">
        <v>338</v>
      </c>
      <c r="GZ832" s="6" t="s">
        <v>928</v>
      </c>
      <c r="HC832" s="6" t="s">
        <v>1478</v>
      </c>
      <c r="HD832" s="8" t="s">
        <v>8280</v>
      </c>
      <c r="HE832" s="8">
        <v>20750</v>
      </c>
      <c r="HF832" s="8" t="s">
        <v>8281</v>
      </c>
      <c r="HG832" s="8" t="s">
        <v>507</v>
      </c>
      <c r="IB832" s="8" t="s">
        <v>8280</v>
      </c>
      <c r="IC832" s="8">
        <v>20750</v>
      </c>
      <c r="ID832" s="8" t="s">
        <v>8281</v>
      </c>
      <c r="IE832" s="8" t="s">
        <v>507</v>
      </c>
      <c r="IF832" s="8" t="s">
        <v>319</v>
      </c>
      <c r="IR832" s="9"/>
      <c r="JV832" s="7" t="s">
        <v>8282</v>
      </c>
      <c r="JW832" s="7" t="s">
        <v>2412</v>
      </c>
      <c r="JX832" s="7" t="s">
        <v>322</v>
      </c>
      <c r="JY832" s="7" t="s">
        <v>354</v>
      </c>
      <c r="JZ832" s="7" t="s">
        <v>320</v>
      </c>
      <c r="KG832" s="4" t="s">
        <v>323</v>
      </c>
      <c r="KM832" s="4" t="s">
        <v>522</v>
      </c>
      <c r="KN832" s="4" t="s">
        <v>1439</v>
      </c>
      <c r="KP832" s="5" t="s">
        <v>358</v>
      </c>
      <c r="KQ832" s="5" t="s">
        <v>8283</v>
      </c>
      <c r="KR832" s="5" t="s">
        <v>2227</v>
      </c>
      <c r="KS832" s="5" t="s">
        <v>8284</v>
      </c>
      <c r="KT832" s="5" t="s">
        <v>8285</v>
      </c>
    </row>
    <row r="833" spans="1:306" ht="60" x14ac:dyDescent="0.2">
      <c r="A833" s="5" t="s">
        <v>2884</v>
      </c>
      <c r="B833" s="4" t="s">
        <v>383</v>
      </c>
      <c r="C833" s="7" t="s">
        <v>926</v>
      </c>
      <c r="D833" s="8" t="s">
        <v>944</v>
      </c>
      <c r="E833" s="44">
        <v>859596</v>
      </c>
      <c r="F833" s="4">
        <v>1198067</v>
      </c>
      <c r="G833" s="4" t="s">
        <v>330</v>
      </c>
      <c r="H833" s="6">
        <v>116.03479799999999</v>
      </c>
      <c r="I833" s="6">
        <v>-32.670439999999999</v>
      </c>
      <c r="J833" s="4" t="s">
        <v>1720</v>
      </c>
      <c r="K833" s="4" t="s">
        <v>331</v>
      </c>
      <c r="L833" s="4" t="s">
        <v>500</v>
      </c>
      <c r="M833" s="4" t="s">
        <v>1430</v>
      </c>
      <c r="O833" s="8" t="s">
        <v>2885</v>
      </c>
      <c r="P833" s="4" t="s">
        <v>371</v>
      </c>
      <c r="AN833" s="4" t="s">
        <v>381</v>
      </c>
      <c r="AO833" s="4" t="s">
        <v>302</v>
      </c>
      <c r="AP833" s="4" t="s">
        <v>383</v>
      </c>
      <c r="AQ833" s="7" t="s">
        <v>926</v>
      </c>
      <c r="AR833" s="8" t="s">
        <v>944</v>
      </c>
      <c r="AS833" s="8">
        <f>(41.2+27.82)/2</f>
        <v>34.510000000000005</v>
      </c>
      <c r="AT833" s="8">
        <f>(41.2-27.82)/2</f>
        <v>6.6900000000000013</v>
      </c>
      <c r="AU833" s="9" t="s">
        <v>379</v>
      </c>
      <c r="AV833" s="9" t="s">
        <v>460</v>
      </c>
      <c r="BP833" s="7">
        <v>220</v>
      </c>
      <c r="CB833" s="7">
        <v>27.5</v>
      </c>
      <c r="DZ833" s="31"/>
      <c r="ER833" s="8">
        <f>BP833*CB833/100</f>
        <v>60.5</v>
      </c>
      <c r="GP833" s="32"/>
      <c r="GY833" s="31" t="s">
        <v>407</v>
      </c>
      <c r="GZ833" s="6" t="s">
        <v>945</v>
      </c>
      <c r="HC833" s="6" t="s">
        <v>946</v>
      </c>
      <c r="HF833" s="8" t="s">
        <v>2886</v>
      </c>
      <c r="HG833" s="9" t="s">
        <v>507</v>
      </c>
      <c r="ID833" s="8" t="s">
        <v>2886</v>
      </c>
      <c r="IE833" s="9" t="s">
        <v>507</v>
      </c>
      <c r="IF833" s="8" t="s">
        <v>445</v>
      </c>
      <c r="KP833" s="5" t="s">
        <v>358</v>
      </c>
      <c r="KQ833" s="5" t="s">
        <v>1722</v>
      </c>
      <c r="KR833" s="5" t="s">
        <v>1723</v>
      </c>
      <c r="KS833" s="5" t="s">
        <v>1724</v>
      </c>
      <c r="KT833" s="5" t="s">
        <v>1725</v>
      </c>
    </row>
    <row r="834" spans="1:306" ht="120" x14ac:dyDescent="0.25">
      <c r="A834" s="5" t="s">
        <v>1077</v>
      </c>
      <c r="B834" s="4" t="s">
        <v>397</v>
      </c>
      <c r="C834" s="7" t="s">
        <v>398</v>
      </c>
      <c r="D834" s="8" t="s">
        <v>1078</v>
      </c>
      <c r="E834" s="4">
        <v>437422</v>
      </c>
      <c r="G834" s="4" t="s">
        <v>330</v>
      </c>
      <c r="H834" s="6">
        <v>117.7757</v>
      </c>
      <c r="I834" s="6">
        <v>-20.765999999999998</v>
      </c>
      <c r="J834" s="4" t="s">
        <v>1077</v>
      </c>
      <c r="K834" s="4" t="s">
        <v>331</v>
      </c>
      <c r="L834" s="4" t="s">
        <v>368</v>
      </c>
      <c r="M834" s="4" t="s">
        <v>666</v>
      </c>
      <c r="Q834" s="8"/>
      <c r="R834" s="8"/>
      <c r="Z834" s="4" t="s">
        <v>397</v>
      </c>
      <c r="AA834" s="7" t="s">
        <v>398</v>
      </c>
      <c r="AB834" s="8" t="s">
        <v>1078</v>
      </c>
      <c r="AC834" s="4" t="s">
        <v>301</v>
      </c>
      <c r="AD834" s="4" t="s">
        <v>302</v>
      </c>
      <c r="AE834" s="8">
        <v>2919</v>
      </c>
      <c r="AF834" s="8">
        <v>75</v>
      </c>
      <c r="AG834" s="9" t="s">
        <v>379</v>
      </c>
      <c r="AH834" s="9" t="s">
        <v>1071</v>
      </c>
      <c r="AI834" s="9" t="s">
        <v>1079</v>
      </c>
      <c r="AJ834" s="9" t="s">
        <v>1080</v>
      </c>
      <c r="AK834" s="9" t="s">
        <v>1081</v>
      </c>
      <c r="AM834" s="8">
        <v>3</v>
      </c>
      <c r="AS834" s="8"/>
      <c r="AT834" s="8"/>
      <c r="BG834" s="8"/>
      <c r="BH834" s="8"/>
      <c r="BP834" s="7">
        <v>455.9</v>
      </c>
      <c r="BQ834" s="7"/>
      <c r="CF834" s="7">
        <v>13.7</v>
      </c>
      <c r="CG834" s="6">
        <v>0.64</v>
      </c>
      <c r="CJ834" s="7">
        <v>44.7</v>
      </c>
      <c r="DZ834" s="31"/>
      <c r="ET834" s="8"/>
      <c r="EU834" s="8">
        <f>BP834*CF834/100</f>
        <v>62.458299999999987</v>
      </c>
      <c r="EV834" s="8">
        <f>1000*BP834*CG834/100</f>
        <v>2917.76</v>
      </c>
      <c r="EY834" s="8">
        <f>BP834*CJ834/100</f>
        <v>203.78729999999999</v>
      </c>
      <c r="FB834" s="8"/>
      <c r="GP834" s="32"/>
      <c r="GY834" s="31" t="s">
        <v>407</v>
      </c>
      <c r="GZ834" s="6" t="s">
        <v>1082</v>
      </c>
      <c r="HB834" s="6" t="s">
        <v>1083</v>
      </c>
      <c r="HD834" s="8" t="s">
        <v>1084</v>
      </c>
      <c r="HE834" s="8">
        <v>28342</v>
      </c>
      <c r="HF834" s="8" t="s">
        <v>1085</v>
      </c>
      <c r="HG834" s="9" t="s">
        <v>389</v>
      </c>
      <c r="IB834" s="8" t="s">
        <v>1084</v>
      </c>
      <c r="IC834" s="8">
        <v>28342</v>
      </c>
      <c r="ID834" s="8" t="s">
        <v>1086</v>
      </c>
      <c r="IE834" s="9" t="s">
        <v>389</v>
      </c>
      <c r="IF834" s="9"/>
      <c r="IR834" s="9"/>
      <c r="KG834" s="4" t="s">
        <v>323</v>
      </c>
      <c r="KM834" s="4" t="s">
        <v>521</v>
      </c>
      <c r="KN834" s="4" t="s">
        <v>521</v>
      </c>
      <c r="KP834" s="5" t="s">
        <v>358</v>
      </c>
      <c r="KQ834" s="5" t="s">
        <v>1087</v>
      </c>
      <c r="KR834" s="5" t="s">
        <v>1088</v>
      </c>
      <c r="KS834" s="5" t="s">
        <v>1089</v>
      </c>
      <c r="KT834" s="5" t="s">
        <v>1090</v>
      </c>
    </row>
    <row r="835" spans="1:306" ht="48" x14ac:dyDescent="0.25">
      <c r="A835" s="5" t="s">
        <v>3189</v>
      </c>
      <c r="B835" s="4" t="s">
        <v>397</v>
      </c>
      <c r="C835" s="7" t="s">
        <v>398</v>
      </c>
      <c r="D835" s="8" t="s">
        <v>1078</v>
      </c>
      <c r="E835" s="4">
        <v>333911</v>
      </c>
      <c r="G835" s="4" t="s">
        <v>479</v>
      </c>
      <c r="H835" s="6">
        <v>150.43440000000001</v>
      </c>
      <c r="I835" s="6">
        <v>-23.845300000000002</v>
      </c>
      <c r="J835" s="4" t="s">
        <v>3190</v>
      </c>
      <c r="K835" s="4" t="s">
        <v>298</v>
      </c>
      <c r="L835" s="4" t="s">
        <v>552</v>
      </c>
      <c r="Q835" s="8"/>
      <c r="R835" s="7"/>
      <c r="Z835" s="4" t="s">
        <v>397</v>
      </c>
      <c r="AA835" s="7" t="s">
        <v>398</v>
      </c>
      <c r="AB835" s="8" t="s">
        <v>1078</v>
      </c>
      <c r="AC835" s="4" t="s">
        <v>301</v>
      </c>
      <c r="AD835" s="4" t="s">
        <v>302</v>
      </c>
      <c r="AE835" s="8">
        <v>261</v>
      </c>
      <c r="AF835" s="7"/>
      <c r="AG835" s="9" t="s">
        <v>379</v>
      </c>
      <c r="AH835" s="9" t="s">
        <v>380</v>
      </c>
      <c r="AO835" s="7"/>
      <c r="AP835" s="8"/>
      <c r="AQ835" s="8"/>
      <c r="AY835" s="8"/>
      <c r="BP835" s="7">
        <v>465</v>
      </c>
      <c r="CF835" s="7">
        <f>3*(47.867/(47.867+2*15.999))</f>
        <v>1.7980467038126839</v>
      </c>
      <c r="CG835" s="6">
        <f>0.097*(2*50.942+5*15.999)/(2*50.942)</f>
        <v>0.17316029013387776</v>
      </c>
      <c r="CJ835" s="7">
        <v>13.1</v>
      </c>
      <c r="DZ835" s="31"/>
      <c r="ET835" s="8"/>
      <c r="EU835" s="6">
        <f>BP835*CF835/100</f>
        <v>8.3609171727289802</v>
      </c>
      <c r="EV835" s="8">
        <f>1000*BP835*CG835/100</f>
        <v>805.19534912253164</v>
      </c>
      <c r="EY835" s="7">
        <f>BP835*CJ835/100</f>
        <v>60.914999999999999</v>
      </c>
      <c r="FB835" s="8"/>
      <c r="GP835" s="32"/>
      <c r="GY835" s="6" t="s">
        <v>338</v>
      </c>
      <c r="GZ835" s="6" t="s">
        <v>1082</v>
      </c>
      <c r="HA835" s="6" t="s">
        <v>1083</v>
      </c>
      <c r="HD835" s="8" t="s">
        <v>3191</v>
      </c>
      <c r="HE835" s="8">
        <v>6357</v>
      </c>
      <c r="HF835" s="8" t="s">
        <v>3192</v>
      </c>
      <c r="HG835" s="9" t="s">
        <v>3193</v>
      </c>
      <c r="IB835" s="8" t="s">
        <v>3191</v>
      </c>
      <c r="IC835" s="8">
        <v>6357</v>
      </c>
      <c r="ID835" s="8" t="s">
        <v>3192</v>
      </c>
      <c r="IE835" s="9" t="s">
        <v>3193</v>
      </c>
      <c r="IF835" s="8" t="s">
        <v>319</v>
      </c>
      <c r="JX835" s="7" t="s">
        <v>353</v>
      </c>
      <c r="KP835" s="5" t="s">
        <v>358</v>
      </c>
      <c r="KQ835" s="5" t="s">
        <v>3194</v>
      </c>
      <c r="KS835" s="5" t="s">
        <v>3194</v>
      </c>
      <c r="KT835" s="5" t="s">
        <v>3195</v>
      </c>
    </row>
    <row r="836" spans="1:306" ht="120" x14ac:dyDescent="0.25">
      <c r="A836" s="5" t="s">
        <v>3569</v>
      </c>
      <c r="B836" s="4" t="s">
        <v>383</v>
      </c>
      <c r="C836" s="7" t="s">
        <v>403</v>
      </c>
      <c r="D836" s="8" t="s">
        <v>3570</v>
      </c>
      <c r="E836" s="4">
        <v>335954</v>
      </c>
      <c r="G836" s="4" t="s">
        <v>479</v>
      </c>
      <c r="H836" s="6">
        <v>151.43389999999999</v>
      </c>
      <c r="I836" s="6">
        <v>-24.855699999999999</v>
      </c>
      <c r="J836" s="4" t="s">
        <v>3190</v>
      </c>
      <c r="K836" s="4" t="s">
        <v>298</v>
      </c>
      <c r="L836" s="4" t="s">
        <v>552</v>
      </c>
      <c r="Q836" s="8"/>
      <c r="Z836" s="4" t="s">
        <v>397</v>
      </c>
      <c r="AA836" s="7" t="s">
        <v>398</v>
      </c>
      <c r="AB836" s="8" t="s">
        <v>1078</v>
      </c>
      <c r="AC836" s="4" t="s">
        <v>301</v>
      </c>
      <c r="AD836" s="4" t="s">
        <v>382</v>
      </c>
      <c r="AE836" s="8">
        <v>96</v>
      </c>
      <c r="AG836" s="9" t="s">
        <v>379</v>
      </c>
      <c r="AH836" s="9" t="s">
        <v>335</v>
      </c>
      <c r="AI836" s="9" t="s">
        <v>2384</v>
      </c>
      <c r="AJ836" s="9" t="s">
        <v>1238</v>
      </c>
      <c r="AM836" s="8">
        <v>2</v>
      </c>
      <c r="AN836" s="4" t="s">
        <v>381</v>
      </c>
      <c r="AO836" s="4" t="s">
        <v>375</v>
      </c>
      <c r="AP836" s="4" t="s">
        <v>383</v>
      </c>
      <c r="AQ836" s="7" t="s">
        <v>403</v>
      </c>
      <c r="AR836" s="8" t="s">
        <v>3570</v>
      </c>
      <c r="AS836" s="8">
        <v>0</v>
      </c>
      <c r="AT836" s="8">
        <v>0</v>
      </c>
      <c r="AU836" s="9" t="s">
        <v>303</v>
      </c>
      <c r="AV836" s="9" t="s">
        <v>406</v>
      </c>
      <c r="BA836" s="8">
        <v>5</v>
      </c>
      <c r="DZ836" s="31"/>
      <c r="ES836" s="6">
        <v>0.65359182000000005</v>
      </c>
      <c r="EU836" s="6">
        <v>1.56287</v>
      </c>
      <c r="GP836" s="32"/>
      <c r="GY836" s="6" t="s">
        <v>435</v>
      </c>
      <c r="GZ836" s="6" t="s">
        <v>1082</v>
      </c>
      <c r="HB836" s="6" t="s">
        <v>435</v>
      </c>
      <c r="HC836" s="6" t="s">
        <v>1289</v>
      </c>
      <c r="HD836" s="8" t="s">
        <v>3571</v>
      </c>
      <c r="HE836" s="8">
        <v>27785</v>
      </c>
      <c r="HF836" s="8" t="s">
        <v>3572</v>
      </c>
      <c r="HG836" s="9" t="s">
        <v>1283</v>
      </c>
      <c r="IB836" s="8" t="s">
        <v>3571</v>
      </c>
      <c r="IC836" s="8">
        <v>27785</v>
      </c>
      <c r="ID836" s="8" t="s">
        <v>3572</v>
      </c>
      <c r="IE836" s="9" t="s">
        <v>1283</v>
      </c>
      <c r="IF836" s="8" t="s">
        <v>319</v>
      </c>
      <c r="JX836" s="7" t="s">
        <v>353</v>
      </c>
      <c r="KG836" s="4" t="s">
        <v>323</v>
      </c>
      <c r="KP836" s="5" t="s">
        <v>358</v>
      </c>
      <c r="KQ836" s="5" t="s">
        <v>3573</v>
      </c>
      <c r="KR836" s="5" t="s">
        <v>3574</v>
      </c>
      <c r="KS836" s="5" t="s">
        <v>3575</v>
      </c>
      <c r="KT836" s="5" t="s">
        <v>3576</v>
      </c>
    </row>
    <row r="837" spans="1:306" ht="108" x14ac:dyDescent="0.25">
      <c r="A837" s="5" t="s">
        <v>3920</v>
      </c>
      <c r="B837" s="4" t="s">
        <v>397</v>
      </c>
      <c r="C837" s="7" t="s">
        <v>398</v>
      </c>
      <c r="D837" s="8" t="s">
        <v>1078</v>
      </c>
      <c r="E837" s="4">
        <v>333321</v>
      </c>
      <c r="G837" s="4" t="s">
        <v>479</v>
      </c>
      <c r="H837" s="6">
        <v>150.8528</v>
      </c>
      <c r="I837" s="6">
        <v>-25.7881</v>
      </c>
      <c r="J837" s="4" t="s">
        <v>3190</v>
      </c>
      <c r="K837" s="4" t="s">
        <v>298</v>
      </c>
      <c r="L837" s="4" t="s">
        <v>552</v>
      </c>
      <c r="Q837" s="7"/>
      <c r="R837" s="7"/>
      <c r="Z837" s="4" t="s">
        <v>397</v>
      </c>
      <c r="AA837" s="7" t="s">
        <v>398</v>
      </c>
      <c r="AB837" s="8" t="s">
        <v>1078</v>
      </c>
      <c r="AC837" s="4" t="s">
        <v>301</v>
      </c>
      <c r="AD837" s="4" t="s">
        <v>302</v>
      </c>
      <c r="AE837" s="7">
        <v>261</v>
      </c>
      <c r="AF837" s="7">
        <v>5.7</v>
      </c>
      <c r="AG837" s="9" t="s">
        <v>379</v>
      </c>
      <c r="AH837" s="9" t="s">
        <v>335</v>
      </c>
      <c r="AI837" s="9" t="s">
        <v>2384</v>
      </c>
      <c r="AJ837" s="9" t="s">
        <v>431</v>
      </c>
      <c r="AM837" s="8">
        <v>4</v>
      </c>
      <c r="BP837" s="7">
        <v>103.7</v>
      </c>
      <c r="CF837" s="6">
        <f>1.83*(47.867/(47.867+2*15.999))</f>
        <v>1.0968084893257373</v>
      </c>
      <c r="CG837" s="6">
        <f>0.05*(2*50.942+5*15.999)/(2*50.942)</f>
        <v>8.9257881512308124E-2</v>
      </c>
      <c r="CJ837" s="7">
        <v>13.8</v>
      </c>
      <c r="DZ837" s="31"/>
      <c r="ET837" s="8"/>
      <c r="EU837" s="6">
        <f>BP837*CF837/100</f>
        <v>1.1373904034307896</v>
      </c>
      <c r="EV837" s="8">
        <f>1000*BP837*CG837/100</f>
        <v>92.560423128263523</v>
      </c>
      <c r="EY837" s="7">
        <f>BP837*CJ837/100</f>
        <v>14.310600000000001</v>
      </c>
      <c r="FB837" s="8"/>
      <c r="GP837" s="32"/>
      <c r="GY837" s="31" t="s">
        <v>407</v>
      </c>
      <c r="GZ837" s="6" t="s">
        <v>3921</v>
      </c>
      <c r="HC837" s="6" t="s">
        <v>1289</v>
      </c>
      <c r="HD837" s="8" t="s">
        <v>3922</v>
      </c>
      <c r="HF837" s="8" t="s">
        <v>3923</v>
      </c>
      <c r="HG837" s="9" t="s">
        <v>3491</v>
      </c>
      <c r="IB837" s="8" t="s">
        <v>3922</v>
      </c>
      <c r="IC837" s="8">
        <v>77829</v>
      </c>
      <c r="ID837" s="8" t="s">
        <v>3923</v>
      </c>
      <c r="IE837" s="9" t="s">
        <v>3491</v>
      </c>
      <c r="IF837" s="8" t="s">
        <v>319</v>
      </c>
      <c r="JX837" s="7" t="s">
        <v>353</v>
      </c>
      <c r="JY837" s="7" t="s">
        <v>354</v>
      </c>
      <c r="JZ837" s="7" t="s">
        <v>322</v>
      </c>
      <c r="KG837" s="4" t="s">
        <v>323</v>
      </c>
      <c r="KP837" s="5" t="s">
        <v>358</v>
      </c>
      <c r="KQ837" s="5" t="s">
        <v>3924</v>
      </c>
      <c r="KR837" s="5" t="s">
        <v>3925</v>
      </c>
      <c r="KS837" s="5" t="s">
        <v>419</v>
      </c>
      <c r="KT837" s="5" t="s">
        <v>718</v>
      </c>
    </row>
    <row r="838" spans="1:306" ht="48" x14ac:dyDescent="0.25">
      <c r="A838" s="5" t="s">
        <v>5879</v>
      </c>
      <c r="B838" s="4" t="s">
        <v>397</v>
      </c>
      <c r="C838" s="7" t="s">
        <v>398</v>
      </c>
      <c r="D838" s="8" t="s">
        <v>1078</v>
      </c>
      <c r="E838" s="4">
        <v>513611</v>
      </c>
      <c r="G838" s="4" t="s">
        <v>530</v>
      </c>
      <c r="H838" s="6">
        <v>133.30000000000001</v>
      </c>
      <c r="I838" s="6">
        <v>-21.63</v>
      </c>
      <c r="J838" s="4" t="s">
        <v>5879</v>
      </c>
      <c r="K838" s="4" t="s">
        <v>481</v>
      </c>
      <c r="L838" s="4" t="s">
        <v>1498</v>
      </c>
      <c r="Q838" s="8"/>
      <c r="R838" s="10"/>
      <c r="U838" s="4"/>
      <c r="V838" s="4"/>
      <c r="W838" s="4"/>
      <c r="X838" s="4"/>
      <c r="Z838" s="4" t="s">
        <v>397</v>
      </c>
      <c r="AA838" s="7" t="s">
        <v>398</v>
      </c>
      <c r="AB838" s="8" t="s">
        <v>1078</v>
      </c>
      <c r="AC838" s="4" t="s">
        <v>301</v>
      </c>
      <c r="AD838" s="4" t="s">
        <v>302</v>
      </c>
      <c r="AE838" s="8">
        <v>510</v>
      </c>
      <c r="AF838" s="10"/>
      <c r="AG838" s="9" t="s">
        <v>379</v>
      </c>
      <c r="AH838" s="9" t="s">
        <v>460</v>
      </c>
      <c r="AI838" s="4"/>
      <c r="AJ838" s="4"/>
      <c r="AK838" s="4"/>
      <c r="AL838" s="4"/>
      <c r="AM838" s="8">
        <v>3</v>
      </c>
      <c r="AS838" s="7"/>
      <c r="AT838" s="7"/>
      <c r="BG838" s="7"/>
      <c r="BH838" s="7"/>
      <c r="BP838" s="7">
        <v>160</v>
      </c>
      <c r="BQ838" s="8"/>
      <c r="CF838" s="7">
        <f>5.3*(47.867/(47.867+2*15.99))</f>
        <v>3.1772652698285473</v>
      </c>
      <c r="CG838" s="6">
        <v>0.28000000000000003</v>
      </c>
      <c r="CJ838" s="8">
        <v>23</v>
      </c>
      <c r="DZ838" s="31"/>
      <c r="EE838" s="7"/>
      <c r="EF838" s="7"/>
      <c r="EG838" s="7"/>
      <c r="EO838" s="8"/>
      <c r="EP838" s="8"/>
      <c r="ET838" s="8"/>
      <c r="EU838" s="6">
        <f>BP838*CF838/100</f>
        <v>5.083624431725676</v>
      </c>
      <c r="EV838" s="8">
        <f>1000*BP838*CG838/100</f>
        <v>448.00000000000006</v>
      </c>
      <c r="EY838" s="8">
        <f>BP838*CJ838/100</f>
        <v>36.799999999999997</v>
      </c>
      <c r="FA838" s="9"/>
      <c r="FB838" s="8"/>
      <c r="FG838" s="9"/>
      <c r="GP838" s="32"/>
      <c r="GT838" s="8"/>
      <c r="GW838" s="8"/>
      <c r="GY838" s="8" t="s">
        <v>338</v>
      </c>
      <c r="GZ838" s="8" t="s">
        <v>1082</v>
      </c>
      <c r="HA838" s="8" t="s">
        <v>1083</v>
      </c>
      <c r="HB838" s="8"/>
      <c r="HC838" s="8"/>
      <c r="HF838" s="8" t="s">
        <v>5880</v>
      </c>
      <c r="HG838" s="9" t="s">
        <v>698</v>
      </c>
      <c r="IB838" s="4"/>
      <c r="ID838" s="4" t="s">
        <v>5880</v>
      </c>
      <c r="IE838" s="4" t="s">
        <v>698</v>
      </c>
      <c r="IF838" s="4" t="s">
        <v>319</v>
      </c>
      <c r="IW838" s="8"/>
      <c r="JB838" s="8"/>
      <c r="JX838" s="7" t="s">
        <v>353</v>
      </c>
      <c r="KG838" s="4" t="s">
        <v>323</v>
      </c>
      <c r="KP838" s="5" t="s">
        <v>524</v>
      </c>
      <c r="KQ838" s="5" t="s">
        <v>524</v>
      </c>
      <c r="KS838" s="5" t="s">
        <v>524</v>
      </c>
      <c r="KT838" s="5" t="s">
        <v>5881</v>
      </c>
    </row>
    <row r="839" spans="1:306" ht="60" x14ac:dyDescent="0.25">
      <c r="A839" s="5" t="s">
        <v>3190</v>
      </c>
      <c r="B839" s="4" t="s">
        <v>397</v>
      </c>
      <c r="C839" s="4" t="s">
        <v>383</v>
      </c>
      <c r="D839" s="7" t="s">
        <v>403</v>
      </c>
      <c r="E839" s="8" t="s">
        <v>3570</v>
      </c>
      <c r="F839" s="4">
        <v>1171371</v>
      </c>
      <c r="G839" s="4" t="s">
        <v>479</v>
      </c>
      <c r="H839" s="6">
        <v>151.83616000000001</v>
      </c>
      <c r="I839" s="6">
        <v>-25.317060000000001</v>
      </c>
      <c r="J839" s="4" t="s">
        <v>3190</v>
      </c>
      <c r="K839" s="4" t="s">
        <v>298</v>
      </c>
      <c r="L839" s="4" t="s">
        <v>552</v>
      </c>
      <c r="Q839" s="8"/>
      <c r="R839" s="8"/>
      <c r="Z839" s="4" t="s">
        <v>397</v>
      </c>
      <c r="AA839" s="7" t="s">
        <v>398</v>
      </c>
      <c r="AB839" s="8" t="s">
        <v>1078</v>
      </c>
      <c r="AC839" s="4" t="s">
        <v>301</v>
      </c>
      <c r="AD839" s="4" t="s">
        <v>402</v>
      </c>
      <c r="AE839" s="8">
        <v>246</v>
      </c>
      <c r="AF839" s="8">
        <v>7</v>
      </c>
      <c r="AG839" s="9" t="s">
        <v>379</v>
      </c>
      <c r="AH839" s="9" t="s">
        <v>335</v>
      </c>
      <c r="AI839" s="9" t="s">
        <v>2384</v>
      </c>
      <c r="AJ839" s="9" t="s">
        <v>1238</v>
      </c>
      <c r="AM839" s="8">
        <v>3</v>
      </c>
      <c r="AN839" s="4" t="s">
        <v>381</v>
      </c>
      <c r="AO839" s="4" t="s">
        <v>375</v>
      </c>
      <c r="AP839" s="4" t="s">
        <v>383</v>
      </c>
      <c r="AQ839" s="7" t="s">
        <v>403</v>
      </c>
      <c r="AR839" s="8" t="s">
        <v>3570</v>
      </c>
      <c r="AS839" s="8">
        <v>0</v>
      </c>
      <c r="AT839" s="8">
        <v>0</v>
      </c>
      <c r="AU839" s="9" t="s">
        <v>303</v>
      </c>
      <c r="AV839" s="9" t="s">
        <v>406</v>
      </c>
      <c r="BA839" s="8">
        <v>5</v>
      </c>
      <c r="BP839" s="7">
        <v>225</v>
      </c>
      <c r="CC839" s="6">
        <f>0.4182*0.8</f>
        <v>0.33456000000000002</v>
      </c>
      <c r="CE839" s="8">
        <v>30</v>
      </c>
      <c r="CF839" s="6">
        <f>4.8*0.3156</f>
        <v>1.51488</v>
      </c>
      <c r="DZ839" s="31"/>
      <c r="ES839" s="6">
        <f>BP839*CC839/100</f>
        <v>0.7527600000000001</v>
      </c>
      <c r="ET839" s="6">
        <f>BP839*CE839/1000</f>
        <v>6.75</v>
      </c>
      <c r="EU839" s="6">
        <f>BP839*CF839/100</f>
        <v>3.40848</v>
      </c>
      <c r="GP839" s="32"/>
      <c r="GY839" s="31" t="s">
        <v>407</v>
      </c>
      <c r="GZ839" s="6" t="s">
        <v>655</v>
      </c>
      <c r="HB839" s="6" t="s">
        <v>7901</v>
      </c>
      <c r="HC839" s="6" t="s">
        <v>1289</v>
      </c>
      <c r="HD839" s="8" t="s">
        <v>7902</v>
      </c>
      <c r="HE839" s="8">
        <v>26988</v>
      </c>
      <c r="HF839" s="8" t="s">
        <v>7903</v>
      </c>
      <c r="HG839" s="9" t="s">
        <v>1634</v>
      </c>
      <c r="IB839" s="8" t="s">
        <v>7902</v>
      </c>
      <c r="IC839" s="8">
        <v>26988</v>
      </c>
      <c r="ID839" s="8" t="s">
        <v>7903</v>
      </c>
      <c r="IE839" s="9" t="s">
        <v>1634</v>
      </c>
      <c r="IF839" s="8" t="s">
        <v>319</v>
      </c>
      <c r="JX839" s="7" t="s">
        <v>353</v>
      </c>
      <c r="KG839" s="4" t="s">
        <v>323</v>
      </c>
      <c r="KP839" s="5" t="s">
        <v>419</v>
      </c>
      <c r="KQ839" s="5" t="s">
        <v>419</v>
      </c>
      <c r="KR839" s="5" t="s">
        <v>419</v>
      </c>
      <c r="KS839" s="5" t="s">
        <v>419</v>
      </c>
      <c r="KT839" s="5" t="s">
        <v>7904</v>
      </c>
    </row>
    <row r="840" spans="1:306" s="4" customFormat="1" ht="84" customHeight="1" x14ac:dyDescent="0.25">
      <c r="A840" s="14" t="s">
        <v>396</v>
      </c>
      <c r="B840" s="29" t="s">
        <v>397</v>
      </c>
      <c r="C840" s="29" t="s">
        <v>383</v>
      </c>
      <c r="D840" s="30" t="s">
        <v>403</v>
      </c>
      <c r="E840" s="30" t="s">
        <v>404</v>
      </c>
      <c r="F840" s="29"/>
      <c r="G840" s="29" t="s">
        <v>296</v>
      </c>
      <c r="H840" s="31">
        <v>146.32955999999999</v>
      </c>
      <c r="I840" s="31">
        <v>-42.727890000000002</v>
      </c>
      <c r="J840" s="29" t="s">
        <v>396</v>
      </c>
      <c r="K840" s="29" t="s">
        <v>298</v>
      </c>
      <c r="L840" s="29" t="s">
        <v>400</v>
      </c>
      <c r="M840" s="29" t="s">
        <v>401</v>
      </c>
      <c r="N840" s="29"/>
      <c r="O840" s="26"/>
      <c r="P840" s="29"/>
      <c r="Q840" s="26"/>
      <c r="R840" s="27"/>
      <c r="S840" s="27"/>
      <c r="T840" s="27"/>
      <c r="U840" s="27"/>
      <c r="V840" s="27"/>
      <c r="W840" s="27"/>
      <c r="X840" s="27"/>
      <c r="Y840" s="26"/>
      <c r="Z840" s="29" t="s">
        <v>397</v>
      </c>
      <c r="AA840" s="30" t="s">
        <v>398</v>
      </c>
      <c r="AB840" s="26" t="s">
        <v>399</v>
      </c>
      <c r="AC840" s="29" t="s">
        <v>301</v>
      </c>
      <c r="AD840" s="29" t="s">
        <v>402</v>
      </c>
      <c r="AE840" s="26">
        <v>514</v>
      </c>
      <c r="AF840" s="27"/>
      <c r="AG840" s="27" t="s">
        <v>379</v>
      </c>
      <c r="AH840" s="27" t="s">
        <v>380</v>
      </c>
      <c r="AI840" s="27"/>
      <c r="AJ840" s="27"/>
      <c r="AK840" s="27"/>
      <c r="AL840" s="27"/>
      <c r="AM840" s="26"/>
      <c r="AN840" s="29" t="s">
        <v>381</v>
      </c>
      <c r="AO840" s="29" t="s">
        <v>375</v>
      </c>
      <c r="AP840" s="29" t="s">
        <v>383</v>
      </c>
      <c r="AQ840" s="30" t="s">
        <v>403</v>
      </c>
      <c r="AR840" s="30" t="s">
        <v>404</v>
      </c>
      <c r="AS840" s="26">
        <v>493</v>
      </c>
      <c r="AT840" s="26">
        <v>8</v>
      </c>
      <c r="AU840" s="27" t="s">
        <v>379</v>
      </c>
      <c r="AV840" s="27" t="s">
        <v>372</v>
      </c>
      <c r="AW840" s="27"/>
      <c r="AX840" s="27"/>
      <c r="AY840" s="27"/>
      <c r="AZ840" s="27"/>
      <c r="BA840" s="26">
        <v>3</v>
      </c>
      <c r="BB840" s="29" t="s">
        <v>381</v>
      </c>
      <c r="BC840" s="29" t="s">
        <v>375</v>
      </c>
      <c r="BD840" s="29" t="s">
        <v>383</v>
      </c>
      <c r="BE840" s="30" t="s">
        <v>403</v>
      </c>
      <c r="BF840" s="26" t="s">
        <v>405</v>
      </c>
      <c r="BG840" s="30">
        <v>0</v>
      </c>
      <c r="BH840" s="30">
        <v>0</v>
      </c>
      <c r="BI840" s="27" t="s">
        <v>379</v>
      </c>
      <c r="BJ840" s="27" t="s">
        <v>406</v>
      </c>
      <c r="BK840" s="27"/>
      <c r="BL840" s="27"/>
      <c r="BM840" s="27"/>
      <c r="BN840" s="27"/>
      <c r="BO840" s="26">
        <v>5</v>
      </c>
      <c r="BP840" s="31">
        <v>1.4500000000000001E-2</v>
      </c>
      <c r="BQ840" s="31"/>
      <c r="BR840" s="31"/>
      <c r="BS840" s="31"/>
      <c r="BT840" s="31"/>
      <c r="BU840" s="26"/>
      <c r="BV840" s="31"/>
      <c r="BW840" s="31"/>
      <c r="BX840" s="31"/>
      <c r="BY840" s="31"/>
      <c r="BZ840" s="31"/>
      <c r="CA840" s="31"/>
      <c r="CB840" s="31"/>
      <c r="CC840" s="31"/>
      <c r="CD840" s="31"/>
      <c r="CE840" s="31"/>
      <c r="CF840" s="31"/>
      <c r="CG840" s="31"/>
      <c r="CH840" s="31"/>
      <c r="CI840" s="31"/>
      <c r="CJ840" s="31"/>
      <c r="CK840" s="31"/>
      <c r="CL840" s="31"/>
      <c r="CM840" s="31"/>
      <c r="CN840" s="31"/>
      <c r="CO840" s="31"/>
      <c r="CP840" s="31"/>
      <c r="CQ840" s="31"/>
      <c r="CR840" s="31"/>
      <c r="CS840" s="31"/>
      <c r="CT840" s="31"/>
      <c r="CU840" s="31"/>
      <c r="CV840" s="31"/>
      <c r="CW840" s="31"/>
      <c r="CX840" s="31"/>
      <c r="CY840" s="31"/>
      <c r="CZ840" s="31"/>
      <c r="DA840" s="31"/>
      <c r="DB840" s="31"/>
      <c r="DC840" s="31"/>
      <c r="DD840" s="31"/>
      <c r="DE840" s="31"/>
      <c r="DF840" s="31"/>
      <c r="DG840" s="30">
        <v>6.5</v>
      </c>
      <c r="DH840" s="30">
        <v>7.3</v>
      </c>
      <c r="DI840" s="31">
        <v>0.13</v>
      </c>
      <c r="DJ840" s="31"/>
      <c r="DK840" s="31"/>
      <c r="DL840" s="31"/>
      <c r="DM840" s="31"/>
      <c r="DN840" s="31"/>
      <c r="DO840" s="31"/>
      <c r="DP840" s="31"/>
      <c r="DQ840" s="31"/>
      <c r="DR840" s="31"/>
      <c r="DS840" s="31"/>
      <c r="DT840" s="31"/>
      <c r="DU840" s="31"/>
      <c r="DV840" s="31"/>
      <c r="DW840" s="31"/>
      <c r="DX840" s="31"/>
      <c r="DY840" s="31"/>
      <c r="DZ840" s="31"/>
      <c r="EA840" s="31"/>
      <c r="EB840" s="31"/>
      <c r="EC840" s="31"/>
      <c r="ED840" s="31"/>
      <c r="EE840" s="31"/>
      <c r="EF840" s="31"/>
      <c r="EG840" s="31"/>
      <c r="EH840" s="32"/>
      <c r="EI840" s="32"/>
      <c r="EJ840" s="32"/>
      <c r="EK840" s="32"/>
      <c r="EL840" s="31"/>
      <c r="EM840" s="31"/>
      <c r="EN840" s="31"/>
      <c r="EO840" s="31"/>
      <c r="EP840" s="31"/>
      <c r="EQ840" s="31"/>
      <c r="ER840" s="31"/>
      <c r="ES840" s="31"/>
      <c r="ET840" s="31"/>
      <c r="EU840" s="31"/>
      <c r="EV840" s="31"/>
      <c r="EW840" s="31"/>
      <c r="EX840" s="31"/>
      <c r="EY840" s="26"/>
      <c r="EZ840" s="31"/>
      <c r="FA840" s="32"/>
      <c r="FB840" s="31"/>
      <c r="FC840" s="31"/>
      <c r="FD840" s="31"/>
      <c r="FE840" s="31"/>
      <c r="FF840" s="31"/>
      <c r="FG840" s="31"/>
      <c r="FH840" s="31"/>
      <c r="FI840" s="31"/>
      <c r="FJ840" s="31"/>
      <c r="FK840" s="31"/>
      <c r="FL840" s="31"/>
      <c r="FM840" s="31"/>
      <c r="FN840" s="31"/>
      <c r="FO840" s="31"/>
      <c r="FP840" s="31"/>
      <c r="FQ840" s="31"/>
      <c r="FR840" s="31"/>
      <c r="FS840" s="31"/>
      <c r="FT840" s="31"/>
      <c r="FU840" s="31"/>
      <c r="FV840" s="27">
        <f>BP840*DG840</f>
        <v>9.425E-2</v>
      </c>
      <c r="FW840" s="27">
        <f>BP840*DH840</f>
        <v>0.10585</v>
      </c>
      <c r="FX840" s="31">
        <f>16300*31.1/1000000</f>
        <v>0.50692999999999999</v>
      </c>
      <c r="FY840" s="32">
        <f>BP840*DI840</f>
        <v>1.8850000000000002E-3</v>
      </c>
      <c r="FZ840" s="31"/>
      <c r="GA840" s="31"/>
      <c r="GB840" s="31"/>
      <c r="GC840" s="31"/>
      <c r="GD840" s="31"/>
      <c r="GE840" s="31"/>
      <c r="GF840" s="31"/>
      <c r="GG840" s="31"/>
      <c r="GH840" s="31"/>
      <c r="GI840" s="31"/>
      <c r="GJ840" s="31"/>
      <c r="GK840" s="31"/>
      <c r="GL840" s="31"/>
      <c r="GM840" s="31"/>
      <c r="GN840" s="31"/>
      <c r="GO840" s="31"/>
      <c r="GP840" s="32"/>
      <c r="GQ840" s="31"/>
      <c r="GR840" s="31"/>
      <c r="GS840" s="31"/>
      <c r="GT840" s="31"/>
      <c r="GU840" s="31"/>
      <c r="GV840" s="31"/>
      <c r="GW840" s="31"/>
      <c r="GX840" s="31"/>
      <c r="GY840" s="31" t="s">
        <v>407</v>
      </c>
      <c r="GZ840" s="31" t="s">
        <v>408</v>
      </c>
      <c r="HA840" s="31"/>
      <c r="HB840" s="31" t="s">
        <v>409</v>
      </c>
      <c r="HC840" s="31" t="s">
        <v>410</v>
      </c>
      <c r="HD840" s="26" t="s">
        <v>411</v>
      </c>
      <c r="HE840" s="26"/>
      <c r="HF840" s="26"/>
      <c r="HG840" s="27" t="s">
        <v>412</v>
      </c>
      <c r="HH840" s="27" t="s">
        <v>413</v>
      </c>
      <c r="HI840" s="26">
        <v>102</v>
      </c>
      <c r="HJ840" s="27" t="s">
        <v>414</v>
      </c>
      <c r="HK840" s="27" t="s">
        <v>415</v>
      </c>
      <c r="HL840" s="27" t="s">
        <v>416</v>
      </c>
      <c r="HM840" s="26">
        <v>103</v>
      </c>
      <c r="HN840" s="27" t="s">
        <v>417</v>
      </c>
      <c r="HO840" s="27" t="s">
        <v>418</v>
      </c>
      <c r="HP840" s="27"/>
      <c r="HQ840" s="26"/>
      <c r="HR840" s="27"/>
      <c r="HS840" s="27"/>
      <c r="HT840" s="27"/>
      <c r="HU840" s="27"/>
      <c r="HV840" s="27"/>
      <c r="HW840" s="27"/>
      <c r="HX840" s="27"/>
      <c r="HY840" s="26"/>
      <c r="HZ840" s="27"/>
      <c r="IA840" s="27"/>
      <c r="IB840" s="27" t="s">
        <v>416</v>
      </c>
      <c r="IC840" s="26">
        <v>103</v>
      </c>
      <c r="ID840" s="27" t="s">
        <v>417</v>
      </c>
      <c r="IE840" s="27" t="s">
        <v>418</v>
      </c>
      <c r="IF840" s="26" t="s">
        <v>319</v>
      </c>
      <c r="IG840" s="26"/>
      <c r="IH840" s="26"/>
      <c r="II840" s="26"/>
      <c r="IJ840" s="26"/>
      <c r="IK840" s="26"/>
      <c r="IL840" s="27"/>
      <c r="IM840" s="26"/>
      <c r="IN840" s="27"/>
      <c r="IO840" s="27"/>
      <c r="IP840" s="27"/>
      <c r="IQ840" s="27"/>
      <c r="IR840" s="26"/>
      <c r="IS840" s="27"/>
      <c r="IT840" s="27"/>
      <c r="IU840" s="27"/>
      <c r="IV840" s="27"/>
      <c r="IW840" s="27"/>
      <c r="IX840" s="27"/>
      <c r="IY840" s="27"/>
      <c r="IZ840" s="27"/>
      <c r="JA840" s="27"/>
      <c r="JB840" s="27"/>
      <c r="JC840" s="27"/>
      <c r="JD840" s="27"/>
      <c r="JE840" s="27"/>
      <c r="JF840" s="27"/>
      <c r="JG840" s="27"/>
      <c r="JH840" s="27"/>
      <c r="JI840" s="27"/>
      <c r="JJ840" s="27"/>
      <c r="JK840" s="27"/>
      <c r="JL840" s="27"/>
      <c r="JM840" s="27"/>
      <c r="JN840" s="27"/>
      <c r="JO840" s="27"/>
      <c r="JP840" s="27"/>
      <c r="JQ840" s="27"/>
      <c r="JR840" s="27"/>
      <c r="JS840" s="27"/>
      <c r="JT840" s="27"/>
      <c r="JU840" s="30"/>
      <c r="JV840" s="30"/>
      <c r="JW840" s="30"/>
      <c r="JX840" s="30"/>
      <c r="JY840" s="30"/>
      <c r="JZ840" s="30"/>
      <c r="KA840" s="30"/>
      <c r="KB840" s="30"/>
      <c r="KC840" s="30"/>
      <c r="KD840" s="30"/>
      <c r="KE840" s="30"/>
      <c r="KF840" s="30"/>
      <c r="KG840" s="29" t="s">
        <v>323</v>
      </c>
      <c r="KH840" s="29"/>
      <c r="KI840" s="29"/>
      <c r="KJ840" s="29"/>
      <c r="KK840" s="29"/>
      <c r="KL840" s="29"/>
      <c r="KM840" s="29"/>
      <c r="KN840" s="29"/>
      <c r="KO840" s="29"/>
      <c r="KP840" s="14" t="s">
        <v>419</v>
      </c>
      <c r="KQ840" s="14" t="s">
        <v>420</v>
      </c>
      <c r="KR840" s="14" t="s">
        <v>421</v>
      </c>
      <c r="KS840" s="14" t="s">
        <v>419</v>
      </c>
      <c r="KT840" s="14" t="s">
        <v>422</v>
      </c>
    </row>
    <row r="841" spans="1:306" ht="96" x14ac:dyDescent="0.25">
      <c r="A841" s="14" t="s">
        <v>3927</v>
      </c>
      <c r="B841" s="29" t="s">
        <v>397</v>
      </c>
      <c r="C841" s="29" t="s">
        <v>383</v>
      </c>
      <c r="D841" s="30" t="s">
        <v>403</v>
      </c>
      <c r="E841" s="26" t="s">
        <v>405</v>
      </c>
      <c r="F841" s="29">
        <v>71754</v>
      </c>
      <c r="G841" s="29" t="s">
        <v>296</v>
      </c>
      <c r="H841" s="31">
        <v>145.27214000000001</v>
      </c>
      <c r="I841" s="31">
        <v>-41.458120000000001</v>
      </c>
      <c r="J841" s="29" t="s">
        <v>3928</v>
      </c>
      <c r="K841" s="29" t="s">
        <v>298</v>
      </c>
      <c r="L841" s="29" t="s">
        <v>400</v>
      </c>
      <c r="M841" s="29" t="s">
        <v>401</v>
      </c>
      <c r="N841" s="29"/>
      <c r="O841" s="26"/>
      <c r="P841" s="29"/>
      <c r="Q841" s="30"/>
      <c r="R841" s="30"/>
      <c r="S841" s="27"/>
      <c r="T841" s="27"/>
      <c r="U841" s="27"/>
      <c r="V841" s="27"/>
      <c r="W841" s="27"/>
      <c r="X841" s="27"/>
      <c r="Y841" s="26"/>
      <c r="Z841" s="29" t="s">
        <v>397</v>
      </c>
      <c r="AA841" s="30" t="s">
        <v>398</v>
      </c>
      <c r="AB841" s="26" t="s">
        <v>399</v>
      </c>
      <c r="AC841" s="29" t="s">
        <v>301</v>
      </c>
      <c r="AD841" s="29" t="s">
        <v>402</v>
      </c>
      <c r="AE841" s="30">
        <v>513.6</v>
      </c>
      <c r="AF841" s="30">
        <v>5</v>
      </c>
      <c r="AG841" s="27" t="s">
        <v>379</v>
      </c>
      <c r="AH841" s="27" t="s">
        <v>483</v>
      </c>
      <c r="AI841" s="27" t="s">
        <v>373</v>
      </c>
      <c r="AJ841" s="27" t="s">
        <v>306</v>
      </c>
      <c r="AK841" s="27" t="s">
        <v>307</v>
      </c>
      <c r="AL841" s="27" t="s">
        <v>337</v>
      </c>
      <c r="AM841" s="26">
        <v>4</v>
      </c>
      <c r="AN841" s="29" t="s">
        <v>381</v>
      </c>
      <c r="AO841" s="29" t="s">
        <v>375</v>
      </c>
      <c r="AP841" s="29" t="s">
        <v>383</v>
      </c>
      <c r="AQ841" s="30" t="s">
        <v>403</v>
      </c>
      <c r="AR841" s="26" t="s">
        <v>405</v>
      </c>
      <c r="AS841" s="30">
        <v>0</v>
      </c>
      <c r="AT841" s="30">
        <v>0</v>
      </c>
      <c r="AU841" s="27" t="s">
        <v>379</v>
      </c>
      <c r="AV841" s="27" t="s">
        <v>406</v>
      </c>
      <c r="AW841" s="27"/>
      <c r="AX841" s="27"/>
      <c r="AY841" s="27"/>
      <c r="AZ841" s="27"/>
      <c r="BA841" s="26">
        <v>5</v>
      </c>
      <c r="BB841" s="29"/>
      <c r="BC841" s="29"/>
      <c r="BD841" s="29"/>
      <c r="BE841" s="30"/>
      <c r="BF841" s="26"/>
      <c r="BG841" s="27"/>
      <c r="BH841" s="27"/>
      <c r="BI841" s="27"/>
      <c r="BJ841" s="27"/>
      <c r="BK841" s="27"/>
      <c r="BL841" s="27"/>
      <c r="BM841" s="27"/>
      <c r="BN841" s="27"/>
      <c r="BO841" s="26"/>
      <c r="BP841" s="30"/>
      <c r="BQ841" s="31"/>
      <c r="BR841" s="31"/>
      <c r="BS841" s="31"/>
      <c r="BT841" s="31"/>
      <c r="BU841" s="26"/>
      <c r="BV841" s="31"/>
      <c r="BW841" s="31"/>
      <c r="BX841" s="31"/>
      <c r="BY841" s="31"/>
      <c r="BZ841" s="31"/>
      <c r="CA841" s="31"/>
      <c r="CB841" s="31"/>
      <c r="CC841" s="31"/>
      <c r="CD841" s="31"/>
      <c r="CE841" s="31"/>
      <c r="CF841" s="31"/>
      <c r="CG841" s="31"/>
      <c r="CH841" s="31"/>
      <c r="CI841" s="31"/>
      <c r="CJ841" s="31"/>
      <c r="CK841" s="31"/>
      <c r="CL841" s="31"/>
      <c r="CM841" s="31"/>
      <c r="CN841" s="31"/>
      <c r="CO841" s="31"/>
      <c r="CP841" s="31"/>
      <c r="CQ841" s="31"/>
      <c r="CR841" s="31"/>
      <c r="CS841" s="31"/>
      <c r="CT841" s="31"/>
      <c r="CU841" s="31"/>
      <c r="CV841" s="31"/>
      <c r="CW841" s="31"/>
      <c r="CX841" s="31"/>
      <c r="CY841" s="31"/>
      <c r="CZ841" s="31"/>
      <c r="DA841" s="31"/>
      <c r="DB841" s="31"/>
      <c r="DC841" s="31"/>
      <c r="DD841" s="31"/>
      <c r="DE841" s="31"/>
      <c r="DF841" s="31"/>
      <c r="DG841" s="31"/>
      <c r="DH841" s="31"/>
      <c r="DI841" s="31"/>
      <c r="DJ841" s="31"/>
      <c r="DK841" s="31"/>
      <c r="DL841" s="31"/>
      <c r="DM841" s="31"/>
      <c r="DN841" s="31"/>
      <c r="DO841" s="31"/>
      <c r="DP841" s="31"/>
      <c r="DQ841" s="31"/>
      <c r="DR841" s="31"/>
      <c r="DS841" s="31"/>
      <c r="DT841" s="31"/>
      <c r="DU841" s="31"/>
      <c r="DV841" s="31"/>
      <c r="DW841" s="31"/>
      <c r="DX841" s="31"/>
      <c r="DY841" s="31"/>
      <c r="DZ841" s="31"/>
      <c r="EA841" s="31"/>
      <c r="EB841" s="31"/>
      <c r="EC841" s="31"/>
      <c r="ED841" s="31"/>
      <c r="EE841" s="31"/>
      <c r="EF841" s="31"/>
      <c r="EG841" s="31"/>
      <c r="EH841" s="32"/>
      <c r="EI841" s="32"/>
      <c r="EJ841" s="32"/>
      <c r="EK841" s="32"/>
      <c r="EL841" s="31"/>
      <c r="EM841" s="31"/>
      <c r="EN841" s="31"/>
      <c r="EO841" s="31"/>
      <c r="EP841" s="31"/>
      <c r="EQ841" s="31"/>
      <c r="ER841" s="31"/>
      <c r="ES841" s="31"/>
      <c r="ET841" s="31"/>
      <c r="EU841" s="31"/>
      <c r="EV841" s="31"/>
      <c r="EW841" s="31"/>
      <c r="EX841" s="31"/>
      <c r="EY841" s="26"/>
      <c r="EZ841" s="31"/>
      <c r="FA841" s="32"/>
      <c r="FB841" s="31"/>
      <c r="FC841" s="31"/>
      <c r="FD841" s="31"/>
      <c r="FE841" s="31"/>
      <c r="FF841" s="31"/>
      <c r="FG841" s="31"/>
      <c r="FH841" s="31"/>
      <c r="FI841" s="31"/>
      <c r="FJ841" s="31"/>
      <c r="FK841" s="31"/>
      <c r="FL841" s="31"/>
      <c r="FM841" s="31"/>
      <c r="FN841" s="31"/>
      <c r="FO841" s="31"/>
      <c r="FP841" s="31"/>
      <c r="FQ841" s="31"/>
      <c r="FR841" s="31"/>
      <c r="FS841" s="31"/>
      <c r="FT841" s="31"/>
      <c r="FU841" s="31"/>
      <c r="FV841" s="31"/>
      <c r="FW841" s="31"/>
      <c r="FX841" s="31">
        <f>(31000+250)*31.1/1000000</f>
        <v>0.97187500000000004</v>
      </c>
      <c r="FY841" s="31"/>
      <c r="FZ841" s="31"/>
      <c r="GA841" s="31"/>
      <c r="GB841" s="31"/>
      <c r="GC841" s="31"/>
      <c r="GD841" s="31"/>
      <c r="GE841" s="31"/>
      <c r="GF841" s="31"/>
      <c r="GG841" s="31"/>
      <c r="GH841" s="31"/>
      <c r="GI841" s="31"/>
      <c r="GJ841" s="31"/>
      <c r="GK841" s="31"/>
      <c r="GL841" s="31"/>
      <c r="GM841" s="31"/>
      <c r="GN841" s="31"/>
      <c r="GO841" s="31"/>
      <c r="GP841" s="32"/>
      <c r="GQ841" s="31"/>
      <c r="GR841" s="31"/>
      <c r="GS841" s="31"/>
      <c r="GT841" s="31"/>
      <c r="GU841" s="31"/>
      <c r="GV841" s="31"/>
      <c r="GW841" s="31"/>
      <c r="GX841" s="31"/>
      <c r="GY841" s="31" t="s">
        <v>309</v>
      </c>
      <c r="GZ841" s="40" t="s">
        <v>3929</v>
      </c>
      <c r="HA841" s="31"/>
      <c r="HB841" s="31"/>
      <c r="HC841" s="31"/>
      <c r="HD841" s="26" t="s">
        <v>3930</v>
      </c>
      <c r="HE841" s="26">
        <v>8232</v>
      </c>
      <c r="HF841" s="26" t="s">
        <v>3931</v>
      </c>
      <c r="HG841" s="27" t="s">
        <v>970</v>
      </c>
      <c r="HH841" s="26" t="s">
        <v>411</v>
      </c>
      <c r="HI841" s="26"/>
      <c r="HJ841" s="26"/>
      <c r="HK841" s="27" t="s">
        <v>412</v>
      </c>
      <c r="HL841" s="27"/>
      <c r="HM841" s="26"/>
      <c r="HN841" s="27"/>
      <c r="HO841" s="27"/>
      <c r="HP841" s="27"/>
      <c r="HQ841" s="26"/>
      <c r="HR841" s="27"/>
      <c r="HS841" s="27"/>
      <c r="HT841" s="27"/>
      <c r="HU841" s="27"/>
      <c r="HV841" s="27"/>
      <c r="HW841" s="27"/>
      <c r="HX841" s="27"/>
      <c r="HY841" s="26"/>
      <c r="HZ841" s="27"/>
      <c r="IA841" s="27"/>
      <c r="IB841" s="26" t="s">
        <v>3930</v>
      </c>
      <c r="IC841" s="26">
        <v>8232</v>
      </c>
      <c r="ID841" s="26" t="s">
        <v>3931</v>
      </c>
      <c r="IE841" s="27" t="s">
        <v>970</v>
      </c>
      <c r="IF841" s="26" t="s">
        <v>319</v>
      </c>
      <c r="IG841" s="26"/>
      <c r="IH841" s="26"/>
      <c r="II841" s="26"/>
      <c r="IJ841" s="26"/>
      <c r="IK841" s="26"/>
      <c r="IL841" s="27"/>
      <c r="IM841" s="26"/>
      <c r="IN841" s="27"/>
      <c r="IO841" s="27"/>
      <c r="IP841" s="27"/>
      <c r="IQ841" s="27"/>
      <c r="IR841" s="26"/>
      <c r="IS841" s="27"/>
      <c r="IT841" s="27"/>
      <c r="IU841" s="27"/>
      <c r="IV841" s="27"/>
      <c r="IW841" s="27"/>
      <c r="IX841" s="27"/>
      <c r="IY841" s="27"/>
      <c r="IZ841" s="27"/>
      <c r="JA841" s="27"/>
      <c r="JB841" s="27"/>
      <c r="JC841" s="27"/>
      <c r="JD841" s="27"/>
      <c r="JE841" s="27"/>
      <c r="JF841" s="27"/>
      <c r="JG841" s="27"/>
      <c r="JH841" s="27"/>
      <c r="JI841" s="27"/>
      <c r="JJ841" s="27"/>
      <c r="JK841" s="27"/>
      <c r="JL841" s="27"/>
      <c r="JM841" s="27"/>
      <c r="JN841" s="27"/>
      <c r="JO841" s="27"/>
      <c r="JP841" s="27"/>
      <c r="JQ841" s="27"/>
      <c r="JR841" s="27"/>
      <c r="JS841" s="27"/>
      <c r="JT841" s="27"/>
      <c r="JU841" s="30"/>
      <c r="JV841" s="30" t="s">
        <v>3932</v>
      </c>
      <c r="JW841" s="30"/>
      <c r="JX841" s="30" t="s">
        <v>353</v>
      </c>
      <c r="JY841" s="30"/>
      <c r="JZ841" s="30"/>
      <c r="KA841" s="30"/>
      <c r="KB841" s="30"/>
      <c r="KC841" s="30"/>
      <c r="KD841" s="30"/>
      <c r="KE841" s="30"/>
      <c r="KF841" s="30"/>
      <c r="KG841" s="29" t="s">
        <v>323</v>
      </c>
      <c r="KH841" s="29"/>
      <c r="KI841" s="29"/>
      <c r="KJ841" s="29"/>
      <c r="KK841" s="29"/>
      <c r="KL841" s="29"/>
      <c r="KM841" s="29"/>
      <c r="KN841" s="29"/>
      <c r="KO841" s="29"/>
      <c r="KP841" s="14" t="s">
        <v>419</v>
      </c>
      <c r="KQ841" s="14" t="s">
        <v>3933</v>
      </c>
      <c r="KR841" s="14" t="s">
        <v>421</v>
      </c>
      <c r="KS841" s="14" t="s">
        <v>419</v>
      </c>
      <c r="KT841" s="14" t="s">
        <v>3934</v>
      </c>
    </row>
    <row r="842" spans="1:306" ht="204" x14ac:dyDescent="0.25">
      <c r="A842" s="5" t="s">
        <v>6062</v>
      </c>
      <c r="B842" s="4" t="s">
        <v>397</v>
      </c>
      <c r="C842" s="7" t="s">
        <v>398</v>
      </c>
      <c r="D842" s="8" t="s">
        <v>399</v>
      </c>
      <c r="E842" s="4">
        <v>333387</v>
      </c>
      <c r="G842" s="4" t="s">
        <v>330</v>
      </c>
      <c r="H842" s="6">
        <v>116.8296</v>
      </c>
      <c r="I842" s="6">
        <v>-21.117000000000001</v>
      </c>
      <c r="J842" s="4" t="s">
        <v>6062</v>
      </c>
      <c r="K842" s="4" t="s">
        <v>331</v>
      </c>
      <c r="L842" s="4" t="s">
        <v>368</v>
      </c>
      <c r="M842" s="4" t="s">
        <v>666</v>
      </c>
      <c r="Q842" s="8"/>
      <c r="R842" s="8"/>
      <c r="Z842" s="4" t="s">
        <v>397</v>
      </c>
      <c r="AA842" s="7" t="s">
        <v>398</v>
      </c>
      <c r="AB842" s="8" t="s">
        <v>399</v>
      </c>
      <c r="AC842" s="4" t="s">
        <v>301</v>
      </c>
      <c r="AD842" s="4" t="s">
        <v>302</v>
      </c>
      <c r="AE842" s="8">
        <v>2927</v>
      </c>
      <c r="AF842" s="8">
        <v>13</v>
      </c>
      <c r="AG842" s="9" t="s">
        <v>379</v>
      </c>
      <c r="AH842" s="9" t="s">
        <v>1071</v>
      </c>
      <c r="AI842" s="9" t="s">
        <v>5056</v>
      </c>
      <c r="AJ842" s="9" t="s">
        <v>5057</v>
      </c>
      <c r="AK842" s="9" t="s">
        <v>1081</v>
      </c>
      <c r="AM842" s="8">
        <v>4</v>
      </c>
      <c r="AS842" s="8"/>
      <c r="AT842" s="8"/>
      <c r="BG842" s="8"/>
      <c r="BH842" s="8"/>
      <c r="BP842" s="7">
        <v>23.6</v>
      </c>
      <c r="BQ842" s="7"/>
      <c r="BR842" s="6">
        <v>0.14754237288135591</v>
      </c>
      <c r="BV842" s="7">
        <v>0.24745762711864405</v>
      </c>
      <c r="CL842" s="6">
        <v>8.7796610169491529E-2</v>
      </c>
      <c r="CU842" s="7">
        <v>0.1</v>
      </c>
      <c r="CV842" s="7">
        <v>1.4949152542372881</v>
      </c>
      <c r="DG842" s="7"/>
      <c r="DH842" s="7"/>
      <c r="DI842" s="7">
        <v>1.1000000000000001</v>
      </c>
      <c r="DZ842" s="31"/>
      <c r="EH842" s="10">
        <f>BP842*BR842/100</f>
        <v>3.4819999999999997E-2</v>
      </c>
      <c r="EL842" s="6">
        <f>BP842*BV842</f>
        <v>5.84</v>
      </c>
      <c r="FA842" s="10">
        <f t="shared" ref="FA842:FA859" si="28">BP842*CL842/100</f>
        <v>2.0720000000000002E-2</v>
      </c>
      <c r="FJ842" s="6">
        <f>CU842*BP842</f>
        <v>2.3600000000000003</v>
      </c>
      <c r="FK842" s="6">
        <f>BP842*CV842</f>
        <v>35.28</v>
      </c>
      <c r="FY842" s="6">
        <f>BP842*DI842</f>
        <v>25.960000000000004</v>
      </c>
      <c r="GP842" s="32"/>
      <c r="GY842" s="6" t="s">
        <v>309</v>
      </c>
      <c r="GZ842" s="6" t="s">
        <v>408</v>
      </c>
      <c r="HA842" s="6" t="s">
        <v>928</v>
      </c>
      <c r="HB842" s="6" t="s">
        <v>1528</v>
      </c>
      <c r="HC842" s="6" t="s">
        <v>6063</v>
      </c>
      <c r="HD842" s="8" t="s">
        <v>6064</v>
      </c>
      <c r="HE842" s="8">
        <v>37206</v>
      </c>
      <c r="HF842" s="8" t="s">
        <v>6065</v>
      </c>
      <c r="HG842" s="9" t="s">
        <v>389</v>
      </c>
      <c r="IB842" s="8" t="s">
        <v>6064</v>
      </c>
      <c r="IC842" s="8">
        <v>37206</v>
      </c>
      <c r="ID842" s="8" t="s">
        <v>6066</v>
      </c>
      <c r="IE842" s="9" t="s">
        <v>389</v>
      </c>
      <c r="IF842" s="9" t="s">
        <v>319</v>
      </c>
      <c r="IR842" s="9"/>
      <c r="JX842" s="7" t="s">
        <v>322</v>
      </c>
      <c r="JY842" s="7" t="s">
        <v>448</v>
      </c>
      <c r="JZ842" s="7" t="s">
        <v>320</v>
      </c>
      <c r="KA842" s="7" t="s">
        <v>321</v>
      </c>
      <c r="KB842" s="7" t="s">
        <v>353</v>
      </c>
      <c r="KG842" s="4" t="s">
        <v>323</v>
      </c>
      <c r="KM842" s="4" t="s">
        <v>521</v>
      </c>
      <c r="KN842" s="4" t="s">
        <v>521</v>
      </c>
      <c r="KP842" s="5" t="s">
        <v>358</v>
      </c>
      <c r="KQ842" s="5" t="s">
        <v>6067</v>
      </c>
      <c r="KR842" s="5" t="s">
        <v>6068</v>
      </c>
      <c r="KS842" s="5" t="s">
        <v>6069</v>
      </c>
      <c r="KT842" s="5" t="s">
        <v>6070</v>
      </c>
    </row>
    <row r="843" spans="1:306" ht="24" x14ac:dyDescent="0.25">
      <c r="A843" s="5" t="s">
        <v>923</v>
      </c>
      <c r="B843" s="4" t="s">
        <v>383</v>
      </c>
      <c r="C843" s="7" t="s">
        <v>926</v>
      </c>
      <c r="D843" s="8" t="s">
        <v>927</v>
      </c>
      <c r="E843" s="4">
        <v>467220</v>
      </c>
      <c r="G843" s="4" t="s">
        <v>330</v>
      </c>
      <c r="H843" s="6">
        <v>121.8736</v>
      </c>
      <c r="I843" s="6">
        <v>-29.254100000000001</v>
      </c>
      <c r="J843" s="4" t="s">
        <v>925</v>
      </c>
      <c r="K843" s="4" t="s">
        <v>331</v>
      </c>
      <c r="L843" s="4" t="s">
        <v>500</v>
      </c>
      <c r="M843" s="4" t="s">
        <v>501</v>
      </c>
      <c r="N843" s="4" t="s">
        <v>625</v>
      </c>
      <c r="O843" s="8" t="s">
        <v>924</v>
      </c>
      <c r="P843" s="4" t="s">
        <v>371</v>
      </c>
      <c r="Q843" s="8"/>
      <c r="R843" s="8"/>
      <c r="AE843" s="8"/>
      <c r="AF843" s="8"/>
      <c r="AN843" s="4" t="s">
        <v>381</v>
      </c>
      <c r="AO843" s="4" t="s">
        <v>375</v>
      </c>
      <c r="AP843" s="4" t="s">
        <v>383</v>
      </c>
      <c r="AQ843" s="7" t="s">
        <v>926</v>
      </c>
      <c r="AR843" s="8" t="s">
        <v>927</v>
      </c>
      <c r="AS843" s="8"/>
      <c r="AT843" s="8"/>
      <c r="BP843" s="7">
        <v>49</v>
      </c>
      <c r="BQ843" s="8"/>
      <c r="BY843" s="8"/>
      <c r="CD843" s="8"/>
      <c r="CK843" s="9">
        <v>6.6000000000000003E-2</v>
      </c>
      <c r="CL843" s="6">
        <v>0.7</v>
      </c>
      <c r="DZ843" s="31"/>
      <c r="ED843" s="8"/>
      <c r="EO843" s="8"/>
      <c r="EZ843" s="7">
        <f t="shared" ref="EZ843:EZ859" si="29">1000*BP843*CK843/100</f>
        <v>32.340000000000003</v>
      </c>
      <c r="FA843" s="6">
        <f t="shared" si="28"/>
        <v>0.34299999999999997</v>
      </c>
      <c r="GP843" s="32"/>
      <c r="GT843" s="8"/>
      <c r="GW843" s="8"/>
      <c r="GY843" s="8" t="s">
        <v>338</v>
      </c>
      <c r="GZ843" s="8" t="s">
        <v>928</v>
      </c>
      <c r="HA843" s="8" t="s">
        <v>929</v>
      </c>
      <c r="HB843" s="8"/>
      <c r="HC843" s="8" t="s">
        <v>655</v>
      </c>
      <c r="KP843" s="5" t="s">
        <v>358</v>
      </c>
      <c r="KQ843" s="5" t="s">
        <v>930</v>
      </c>
      <c r="KS843" s="5" t="s">
        <v>931</v>
      </c>
    </row>
    <row r="844" spans="1:306" ht="36" x14ac:dyDescent="0.25">
      <c r="A844" s="5" t="s">
        <v>1225</v>
      </c>
      <c r="B844" s="4" t="s">
        <v>383</v>
      </c>
      <c r="C844" s="7" t="s">
        <v>926</v>
      </c>
      <c r="D844" s="8" t="s">
        <v>1227</v>
      </c>
      <c r="E844" s="4">
        <v>646461</v>
      </c>
      <c r="G844" s="4" t="s">
        <v>479</v>
      </c>
      <c r="H844" s="6">
        <v>145.16246000000001</v>
      </c>
      <c r="I844" s="6">
        <v>-17.97176</v>
      </c>
      <c r="J844" s="4" t="s">
        <v>1226</v>
      </c>
      <c r="K844" s="4" t="s">
        <v>298</v>
      </c>
      <c r="L844" s="4" t="s">
        <v>760</v>
      </c>
      <c r="O844" s="8" t="s">
        <v>924</v>
      </c>
      <c r="P844" s="4" t="s">
        <v>371</v>
      </c>
      <c r="Y844" s="8">
        <v>2</v>
      </c>
      <c r="AN844" s="4" t="s">
        <v>381</v>
      </c>
      <c r="AO844" s="4" t="s">
        <v>375</v>
      </c>
      <c r="AP844" s="4" t="s">
        <v>383</v>
      </c>
      <c r="AQ844" s="7" t="s">
        <v>926</v>
      </c>
      <c r="AR844" s="8" t="s">
        <v>1227</v>
      </c>
      <c r="AS844" s="8"/>
      <c r="AT844" s="8"/>
      <c r="BP844" s="7">
        <v>25.8</v>
      </c>
      <c r="CK844" s="6">
        <v>0.04</v>
      </c>
      <c r="CL844" s="6">
        <v>0.72</v>
      </c>
      <c r="DZ844" s="31"/>
      <c r="EZ844" s="6">
        <f t="shared" si="29"/>
        <v>10.32</v>
      </c>
      <c r="FA844" s="10">
        <f t="shared" si="28"/>
        <v>0.18576000000000001</v>
      </c>
      <c r="GP844" s="32"/>
      <c r="GY844" s="6" t="s">
        <v>338</v>
      </c>
      <c r="GZ844" s="6" t="s">
        <v>928</v>
      </c>
      <c r="HB844" s="6" t="s">
        <v>929</v>
      </c>
      <c r="HC844" s="6" t="s">
        <v>655</v>
      </c>
      <c r="HD844" s="8" t="s">
        <v>1228</v>
      </c>
      <c r="HE844" s="8">
        <v>16588</v>
      </c>
      <c r="HF844" s="8" t="s">
        <v>1229</v>
      </c>
      <c r="HG844" s="9" t="s">
        <v>1230</v>
      </c>
      <c r="IB844" s="8" t="s">
        <v>1228</v>
      </c>
      <c r="IC844" s="8">
        <v>16588</v>
      </c>
      <c r="ID844" s="8" t="s">
        <v>1229</v>
      </c>
      <c r="IE844" s="9" t="s">
        <v>1230</v>
      </c>
      <c r="IF844" s="8" t="s">
        <v>445</v>
      </c>
      <c r="KP844" s="5" t="s">
        <v>358</v>
      </c>
      <c r="KQ844" s="5" t="s">
        <v>1231</v>
      </c>
      <c r="KS844" s="5" t="s">
        <v>1231</v>
      </c>
      <c r="KT844" s="5" t="s">
        <v>1232</v>
      </c>
    </row>
    <row r="845" spans="1:306" ht="96" x14ac:dyDescent="0.25">
      <c r="A845" s="5" t="s">
        <v>1377</v>
      </c>
      <c r="B845" s="4" t="s">
        <v>383</v>
      </c>
      <c r="C845" s="7" t="s">
        <v>926</v>
      </c>
      <c r="D845" s="8" t="s">
        <v>1227</v>
      </c>
      <c r="E845" s="38">
        <v>922676</v>
      </c>
      <c r="G845" s="4" t="s">
        <v>330</v>
      </c>
      <c r="H845" s="6">
        <v>121.36189733800001</v>
      </c>
      <c r="I845" s="6">
        <v>-30.158664459000001</v>
      </c>
      <c r="J845" s="4" t="s">
        <v>1378</v>
      </c>
      <c r="K845" s="4" t="s">
        <v>331</v>
      </c>
      <c r="L845" s="4" t="s">
        <v>500</v>
      </c>
      <c r="M845" s="4" t="s">
        <v>501</v>
      </c>
      <c r="N845" s="4" t="s">
        <v>1061</v>
      </c>
      <c r="O845" s="8" t="s">
        <v>924</v>
      </c>
      <c r="P845" s="4" t="s">
        <v>371</v>
      </c>
      <c r="Q845" s="8">
        <f>(2710+2692)/2</f>
        <v>2701</v>
      </c>
      <c r="R845" s="8">
        <f>(2710-2692)/2</f>
        <v>9</v>
      </c>
      <c r="S845" s="9" t="s">
        <v>379</v>
      </c>
      <c r="T845" s="9" t="s">
        <v>690</v>
      </c>
      <c r="Y845" s="8">
        <v>4</v>
      </c>
      <c r="AE845" s="8"/>
      <c r="AF845" s="8"/>
      <c r="AN845" s="4" t="s">
        <v>381</v>
      </c>
      <c r="AO845" s="4" t="s">
        <v>375</v>
      </c>
      <c r="AP845" s="4" t="s">
        <v>383</v>
      </c>
      <c r="AQ845" s="7" t="s">
        <v>926</v>
      </c>
      <c r="AR845" s="8" t="s">
        <v>1227</v>
      </c>
      <c r="AS845" s="8">
        <f>(56+33.9)/2</f>
        <v>44.95</v>
      </c>
      <c r="AT845" s="8">
        <f>(56-33.9)/2</f>
        <v>11.05</v>
      </c>
      <c r="AU845" s="9" t="s">
        <v>379</v>
      </c>
      <c r="AV845" s="9" t="s">
        <v>460</v>
      </c>
      <c r="BA845" s="8">
        <v>3</v>
      </c>
      <c r="BP845" s="7">
        <f>63+17</f>
        <v>80</v>
      </c>
      <c r="BQ845" s="8"/>
      <c r="BY845" s="8"/>
      <c r="CD845" s="8"/>
      <c r="CE845" s="8">
        <f>(24*63+25*17)/(63+17)</f>
        <v>24.212499999999999</v>
      </c>
      <c r="CK845" s="9">
        <f>(0.046*63+0.058*17)/(63+17)</f>
        <v>4.8550000000000003E-2</v>
      </c>
      <c r="CL845" s="6">
        <f>(0.7*63+0.72*17)/(63+17)</f>
        <v>0.70424999999999993</v>
      </c>
      <c r="DZ845" s="31"/>
      <c r="ED845" s="8"/>
      <c r="EO845" s="8"/>
      <c r="ET845" s="6">
        <f>BP845*CE845/1000</f>
        <v>1.9370000000000001</v>
      </c>
      <c r="EZ845" s="7">
        <f t="shared" si="29"/>
        <v>38.840000000000003</v>
      </c>
      <c r="FA845" s="6">
        <f t="shared" si="28"/>
        <v>0.56340000000000001</v>
      </c>
      <c r="GP845" s="32"/>
      <c r="GT845" s="8"/>
      <c r="GW845" s="8"/>
      <c r="GY845" s="8" t="s">
        <v>338</v>
      </c>
      <c r="GZ845" s="8" t="s">
        <v>655</v>
      </c>
      <c r="HA845" s="8"/>
      <c r="HB845" s="8" t="s">
        <v>1379</v>
      </c>
      <c r="HC845" s="8"/>
      <c r="HD845" s="8" t="s">
        <v>1380</v>
      </c>
      <c r="HE845" s="8">
        <v>24071</v>
      </c>
      <c r="HF845" s="8" t="s">
        <v>1381</v>
      </c>
      <c r="HG845" s="9" t="s">
        <v>507</v>
      </c>
      <c r="IB845" s="8" t="s">
        <v>1380</v>
      </c>
      <c r="IC845" s="8">
        <v>24071</v>
      </c>
      <c r="ID845" s="8" t="s">
        <v>1381</v>
      </c>
      <c r="IE845" s="8" t="s">
        <v>507</v>
      </c>
      <c r="IF845" s="8" t="s">
        <v>445</v>
      </c>
      <c r="KP845" s="5" t="s">
        <v>931</v>
      </c>
      <c r="KQ845" s="5" t="s">
        <v>1382</v>
      </c>
      <c r="KR845" s="5" t="s">
        <v>1383</v>
      </c>
      <c r="KS845" s="5" t="s">
        <v>931</v>
      </c>
      <c r="KT845" s="5" t="s">
        <v>1384</v>
      </c>
    </row>
    <row r="846" spans="1:306" ht="132" x14ac:dyDescent="0.25">
      <c r="A846" s="5" t="s">
        <v>1466</v>
      </c>
      <c r="B846" s="4" t="s">
        <v>383</v>
      </c>
      <c r="C846" s="7" t="s">
        <v>926</v>
      </c>
      <c r="D846" s="8" t="s">
        <v>1227</v>
      </c>
      <c r="G846" s="4" t="s">
        <v>330</v>
      </c>
      <c r="H846" s="6">
        <v>120.964540167</v>
      </c>
      <c r="I846" s="6">
        <v>-30.351573158000001</v>
      </c>
      <c r="J846" s="4" t="s">
        <v>1467</v>
      </c>
      <c r="K846" s="4" t="s">
        <v>331</v>
      </c>
      <c r="L846" s="4" t="s">
        <v>500</v>
      </c>
      <c r="M846" s="4" t="s">
        <v>501</v>
      </c>
      <c r="N846" s="4" t="s">
        <v>1061</v>
      </c>
      <c r="O846" s="8" t="s">
        <v>924</v>
      </c>
      <c r="P846" s="4" t="s">
        <v>371</v>
      </c>
      <c r="Q846" s="8">
        <f>(2702+2692)/2</f>
        <v>2697</v>
      </c>
      <c r="R846" s="8">
        <f>(2702-2692)/2</f>
        <v>5</v>
      </c>
      <c r="S846" s="9" t="s">
        <v>379</v>
      </c>
      <c r="T846" s="9" t="s">
        <v>690</v>
      </c>
      <c r="Y846" s="8">
        <v>4</v>
      </c>
      <c r="AE846" s="8"/>
      <c r="AF846" s="8"/>
      <c r="AN846" s="4" t="s">
        <v>381</v>
      </c>
      <c r="AO846" s="4" t="s">
        <v>375</v>
      </c>
      <c r="AP846" s="4" t="s">
        <v>383</v>
      </c>
      <c r="AQ846" s="7" t="s">
        <v>926</v>
      </c>
      <c r="AR846" s="8" t="s">
        <v>1227</v>
      </c>
      <c r="AS846" s="8">
        <f>(56+33.9)/2</f>
        <v>44.95</v>
      </c>
      <c r="AT846" s="8">
        <f>(56-33.9)/2</f>
        <v>11.05</v>
      </c>
      <c r="AU846" s="9" t="s">
        <v>379</v>
      </c>
      <c r="AV846" s="9" t="s">
        <v>460</v>
      </c>
      <c r="BA846" s="8">
        <v>3</v>
      </c>
      <c r="BP846" s="7">
        <v>26.92</v>
      </c>
      <c r="BQ846" s="8"/>
      <c r="BY846" s="8"/>
      <c r="CD846" s="8"/>
      <c r="CE846" s="7">
        <v>35.9</v>
      </c>
      <c r="CK846" s="6">
        <v>7.0000000000000007E-2</v>
      </c>
      <c r="CL846" s="6">
        <v>0.54</v>
      </c>
      <c r="CV846" s="6">
        <v>0.14000000000000001</v>
      </c>
      <c r="DI846" s="6">
        <v>0.15</v>
      </c>
      <c r="DZ846" s="31"/>
      <c r="ED846" s="8"/>
      <c r="EO846" s="8"/>
      <c r="ET846" s="6">
        <f>BP846*CE846/1000</f>
        <v>0.96642799999999995</v>
      </c>
      <c r="EZ846" s="7">
        <f t="shared" si="29"/>
        <v>18.844000000000001</v>
      </c>
      <c r="FA846" s="6">
        <f t="shared" si="28"/>
        <v>0.14536800000000002</v>
      </c>
      <c r="FK846" s="6">
        <f>BP846*CV846</f>
        <v>3.7688000000000006</v>
      </c>
      <c r="FY846" s="6">
        <f>BP846*DI846</f>
        <v>4.0380000000000003</v>
      </c>
      <c r="GP846" s="32"/>
      <c r="GT846" s="8"/>
      <c r="GW846" s="8"/>
      <c r="GY846" s="8" t="s">
        <v>338</v>
      </c>
      <c r="GZ846" s="8" t="s">
        <v>655</v>
      </c>
      <c r="HA846" s="8"/>
      <c r="HB846" s="8" t="s">
        <v>1468</v>
      </c>
      <c r="HC846" s="8"/>
      <c r="HD846" s="8" t="s">
        <v>1469</v>
      </c>
      <c r="HE846" s="8">
        <v>24071</v>
      </c>
      <c r="HF846" s="8" t="s">
        <v>1470</v>
      </c>
      <c r="HG846" s="9" t="s">
        <v>507</v>
      </c>
      <c r="IB846" s="8" t="s">
        <v>1469</v>
      </c>
      <c r="IC846" s="8">
        <v>24071</v>
      </c>
      <c r="ID846" s="8" t="s">
        <v>1470</v>
      </c>
      <c r="IE846" s="9" t="s">
        <v>507</v>
      </c>
      <c r="IF846" s="8" t="s">
        <v>445</v>
      </c>
      <c r="KP846" s="5" t="s">
        <v>1471</v>
      </c>
      <c r="KQ846" s="5" t="s">
        <v>1472</v>
      </c>
      <c r="KR846" s="5" t="s">
        <v>1473</v>
      </c>
      <c r="KS846" s="5" t="s">
        <v>1471</v>
      </c>
      <c r="KT846" s="5" t="s">
        <v>1474</v>
      </c>
    </row>
    <row r="847" spans="1:306" ht="120" x14ac:dyDescent="0.25">
      <c r="A847" s="5" t="s">
        <v>1624</v>
      </c>
      <c r="B847" s="4" t="s">
        <v>383</v>
      </c>
      <c r="C847" s="7" t="s">
        <v>926</v>
      </c>
      <c r="D847" s="8" t="s">
        <v>927</v>
      </c>
      <c r="E847" s="38">
        <v>340912</v>
      </c>
      <c r="G847" s="4" t="s">
        <v>330</v>
      </c>
      <c r="H847" s="6">
        <v>121.93164</v>
      </c>
      <c r="I847" s="6">
        <v>-29.542400000000001</v>
      </c>
      <c r="J847" s="4" t="s">
        <v>925</v>
      </c>
      <c r="K847" s="4" t="s">
        <v>331</v>
      </c>
      <c r="L847" s="4" t="s">
        <v>500</v>
      </c>
      <c r="M847" s="4" t="s">
        <v>501</v>
      </c>
      <c r="N847" s="4" t="s">
        <v>625</v>
      </c>
      <c r="O847" s="8" t="s">
        <v>924</v>
      </c>
      <c r="P847" s="4" t="s">
        <v>371</v>
      </c>
      <c r="Q847" s="8"/>
      <c r="R847" s="8"/>
      <c r="AE847" s="8"/>
      <c r="AF847" s="8"/>
      <c r="AN847" s="4" t="s">
        <v>381</v>
      </c>
      <c r="AO847" s="4" t="s">
        <v>375</v>
      </c>
      <c r="AP847" s="4" t="s">
        <v>383</v>
      </c>
      <c r="AQ847" s="7" t="s">
        <v>926</v>
      </c>
      <c r="AR847" s="8" t="s">
        <v>927</v>
      </c>
      <c r="AS847" s="8"/>
      <c r="AT847" s="8"/>
      <c r="BP847" s="7">
        <v>27</v>
      </c>
      <c r="BQ847" s="8"/>
      <c r="BY847" s="8"/>
      <c r="CD847" s="8"/>
      <c r="CK847" s="9">
        <v>5.8000000000000003E-2</v>
      </c>
      <c r="CL847" s="6">
        <v>0.77</v>
      </c>
      <c r="DZ847" s="31"/>
      <c r="ED847" s="8"/>
      <c r="EO847" s="8"/>
      <c r="EZ847" s="7">
        <f t="shared" si="29"/>
        <v>15.66</v>
      </c>
      <c r="FA847" s="6">
        <f t="shared" si="28"/>
        <v>0.2079</v>
      </c>
      <c r="GP847" s="32"/>
      <c r="GT847" s="8"/>
      <c r="GW847" s="8"/>
      <c r="GY847" s="8" t="s">
        <v>338</v>
      </c>
      <c r="GZ847" s="8" t="s">
        <v>928</v>
      </c>
      <c r="HA847" s="8" t="s">
        <v>929</v>
      </c>
      <c r="HB847" s="8"/>
      <c r="HC847" s="8" t="s">
        <v>655</v>
      </c>
      <c r="HD847" s="8" t="s">
        <v>1625</v>
      </c>
      <c r="HE847" s="8">
        <v>74475</v>
      </c>
      <c r="HF847" s="8" t="s">
        <v>1626</v>
      </c>
      <c r="HG847" s="9" t="s">
        <v>507</v>
      </c>
      <c r="IB847" s="8" t="s">
        <v>1625</v>
      </c>
      <c r="IC847" s="8">
        <v>74475</v>
      </c>
      <c r="ID847" s="8" t="s">
        <v>1626</v>
      </c>
      <c r="IE847" s="8" t="s">
        <v>507</v>
      </c>
      <c r="IF847" s="8" t="s">
        <v>445</v>
      </c>
      <c r="KP847" s="5" t="s">
        <v>1627</v>
      </c>
      <c r="KQ847" s="5" t="s">
        <v>1628</v>
      </c>
      <c r="KS847" s="5" t="s">
        <v>931</v>
      </c>
    </row>
    <row r="848" spans="1:306" ht="84" x14ac:dyDescent="0.25">
      <c r="A848" s="5" t="s">
        <v>1828</v>
      </c>
      <c r="B848" s="4" t="s">
        <v>383</v>
      </c>
      <c r="C848" s="7" t="s">
        <v>926</v>
      </c>
      <c r="D848" s="8" t="s">
        <v>1830</v>
      </c>
      <c r="E848" s="38">
        <v>453899</v>
      </c>
      <c r="G848" s="4" t="s">
        <v>330</v>
      </c>
      <c r="H848" s="6">
        <v>121.835581714</v>
      </c>
      <c r="I848" s="6">
        <v>-30.757865029000001</v>
      </c>
      <c r="J848" s="4" t="s">
        <v>1829</v>
      </c>
      <c r="K848" s="4" t="s">
        <v>331</v>
      </c>
      <c r="L848" s="4" t="s">
        <v>500</v>
      </c>
      <c r="M848" s="4" t="s">
        <v>501</v>
      </c>
      <c r="N848" s="4" t="s">
        <v>625</v>
      </c>
      <c r="O848" s="8" t="s">
        <v>924</v>
      </c>
      <c r="P848" s="4" t="s">
        <v>371</v>
      </c>
      <c r="Q848" s="8">
        <f>(2705+2706)/2</f>
        <v>2705.5</v>
      </c>
      <c r="R848" s="8">
        <f>(2713-2701)/2</f>
        <v>6</v>
      </c>
      <c r="S848" s="9" t="s">
        <v>379</v>
      </c>
      <c r="T848" s="9" t="s">
        <v>690</v>
      </c>
      <c r="Y848" s="8">
        <v>4</v>
      </c>
      <c r="AE848" s="8"/>
      <c r="AF848" s="8"/>
      <c r="AN848" s="4" t="s">
        <v>381</v>
      </c>
      <c r="AO848" s="4" t="s">
        <v>375</v>
      </c>
      <c r="AP848" s="4" t="s">
        <v>383</v>
      </c>
      <c r="AQ848" s="7" t="s">
        <v>926</v>
      </c>
      <c r="AR848" s="8" t="s">
        <v>1830</v>
      </c>
      <c r="AS848" s="8"/>
      <c r="AT848" s="8"/>
      <c r="BP848" s="7">
        <f>16+24</f>
        <v>40</v>
      </c>
      <c r="BQ848" s="8"/>
      <c r="BY848" s="8"/>
      <c r="CD848" s="8"/>
      <c r="CK848" s="9">
        <f>(16*0.055+24*0.053)/(16+24)</f>
        <v>5.3800000000000001E-2</v>
      </c>
      <c r="CL848" s="6">
        <f>(16+1.06+24*0.79)/(16+24)</f>
        <v>0.90049999999999986</v>
      </c>
      <c r="DZ848" s="31"/>
      <c r="ED848" s="8"/>
      <c r="EO848" s="8"/>
      <c r="EZ848" s="7">
        <f t="shared" si="29"/>
        <v>21.52</v>
      </c>
      <c r="FA848" s="6">
        <f t="shared" si="28"/>
        <v>0.36019999999999996</v>
      </c>
      <c r="GP848" s="32"/>
      <c r="GT848" s="8"/>
      <c r="GW848" s="8"/>
      <c r="GY848" s="8" t="s">
        <v>338</v>
      </c>
      <c r="GZ848" s="8" t="s">
        <v>928</v>
      </c>
      <c r="HA848" s="8" t="s">
        <v>929</v>
      </c>
      <c r="HB848" s="8"/>
      <c r="HC848" s="8" t="s">
        <v>655</v>
      </c>
      <c r="HD848" s="8" t="s">
        <v>1831</v>
      </c>
      <c r="HE848" s="8">
        <v>2934</v>
      </c>
      <c r="HF848" s="8" t="s">
        <v>1832</v>
      </c>
      <c r="HG848" s="9" t="s">
        <v>507</v>
      </c>
      <c r="IB848" s="8" t="s">
        <v>1831</v>
      </c>
      <c r="IC848" s="8">
        <v>2934</v>
      </c>
      <c r="ID848" s="8" t="s">
        <v>1832</v>
      </c>
      <c r="IE848" s="9" t="s">
        <v>507</v>
      </c>
      <c r="IF848" s="8" t="s">
        <v>445</v>
      </c>
      <c r="KP848" s="5" t="s">
        <v>1833</v>
      </c>
      <c r="KQ848" s="5" t="s">
        <v>1834</v>
      </c>
      <c r="KR848" s="5" t="s">
        <v>1835</v>
      </c>
      <c r="KS848" s="5" t="s">
        <v>931</v>
      </c>
      <c r="KT848" s="5" t="s">
        <v>1836</v>
      </c>
    </row>
    <row r="849" spans="1:306" ht="48" x14ac:dyDescent="0.25">
      <c r="A849" s="5" t="s">
        <v>2056</v>
      </c>
      <c r="B849" s="4" t="s">
        <v>383</v>
      </c>
      <c r="C849" s="7" t="s">
        <v>926</v>
      </c>
      <c r="D849" s="8" t="s">
        <v>1227</v>
      </c>
      <c r="E849" s="38">
        <v>334978</v>
      </c>
      <c r="G849" s="4" t="s">
        <v>330</v>
      </c>
      <c r="H849" s="6">
        <v>121.126754433</v>
      </c>
      <c r="I849" s="6">
        <v>-30.376553310999999</v>
      </c>
      <c r="J849" s="4" t="s">
        <v>2056</v>
      </c>
      <c r="K849" s="4" t="s">
        <v>331</v>
      </c>
      <c r="L849" s="4" t="s">
        <v>500</v>
      </c>
      <c r="M849" s="4" t="s">
        <v>501</v>
      </c>
      <c r="N849" s="4" t="s">
        <v>1061</v>
      </c>
      <c r="O849" s="8" t="s">
        <v>924</v>
      </c>
      <c r="P849" s="4" t="s">
        <v>371</v>
      </c>
      <c r="Q849" s="8">
        <f>(2710+2692)/2</f>
        <v>2701</v>
      </c>
      <c r="R849" s="8">
        <f>(2710-2692)/2</f>
        <v>9</v>
      </c>
      <c r="S849" s="9" t="s">
        <v>379</v>
      </c>
      <c r="T849" s="9" t="s">
        <v>690</v>
      </c>
      <c r="Y849" s="8">
        <v>4</v>
      </c>
      <c r="AE849" s="8"/>
      <c r="AF849" s="8"/>
      <c r="AN849" s="4" t="s">
        <v>381</v>
      </c>
      <c r="AO849" s="4" t="s">
        <v>375</v>
      </c>
      <c r="AP849" s="4" t="s">
        <v>383</v>
      </c>
      <c r="AQ849" s="7" t="s">
        <v>926</v>
      </c>
      <c r="AR849" s="8" t="s">
        <v>1227</v>
      </c>
      <c r="BP849" s="7">
        <v>217</v>
      </c>
      <c r="BQ849" s="8"/>
      <c r="BY849" s="8"/>
      <c r="CD849" s="8"/>
      <c r="CK849" s="6">
        <v>0.04</v>
      </c>
      <c r="CL849" s="7">
        <v>0.7</v>
      </c>
      <c r="DZ849" s="31"/>
      <c r="ED849" s="8"/>
      <c r="EO849" s="8"/>
      <c r="EZ849" s="7">
        <f t="shared" si="29"/>
        <v>86.8</v>
      </c>
      <c r="FA849" s="6">
        <f t="shared" si="28"/>
        <v>1.5189999999999997</v>
      </c>
      <c r="GP849" s="32"/>
      <c r="GT849" s="8"/>
      <c r="GW849" s="8"/>
      <c r="GY849" s="8" t="s">
        <v>309</v>
      </c>
      <c r="GZ849" s="8" t="s">
        <v>928</v>
      </c>
      <c r="HA849" s="8" t="s">
        <v>929</v>
      </c>
      <c r="HB849" s="8"/>
      <c r="HC849" s="8" t="s">
        <v>655</v>
      </c>
      <c r="HD849" s="8" t="s">
        <v>1380</v>
      </c>
      <c r="HE849" s="8">
        <v>24071</v>
      </c>
      <c r="HF849" s="8" t="s">
        <v>1381</v>
      </c>
      <c r="HG849" s="9" t="s">
        <v>507</v>
      </c>
      <c r="IB849" s="8" t="s">
        <v>1380</v>
      </c>
      <c r="IC849" s="8">
        <v>24071</v>
      </c>
      <c r="ID849" s="8" t="s">
        <v>1381</v>
      </c>
      <c r="IE849" s="8" t="s">
        <v>507</v>
      </c>
      <c r="IF849" s="8" t="s">
        <v>445</v>
      </c>
      <c r="KP849" s="5" t="s">
        <v>2057</v>
      </c>
      <c r="KQ849" s="5" t="s">
        <v>2058</v>
      </c>
      <c r="KR849" s="5" t="s">
        <v>1835</v>
      </c>
      <c r="KS849" s="5" t="s">
        <v>2057</v>
      </c>
      <c r="KT849" s="5" t="s">
        <v>2059</v>
      </c>
    </row>
    <row r="850" spans="1:306" ht="48" x14ac:dyDescent="0.2">
      <c r="A850" s="5" t="s">
        <v>3431</v>
      </c>
      <c r="B850" s="4" t="s">
        <v>383</v>
      </c>
      <c r="C850" s="7" t="s">
        <v>926</v>
      </c>
      <c r="D850" s="8" t="s">
        <v>1227</v>
      </c>
      <c r="E850" s="44">
        <v>334783</v>
      </c>
      <c r="G850" s="4" t="s">
        <v>330</v>
      </c>
      <c r="H850" s="6">
        <v>120.87130999999999</v>
      </c>
      <c r="I850" s="6">
        <v>-29.530999999999999</v>
      </c>
      <c r="J850" s="4" t="s">
        <v>1378</v>
      </c>
      <c r="K850" s="4" t="s">
        <v>331</v>
      </c>
      <c r="L850" s="4" t="s">
        <v>500</v>
      </c>
      <c r="M850" s="4" t="s">
        <v>501</v>
      </c>
      <c r="N850" s="4" t="s">
        <v>1061</v>
      </c>
      <c r="O850" s="8" t="s">
        <v>924</v>
      </c>
      <c r="P850" s="4" t="s">
        <v>371</v>
      </c>
      <c r="Q850" s="8">
        <f>(2710+2692)/2</f>
        <v>2701</v>
      </c>
      <c r="R850" s="8">
        <f>(2710-2692)/2</f>
        <v>9</v>
      </c>
      <c r="S850" s="9" t="s">
        <v>379</v>
      </c>
      <c r="T850" s="9" t="s">
        <v>690</v>
      </c>
      <c r="Y850" s="8">
        <v>4</v>
      </c>
      <c r="AE850" s="8"/>
      <c r="AF850" s="8"/>
      <c r="AN850" s="4" t="s">
        <v>381</v>
      </c>
      <c r="AO850" s="4" t="s">
        <v>375</v>
      </c>
      <c r="AP850" s="4" t="s">
        <v>383</v>
      </c>
      <c r="AQ850" s="7" t="s">
        <v>926</v>
      </c>
      <c r="AR850" s="8" t="s">
        <v>1227</v>
      </c>
      <c r="AS850" s="8"/>
      <c r="AT850" s="8"/>
      <c r="BP850" s="7">
        <v>47</v>
      </c>
      <c r="BQ850" s="8"/>
      <c r="BY850" s="8"/>
      <c r="CD850" s="8"/>
      <c r="CK850" s="9">
        <v>4.2000000000000003E-2</v>
      </c>
      <c r="CL850" s="6">
        <v>0.66</v>
      </c>
      <c r="DZ850" s="31"/>
      <c r="ED850" s="8"/>
      <c r="EO850" s="8"/>
      <c r="EZ850" s="7">
        <f t="shared" si="29"/>
        <v>19.740000000000002</v>
      </c>
      <c r="FA850" s="6">
        <f t="shared" si="28"/>
        <v>0.31020000000000003</v>
      </c>
      <c r="GP850" s="32"/>
      <c r="GT850" s="8"/>
      <c r="GW850" s="8"/>
      <c r="GY850" s="8" t="s">
        <v>338</v>
      </c>
      <c r="GZ850" s="8" t="s">
        <v>928</v>
      </c>
      <c r="HA850" s="8"/>
      <c r="HB850" s="8" t="s">
        <v>929</v>
      </c>
      <c r="HC850" s="8" t="s">
        <v>655</v>
      </c>
      <c r="HD850" s="8" t="s">
        <v>1380</v>
      </c>
      <c r="HE850" s="8">
        <v>24071</v>
      </c>
      <c r="HF850" s="8" t="s">
        <v>1381</v>
      </c>
      <c r="HG850" s="9" t="s">
        <v>507</v>
      </c>
      <c r="IB850" s="8" t="s">
        <v>1380</v>
      </c>
      <c r="IC850" s="8">
        <v>24071</v>
      </c>
      <c r="ID850" s="8" t="s">
        <v>1381</v>
      </c>
      <c r="IE850" s="8" t="s">
        <v>507</v>
      </c>
      <c r="IF850" s="8" t="s">
        <v>445</v>
      </c>
      <c r="KP850" s="5" t="s">
        <v>3432</v>
      </c>
      <c r="KQ850" s="5" t="s">
        <v>3433</v>
      </c>
      <c r="KR850" s="5" t="s">
        <v>3434</v>
      </c>
      <c r="KS850" s="5" t="s">
        <v>931</v>
      </c>
      <c r="KT850" s="5" t="s">
        <v>3435</v>
      </c>
    </row>
    <row r="851" spans="1:306" ht="96" x14ac:dyDescent="0.2">
      <c r="A851" s="5" t="s">
        <v>3577</v>
      </c>
      <c r="B851" s="4" t="s">
        <v>383</v>
      </c>
      <c r="C851" s="7" t="s">
        <v>926</v>
      </c>
      <c r="D851" s="8" t="s">
        <v>1227</v>
      </c>
      <c r="E851" s="44">
        <v>340764</v>
      </c>
      <c r="G851" s="4" t="s">
        <v>330</v>
      </c>
      <c r="H851" s="6">
        <v>121.148168252</v>
      </c>
      <c r="I851" s="6">
        <v>-30.011467712999998</v>
      </c>
      <c r="J851" s="4" t="s">
        <v>1378</v>
      </c>
      <c r="K851" s="4" t="s">
        <v>331</v>
      </c>
      <c r="L851" s="4" t="s">
        <v>500</v>
      </c>
      <c r="M851" s="4" t="s">
        <v>501</v>
      </c>
      <c r="N851" s="4" t="s">
        <v>1061</v>
      </c>
      <c r="O851" s="8" t="s">
        <v>924</v>
      </c>
      <c r="P851" s="4" t="s">
        <v>371</v>
      </c>
      <c r="Q851" s="8">
        <f>(2710+2692)/2</f>
        <v>2701</v>
      </c>
      <c r="R851" s="8">
        <f>(2710-2692)/2</f>
        <v>9</v>
      </c>
      <c r="S851" s="9" t="s">
        <v>379</v>
      </c>
      <c r="T851" s="9" t="s">
        <v>690</v>
      </c>
      <c r="Y851" s="8">
        <v>4</v>
      </c>
      <c r="AE851" s="8"/>
      <c r="AF851" s="8"/>
      <c r="AN851" s="4" t="s">
        <v>381</v>
      </c>
      <c r="AO851" s="4" t="s">
        <v>375</v>
      </c>
      <c r="AP851" s="4" t="s">
        <v>383</v>
      </c>
      <c r="AQ851" s="7" t="s">
        <v>926</v>
      </c>
      <c r="AR851" s="8" t="s">
        <v>1227</v>
      </c>
      <c r="AS851" s="8">
        <f>(56+33.9)/2</f>
        <v>44.95</v>
      </c>
      <c r="AT851" s="8">
        <f>(56-33.9)/2</f>
        <v>11.05</v>
      </c>
      <c r="AU851" s="9" t="s">
        <v>379</v>
      </c>
      <c r="AV851" s="9" t="s">
        <v>460</v>
      </c>
      <c r="BA851" s="8">
        <v>3</v>
      </c>
      <c r="BP851" s="7">
        <v>69</v>
      </c>
      <c r="BQ851" s="8"/>
      <c r="BY851" s="8"/>
      <c r="CD851" s="8"/>
      <c r="CE851" s="8">
        <v>16</v>
      </c>
      <c r="CK851" s="9">
        <v>3.2000000000000001E-2</v>
      </c>
      <c r="CL851" s="6">
        <v>0.63</v>
      </c>
      <c r="DZ851" s="31"/>
      <c r="ED851" s="8"/>
      <c r="EO851" s="8"/>
      <c r="ET851" s="6">
        <f>BP851*CE851/1000</f>
        <v>1.1040000000000001</v>
      </c>
      <c r="EZ851" s="7">
        <f t="shared" si="29"/>
        <v>22.08</v>
      </c>
      <c r="FA851" s="6">
        <f t="shared" si="28"/>
        <v>0.43469999999999998</v>
      </c>
      <c r="GP851" s="32"/>
      <c r="GT851" s="8"/>
      <c r="GW851" s="8"/>
      <c r="GY851" s="8" t="s">
        <v>338</v>
      </c>
      <c r="GZ851" s="8" t="s">
        <v>655</v>
      </c>
      <c r="HA851" s="8"/>
      <c r="HB851" s="8" t="s">
        <v>1379</v>
      </c>
      <c r="HC851" s="8"/>
      <c r="HD851" s="8" t="s">
        <v>1380</v>
      </c>
      <c r="HE851" s="8">
        <v>24071</v>
      </c>
      <c r="HF851" s="8" t="s">
        <v>1381</v>
      </c>
      <c r="HG851" s="9" t="s">
        <v>507</v>
      </c>
      <c r="IB851" s="8" t="s">
        <v>1380</v>
      </c>
      <c r="IC851" s="8">
        <v>24071</v>
      </c>
      <c r="ID851" s="8" t="s">
        <v>1381</v>
      </c>
      <c r="IE851" s="8" t="s">
        <v>507</v>
      </c>
      <c r="IF851" s="8" t="s">
        <v>445</v>
      </c>
      <c r="KP851" s="5" t="s">
        <v>931</v>
      </c>
      <c r="KQ851" s="5" t="s">
        <v>1382</v>
      </c>
      <c r="KR851" s="5" t="s">
        <v>1383</v>
      </c>
      <c r="KS851" s="5" t="s">
        <v>931</v>
      </c>
      <c r="KT851" s="5" t="s">
        <v>1384</v>
      </c>
    </row>
    <row r="852" spans="1:306" ht="96" x14ac:dyDescent="0.2">
      <c r="A852" s="5" t="s">
        <v>3578</v>
      </c>
      <c r="B852" s="4" t="s">
        <v>383</v>
      </c>
      <c r="C852" s="7" t="s">
        <v>926</v>
      </c>
      <c r="D852" s="8" t="s">
        <v>1227</v>
      </c>
      <c r="E852" s="44">
        <v>340765</v>
      </c>
      <c r="G852" s="4" t="s">
        <v>330</v>
      </c>
      <c r="H852" s="6">
        <v>121.15512227799999</v>
      </c>
      <c r="I852" s="6">
        <v>-30.083742970999999</v>
      </c>
      <c r="J852" s="4" t="s">
        <v>1378</v>
      </c>
      <c r="K852" s="4" t="s">
        <v>331</v>
      </c>
      <c r="L852" s="4" t="s">
        <v>500</v>
      </c>
      <c r="M852" s="4" t="s">
        <v>501</v>
      </c>
      <c r="N852" s="4" t="s">
        <v>1061</v>
      </c>
      <c r="O852" s="8" t="s">
        <v>924</v>
      </c>
      <c r="P852" s="4" t="s">
        <v>371</v>
      </c>
      <c r="Q852" s="8">
        <f>(2710+2692)/2</f>
        <v>2701</v>
      </c>
      <c r="R852" s="8">
        <f>(2710-2692)/2</f>
        <v>9</v>
      </c>
      <c r="S852" s="9" t="s">
        <v>379</v>
      </c>
      <c r="T852" s="9" t="s">
        <v>690</v>
      </c>
      <c r="Y852" s="8">
        <v>4</v>
      </c>
      <c r="AE852" s="8"/>
      <c r="AF852" s="8"/>
      <c r="AN852" s="4" t="s">
        <v>381</v>
      </c>
      <c r="AO852" s="4" t="s">
        <v>375</v>
      </c>
      <c r="AP852" s="4" t="s">
        <v>383</v>
      </c>
      <c r="AQ852" s="7" t="s">
        <v>926</v>
      </c>
      <c r="AR852" s="8" t="s">
        <v>1227</v>
      </c>
      <c r="AS852" s="8">
        <f>(56+33.9)/2</f>
        <v>44.95</v>
      </c>
      <c r="AT852" s="8">
        <f>(56-33.9)/2</f>
        <v>11.05</v>
      </c>
      <c r="AU852" s="9" t="s">
        <v>379</v>
      </c>
      <c r="AV852" s="9" t="s">
        <v>460</v>
      </c>
      <c r="BA852" s="8">
        <v>3</v>
      </c>
      <c r="BP852" s="7">
        <v>110</v>
      </c>
      <c r="BQ852" s="8"/>
      <c r="BY852" s="8"/>
      <c r="CD852" s="8"/>
      <c r="CE852" s="8">
        <v>27</v>
      </c>
      <c r="CK852" s="9">
        <v>5.2999999999999999E-2</v>
      </c>
      <c r="CL852" s="6">
        <v>0.75</v>
      </c>
      <c r="DZ852" s="31"/>
      <c r="ED852" s="8"/>
      <c r="EO852" s="8"/>
      <c r="ET852" s="6">
        <f>BP852*CE852/1000</f>
        <v>2.97</v>
      </c>
      <c r="EZ852" s="7">
        <f t="shared" si="29"/>
        <v>58.3</v>
      </c>
      <c r="FA852" s="6">
        <f t="shared" si="28"/>
        <v>0.82499999999999996</v>
      </c>
      <c r="GP852" s="32"/>
      <c r="GT852" s="8"/>
      <c r="GW852" s="8"/>
      <c r="GY852" s="8" t="s">
        <v>338</v>
      </c>
      <c r="GZ852" s="8" t="s">
        <v>655</v>
      </c>
      <c r="HA852" s="8"/>
      <c r="HB852" s="8" t="s">
        <v>1379</v>
      </c>
      <c r="HC852" s="8"/>
      <c r="HD852" s="8" t="s">
        <v>1380</v>
      </c>
      <c r="HE852" s="8">
        <v>24071</v>
      </c>
      <c r="HF852" s="8" t="s">
        <v>1381</v>
      </c>
      <c r="HG852" s="9" t="s">
        <v>507</v>
      </c>
      <c r="IB852" s="8" t="s">
        <v>1380</v>
      </c>
      <c r="IC852" s="8">
        <v>24071</v>
      </c>
      <c r="ID852" s="8" t="s">
        <v>1381</v>
      </c>
      <c r="IE852" s="8" t="s">
        <v>507</v>
      </c>
      <c r="IF852" s="8" t="s">
        <v>445</v>
      </c>
      <c r="KP852" s="5" t="s">
        <v>931</v>
      </c>
      <c r="KQ852" s="5" t="s">
        <v>1382</v>
      </c>
      <c r="KR852" s="5" t="s">
        <v>1383</v>
      </c>
      <c r="KS852" s="5" t="s">
        <v>931</v>
      </c>
      <c r="KT852" s="5" t="s">
        <v>1384</v>
      </c>
    </row>
    <row r="853" spans="1:306" ht="60" x14ac:dyDescent="0.25">
      <c r="A853" s="5" t="s">
        <v>3727</v>
      </c>
      <c r="B853" s="4" t="s">
        <v>383</v>
      </c>
      <c r="C853" s="7" t="s">
        <v>926</v>
      </c>
      <c r="D853" s="8" t="s">
        <v>1227</v>
      </c>
      <c r="E853" s="4">
        <v>545864</v>
      </c>
      <c r="G853" s="4" t="s">
        <v>479</v>
      </c>
      <c r="H853" s="6">
        <v>144.92674199999999</v>
      </c>
      <c r="I853" s="6">
        <v>-18.972078</v>
      </c>
      <c r="J853" s="4" t="s">
        <v>1226</v>
      </c>
      <c r="K853" s="4" t="s">
        <v>298</v>
      </c>
      <c r="L853" s="4" t="s">
        <v>760</v>
      </c>
      <c r="O853" s="8" t="s">
        <v>924</v>
      </c>
      <c r="P853" s="4" t="s">
        <v>371</v>
      </c>
      <c r="Q853" s="8"/>
      <c r="Y853" s="8">
        <v>2</v>
      </c>
      <c r="AE853" s="8"/>
      <c r="AN853" s="4" t="s">
        <v>381</v>
      </c>
      <c r="AO853" s="4" t="s">
        <v>375</v>
      </c>
      <c r="AP853" s="4" t="s">
        <v>383</v>
      </c>
      <c r="AQ853" s="7" t="s">
        <v>926</v>
      </c>
      <c r="AR853" s="8" t="s">
        <v>1227</v>
      </c>
      <c r="AS853" s="8"/>
      <c r="AT853" s="8"/>
      <c r="BP853" s="7">
        <f>41+32.63</f>
        <v>73.63</v>
      </c>
      <c r="CE853" s="8">
        <f>(39*5.05+36*17.24+44*10.34)/(5.05+17.24+10.34)</f>
        <v>38.999387067116153</v>
      </c>
      <c r="CK853" s="6">
        <f>(41*0.12+32.63*0.05)/(41+32.63)</f>
        <v>8.8978677169631953E-2</v>
      </c>
      <c r="CL853" s="6">
        <f>(41*1.4+32.63*0.69)/(41+32.63)</f>
        <v>1.085355154149124</v>
      </c>
      <c r="DZ853" s="31"/>
      <c r="ET853" s="6">
        <f>32.63*CE853/1000</f>
        <v>1.2725500000000003</v>
      </c>
      <c r="EZ853" s="6">
        <f t="shared" si="29"/>
        <v>65.515000000000015</v>
      </c>
      <c r="FA853" s="10">
        <f t="shared" si="28"/>
        <v>0.79914699999999994</v>
      </c>
      <c r="GP853" s="32"/>
      <c r="GY853" s="6" t="s">
        <v>338</v>
      </c>
      <c r="GZ853" s="6" t="s">
        <v>655</v>
      </c>
      <c r="HB853" s="6" t="s">
        <v>1379</v>
      </c>
      <c r="HD853" s="8" t="s">
        <v>3728</v>
      </c>
      <c r="HE853" s="8">
        <v>24742</v>
      </c>
      <c r="HF853" s="8" t="s">
        <v>3729</v>
      </c>
      <c r="HG853" s="9" t="s">
        <v>1230</v>
      </c>
      <c r="IB853" s="8" t="s">
        <v>3728</v>
      </c>
      <c r="IC853" s="8">
        <v>24742</v>
      </c>
      <c r="ID853" s="8" t="s">
        <v>3729</v>
      </c>
      <c r="IE853" s="9" t="s">
        <v>1230</v>
      </c>
      <c r="IF853" s="8" t="s">
        <v>445</v>
      </c>
      <c r="KP853" s="5" t="s">
        <v>358</v>
      </c>
      <c r="KQ853" s="5" t="s">
        <v>3730</v>
      </c>
      <c r="KS853" s="5" t="s">
        <v>3730</v>
      </c>
      <c r="KT853" s="5" t="s">
        <v>3731</v>
      </c>
    </row>
    <row r="854" spans="1:306" ht="96" x14ac:dyDescent="0.2">
      <c r="A854" s="5" t="s">
        <v>4008</v>
      </c>
      <c r="B854" s="4" t="s">
        <v>383</v>
      </c>
      <c r="C854" s="7" t="s">
        <v>926</v>
      </c>
      <c r="D854" s="8" t="s">
        <v>1227</v>
      </c>
      <c r="E854" s="44">
        <v>342348</v>
      </c>
      <c r="G854" s="4" t="s">
        <v>330</v>
      </c>
      <c r="H854" s="6">
        <v>121.0800028</v>
      </c>
      <c r="I854" s="6">
        <v>-29.836363144</v>
      </c>
      <c r="J854" s="4" t="s">
        <v>1378</v>
      </c>
      <c r="K854" s="4" t="s">
        <v>331</v>
      </c>
      <c r="L854" s="4" t="s">
        <v>500</v>
      </c>
      <c r="M854" s="4" t="s">
        <v>501</v>
      </c>
      <c r="N854" s="4" t="s">
        <v>1061</v>
      </c>
      <c r="O854" s="8" t="s">
        <v>924</v>
      </c>
      <c r="P854" s="4" t="s">
        <v>371</v>
      </c>
      <c r="Q854" s="8">
        <f>(2710+2692)/2</f>
        <v>2701</v>
      </c>
      <c r="R854" s="8">
        <f>(2710-2692)/2</f>
        <v>9</v>
      </c>
      <c r="S854" s="9" t="s">
        <v>379</v>
      </c>
      <c r="T854" s="9" t="s">
        <v>690</v>
      </c>
      <c r="Y854" s="8">
        <v>4</v>
      </c>
      <c r="AE854" s="8"/>
      <c r="AF854" s="8"/>
      <c r="AN854" s="4" t="s">
        <v>381</v>
      </c>
      <c r="AO854" s="4" t="s">
        <v>375</v>
      </c>
      <c r="AP854" s="4" t="s">
        <v>383</v>
      </c>
      <c r="AQ854" s="7" t="s">
        <v>926</v>
      </c>
      <c r="AR854" s="8" t="s">
        <v>1227</v>
      </c>
      <c r="AS854" s="8">
        <f>(56+33.9)/2</f>
        <v>44.95</v>
      </c>
      <c r="AT854" s="8">
        <f>(56-33.9)/2</f>
        <v>11.05</v>
      </c>
      <c r="AU854" s="9" t="s">
        <v>379</v>
      </c>
      <c r="AV854" s="9" t="s">
        <v>460</v>
      </c>
      <c r="BA854" s="8">
        <v>3</v>
      </c>
      <c r="BP854" s="7">
        <v>92</v>
      </c>
      <c r="BQ854" s="8"/>
      <c r="BY854" s="8"/>
      <c r="CD854" s="8"/>
      <c r="CE854" s="8">
        <v>26</v>
      </c>
      <c r="CK854" s="9">
        <v>3.7999999999999999E-2</v>
      </c>
      <c r="CL854" s="6">
        <v>0.79</v>
      </c>
      <c r="DZ854" s="31"/>
      <c r="ED854" s="8"/>
      <c r="EO854" s="8"/>
      <c r="ET854" s="6">
        <f>BP854*CE854/1000</f>
        <v>2.3919999999999999</v>
      </c>
      <c r="EZ854" s="7">
        <f t="shared" si="29"/>
        <v>34.96</v>
      </c>
      <c r="FA854" s="6">
        <f t="shared" si="28"/>
        <v>0.72680000000000011</v>
      </c>
      <c r="GP854" s="32"/>
      <c r="GT854" s="8"/>
      <c r="GW854" s="8"/>
      <c r="GY854" s="8" t="s">
        <v>338</v>
      </c>
      <c r="GZ854" s="8" t="s">
        <v>655</v>
      </c>
      <c r="HA854" s="8"/>
      <c r="HB854" s="8" t="s">
        <v>1379</v>
      </c>
      <c r="HC854" s="8"/>
      <c r="HD854" s="8" t="s">
        <v>1380</v>
      </c>
      <c r="HE854" s="8">
        <v>24071</v>
      </c>
      <c r="HF854" s="8" t="s">
        <v>1381</v>
      </c>
      <c r="HG854" s="9" t="s">
        <v>507</v>
      </c>
      <c r="IB854" s="8" t="s">
        <v>1380</v>
      </c>
      <c r="IC854" s="8">
        <v>24071</v>
      </c>
      <c r="ID854" s="8" t="s">
        <v>1381</v>
      </c>
      <c r="IE854" s="8" t="s">
        <v>507</v>
      </c>
      <c r="IF854" s="8" t="s">
        <v>445</v>
      </c>
      <c r="KP854" s="5" t="s">
        <v>931</v>
      </c>
      <c r="KQ854" s="5" t="s">
        <v>1382</v>
      </c>
      <c r="KR854" s="5" t="s">
        <v>1383</v>
      </c>
      <c r="KS854" s="5" t="s">
        <v>931</v>
      </c>
      <c r="KT854" s="5" t="s">
        <v>1384</v>
      </c>
    </row>
    <row r="855" spans="1:306" ht="24" x14ac:dyDescent="0.2">
      <c r="A855" s="5" t="s">
        <v>4344</v>
      </c>
      <c r="B855" s="4" t="s">
        <v>383</v>
      </c>
      <c r="C855" s="7" t="s">
        <v>926</v>
      </c>
      <c r="D855" s="8" t="s">
        <v>927</v>
      </c>
      <c r="E855" s="44">
        <v>621561</v>
      </c>
      <c r="G855" s="4" t="s">
        <v>330</v>
      </c>
      <c r="H855" s="6">
        <v>122.053906383</v>
      </c>
      <c r="I855" s="6">
        <v>-29.716405515000002</v>
      </c>
      <c r="J855" s="4" t="s">
        <v>925</v>
      </c>
      <c r="K855" s="4" t="s">
        <v>331</v>
      </c>
      <c r="L855" s="4" t="s">
        <v>500</v>
      </c>
      <c r="M855" s="4" t="s">
        <v>501</v>
      </c>
      <c r="N855" s="4" t="s">
        <v>625</v>
      </c>
      <c r="O855" s="8" t="s">
        <v>924</v>
      </c>
      <c r="P855" s="4" t="s">
        <v>371</v>
      </c>
      <c r="Q855" s="8"/>
      <c r="R855" s="8"/>
      <c r="AE855" s="8"/>
      <c r="AF855" s="8"/>
      <c r="AN855" s="4" t="s">
        <v>381</v>
      </c>
      <c r="AO855" s="4" t="s">
        <v>375</v>
      </c>
      <c r="AP855" s="4" t="s">
        <v>383</v>
      </c>
      <c r="AQ855" s="7" t="s">
        <v>926</v>
      </c>
      <c r="AR855" s="8" t="s">
        <v>927</v>
      </c>
      <c r="AS855" s="8"/>
      <c r="AT855" s="8"/>
      <c r="BP855" s="7">
        <f>4+42+17</f>
        <v>63</v>
      </c>
      <c r="BQ855" s="8"/>
      <c r="BY855" s="8"/>
      <c r="CD855" s="8"/>
      <c r="CK855" s="9">
        <f>(4*0.048+42*0.043+18*0.034)/(4+42+18)</f>
        <v>4.0781249999999998E-2</v>
      </c>
      <c r="CL855" s="6">
        <f>(4*0.94+42*0.78+18*0.63)/(4+42+18)</f>
        <v>0.74781249999999999</v>
      </c>
      <c r="DZ855" s="31"/>
      <c r="ED855" s="8"/>
      <c r="EO855" s="8"/>
      <c r="EZ855" s="7">
        <f t="shared" si="29"/>
        <v>25.692187499999999</v>
      </c>
      <c r="FA855" s="6">
        <f t="shared" si="28"/>
        <v>0.47112187499999997</v>
      </c>
      <c r="GP855" s="32"/>
      <c r="GT855" s="8"/>
      <c r="GW855" s="8"/>
      <c r="GY855" s="8" t="s">
        <v>338</v>
      </c>
      <c r="GZ855" s="8" t="s">
        <v>928</v>
      </c>
      <c r="HA855" s="8"/>
      <c r="HB855" s="8" t="s">
        <v>929</v>
      </c>
      <c r="HC855" s="8" t="s">
        <v>655</v>
      </c>
      <c r="KP855" s="5" t="s">
        <v>931</v>
      </c>
      <c r="KQ855" s="5" t="s">
        <v>930</v>
      </c>
      <c r="KS855" s="5" t="s">
        <v>931</v>
      </c>
    </row>
    <row r="856" spans="1:306" ht="72" x14ac:dyDescent="0.2">
      <c r="A856" s="5" t="s">
        <v>4436</v>
      </c>
      <c r="B856" s="4" t="s">
        <v>383</v>
      </c>
      <c r="C856" s="7" t="s">
        <v>926</v>
      </c>
      <c r="D856" s="8" t="s">
        <v>1830</v>
      </c>
      <c r="E856" s="44">
        <v>342352</v>
      </c>
      <c r="G856" s="4" t="s">
        <v>330</v>
      </c>
      <c r="H856" s="6">
        <v>122.020648095</v>
      </c>
      <c r="I856" s="6">
        <v>-30.376387179999998</v>
      </c>
      <c r="J856" s="4" t="s">
        <v>4437</v>
      </c>
      <c r="K856" s="4" t="s">
        <v>331</v>
      </c>
      <c r="L856" s="4" t="s">
        <v>500</v>
      </c>
      <c r="M856" s="4" t="s">
        <v>501</v>
      </c>
      <c r="N856" s="4" t="s">
        <v>625</v>
      </c>
      <c r="O856" s="8" t="s">
        <v>924</v>
      </c>
      <c r="P856" s="4" t="s">
        <v>371</v>
      </c>
      <c r="Q856" s="8">
        <f>(2710+2692)/2</f>
        <v>2701</v>
      </c>
      <c r="R856" s="8">
        <f>(2710-2692)/2</f>
        <v>9</v>
      </c>
      <c r="S856" s="9" t="s">
        <v>379</v>
      </c>
      <c r="T856" s="9" t="s">
        <v>690</v>
      </c>
      <c r="Y856" s="8">
        <v>4</v>
      </c>
      <c r="AE856" s="8"/>
      <c r="AF856" s="8"/>
      <c r="AN856" s="4" t="s">
        <v>381</v>
      </c>
      <c r="AO856" s="4" t="s">
        <v>375</v>
      </c>
      <c r="AP856" s="4" t="s">
        <v>383</v>
      </c>
      <c r="AQ856" s="7" t="s">
        <v>926</v>
      </c>
      <c r="AR856" s="8" t="s">
        <v>1830</v>
      </c>
      <c r="AS856" s="8"/>
      <c r="AT856" s="8"/>
      <c r="BP856" s="7">
        <v>75</v>
      </c>
      <c r="BQ856" s="8"/>
      <c r="BY856" s="8"/>
      <c r="CD856" s="8"/>
      <c r="CK856" s="9">
        <v>4.3999999999999997E-2</v>
      </c>
      <c r="CL856" s="6">
        <v>0.73</v>
      </c>
      <c r="DZ856" s="31"/>
      <c r="ED856" s="8"/>
      <c r="EO856" s="8"/>
      <c r="EZ856" s="7">
        <f t="shared" si="29"/>
        <v>33</v>
      </c>
      <c r="FA856" s="6">
        <f t="shared" si="28"/>
        <v>0.54749999999999999</v>
      </c>
      <c r="GP856" s="32"/>
      <c r="GT856" s="8"/>
      <c r="GW856" s="8"/>
      <c r="GY856" s="8" t="s">
        <v>338</v>
      </c>
      <c r="GZ856" s="8" t="s">
        <v>928</v>
      </c>
      <c r="HA856" s="8"/>
      <c r="HB856" s="8" t="s">
        <v>929</v>
      </c>
      <c r="HC856" s="8" t="s">
        <v>655</v>
      </c>
      <c r="HD856" s="8" t="s">
        <v>1380</v>
      </c>
      <c r="HE856" s="8">
        <v>24071</v>
      </c>
      <c r="HF856" s="8" t="s">
        <v>1381</v>
      </c>
      <c r="HG856" s="9" t="s">
        <v>507</v>
      </c>
      <c r="IB856" s="8" t="s">
        <v>1380</v>
      </c>
      <c r="IC856" s="8">
        <v>24071</v>
      </c>
      <c r="ID856" s="8" t="s">
        <v>1381</v>
      </c>
      <c r="IE856" s="8" t="s">
        <v>507</v>
      </c>
      <c r="IF856" s="8" t="s">
        <v>445</v>
      </c>
      <c r="KP856" s="5" t="s">
        <v>4438</v>
      </c>
      <c r="KQ856" s="5" t="s">
        <v>4439</v>
      </c>
      <c r="KR856" s="5" t="s">
        <v>1835</v>
      </c>
      <c r="KS856" s="5" t="s">
        <v>931</v>
      </c>
      <c r="KT856" s="5" t="s">
        <v>4440</v>
      </c>
    </row>
    <row r="857" spans="1:306" ht="36" x14ac:dyDescent="0.25">
      <c r="A857" s="5" t="s">
        <v>4660</v>
      </c>
      <c r="B857" s="4" t="s">
        <v>383</v>
      </c>
      <c r="C857" s="7" t="s">
        <v>926</v>
      </c>
      <c r="D857" s="8" t="s">
        <v>1227</v>
      </c>
      <c r="E857" s="4">
        <v>463685</v>
      </c>
      <c r="G857" s="4" t="s">
        <v>479</v>
      </c>
      <c r="H857" s="6">
        <v>145.17121399999999</v>
      </c>
      <c r="I857" s="6">
        <v>-18.552506000000001</v>
      </c>
      <c r="J857" s="4" t="s">
        <v>1226</v>
      </c>
      <c r="K857" s="4" t="s">
        <v>298</v>
      </c>
      <c r="L857" s="4" t="s">
        <v>760</v>
      </c>
      <c r="O857" s="8" t="s">
        <v>924</v>
      </c>
      <c r="P857" s="4" t="s">
        <v>371</v>
      </c>
      <c r="Y857" s="8">
        <v>2</v>
      </c>
      <c r="AN857" s="4" t="s">
        <v>381</v>
      </c>
      <c r="AO857" s="4" t="s">
        <v>375</v>
      </c>
      <c r="AP857" s="4" t="s">
        <v>383</v>
      </c>
      <c r="AQ857" s="7" t="s">
        <v>926</v>
      </c>
      <c r="AR857" s="8" t="s">
        <v>1227</v>
      </c>
      <c r="AS857" s="8"/>
      <c r="AT857" s="8"/>
      <c r="BP857" s="7">
        <f>1.62+19.57+7.48</f>
        <v>28.67</v>
      </c>
      <c r="CE857" s="8">
        <f>(80*1.62+49*19.57+59*7.48)/(1.62+19.57+7.48)</f>
        <v>53.360655737704924</v>
      </c>
      <c r="CK857" s="6">
        <f>(0.15*1.62+0.09*19.57+0.07*7.48)/(1.62+19.57+7.48)</f>
        <v>8.8172305545866747E-2</v>
      </c>
      <c r="CL857" s="6">
        <f>(0.73*1.62+0.57*19.57+0.53*7.48)/(1.62+19.57+7.48)</f>
        <v>0.56860481339379143</v>
      </c>
      <c r="DZ857" s="31"/>
      <c r="ET857" s="6">
        <f>BP857*CE857/1000</f>
        <v>1.5298500000000004</v>
      </c>
      <c r="EZ857" s="6">
        <f t="shared" si="29"/>
        <v>25.278999999999996</v>
      </c>
      <c r="FA857" s="10">
        <f t="shared" si="28"/>
        <v>0.163019</v>
      </c>
      <c r="GP857" s="32"/>
      <c r="GY857" s="6" t="s">
        <v>338</v>
      </c>
      <c r="GZ857" s="6" t="s">
        <v>655</v>
      </c>
      <c r="HB857" s="6" t="s">
        <v>1379</v>
      </c>
      <c r="HD857" s="8" t="s">
        <v>4661</v>
      </c>
      <c r="HF857" s="8" t="s">
        <v>4662</v>
      </c>
      <c r="IB857" s="8" t="s">
        <v>4661</v>
      </c>
      <c r="ID857" s="8" t="s">
        <v>4662</v>
      </c>
      <c r="IE857" s="9"/>
      <c r="IF857" s="8" t="s">
        <v>445</v>
      </c>
      <c r="KP857" s="5" t="s">
        <v>358</v>
      </c>
      <c r="KQ857" s="5" t="s">
        <v>4663</v>
      </c>
      <c r="KS857" s="5" t="s">
        <v>4663</v>
      </c>
      <c r="KT857" s="5" t="s">
        <v>4664</v>
      </c>
    </row>
    <row r="858" spans="1:306" ht="48" x14ac:dyDescent="0.25">
      <c r="A858" s="5" t="s">
        <v>4904</v>
      </c>
      <c r="B858" s="4" t="s">
        <v>383</v>
      </c>
      <c r="C858" s="7" t="s">
        <v>926</v>
      </c>
      <c r="D858" s="8" t="s">
        <v>1227</v>
      </c>
      <c r="E858" s="4">
        <v>333913</v>
      </c>
      <c r="G858" s="4" t="s">
        <v>479</v>
      </c>
      <c r="H858" s="6">
        <v>144.954374</v>
      </c>
      <c r="I858" s="6">
        <v>-19.026872999999998</v>
      </c>
      <c r="J858" s="4" t="s">
        <v>1226</v>
      </c>
      <c r="K858" s="4" t="s">
        <v>298</v>
      </c>
      <c r="L858" s="4" t="s">
        <v>760</v>
      </c>
      <c r="O858" s="8" t="s">
        <v>924</v>
      </c>
      <c r="P858" s="4" t="s">
        <v>371</v>
      </c>
      <c r="Q858" s="8">
        <v>466</v>
      </c>
      <c r="R858" s="8">
        <v>37</v>
      </c>
      <c r="S858" s="9" t="s">
        <v>379</v>
      </c>
      <c r="T858" s="9" t="s">
        <v>483</v>
      </c>
      <c r="U858" s="9" t="s">
        <v>1079</v>
      </c>
      <c r="V858" s="9" t="s">
        <v>4905</v>
      </c>
      <c r="W858" s="9" t="s">
        <v>1081</v>
      </c>
      <c r="X858" s="9" t="s">
        <v>4906</v>
      </c>
      <c r="Y858" s="8">
        <v>2</v>
      </c>
      <c r="AE858" s="8"/>
      <c r="AF858" s="8"/>
      <c r="AN858" s="4" t="s">
        <v>381</v>
      </c>
      <c r="AO858" s="4" t="s">
        <v>375</v>
      </c>
      <c r="AP858" s="4" t="s">
        <v>383</v>
      </c>
      <c r="AQ858" s="7" t="s">
        <v>926</v>
      </c>
      <c r="AR858" s="8" t="s">
        <v>1227</v>
      </c>
      <c r="AS858" s="8"/>
      <c r="AT858" s="8"/>
      <c r="BP858" s="7">
        <f>1.6+12.63+0.38</f>
        <v>14.610000000000001</v>
      </c>
      <c r="CE858" s="8">
        <f>(103*1.6+128*12.63+41*0.38)/(1.6+12.63+0.38)</f>
        <v>122.9993155373032</v>
      </c>
      <c r="CK858" s="6">
        <f>(0.11*1.6+0.11*12.63+0.03*0.38)/(1.6+12.63+0.38)</f>
        <v>0.10791923340177961</v>
      </c>
      <c r="CL858" s="6">
        <f>(0.53*1.6+0.47*12.63+0.55*0.38)/(1.6+12.63+0.38)</f>
        <v>0.47865160848733734</v>
      </c>
      <c r="DZ858" s="31"/>
      <c r="ET858" s="6">
        <f>BP858*CE858/1000</f>
        <v>1.7970200000000001</v>
      </c>
      <c r="EZ858" s="6">
        <f t="shared" si="29"/>
        <v>15.767000000000003</v>
      </c>
      <c r="FA858" s="10">
        <f t="shared" si="28"/>
        <v>6.9930999999999993E-2</v>
      </c>
      <c r="GP858" s="32"/>
      <c r="GY858" s="6" t="s">
        <v>338</v>
      </c>
      <c r="GZ858" s="6" t="s">
        <v>655</v>
      </c>
      <c r="HB858" s="6" t="s">
        <v>1379</v>
      </c>
      <c r="HD858" s="8" t="s">
        <v>4907</v>
      </c>
      <c r="HE858" s="8">
        <v>7724</v>
      </c>
      <c r="HF858" s="8" t="s">
        <v>4908</v>
      </c>
      <c r="HG858" s="9" t="s">
        <v>1230</v>
      </c>
      <c r="IB858" s="8" t="s">
        <v>4907</v>
      </c>
      <c r="IC858" s="8">
        <v>7724</v>
      </c>
      <c r="ID858" s="8" t="s">
        <v>4908</v>
      </c>
      <c r="IE858" s="9" t="s">
        <v>1230</v>
      </c>
      <c r="IF858" s="8" t="s">
        <v>445</v>
      </c>
      <c r="KP858" s="5" t="s">
        <v>358</v>
      </c>
      <c r="KQ858" s="5" t="s">
        <v>4909</v>
      </c>
      <c r="KR858" s="5" t="s">
        <v>768</v>
      </c>
      <c r="KS858" s="5" t="s">
        <v>4909</v>
      </c>
      <c r="KT858" s="5" t="s">
        <v>4664</v>
      </c>
    </row>
    <row r="859" spans="1:306" ht="24" x14ac:dyDescent="0.25">
      <c r="A859" s="5" t="s">
        <v>5249</v>
      </c>
      <c r="B859" s="4" t="s">
        <v>383</v>
      </c>
      <c r="C859" s="7" t="s">
        <v>926</v>
      </c>
      <c r="D859" s="8" t="s">
        <v>1227</v>
      </c>
      <c r="E859" s="4">
        <v>338825</v>
      </c>
      <c r="G859" s="4" t="s">
        <v>479</v>
      </c>
      <c r="H859" s="6">
        <v>145.001093</v>
      </c>
      <c r="I859" s="6">
        <v>-18.178505999999999</v>
      </c>
      <c r="J859" s="4" t="s">
        <v>1226</v>
      </c>
      <c r="K859" s="4" t="s">
        <v>298</v>
      </c>
      <c r="L859" s="4" t="s">
        <v>760</v>
      </c>
      <c r="O859" s="8" t="s">
        <v>924</v>
      </c>
      <c r="P859" s="4" t="s">
        <v>371</v>
      </c>
      <c r="Y859" s="8">
        <v>2</v>
      </c>
      <c r="AN859" s="4" t="s">
        <v>381</v>
      </c>
      <c r="AO859" s="4" t="s">
        <v>375</v>
      </c>
      <c r="AP859" s="4" t="s">
        <v>383</v>
      </c>
      <c r="AQ859" s="7" t="s">
        <v>926</v>
      </c>
      <c r="AR859" s="8" t="s">
        <v>1227</v>
      </c>
      <c r="AS859" s="8"/>
      <c r="AT859" s="8"/>
      <c r="BP859" s="7">
        <v>14.3</v>
      </c>
      <c r="CK859" s="6">
        <v>0.03</v>
      </c>
      <c r="CL859" s="6">
        <v>0.66</v>
      </c>
      <c r="DZ859" s="31"/>
      <c r="EZ859" s="6">
        <f t="shared" si="29"/>
        <v>4.29</v>
      </c>
      <c r="FA859" s="10">
        <f t="shared" si="28"/>
        <v>9.4380000000000006E-2</v>
      </c>
      <c r="GP859" s="32"/>
      <c r="GY859" s="6" t="s">
        <v>338</v>
      </c>
      <c r="GZ859" s="6" t="s">
        <v>928</v>
      </c>
      <c r="HB859" s="6" t="s">
        <v>929</v>
      </c>
      <c r="HC859" s="6" t="s">
        <v>655</v>
      </c>
      <c r="HF859" s="8" t="s">
        <v>4662</v>
      </c>
      <c r="ID859" s="8" t="s">
        <v>4662</v>
      </c>
      <c r="IF859" s="8" t="s">
        <v>445</v>
      </c>
      <c r="KP859" s="5" t="s">
        <v>358</v>
      </c>
      <c r="KQ859" s="5" t="s">
        <v>1231</v>
      </c>
      <c r="KS859" s="5" t="s">
        <v>1231</v>
      </c>
      <c r="KT859" s="5" t="s">
        <v>1232</v>
      </c>
    </row>
    <row r="860" spans="1:306" ht="84" x14ac:dyDescent="0.25">
      <c r="A860" s="5" t="s">
        <v>6087</v>
      </c>
      <c r="B860" s="4" t="s">
        <v>383</v>
      </c>
      <c r="C860" s="7" t="s">
        <v>926</v>
      </c>
      <c r="D860" s="8" t="s">
        <v>1830</v>
      </c>
      <c r="E860" s="4">
        <v>333564</v>
      </c>
      <c r="G860" s="4" t="s">
        <v>330</v>
      </c>
      <c r="H860" s="6">
        <v>121.893</v>
      </c>
      <c r="I860" s="6">
        <v>-28.7668</v>
      </c>
      <c r="J860" s="4" t="s">
        <v>6088</v>
      </c>
      <c r="K860" s="4" t="s">
        <v>331</v>
      </c>
      <c r="L860" s="4" t="s">
        <v>500</v>
      </c>
      <c r="M860" s="4" t="s">
        <v>501</v>
      </c>
      <c r="N860" s="4" t="s">
        <v>625</v>
      </c>
      <c r="O860" s="8" t="s">
        <v>924</v>
      </c>
      <c r="P860" s="4" t="s">
        <v>371</v>
      </c>
      <c r="Q860" s="8">
        <v>2698</v>
      </c>
      <c r="R860" s="8">
        <v>5</v>
      </c>
      <c r="S860" s="9" t="s">
        <v>379</v>
      </c>
      <c r="T860" s="9" t="s">
        <v>690</v>
      </c>
      <c r="U860" s="9" t="s">
        <v>373</v>
      </c>
      <c r="V860" s="9" t="s">
        <v>306</v>
      </c>
      <c r="W860" s="9" t="s">
        <v>307</v>
      </c>
      <c r="X860" s="9" t="s">
        <v>337</v>
      </c>
      <c r="Y860" s="8">
        <v>3</v>
      </c>
      <c r="AE860" s="8"/>
      <c r="AF860" s="8"/>
      <c r="AN860" s="4" t="s">
        <v>381</v>
      </c>
      <c r="AO860" s="4" t="s">
        <v>375</v>
      </c>
      <c r="AP860" s="4" t="s">
        <v>383</v>
      </c>
      <c r="AQ860" s="7" t="s">
        <v>926</v>
      </c>
      <c r="AR860" s="8" t="s">
        <v>1830</v>
      </c>
      <c r="BQ860" s="8"/>
      <c r="BY860" s="8"/>
      <c r="CD860" s="8"/>
      <c r="DZ860" s="31"/>
      <c r="ED860" s="8"/>
      <c r="EO860" s="8"/>
      <c r="EZ860" s="8">
        <f>1000*(0.055974+(211*0.08+9*0.06)/100)</f>
        <v>230.17399999999998</v>
      </c>
      <c r="FA860" s="6">
        <f>0.755574+(211*1+9*0.95)/100</f>
        <v>2.9510740000000002</v>
      </c>
      <c r="GP860" s="32"/>
      <c r="GT860" s="8"/>
      <c r="GW860" s="8"/>
      <c r="GY860" s="8" t="s">
        <v>338</v>
      </c>
      <c r="GZ860" s="8" t="s">
        <v>928</v>
      </c>
      <c r="HA860" s="8" t="s">
        <v>929</v>
      </c>
      <c r="HB860" s="8"/>
      <c r="HC860" s="8" t="s">
        <v>655</v>
      </c>
      <c r="HD860" s="8" t="s">
        <v>6089</v>
      </c>
      <c r="HE860" s="8">
        <v>73393</v>
      </c>
      <c r="HF860" s="8" t="s">
        <v>6090</v>
      </c>
      <c r="HG860" s="9" t="s">
        <v>507</v>
      </c>
      <c r="IB860" s="8" t="s">
        <v>6089</v>
      </c>
      <c r="IC860" s="8">
        <v>73393</v>
      </c>
      <c r="ID860" s="8" t="s">
        <v>6090</v>
      </c>
      <c r="IE860" s="9" t="s">
        <v>507</v>
      </c>
      <c r="IF860" s="8" t="s">
        <v>445</v>
      </c>
      <c r="KP860" s="5" t="s">
        <v>358</v>
      </c>
      <c r="KQ860" s="5" t="s">
        <v>6091</v>
      </c>
      <c r="KR860" s="5" t="s">
        <v>6092</v>
      </c>
      <c r="KS860" s="5" t="s">
        <v>6093</v>
      </c>
      <c r="KT860" s="5" t="s">
        <v>6094</v>
      </c>
    </row>
    <row r="861" spans="1:306" ht="108" x14ac:dyDescent="0.2">
      <c r="A861" s="5" t="s">
        <v>6812</v>
      </c>
      <c r="B861" s="4" t="s">
        <v>383</v>
      </c>
      <c r="C861" s="7" t="s">
        <v>926</v>
      </c>
      <c r="D861" s="8" t="s">
        <v>1830</v>
      </c>
      <c r="E861" s="44">
        <v>335492</v>
      </c>
      <c r="G861" s="4" t="s">
        <v>330</v>
      </c>
      <c r="H861" s="6">
        <v>120.32945681299999</v>
      </c>
      <c r="I861" s="6">
        <v>-33.576888572000001</v>
      </c>
      <c r="J861" s="4" t="s">
        <v>6813</v>
      </c>
      <c r="K861" s="4" t="s">
        <v>331</v>
      </c>
      <c r="L861" s="4" t="s">
        <v>500</v>
      </c>
      <c r="M861" s="4" t="s">
        <v>676</v>
      </c>
      <c r="N861" s="4" t="s">
        <v>1811</v>
      </c>
      <c r="O861" s="8" t="s">
        <v>924</v>
      </c>
      <c r="P861" s="4" t="s">
        <v>371</v>
      </c>
      <c r="Q861" s="8">
        <v>2958</v>
      </c>
      <c r="R861" s="8">
        <v>4</v>
      </c>
      <c r="S861" s="9" t="s">
        <v>379</v>
      </c>
      <c r="T861" s="9" t="s">
        <v>690</v>
      </c>
      <c r="U861" s="9" t="s">
        <v>373</v>
      </c>
      <c r="V861" s="9" t="s">
        <v>306</v>
      </c>
      <c r="W861" s="9" t="s">
        <v>307</v>
      </c>
      <c r="X861" s="9" t="s">
        <v>337</v>
      </c>
      <c r="Y861" s="8">
        <v>3</v>
      </c>
      <c r="AE861" s="8"/>
      <c r="AF861" s="8"/>
      <c r="AN861" s="4" t="s">
        <v>381</v>
      </c>
      <c r="AO861" s="4" t="s">
        <v>375</v>
      </c>
      <c r="AP861" s="4" t="s">
        <v>383</v>
      </c>
      <c r="AQ861" s="7" t="s">
        <v>926</v>
      </c>
      <c r="AR861" s="8" t="s">
        <v>1830</v>
      </c>
      <c r="AS861" s="8">
        <f>(145+66)/2</f>
        <v>105.5</v>
      </c>
      <c r="AT861" s="8">
        <f>(145-66)/2</f>
        <v>39.5</v>
      </c>
      <c r="AU861" s="9" t="s">
        <v>379</v>
      </c>
      <c r="AV861" s="9" t="s">
        <v>460</v>
      </c>
      <c r="BA861" s="8">
        <v>2</v>
      </c>
      <c r="BP861" s="7">
        <f>14.95+224.81+68.26</f>
        <v>308.02</v>
      </c>
      <c r="BQ861" s="8"/>
      <c r="BY861" s="8"/>
      <c r="CD861" s="8"/>
      <c r="CK861" s="6">
        <f>(14.95*0.63*(0.9/23)+224.81*0.03+68.26*0.02)/(14.95+224.81+68.26)</f>
        <v>2.7524349068242322E-2</v>
      </c>
      <c r="CL861" s="6">
        <f>(14.95*0.63+224.81*0.56+68.26*0.52)/(14.95+224.81+68.26)</f>
        <v>0.55453314719823399</v>
      </c>
      <c r="DZ861" s="31"/>
      <c r="ED861" s="8"/>
      <c r="EO861" s="8"/>
      <c r="EZ861" s="7">
        <f>1000*BP861*CK861/100</f>
        <v>84.780499999999989</v>
      </c>
      <c r="FA861" s="6">
        <f>BP861*CL861/100</f>
        <v>1.7080730000000002</v>
      </c>
      <c r="GP861" s="32"/>
      <c r="GT861" s="8"/>
      <c r="GW861" s="8"/>
      <c r="GY861" s="8" t="s">
        <v>435</v>
      </c>
      <c r="GZ861" s="8" t="s">
        <v>928</v>
      </c>
      <c r="HA861" s="8"/>
      <c r="HB861" s="8" t="s">
        <v>929</v>
      </c>
      <c r="HC861" s="8" t="s">
        <v>655</v>
      </c>
      <c r="HD861" s="8" t="s">
        <v>6814</v>
      </c>
      <c r="HE861" s="8">
        <v>36845</v>
      </c>
      <c r="HF861" s="8" t="s">
        <v>6815</v>
      </c>
      <c r="HG861" s="8" t="s">
        <v>389</v>
      </c>
      <c r="IB861" s="8" t="s">
        <v>6814</v>
      </c>
      <c r="IC861" s="8">
        <v>36845</v>
      </c>
      <c r="ID861" s="8" t="s">
        <v>6815</v>
      </c>
      <c r="IE861" s="8" t="s">
        <v>389</v>
      </c>
      <c r="IF861" s="8" t="s">
        <v>445</v>
      </c>
      <c r="KP861" s="5" t="s">
        <v>6816</v>
      </c>
      <c r="KQ861" s="5" t="s">
        <v>6817</v>
      </c>
      <c r="KR861" s="5" t="s">
        <v>6818</v>
      </c>
      <c r="KS861" s="5" t="s">
        <v>6816</v>
      </c>
      <c r="KT861" s="5" t="s">
        <v>6819</v>
      </c>
    </row>
    <row r="862" spans="1:306" ht="96" x14ac:dyDescent="0.2">
      <c r="A862" s="5" t="s">
        <v>7131</v>
      </c>
      <c r="B862" s="4" t="s">
        <v>383</v>
      </c>
      <c r="C862" s="7" t="s">
        <v>926</v>
      </c>
      <c r="D862" s="8" t="s">
        <v>1227</v>
      </c>
      <c r="E862" s="44">
        <v>342349</v>
      </c>
      <c r="G862" s="4" t="s">
        <v>330</v>
      </c>
      <c r="H862" s="6">
        <v>120.98087153199999</v>
      </c>
      <c r="I862" s="6">
        <v>-30.184027230000002</v>
      </c>
      <c r="J862" s="4" t="s">
        <v>1467</v>
      </c>
      <c r="K862" s="4" t="s">
        <v>331</v>
      </c>
      <c r="L862" s="4" t="s">
        <v>500</v>
      </c>
      <c r="M862" s="4" t="s">
        <v>501</v>
      </c>
      <c r="N862" s="4" t="s">
        <v>1061</v>
      </c>
      <c r="O862" s="8" t="s">
        <v>924</v>
      </c>
      <c r="P862" s="4" t="s">
        <v>371</v>
      </c>
      <c r="Q862" s="8">
        <f>(2710+2692)/2</f>
        <v>2701</v>
      </c>
      <c r="R862" s="8">
        <f>(2710-2692)/2</f>
        <v>9</v>
      </c>
      <c r="S862" s="9" t="s">
        <v>379</v>
      </c>
      <c r="T862" s="9" t="s">
        <v>690</v>
      </c>
      <c r="Y862" s="8">
        <v>4</v>
      </c>
      <c r="AE862" s="8"/>
      <c r="AF862" s="8"/>
      <c r="AN862" s="4" t="s">
        <v>381</v>
      </c>
      <c r="AO862" s="4" t="s">
        <v>375</v>
      </c>
      <c r="AP862" s="4" t="s">
        <v>383</v>
      </c>
      <c r="AQ862" s="7" t="s">
        <v>926</v>
      </c>
      <c r="AR862" s="8" t="s">
        <v>1227</v>
      </c>
      <c r="AS862" s="8">
        <f>(56+33.9)/2</f>
        <v>44.95</v>
      </c>
      <c r="AT862" s="8">
        <f>(56-33.9)/2</f>
        <v>11.05</v>
      </c>
      <c r="AU862" s="9" t="s">
        <v>379</v>
      </c>
      <c r="AV862" s="9" t="s">
        <v>460</v>
      </c>
      <c r="BA862" s="8">
        <v>3</v>
      </c>
      <c r="BP862" s="7">
        <v>86</v>
      </c>
      <c r="BQ862" s="8"/>
      <c r="BY862" s="8"/>
      <c r="CD862" s="8"/>
      <c r="CK862" s="9">
        <v>3.5000000000000003E-2</v>
      </c>
      <c r="CL862" s="6">
        <v>0.73</v>
      </c>
      <c r="DZ862" s="31"/>
      <c r="ED862" s="8"/>
      <c r="EO862" s="8"/>
      <c r="EZ862" s="7">
        <f>1000*BP862*CK862/100</f>
        <v>30.100000000000005</v>
      </c>
      <c r="FA862" s="6">
        <f>BP862*CL862/100</f>
        <v>0.62780000000000002</v>
      </c>
      <c r="GP862" s="32"/>
      <c r="GT862" s="8"/>
      <c r="GW862" s="8"/>
      <c r="GY862" s="8" t="s">
        <v>338</v>
      </c>
      <c r="GZ862" s="8" t="s">
        <v>928</v>
      </c>
      <c r="HA862" s="8"/>
      <c r="HB862" s="8" t="s">
        <v>929</v>
      </c>
      <c r="HC862" s="8" t="s">
        <v>655</v>
      </c>
      <c r="HD862" s="8" t="s">
        <v>1380</v>
      </c>
      <c r="HE862" s="8">
        <v>24071</v>
      </c>
      <c r="HF862" s="8" t="s">
        <v>1381</v>
      </c>
      <c r="HG862" s="9" t="s">
        <v>507</v>
      </c>
      <c r="IB862" s="8" t="s">
        <v>1380</v>
      </c>
      <c r="IC862" s="8">
        <v>24071</v>
      </c>
      <c r="ID862" s="8" t="s">
        <v>1381</v>
      </c>
      <c r="IE862" s="8" t="s">
        <v>507</v>
      </c>
      <c r="IF862" s="8" t="s">
        <v>445</v>
      </c>
      <c r="KP862" s="5" t="s">
        <v>931</v>
      </c>
      <c r="KQ862" s="5" t="s">
        <v>7132</v>
      </c>
      <c r="KR862" s="5" t="s">
        <v>1383</v>
      </c>
      <c r="KS862" s="5" t="s">
        <v>931</v>
      </c>
      <c r="KT862" s="5" t="s">
        <v>1384</v>
      </c>
    </row>
    <row r="863" spans="1:306" ht="72" x14ac:dyDescent="0.2">
      <c r="A863" s="5" t="s">
        <v>7133</v>
      </c>
      <c r="B863" s="4" t="s">
        <v>383</v>
      </c>
      <c r="C863" s="7" t="s">
        <v>926</v>
      </c>
      <c r="D863" s="8" t="s">
        <v>1227</v>
      </c>
      <c r="E863" s="44">
        <v>342350</v>
      </c>
      <c r="G863" s="4" t="s">
        <v>330</v>
      </c>
      <c r="H863" s="6">
        <v>120.938</v>
      </c>
      <c r="I863" s="6">
        <v>-30.273</v>
      </c>
      <c r="J863" s="4" t="s">
        <v>1467</v>
      </c>
      <c r="K863" s="4" t="s">
        <v>331</v>
      </c>
      <c r="L863" s="4" t="s">
        <v>500</v>
      </c>
      <c r="M863" s="4" t="s">
        <v>501</v>
      </c>
      <c r="N863" s="4" t="s">
        <v>1061</v>
      </c>
      <c r="O863" s="8" t="s">
        <v>924</v>
      </c>
      <c r="P863" s="4" t="s">
        <v>371</v>
      </c>
      <c r="Q863" s="8">
        <f>(2710+2692)/2</f>
        <v>2701</v>
      </c>
      <c r="R863" s="8">
        <f>(2710-2692)/2</f>
        <v>9</v>
      </c>
      <c r="S863" s="9" t="s">
        <v>379</v>
      </c>
      <c r="T863" s="9" t="s">
        <v>690</v>
      </c>
      <c r="Y863" s="8">
        <v>4</v>
      </c>
      <c r="AE863" s="8"/>
      <c r="AF863" s="8"/>
      <c r="AN863" s="4" t="s">
        <v>381</v>
      </c>
      <c r="AO863" s="4" t="s">
        <v>375</v>
      </c>
      <c r="AP863" s="4" t="s">
        <v>383</v>
      </c>
      <c r="AQ863" s="7" t="s">
        <v>926</v>
      </c>
      <c r="AR863" s="8" t="s">
        <v>1227</v>
      </c>
      <c r="AS863" s="8">
        <f>(56+33.9)/2</f>
        <v>44.95</v>
      </c>
      <c r="AT863" s="8">
        <f>(56-33.9)/2</f>
        <v>11.05</v>
      </c>
      <c r="AU863" s="9" t="s">
        <v>379</v>
      </c>
      <c r="AV863" s="9" t="s">
        <v>460</v>
      </c>
      <c r="BA863" s="8">
        <v>3</v>
      </c>
      <c r="BP863" s="7">
        <v>81</v>
      </c>
      <c r="BQ863" s="8"/>
      <c r="BY863" s="8"/>
      <c r="CD863" s="8"/>
      <c r="CK863" s="9">
        <v>3.3000000000000002E-2</v>
      </c>
      <c r="CL863" s="6">
        <v>0.65</v>
      </c>
      <c r="DZ863" s="31"/>
      <c r="ED863" s="8"/>
      <c r="EO863" s="8"/>
      <c r="EZ863" s="7">
        <f>1000*BP863*CK863/100</f>
        <v>26.73</v>
      </c>
      <c r="FA863" s="6">
        <f>BP863*CL863/100</f>
        <v>0.52649999999999997</v>
      </c>
      <c r="GP863" s="32"/>
      <c r="GT863" s="8"/>
      <c r="GW863" s="8"/>
      <c r="GY863" s="8" t="s">
        <v>338</v>
      </c>
      <c r="GZ863" s="8" t="s">
        <v>928</v>
      </c>
      <c r="HA863" s="8"/>
      <c r="HB863" s="8" t="s">
        <v>929</v>
      </c>
      <c r="HC863" s="8" t="s">
        <v>655</v>
      </c>
      <c r="HD863" s="8" t="s">
        <v>1380</v>
      </c>
      <c r="HE863" s="8">
        <v>24071</v>
      </c>
      <c r="HF863" s="8" t="s">
        <v>1381</v>
      </c>
      <c r="HG863" s="9" t="s">
        <v>507</v>
      </c>
      <c r="IB863" s="8" t="s">
        <v>1380</v>
      </c>
      <c r="IC863" s="8">
        <v>24071</v>
      </c>
      <c r="ID863" s="8" t="s">
        <v>1381</v>
      </c>
      <c r="IE863" s="8" t="s">
        <v>507</v>
      </c>
      <c r="IF863" s="8" t="s">
        <v>445</v>
      </c>
      <c r="KP863" s="5" t="s">
        <v>3432</v>
      </c>
      <c r="KQ863" s="5" t="s">
        <v>7134</v>
      </c>
      <c r="KR863" s="5" t="s">
        <v>1835</v>
      </c>
      <c r="KS863" s="5" t="s">
        <v>931</v>
      </c>
      <c r="KT863" s="5" t="s">
        <v>7135</v>
      </c>
    </row>
    <row r="864" spans="1:306" ht="72" x14ac:dyDescent="0.2">
      <c r="A864" s="5" t="s">
        <v>7497</v>
      </c>
      <c r="B864" s="4" t="s">
        <v>383</v>
      </c>
      <c r="C864" s="7" t="s">
        <v>926</v>
      </c>
      <c r="D864" s="8" t="s">
        <v>1830</v>
      </c>
      <c r="E864" s="44">
        <v>577880</v>
      </c>
      <c r="G864" s="4" t="s">
        <v>330</v>
      </c>
      <c r="H864" s="6">
        <v>121.858803892</v>
      </c>
      <c r="I864" s="6">
        <v>-30.689841393999998</v>
      </c>
      <c r="J864" s="4" t="s">
        <v>1829</v>
      </c>
      <c r="K864" s="4" t="s">
        <v>331</v>
      </c>
      <c r="L864" s="4" t="s">
        <v>500</v>
      </c>
      <c r="M864" s="4" t="s">
        <v>501</v>
      </c>
      <c r="N864" s="4" t="s">
        <v>625</v>
      </c>
      <c r="O864" s="8" t="s">
        <v>924</v>
      </c>
      <c r="P864" s="4" t="s">
        <v>371</v>
      </c>
      <c r="Q864" s="8">
        <f>(2705+2706)/2</f>
        <v>2705.5</v>
      </c>
      <c r="R864" s="8">
        <f>(2713-2701)/2</f>
        <v>6</v>
      </c>
      <c r="S864" s="9" t="s">
        <v>379</v>
      </c>
      <c r="T864" s="9" t="s">
        <v>690</v>
      </c>
      <c r="Y864" s="8">
        <v>4</v>
      </c>
      <c r="AE864" s="8"/>
      <c r="AF864" s="8"/>
      <c r="AN864" s="4" t="s">
        <v>381</v>
      </c>
      <c r="AO864" s="4" t="s">
        <v>375</v>
      </c>
      <c r="AP864" s="4" t="s">
        <v>383</v>
      </c>
      <c r="AQ864" s="7" t="s">
        <v>926</v>
      </c>
      <c r="AR864" s="8" t="s">
        <v>1830</v>
      </c>
      <c r="AS864" s="8"/>
      <c r="AT864" s="8"/>
      <c r="BP864" s="7">
        <v>14</v>
      </c>
      <c r="BQ864" s="8"/>
      <c r="BY864" s="8"/>
      <c r="CD864" s="8"/>
      <c r="CK864" s="9">
        <v>0.51</v>
      </c>
      <c r="CL864" s="6">
        <v>0.84</v>
      </c>
      <c r="DZ864" s="31"/>
      <c r="ED864" s="8"/>
      <c r="EO864" s="8"/>
      <c r="EZ864" s="7">
        <f>1000*BP864*CK864/100</f>
        <v>71.400000000000006</v>
      </c>
      <c r="FA864" s="6">
        <f>BP864*CL864/100</f>
        <v>0.1176</v>
      </c>
      <c r="GP864" s="32"/>
      <c r="GT864" s="8"/>
      <c r="GW864" s="8"/>
      <c r="GY864" s="8" t="s">
        <v>338</v>
      </c>
      <c r="GZ864" s="8" t="s">
        <v>1379</v>
      </c>
      <c r="HA864" s="8"/>
      <c r="HB864" s="8"/>
      <c r="HC864" s="8" t="s">
        <v>655</v>
      </c>
      <c r="HD864" s="8" t="s">
        <v>1831</v>
      </c>
      <c r="HE864" s="8">
        <v>2934</v>
      </c>
      <c r="HF864" s="8" t="s">
        <v>1832</v>
      </c>
      <c r="HG864" s="9" t="s">
        <v>507</v>
      </c>
      <c r="IB864" s="8" t="s">
        <v>1831</v>
      </c>
      <c r="IC864" s="8">
        <v>2934</v>
      </c>
      <c r="ID864" s="8" t="s">
        <v>1832</v>
      </c>
      <c r="IE864" s="9" t="s">
        <v>507</v>
      </c>
      <c r="IF864" s="8" t="s">
        <v>445</v>
      </c>
      <c r="KP864" s="5" t="s">
        <v>1833</v>
      </c>
      <c r="KQ864" s="5" t="s">
        <v>1834</v>
      </c>
      <c r="KR864" s="5" t="s">
        <v>1835</v>
      </c>
      <c r="KS864" s="5" t="s">
        <v>931</v>
      </c>
      <c r="KT864" s="5" t="s">
        <v>7498</v>
      </c>
    </row>
    <row r="865" spans="1:306" ht="36" x14ac:dyDescent="0.2">
      <c r="A865" s="5" t="s">
        <v>8110</v>
      </c>
      <c r="B865" s="4" t="s">
        <v>383</v>
      </c>
      <c r="C865" s="7" t="s">
        <v>926</v>
      </c>
      <c r="D865" s="8" t="s">
        <v>1227</v>
      </c>
      <c r="E865" s="44">
        <v>334378</v>
      </c>
      <c r="G865" s="4" t="s">
        <v>330</v>
      </c>
      <c r="H865" s="6">
        <v>128.96836999999999</v>
      </c>
      <c r="I865" s="6">
        <v>-26.065550000000002</v>
      </c>
      <c r="K865" s="4" t="s">
        <v>1918</v>
      </c>
      <c r="L865" s="4" t="s">
        <v>6156</v>
      </c>
      <c r="O865" s="8" t="s">
        <v>924</v>
      </c>
      <c r="P865" s="4" t="s">
        <v>371</v>
      </c>
      <c r="Q865" s="8">
        <v>1075</v>
      </c>
      <c r="R865" s="8">
        <v>1</v>
      </c>
      <c r="S865" s="9" t="s">
        <v>379</v>
      </c>
      <c r="T865" s="9" t="s">
        <v>460</v>
      </c>
      <c r="U865" s="9" t="s">
        <v>373</v>
      </c>
      <c r="V865" s="9" t="s">
        <v>306</v>
      </c>
      <c r="W865" s="9" t="s">
        <v>307</v>
      </c>
      <c r="X865" s="9" t="s">
        <v>337</v>
      </c>
      <c r="Y865" s="8">
        <v>4</v>
      </c>
      <c r="AE865" s="8"/>
      <c r="AF865" s="8"/>
      <c r="AN865" s="4" t="s">
        <v>381</v>
      </c>
      <c r="AO865" s="4" t="s">
        <v>375</v>
      </c>
      <c r="AP865" s="4" t="s">
        <v>383</v>
      </c>
      <c r="AQ865" s="7" t="s">
        <v>926</v>
      </c>
      <c r="AR865" s="8" t="s">
        <v>1227</v>
      </c>
      <c r="BP865" s="7">
        <v>182.6</v>
      </c>
      <c r="CJ865" s="7">
        <f>45.3/1.4297</f>
        <v>31.684968874589075</v>
      </c>
      <c r="CK865" s="9">
        <f>(0.075*37.6+0.072*130.9+0.065*14.1)/182.6</f>
        <v>7.2077217962760134E-2</v>
      </c>
      <c r="CL865" s="6">
        <v>0.92</v>
      </c>
      <c r="DZ865" s="31"/>
      <c r="EY865" s="8">
        <f>BP865*CJ865/100</f>
        <v>57.856753164999645</v>
      </c>
      <c r="EZ865" s="6">
        <f>1000*BP865*CK865/100</f>
        <v>131.613</v>
      </c>
      <c r="FA865" s="10">
        <f>BP865*CL865/100</f>
        <v>1.6799199999999999</v>
      </c>
      <c r="GP865" s="32"/>
      <c r="GY865" s="6" t="s">
        <v>338</v>
      </c>
      <c r="GZ865" s="6" t="s">
        <v>928</v>
      </c>
      <c r="HA865" s="6" t="s">
        <v>386</v>
      </c>
      <c r="HB865" s="6" t="s">
        <v>929</v>
      </c>
      <c r="HC865" s="6" t="s">
        <v>655</v>
      </c>
      <c r="HD865" s="8" t="s">
        <v>8111</v>
      </c>
      <c r="HE865" s="8">
        <v>8376</v>
      </c>
      <c r="HF865" s="8" t="s">
        <v>8112</v>
      </c>
      <c r="HG865" s="9" t="s">
        <v>349</v>
      </c>
      <c r="IB865" s="8" t="s">
        <v>8111</v>
      </c>
      <c r="IC865" s="8">
        <v>8376</v>
      </c>
      <c r="ID865" s="8" t="s">
        <v>8112</v>
      </c>
      <c r="IE865" s="9" t="s">
        <v>349</v>
      </c>
      <c r="IF865" s="8" t="s">
        <v>445</v>
      </c>
      <c r="KP865" s="18" t="s">
        <v>8113</v>
      </c>
      <c r="KQ865" s="5" t="s">
        <v>8114</v>
      </c>
      <c r="KR865" s="5" t="s">
        <v>8115</v>
      </c>
      <c r="KS865" s="5" t="s">
        <v>8116</v>
      </c>
      <c r="KT865" s="5" t="s">
        <v>8117</v>
      </c>
    </row>
    <row r="866" spans="1:306" ht="36" x14ac:dyDescent="0.25">
      <c r="A866" s="5" t="s">
        <v>1068</v>
      </c>
      <c r="B866" s="4" t="s">
        <v>397</v>
      </c>
      <c r="C866" s="7" t="s">
        <v>398</v>
      </c>
      <c r="D866" s="8" t="s">
        <v>1069</v>
      </c>
      <c r="E866" s="4">
        <v>806564</v>
      </c>
      <c r="G866" s="4" t="s">
        <v>530</v>
      </c>
      <c r="H866" s="6">
        <v>135.4529</v>
      </c>
      <c r="I866" s="6">
        <v>-23.276700000000002</v>
      </c>
      <c r="J866" s="4" t="s">
        <v>1070</v>
      </c>
      <c r="K866" s="4" t="s">
        <v>481</v>
      </c>
      <c r="L866" s="4" t="s">
        <v>580</v>
      </c>
      <c r="M866" s="4" t="s">
        <v>1070</v>
      </c>
      <c r="Q866" s="8"/>
      <c r="R866" s="8"/>
      <c r="T866" s="4"/>
      <c r="U866" s="4"/>
      <c r="V866" s="4"/>
      <c r="W866" s="4"/>
      <c r="Z866" s="4" t="s">
        <v>397</v>
      </c>
      <c r="AA866" s="7" t="s">
        <v>398</v>
      </c>
      <c r="AB866" s="8" t="s">
        <v>1069</v>
      </c>
      <c r="AC866" s="4" t="s">
        <v>301</v>
      </c>
      <c r="AD866" s="4" t="s">
        <v>375</v>
      </c>
      <c r="AE866" s="8">
        <v>409</v>
      </c>
      <c r="AF866" s="8">
        <v>9</v>
      </c>
      <c r="AG866" s="9" t="s">
        <v>379</v>
      </c>
      <c r="AH866" s="4" t="s">
        <v>1071</v>
      </c>
      <c r="AI866" s="4" t="s">
        <v>373</v>
      </c>
      <c r="AJ866" s="4" t="s">
        <v>306</v>
      </c>
      <c r="AK866" s="4" t="s">
        <v>307</v>
      </c>
      <c r="AL866" s="9" t="s">
        <v>337</v>
      </c>
      <c r="AM866" s="8">
        <v>4</v>
      </c>
      <c r="DZ866" s="31"/>
      <c r="EY866" s="6"/>
      <c r="GP866" s="32"/>
      <c r="GY866" s="6" t="s">
        <v>407</v>
      </c>
      <c r="HD866" s="8" t="s">
        <v>1072</v>
      </c>
      <c r="HE866" s="8">
        <v>77878</v>
      </c>
      <c r="HF866" s="8" t="s">
        <v>1073</v>
      </c>
      <c r="HG866" s="9" t="s">
        <v>1074</v>
      </c>
      <c r="HY866" s="9"/>
      <c r="IB866" s="8" t="s">
        <v>1072</v>
      </c>
      <c r="IC866" s="8">
        <v>77878</v>
      </c>
      <c r="ID866" s="8" t="s">
        <v>1073</v>
      </c>
      <c r="IE866" s="9" t="s">
        <v>1074</v>
      </c>
      <c r="IF866" s="9" t="s">
        <v>319</v>
      </c>
      <c r="IW866" s="8"/>
      <c r="JB866" s="8"/>
      <c r="JX866" s="7" t="s">
        <v>322</v>
      </c>
      <c r="KG866" s="4" t="s">
        <v>323</v>
      </c>
      <c r="KP866" s="5" t="s">
        <v>1075</v>
      </c>
      <c r="KQ866" s="5" t="s">
        <v>1076</v>
      </c>
      <c r="KR866" s="5" t="s">
        <v>1075</v>
      </c>
    </row>
    <row r="867" spans="1:306" ht="84" customHeight="1" x14ac:dyDescent="0.25">
      <c r="A867" s="5" t="s">
        <v>2344</v>
      </c>
      <c r="B867" s="4" t="s">
        <v>397</v>
      </c>
      <c r="C867" s="7" t="s">
        <v>398</v>
      </c>
      <c r="D867" s="8" t="s">
        <v>1069</v>
      </c>
      <c r="E867" s="4">
        <v>335908</v>
      </c>
      <c r="G867" s="4" t="s">
        <v>330</v>
      </c>
      <c r="H867" s="6">
        <v>127.991</v>
      </c>
      <c r="I867" s="6">
        <v>-17.658799999999999</v>
      </c>
      <c r="J867" s="4" t="s">
        <v>2345</v>
      </c>
      <c r="K867" s="4" t="s">
        <v>481</v>
      </c>
      <c r="L867" s="4" t="s">
        <v>872</v>
      </c>
      <c r="R867" s="8"/>
      <c r="W867" s="4"/>
      <c r="X867" s="4"/>
      <c r="Z867" s="4" t="s">
        <v>397</v>
      </c>
      <c r="AA867" s="7" t="s">
        <v>398</v>
      </c>
      <c r="AB867" s="8" t="s">
        <v>1069</v>
      </c>
      <c r="AC867" s="4" t="s">
        <v>301</v>
      </c>
      <c r="AD867" s="4" t="s">
        <v>302</v>
      </c>
      <c r="AE867" s="9">
        <v>1823</v>
      </c>
      <c r="AF867" s="8">
        <v>3</v>
      </c>
      <c r="AG867" s="9" t="s">
        <v>303</v>
      </c>
      <c r="AH867" s="9" t="s">
        <v>483</v>
      </c>
      <c r="AI867" s="9" t="s">
        <v>373</v>
      </c>
      <c r="AJ867" s="9" t="s">
        <v>306</v>
      </c>
      <c r="AK867" s="4" t="s">
        <v>307</v>
      </c>
      <c r="AL867" s="4" t="s">
        <v>337</v>
      </c>
      <c r="AM867" s="8">
        <v>4</v>
      </c>
      <c r="BP867" s="7">
        <v>0.78400000000000003</v>
      </c>
      <c r="BR867" s="6">
        <v>0.67</v>
      </c>
      <c r="CK867" s="6">
        <v>0.05</v>
      </c>
      <c r="CL867" s="6">
        <v>1.1000000000000001</v>
      </c>
      <c r="DZ867" s="31"/>
      <c r="EH867" s="10">
        <f>5260/1000000</f>
        <v>5.2599999999999999E-3</v>
      </c>
      <c r="EZ867" s="6">
        <v>0.36</v>
      </c>
      <c r="FA867" s="10">
        <f>8520/1000000</f>
        <v>8.5199999999999998E-3</v>
      </c>
      <c r="GP867" s="32"/>
      <c r="GY867" s="6" t="s">
        <v>338</v>
      </c>
      <c r="GZ867" s="40" t="s">
        <v>2346</v>
      </c>
      <c r="HB867" s="40" t="s">
        <v>929</v>
      </c>
      <c r="HC867" s="6" t="s">
        <v>2347</v>
      </c>
      <c r="HD867" s="8" t="s">
        <v>2348</v>
      </c>
      <c r="HE867" s="8">
        <v>81574</v>
      </c>
      <c r="HF867" s="8" t="s">
        <v>2349</v>
      </c>
      <c r="HG867" s="9" t="s">
        <v>2350</v>
      </c>
      <c r="IB867" s="8" t="s">
        <v>2348</v>
      </c>
      <c r="IC867" s="8">
        <v>81574</v>
      </c>
      <c r="ID867" s="8" t="s">
        <v>2349</v>
      </c>
      <c r="IE867" s="9" t="s">
        <v>2350</v>
      </c>
      <c r="JX867" s="7" t="s">
        <v>2351</v>
      </c>
      <c r="JY867" s="7" t="s">
        <v>354</v>
      </c>
      <c r="JZ867" s="7" t="s">
        <v>2352</v>
      </c>
      <c r="KA867" s="7" t="s">
        <v>354</v>
      </c>
      <c r="KB867" s="7" t="s">
        <v>2353</v>
      </c>
      <c r="KP867" s="5" t="s">
        <v>358</v>
      </c>
      <c r="KQ867" s="5" t="s">
        <v>2354</v>
      </c>
      <c r="KR867" s="5" t="s">
        <v>2355</v>
      </c>
      <c r="KS867" s="5" t="s">
        <v>2356</v>
      </c>
      <c r="KT867" s="5" t="s">
        <v>2357</v>
      </c>
    </row>
    <row r="868" spans="1:306" ht="48" x14ac:dyDescent="0.2">
      <c r="A868" s="14" t="s">
        <v>2536</v>
      </c>
      <c r="B868" s="29" t="s">
        <v>397</v>
      </c>
      <c r="C868" s="30" t="s">
        <v>398</v>
      </c>
      <c r="D868" s="26" t="s">
        <v>1069</v>
      </c>
      <c r="E868" s="44">
        <v>859587</v>
      </c>
      <c r="F868" s="29">
        <v>622537</v>
      </c>
      <c r="G868" s="29" t="s">
        <v>296</v>
      </c>
      <c r="H868" s="31">
        <v>145.39111500000001</v>
      </c>
      <c r="I868" s="31">
        <v>-41.835970000000003</v>
      </c>
      <c r="J868" s="29" t="s">
        <v>2537</v>
      </c>
      <c r="K868" s="29" t="s">
        <v>298</v>
      </c>
      <c r="L868" s="29" t="s">
        <v>400</v>
      </c>
      <c r="M868" s="29" t="s">
        <v>401</v>
      </c>
      <c r="N868" s="29"/>
      <c r="O868" s="26"/>
      <c r="P868" s="29"/>
      <c r="Q868" s="27"/>
      <c r="R868" s="27"/>
      <c r="S868" s="27"/>
      <c r="T868" s="27"/>
      <c r="U868" s="27"/>
      <c r="V868" s="27"/>
      <c r="W868" s="27"/>
      <c r="X868" s="27"/>
      <c r="Y868" s="26"/>
      <c r="Z868" s="29" t="s">
        <v>397</v>
      </c>
      <c r="AA868" s="30" t="s">
        <v>398</v>
      </c>
      <c r="AB868" s="26" t="s">
        <v>1069</v>
      </c>
      <c r="AC868" s="29" t="s">
        <v>301</v>
      </c>
      <c r="AD868" s="29" t="s">
        <v>375</v>
      </c>
      <c r="AE868" s="27"/>
      <c r="AF868" s="27"/>
      <c r="AG868" s="27"/>
      <c r="AH868" s="27"/>
      <c r="AI868" s="27"/>
      <c r="AJ868" s="27"/>
      <c r="AK868" s="27"/>
      <c r="AL868" s="27"/>
      <c r="AM868" s="26"/>
      <c r="AN868" s="29" t="s">
        <v>381</v>
      </c>
      <c r="AO868" s="29" t="s">
        <v>402</v>
      </c>
      <c r="AP868" s="29" t="s">
        <v>383</v>
      </c>
      <c r="AQ868" s="30" t="s">
        <v>384</v>
      </c>
      <c r="AR868" s="26" t="s">
        <v>2538</v>
      </c>
      <c r="AS868" s="30">
        <v>0</v>
      </c>
      <c r="AT868" s="30">
        <v>0</v>
      </c>
      <c r="AU868" s="27" t="s">
        <v>379</v>
      </c>
      <c r="AV868" s="27" t="s">
        <v>406</v>
      </c>
      <c r="AW868" s="27"/>
      <c r="AX868" s="27"/>
      <c r="AY868" s="27"/>
      <c r="AZ868" s="27"/>
      <c r="BA868" s="26">
        <v>5</v>
      </c>
      <c r="BB868" s="29"/>
      <c r="BC868" s="29"/>
      <c r="BD868" s="29"/>
      <c r="BE868" s="30"/>
      <c r="BF868" s="26"/>
      <c r="BG868" s="27"/>
      <c r="BH868" s="27"/>
      <c r="BI868" s="27"/>
      <c r="BJ868" s="27"/>
      <c r="BK868" s="27"/>
      <c r="BL868" s="27"/>
      <c r="BM868" s="27"/>
      <c r="BN868" s="27"/>
      <c r="BO868" s="26"/>
      <c r="BP868" s="30">
        <f>0.95+0.03+0.01</f>
        <v>0.99</v>
      </c>
      <c r="BQ868" s="31"/>
      <c r="BR868" s="31">
        <f>(0.94*0.95+0*0.03+3.5*0.01)/(0.95+0.03+0.01)</f>
        <v>0.9373737373737373</v>
      </c>
      <c r="BS868" s="31"/>
      <c r="BT868" s="31"/>
      <c r="BU868" s="26"/>
      <c r="BV868" s="31"/>
      <c r="BW868" s="31"/>
      <c r="BX868" s="31"/>
      <c r="BY868" s="31"/>
      <c r="BZ868" s="31"/>
      <c r="CA868" s="31"/>
      <c r="CB868" s="31"/>
      <c r="CC868" s="31"/>
      <c r="CD868" s="31"/>
      <c r="CE868" s="31"/>
      <c r="CF868" s="31"/>
      <c r="CG868" s="31"/>
      <c r="CH868" s="31"/>
      <c r="CI868" s="31"/>
      <c r="CJ868" s="31"/>
      <c r="CK868" s="31"/>
      <c r="CL868" s="31">
        <f>(0.76*0.95+3*0.03+9.5*0.01)/(0.95+0.03+0.01)</f>
        <v>0.91616161616161607</v>
      </c>
      <c r="CM868" s="31"/>
      <c r="CN868" s="31"/>
      <c r="CO868" s="31"/>
      <c r="CP868" s="31"/>
      <c r="CQ868" s="31"/>
      <c r="CR868" s="31"/>
      <c r="CS868" s="31"/>
      <c r="CT868" s="31"/>
      <c r="CU868" s="31"/>
      <c r="CV868" s="31"/>
      <c r="CW868" s="31"/>
      <c r="CX868" s="31"/>
      <c r="CY868" s="31"/>
      <c r="CZ868" s="31"/>
      <c r="DA868" s="31"/>
      <c r="DB868" s="31"/>
      <c r="DC868" s="31"/>
      <c r="DD868" s="31"/>
      <c r="DE868" s="31"/>
      <c r="DF868" s="31"/>
      <c r="DG868" s="31"/>
      <c r="DH868" s="31"/>
      <c r="DI868" s="31"/>
      <c r="DJ868" s="31"/>
      <c r="DK868" s="31"/>
      <c r="DL868" s="31"/>
      <c r="DM868" s="31"/>
      <c r="DN868" s="31"/>
      <c r="DO868" s="31"/>
      <c r="DP868" s="31"/>
      <c r="DQ868" s="31"/>
      <c r="DR868" s="31"/>
      <c r="DS868" s="31"/>
      <c r="DT868" s="31"/>
      <c r="DU868" s="31"/>
      <c r="DV868" s="31"/>
      <c r="DW868" s="31"/>
      <c r="DX868" s="31"/>
      <c r="DY868" s="31"/>
      <c r="DZ868" s="31"/>
      <c r="EA868" s="31"/>
      <c r="EB868" s="31"/>
      <c r="EC868" s="31"/>
      <c r="ED868" s="31"/>
      <c r="EE868" s="31"/>
      <c r="EF868" s="31"/>
      <c r="EG868" s="31"/>
      <c r="EH868" s="32">
        <f>BP868*BR868/100</f>
        <v>9.2800000000000001E-3</v>
      </c>
      <c r="EI868" s="32"/>
      <c r="EJ868" s="32"/>
      <c r="EK868" s="32"/>
      <c r="EL868" s="31"/>
      <c r="EM868" s="31"/>
      <c r="EN868" s="31"/>
      <c r="EO868" s="31"/>
      <c r="EP868" s="31"/>
      <c r="EQ868" s="31"/>
      <c r="ER868" s="31"/>
      <c r="ES868" s="31"/>
      <c r="ET868" s="31"/>
      <c r="EU868" s="31"/>
      <c r="EV868" s="31"/>
      <c r="EW868" s="31"/>
      <c r="EX868" s="31"/>
      <c r="EY868" s="26"/>
      <c r="EZ868" s="31"/>
      <c r="FA868" s="32">
        <f>BP868*CL868/100</f>
        <v>9.0699999999999999E-3</v>
      </c>
      <c r="FB868" s="31"/>
      <c r="FC868" s="31"/>
      <c r="FD868" s="31"/>
      <c r="FE868" s="31"/>
      <c r="FF868" s="31"/>
      <c r="FG868" s="31"/>
      <c r="FH868" s="31"/>
      <c r="FI868" s="31"/>
      <c r="FJ868" s="31"/>
      <c r="FK868" s="31"/>
      <c r="FL868" s="31"/>
      <c r="FM868" s="31"/>
      <c r="FN868" s="31"/>
      <c r="FO868" s="31"/>
      <c r="FP868" s="31"/>
      <c r="FQ868" s="31"/>
      <c r="FR868" s="31"/>
      <c r="FS868" s="31"/>
      <c r="FT868" s="31"/>
      <c r="FU868" s="31"/>
      <c r="FV868" s="31"/>
      <c r="FW868" s="31"/>
      <c r="FX868" s="31"/>
      <c r="FY868" s="31"/>
      <c r="FZ868" s="31"/>
      <c r="GA868" s="31"/>
      <c r="GB868" s="31"/>
      <c r="GC868" s="31"/>
      <c r="GD868" s="31"/>
      <c r="GE868" s="31"/>
      <c r="GF868" s="31"/>
      <c r="GG868" s="31"/>
      <c r="GH868" s="31"/>
      <c r="GI868" s="31"/>
      <c r="GJ868" s="31"/>
      <c r="GK868" s="31"/>
      <c r="GL868" s="31"/>
      <c r="GM868" s="31"/>
      <c r="GN868" s="31"/>
      <c r="GO868" s="31"/>
      <c r="GP868" s="32"/>
      <c r="GQ868" s="31"/>
      <c r="GR868" s="31"/>
      <c r="GS868" s="31"/>
      <c r="GT868" s="31"/>
      <c r="GU868" s="31"/>
      <c r="GV868" s="31"/>
      <c r="GW868" s="31"/>
      <c r="GX868" s="31"/>
      <c r="GY868" s="31" t="s">
        <v>407</v>
      </c>
      <c r="GZ868" s="31" t="s">
        <v>2539</v>
      </c>
      <c r="HA868" s="31"/>
      <c r="HB868" s="31"/>
      <c r="HC868" s="31" t="s">
        <v>2540</v>
      </c>
      <c r="HD868" s="26" t="s">
        <v>2541</v>
      </c>
      <c r="HE868" s="26">
        <v>79485</v>
      </c>
      <c r="HF868" s="26" t="s">
        <v>2542</v>
      </c>
      <c r="HG868" s="26" t="s">
        <v>695</v>
      </c>
      <c r="HH868" s="26"/>
      <c r="HI868" s="26"/>
      <c r="HJ868" s="27"/>
      <c r="HK868" s="27"/>
      <c r="HL868" s="27"/>
      <c r="HM868" s="26"/>
      <c r="HN868" s="27"/>
      <c r="HO868" s="27"/>
      <c r="HP868" s="27"/>
      <c r="HQ868" s="26"/>
      <c r="HR868" s="27"/>
      <c r="HS868" s="27"/>
      <c r="HT868" s="27"/>
      <c r="HU868" s="27"/>
      <c r="HV868" s="27"/>
      <c r="HW868" s="27"/>
      <c r="HX868" s="27"/>
      <c r="HY868" s="26"/>
      <c r="HZ868" s="27"/>
      <c r="IA868" s="27"/>
      <c r="IB868" s="26" t="s">
        <v>2541</v>
      </c>
      <c r="IC868" s="26">
        <v>79485</v>
      </c>
      <c r="ID868" s="26" t="s">
        <v>2542</v>
      </c>
      <c r="IE868" s="26" t="s">
        <v>695</v>
      </c>
      <c r="IF868" s="26" t="s">
        <v>319</v>
      </c>
      <c r="IG868" s="26"/>
      <c r="IH868" s="26"/>
      <c r="II868" s="26"/>
      <c r="IJ868" s="26"/>
      <c r="IK868" s="26"/>
      <c r="IL868" s="27"/>
      <c r="IM868" s="26"/>
      <c r="IN868" s="27"/>
      <c r="IO868" s="27"/>
      <c r="IP868" s="27"/>
      <c r="IQ868" s="27"/>
      <c r="IR868" s="26"/>
      <c r="IS868" s="27"/>
      <c r="IT868" s="27"/>
      <c r="IU868" s="27"/>
      <c r="IV868" s="27"/>
      <c r="IW868" s="27"/>
      <c r="IX868" s="27"/>
      <c r="IY868" s="27"/>
      <c r="IZ868" s="27"/>
      <c r="JA868" s="27"/>
      <c r="JB868" s="27"/>
      <c r="JC868" s="27"/>
      <c r="JD868" s="27"/>
      <c r="JE868" s="27"/>
      <c r="JF868" s="27"/>
      <c r="JG868" s="27"/>
      <c r="JH868" s="27"/>
      <c r="JI868" s="27"/>
      <c r="JJ868" s="27"/>
      <c r="JK868" s="27"/>
      <c r="JL868" s="27"/>
      <c r="JM868" s="27"/>
      <c r="JN868" s="27"/>
      <c r="JO868" s="27"/>
      <c r="JP868" s="27"/>
      <c r="JQ868" s="27"/>
      <c r="JR868" s="27"/>
      <c r="JS868" s="27"/>
      <c r="JT868" s="27"/>
      <c r="JU868" s="30"/>
      <c r="JV868" s="30"/>
      <c r="JW868" s="30"/>
      <c r="JX868" s="30" t="s">
        <v>322</v>
      </c>
      <c r="JY868" s="30" t="s">
        <v>354</v>
      </c>
      <c r="JZ868" s="30" t="s">
        <v>320</v>
      </c>
      <c r="KA868" s="30"/>
      <c r="KB868" s="30"/>
      <c r="KC868" s="30"/>
      <c r="KD868" s="30"/>
      <c r="KE868" s="30"/>
      <c r="KF868" s="30"/>
      <c r="KG868" s="29" t="s">
        <v>323</v>
      </c>
      <c r="KH868" s="29"/>
      <c r="KI868" s="29"/>
      <c r="KJ868" s="29"/>
      <c r="KK868" s="29"/>
      <c r="KL868" s="29"/>
      <c r="KM868" s="29" t="s">
        <v>391</v>
      </c>
      <c r="KN868" s="29" t="s">
        <v>391</v>
      </c>
      <c r="KO868" s="29" t="s">
        <v>350</v>
      </c>
      <c r="KP868" s="14" t="s">
        <v>419</v>
      </c>
      <c r="KQ868" s="14" t="s">
        <v>2543</v>
      </c>
      <c r="KR868" s="14"/>
      <c r="KS868" s="14" t="s">
        <v>2544</v>
      </c>
      <c r="KT868" s="14" t="s">
        <v>2545</v>
      </c>
    </row>
    <row r="869" spans="1:306" ht="144" x14ac:dyDescent="0.25">
      <c r="A869" s="5" t="s">
        <v>3284</v>
      </c>
      <c r="B869" s="4" t="s">
        <v>383</v>
      </c>
      <c r="C869" s="7" t="s">
        <v>926</v>
      </c>
      <c r="D869" s="8" t="s">
        <v>3286</v>
      </c>
      <c r="E869" s="4">
        <v>335740</v>
      </c>
      <c r="G869" s="4" t="s">
        <v>427</v>
      </c>
      <c r="H869" s="6">
        <v>147.45160000000001</v>
      </c>
      <c r="I869" s="6">
        <v>-32.795499999999997</v>
      </c>
      <c r="J869" s="4" t="s">
        <v>3285</v>
      </c>
      <c r="K869" s="4" t="s">
        <v>298</v>
      </c>
      <c r="L869" s="4" t="s">
        <v>299</v>
      </c>
      <c r="M869" s="4" t="s">
        <v>428</v>
      </c>
      <c r="N869" s="4" t="s">
        <v>990</v>
      </c>
      <c r="Q869" s="7"/>
      <c r="R869" s="7"/>
      <c r="Z869" s="4" t="s">
        <v>397</v>
      </c>
      <c r="AA869" s="7" t="s">
        <v>398</v>
      </c>
      <c r="AB869" s="8" t="s">
        <v>1069</v>
      </c>
      <c r="AC869" s="4" t="s">
        <v>301</v>
      </c>
      <c r="AD869" s="4" t="s">
        <v>382</v>
      </c>
      <c r="AE869" s="7">
        <v>439.6</v>
      </c>
      <c r="AF869" s="7">
        <v>8.5</v>
      </c>
      <c r="AG869" s="9" t="s">
        <v>379</v>
      </c>
      <c r="AH869" s="9" t="s">
        <v>1071</v>
      </c>
      <c r="AI869" s="9" t="s">
        <v>373</v>
      </c>
      <c r="AJ869" s="9" t="s">
        <v>306</v>
      </c>
      <c r="AK869" s="9" t="s">
        <v>307</v>
      </c>
      <c r="AL869" s="9" t="s">
        <v>337</v>
      </c>
      <c r="AM869" s="8">
        <v>5</v>
      </c>
      <c r="AN869" s="4" t="s">
        <v>381</v>
      </c>
      <c r="AO869" s="4" t="s">
        <v>375</v>
      </c>
      <c r="AP869" s="4" t="s">
        <v>383</v>
      </c>
      <c r="AQ869" s="7" t="s">
        <v>926</v>
      </c>
      <c r="AR869" s="8" t="s">
        <v>3286</v>
      </c>
      <c r="AS869" s="7">
        <v>0</v>
      </c>
      <c r="AT869" s="7">
        <v>0</v>
      </c>
      <c r="AU869" s="9" t="s">
        <v>303</v>
      </c>
      <c r="AV869" s="9" t="s">
        <v>406</v>
      </c>
      <c r="BA869" s="8">
        <v>5</v>
      </c>
      <c r="BB869" s="4" t="s">
        <v>381</v>
      </c>
      <c r="BC869" s="4" t="s">
        <v>382</v>
      </c>
      <c r="BD869" s="4" t="s">
        <v>383</v>
      </c>
      <c r="BE869" s="7" t="s">
        <v>403</v>
      </c>
      <c r="BF869" s="8" t="s">
        <v>3287</v>
      </c>
      <c r="BG869" s="7">
        <v>0</v>
      </c>
      <c r="BH869" s="7">
        <v>0</v>
      </c>
      <c r="BI869" s="9" t="s">
        <v>303</v>
      </c>
      <c r="BJ869" s="9" t="s">
        <v>406</v>
      </c>
      <c r="BO869" s="8">
        <v>5</v>
      </c>
      <c r="BP869" s="7">
        <v>44</v>
      </c>
      <c r="CE869" s="8">
        <v>290</v>
      </c>
      <c r="CK869" s="6">
        <v>0.05</v>
      </c>
      <c r="CL869" s="6">
        <v>0.14000000000000001</v>
      </c>
      <c r="DI869" s="6">
        <v>0.43</v>
      </c>
      <c r="DZ869" s="31"/>
      <c r="ET869" s="6">
        <f>BP869*CE869/1000</f>
        <v>12.76</v>
      </c>
      <c r="EZ869" s="6">
        <f>1000*BP869*CK869/100</f>
        <v>22</v>
      </c>
      <c r="FA869" s="10">
        <f>BP869*CL869/100</f>
        <v>6.1600000000000002E-2</v>
      </c>
      <c r="FQ869" s="6">
        <f>6200*31.1/1000000</f>
        <v>0.19281999999999999</v>
      </c>
      <c r="FY869" s="6">
        <f>BP869*DI869+0.64</f>
        <v>19.559999999999999</v>
      </c>
      <c r="GP869" s="32"/>
      <c r="GY869" s="6" t="s">
        <v>435</v>
      </c>
      <c r="GZ869" s="6" t="s">
        <v>655</v>
      </c>
      <c r="HB869" s="6" t="s">
        <v>3288</v>
      </c>
      <c r="HD869" s="8" t="s">
        <v>3289</v>
      </c>
      <c r="HE869" s="8">
        <v>24448</v>
      </c>
      <c r="HF869" s="8" t="s">
        <v>3290</v>
      </c>
      <c r="HG869" s="9" t="s">
        <v>1365</v>
      </c>
      <c r="HH869" s="9" t="s">
        <v>3291</v>
      </c>
      <c r="HI869" s="8">
        <v>18490</v>
      </c>
      <c r="HJ869" s="9" t="s">
        <v>3292</v>
      </c>
      <c r="HK869" s="9" t="s">
        <v>1365</v>
      </c>
      <c r="HL869" s="9" t="s">
        <v>3293</v>
      </c>
      <c r="HM869" s="8">
        <v>24410</v>
      </c>
      <c r="HN869" s="9" t="s">
        <v>3294</v>
      </c>
      <c r="HO869" s="9" t="s">
        <v>1365</v>
      </c>
      <c r="IB869" s="8" t="s">
        <v>3289</v>
      </c>
      <c r="IC869" s="8">
        <v>24448</v>
      </c>
      <c r="ID869" s="8" t="s">
        <v>3290</v>
      </c>
      <c r="IE869" s="9" t="s">
        <v>1365</v>
      </c>
      <c r="IF869" s="8" t="s">
        <v>319</v>
      </c>
      <c r="IG869" s="9" t="s">
        <v>3291</v>
      </c>
      <c r="IH869" s="8">
        <v>18490</v>
      </c>
      <c r="II869" s="9" t="s">
        <v>3292</v>
      </c>
      <c r="IJ869" s="9" t="s">
        <v>1365</v>
      </c>
      <c r="IK869" s="8" t="s">
        <v>319</v>
      </c>
      <c r="IL869" s="9" t="s">
        <v>3293</v>
      </c>
      <c r="IM869" s="8">
        <v>24410</v>
      </c>
      <c r="IN869" s="9" t="s">
        <v>3294</v>
      </c>
      <c r="IO869" s="9" t="s">
        <v>1365</v>
      </c>
      <c r="IP869" s="8" t="s">
        <v>319</v>
      </c>
      <c r="IW869" s="8"/>
      <c r="JB869" s="8"/>
      <c r="JX869" s="7" t="s">
        <v>353</v>
      </c>
      <c r="KG869" s="4" t="s">
        <v>323</v>
      </c>
      <c r="KP869" s="5" t="s">
        <v>358</v>
      </c>
      <c r="KQ869" s="5" t="s">
        <v>3295</v>
      </c>
      <c r="KR869" s="5" t="s">
        <v>3296</v>
      </c>
      <c r="KS869" s="5" t="s">
        <v>3297</v>
      </c>
      <c r="KT869" s="5" t="s">
        <v>3298</v>
      </c>
    </row>
    <row r="870" spans="1:306" ht="144" x14ac:dyDescent="0.25">
      <c r="A870" s="5" t="s">
        <v>3313</v>
      </c>
      <c r="B870" s="4" t="s">
        <v>397</v>
      </c>
      <c r="C870" s="7" t="s">
        <v>398</v>
      </c>
      <c r="D870" s="8" t="s">
        <v>1069</v>
      </c>
      <c r="E870" s="4">
        <v>641027</v>
      </c>
      <c r="G870" s="4" t="s">
        <v>330</v>
      </c>
      <c r="H870" s="6">
        <v>121.55</v>
      </c>
      <c r="I870" s="6">
        <v>-26.8</v>
      </c>
      <c r="J870" s="4" t="s">
        <v>3314</v>
      </c>
      <c r="K870" s="4" t="s">
        <v>331</v>
      </c>
      <c r="L870" s="4" t="s">
        <v>500</v>
      </c>
      <c r="M870" s="4" t="s">
        <v>501</v>
      </c>
      <c r="Q870" s="8"/>
      <c r="R870" s="8"/>
      <c r="Z870" s="4" t="s">
        <v>397</v>
      </c>
      <c r="AA870" s="7" t="s">
        <v>398</v>
      </c>
      <c r="AB870" s="8" t="s">
        <v>1069</v>
      </c>
      <c r="AC870" s="4" t="s">
        <v>301</v>
      </c>
      <c r="AD870" s="4" t="s">
        <v>302</v>
      </c>
      <c r="AE870" s="8">
        <v>2890</v>
      </c>
      <c r="AF870" s="8">
        <v>50</v>
      </c>
      <c r="AG870" s="9" t="s">
        <v>379</v>
      </c>
      <c r="AH870" s="9" t="s">
        <v>690</v>
      </c>
      <c r="AM870" s="8">
        <v>2</v>
      </c>
      <c r="AS870" s="8"/>
      <c r="AT870" s="8"/>
      <c r="BG870" s="8"/>
      <c r="BH870" s="8"/>
      <c r="BP870" s="7">
        <v>7.5</v>
      </c>
      <c r="CL870" s="7">
        <v>1.8</v>
      </c>
      <c r="DZ870" s="31"/>
      <c r="FA870" s="10">
        <f>BP870*CL870/100</f>
        <v>0.13500000000000001</v>
      </c>
      <c r="GP870" s="32"/>
      <c r="GY870" s="6" t="s">
        <v>338</v>
      </c>
      <c r="GZ870" s="6" t="s">
        <v>928</v>
      </c>
      <c r="HC870" s="6" t="s">
        <v>3315</v>
      </c>
      <c r="HD870" s="8" t="s">
        <v>3316</v>
      </c>
      <c r="HF870" s="8" t="s">
        <v>3317</v>
      </c>
      <c r="HG870" s="9" t="s">
        <v>3318</v>
      </c>
      <c r="IB870" s="8" t="s">
        <v>3316</v>
      </c>
      <c r="ID870" s="8" t="s">
        <v>3319</v>
      </c>
      <c r="IE870" s="9" t="s">
        <v>3318</v>
      </c>
      <c r="IF870" s="9"/>
      <c r="IR870" s="9"/>
      <c r="JX870" s="7" t="s">
        <v>322</v>
      </c>
      <c r="JY870" s="7" t="s">
        <v>321</v>
      </c>
      <c r="JZ870" s="7" t="s">
        <v>320</v>
      </c>
      <c r="KG870" s="4" t="s">
        <v>323</v>
      </c>
      <c r="KP870" s="5" t="s">
        <v>3320</v>
      </c>
      <c r="KQ870" s="5" t="s">
        <v>3321</v>
      </c>
      <c r="KR870" s="5" t="s">
        <v>3322</v>
      </c>
      <c r="KS870" s="18" t="s">
        <v>3323</v>
      </c>
      <c r="KT870" s="5" t="s">
        <v>3324</v>
      </c>
    </row>
    <row r="871" spans="1:306" ht="96" x14ac:dyDescent="0.25">
      <c r="A871" s="5" t="s">
        <v>5382</v>
      </c>
      <c r="B871" s="4" t="s">
        <v>397</v>
      </c>
      <c r="C871" s="4" t="s">
        <v>398</v>
      </c>
      <c r="D871" s="8" t="s">
        <v>1069</v>
      </c>
      <c r="G871" s="4" t="s">
        <v>427</v>
      </c>
      <c r="H871" s="6">
        <v>142.40284600000001</v>
      </c>
      <c r="I871" s="6">
        <v>-31.256882000000001</v>
      </c>
      <c r="J871" s="4" t="s">
        <v>5383</v>
      </c>
      <c r="K871" s="4" t="s">
        <v>298</v>
      </c>
      <c r="L871" s="4" t="s">
        <v>400</v>
      </c>
      <c r="M871" s="4" t="s">
        <v>5384</v>
      </c>
      <c r="Q871" s="8"/>
      <c r="R871" s="8"/>
      <c r="Z871" s="4" t="s">
        <v>397</v>
      </c>
      <c r="AA871" s="4" t="s">
        <v>398</v>
      </c>
      <c r="AB871" s="8" t="s">
        <v>1069</v>
      </c>
      <c r="AC871" s="4" t="s">
        <v>301</v>
      </c>
      <c r="AD871" s="4" t="s">
        <v>302</v>
      </c>
      <c r="AE871" s="8">
        <v>585.5</v>
      </c>
      <c r="AF871" s="8">
        <v>3.2</v>
      </c>
      <c r="AG871" s="9" t="s">
        <v>379</v>
      </c>
      <c r="AH871" s="9" t="s">
        <v>1071</v>
      </c>
      <c r="AI871" s="9" t="s">
        <v>373</v>
      </c>
      <c r="AJ871" s="9" t="s">
        <v>306</v>
      </c>
      <c r="AK871" s="9" t="s">
        <v>307</v>
      </c>
      <c r="AL871" s="9" t="s">
        <v>337</v>
      </c>
      <c r="AM871" s="8">
        <v>4</v>
      </c>
      <c r="AS871" s="7"/>
      <c r="AT871" s="7"/>
      <c r="DZ871" s="31"/>
      <c r="EY871" s="6"/>
      <c r="GP871" s="32"/>
      <c r="GY871" s="6" t="s">
        <v>407</v>
      </c>
      <c r="HD871" s="8" t="s">
        <v>5385</v>
      </c>
      <c r="HE871" s="8">
        <v>12467</v>
      </c>
      <c r="HF871" s="8" t="s">
        <v>5386</v>
      </c>
      <c r="HG871" s="9" t="s">
        <v>876</v>
      </c>
      <c r="HY871" s="9"/>
      <c r="IB871" s="8" t="s">
        <v>5385</v>
      </c>
      <c r="IC871" s="8">
        <v>12467</v>
      </c>
      <c r="ID871" s="8" t="s">
        <v>5387</v>
      </c>
      <c r="IE871" s="9" t="s">
        <v>876</v>
      </c>
      <c r="IF871" s="9" t="s">
        <v>319</v>
      </c>
      <c r="IW871" s="8"/>
      <c r="JB871" s="8"/>
      <c r="JX871" s="7" t="s">
        <v>322</v>
      </c>
      <c r="KG871" s="4" t="s">
        <v>323</v>
      </c>
      <c r="KQ871" s="5" t="s">
        <v>5388</v>
      </c>
      <c r="KR871" s="5" t="s">
        <v>5389</v>
      </c>
      <c r="KT871" s="5" t="s">
        <v>5390</v>
      </c>
    </row>
    <row r="872" spans="1:306" ht="36" x14ac:dyDescent="0.25">
      <c r="A872" s="5" t="s">
        <v>5907</v>
      </c>
      <c r="B872" s="4" t="s">
        <v>397</v>
      </c>
      <c r="C872" s="7" t="s">
        <v>398</v>
      </c>
      <c r="D872" s="8" t="s">
        <v>1069</v>
      </c>
      <c r="E872" s="4">
        <v>333298</v>
      </c>
      <c r="G872" s="4" t="s">
        <v>330</v>
      </c>
      <c r="H872" s="6">
        <v>116.8861</v>
      </c>
      <c r="I872" s="6">
        <v>-20.916799999999999</v>
      </c>
      <c r="J872" s="4" t="s">
        <v>5908</v>
      </c>
      <c r="K872" s="4" t="s">
        <v>331</v>
      </c>
      <c r="L872" s="4" t="s">
        <v>368</v>
      </c>
      <c r="M872" s="4" t="s">
        <v>666</v>
      </c>
      <c r="Z872" s="4" t="s">
        <v>397</v>
      </c>
      <c r="AA872" s="7" t="s">
        <v>398</v>
      </c>
      <c r="AB872" s="8" t="s">
        <v>1069</v>
      </c>
      <c r="AC872" s="4" t="s">
        <v>301</v>
      </c>
      <c r="AD872" s="4" t="s">
        <v>302</v>
      </c>
      <c r="AE872" s="9">
        <v>2892</v>
      </c>
      <c r="AF872" s="9">
        <v>34</v>
      </c>
      <c r="AG872" s="9" t="s">
        <v>303</v>
      </c>
      <c r="AH872" s="9" t="s">
        <v>380</v>
      </c>
      <c r="AI872" s="9" t="s">
        <v>598</v>
      </c>
      <c r="AJ872" s="9" t="s">
        <v>599</v>
      </c>
      <c r="AK872" s="9" t="s">
        <v>1081</v>
      </c>
      <c r="AM872" s="8">
        <v>5</v>
      </c>
      <c r="BP872" s="7">
        <v>23.4</v>
      </c>
      <c r="BR872" s="6">
        <f>EH872/BP872*100</f>
        <v>0.39829059829059826</v>
      </c>
      <c r="BU872" s="6">
        <v>0.72</v>
      </c>
      <c r="BV872" s="6">
        <v>0.04</v>
      </c>
      <c r="CK872" s="6">
        <f>92.89/10000</f>
        <v>9.2890000000000004E-3</v>
      </c>
      <c r="CL872" s="6">
        <f>FA872/BP872*100</f>
        <v>0.3600000000000001</v>
      </c>
      <c r="CV872" s="6">
        <v>0.23</v>
      </c>
      <c r="DI872" s="6">
        <v>0.04</v>
      </c>
      <c r="DZ872" s="31"/>
      <c r="EH872" s="10">
        <f>(78.6+14.6)/1000</f>
        <v>9.3199999999999991E-2</v>
      </c>
      <c r="EK872" s="10">
        <f>16.75221/1000</f>
        <v>1.675221E-2</v>
      </c>
      <c r="EL872" s="6">
        <v>0.90452100000000002</v>
      </c>
      <c r="EZ872" s="6">
        <v>0.21724570000000001</v>
      </c>
      <c r="FA872" s="10">
        <f>(69.34+14.9)/1000</f>
        <v>8.4240000000000009E-2</v>
      </c>
      <c r="FK872" s="6">
        <v>5.4271250000000002</v>
      </c>
      <c r="FY872" s="6">
        <v>0.93549800000000005</v>
      </c>
      <c r="GP872" s="32"/>
      <c r="GY872" s="6" t="s">
        <v>338</v>
      </c>
      <c r="GZ872" s="6" t="s">
        <v>2539</v>
      </c>
      <c r="HB872" s="6" t="s">
        <v>5909</v>
      </c>
      <c r="HD872" s="8" t="s">
        <v>5910</v>
      </c>
      <c r="HF872" s="8" t="s">
        <v>5911</v>
      </c>
      <c r="HG872" s="9" t="s">
        <v>389</v>
      </c>
      <c r="IB872" s="8" t="s">
        <v>5910</v>
      </c>
      <c r="ID872" s="8" t="s">
        <v>5911</v>
      </c>
      <c r="IE872" s="9" t="s">
        <v>389</v>
      </c>
      <c r="JX872" s="7" t="s">
        <v>2351</v>
      </c>
      <c r="JY872" s="7" t="s">
        <v>354</v>
      </c>
      <c r="JZ872" s="7" t="s">
        <v>2352</v>
      </c>
      <c r="KA872" s="7" t="s">
        <v>354</v>
      </c>
      <c r="KB872" s="7" t="s">
        <v>2353</v>
      </c>
      <c r="KP872" s="5" t="s">
        <v>358</v>
      </c>
      <c r="KQ872" s="5" t="s">
        <v>5912</v>
      </c>
      <c r="KS872" s="5" t="s">
        <v>5913</v>
      </c>
      <c r="KT872" s="5" t="s">
        <v>5914</v>
      </c>
    </row>
    <row r="873" spans="1:306" ht="36" x14ac:dyDescent="0.25">
      <c r="A873" s="5" t="s">
        <v>6155</v>
      </c>
      <c r="B873" s="4" t="s">
        <v>397</v>
      </c>
      <c r="C873" s="7" t="s">
        <v>398</v>
      </c>
      <c r="D873" s="8" t="s">
        <v>1069</v>
      </c>
      <c r="E873" s="4">
        <v>434546</v>
      </c>
      <c r="G873" s="4" t="s">
        <v>330</v>
      </c>
      <c r="H873" s="6">
        <v>127.7274</v>
      </c>
      <c r="I873" s="6">
        <v>-26.095400000000001</v>
      </c>
      <c r="J873" s="4" t="s">
        <v>6155</v>
      </c>
      <c r="K873" s="4" t="s">
        <v>1918</v>
      </c>
      <c r="L873" s="4" t="s">
        <v>6156</v>
      </c>
      <c r="Q873" s="8"/>
      <c r="R873" s="8"/>
      <c r="T873" s="4"/>
      <c r="U873" s="4"/>
      <c r="V873" s="4"/>
      <c r="W873" s="4"/>
      <c r="X873" s="4"/>
      <c r="Z873" s="4" t="s">
        <v>397</v>
      </c>
      <c r="AA873" s="7" t="s">
        <v>398</v>
      </c>
      <c r="AB873" s="8" t="s">
        <v>1069</v>
      </c>
      <c r="AC873" s="4" t="s">
        <v>301</v>
      </c>
      <c r="AD873" s="4" t="s">
        <v>302</v>
      </c>
      <c r="AE873" s="8">
        <v>1068</v>
      </c>
      <c r="AF873" s="8">
        <v>4</v>
      </c>
      <c r="AG873" s="9" t="s">
        <v>379</v>
      </c>
      <c r="AH873" s="4" t="s">
        <v>1071</v>
      </c>
      <c r="AI873" s="4" t="s">
        <v>373</v>
      </c>
      <c r="AJ873" s="4" t="s">
        <v>306</v>
      </c>
      <c r="AK873" s="4" t="s">
        <v>307</v>
      </c>
      <c r="AL873" s="4" t="s">
        <v>337</v>
      </c>
      <c r="AM873" s="8">
        <v>4</v>
      </c>
      <c r="AS873" s="8"/>
      <c r="AT873" s="8"/>
      <c r="AV873" s="4"/>
      <c r="AW873" s="4"/>
      <c r="AX873" s="4"/>
      <c r="AY873" s="4"/>
      <c r="AZ873" s="4"/>
      <c r="BG873" s="8"/>
      <c r="BH873" s="8"/>
      <c r="BJ873" s="4"/>
      <c r="BK873" s="4"/>
      <c r="BL873" s="4"/>
      <c r="BM873" s="4"/>
      <c r="BN873" s="4"/>
      <c r="BP873" s="7">
        <v>390</v>
      </c>
      <c r="BR873" s="6">
        <v>0.33</v>
      </c>
      <c r="BV873" s="6">
        <v>0.06</v>
      </c>
      <c r="CK873" s="10">
        <v>1.2E-2</v>
      </c>
      <c r="CL873" s="6">
        <v>0.3</v>
      </c>
      <c r="CV873" s="6">
        <v>0.09</v>
      </c>
      <c r="DI873" s="6">
        <v>0.08</v>
      </c>
      <c r="DZ873" s="31"/>
      <c r="EH873" s="6">
        <f>BP873*BR873/100</f>
        <v>1.2870000000000001</v>
      </c>
      <c r="EL873" s="8">
        <f>BP873*BV873</f>
        <v>23.4</v>
      </c>
      <c r="EZ873" s="8">
        <f>1000*BP873*CK873/100</f>
        <v>46.8</v>
      </c>
      <c r="FA873" s="6">
        <f>BP873*CL873/100</f>
        <v>1.17</v>
      </c>
      <c r="FK873" s="8">
        <f>BP873*CV873</f>
        <v>35.1</v>
      </c>
      <c r="FY873" s="8">
        <f>BP873*DI873</f>
        <v>31.2</v>
      </c>
      <c r="GP873" s="32"/>
      <c r="GY873" s="6" t="s">
        <v>338</v>
      </c>
      <c r="GZ873" s="6" t="s">
        <v>2539</v>
      </c>
      <c r="HB873" s="6" t="s">
        <v>6157</v>
      </c>
      <c r="HD873" s="8" t="s">
        <v>6158</v>
      </c>
      <c r="HE873" s="8">
        <v>77414</v>
      </c>
      <c r="HF873" s="8" t="s">
        <v>5002</v>
      </c>
      <c r="HG873" s="9" t="s">
        <v>349</v>
      </c>
      <c r="IB873" s="8" t="s">
        <v>6158</v>
      </c>
      <c r="IC873" s="8">
        <v>77414</v>
      </c>
      <c r="ID873" s="8" t="s">
        <v>5002</v>
      </c>
      <c r="IE873" s="9" t="s">
        <v>349</v>
      </c>
      <c r="IF873" s="9" t="s">
        <v>319</v>
      </c>
      <c r="IG873" s="9"/>
      <c r="II873" s="9"/>
      <c r="IJ873" s="9"/>
      <c r="IK873" s="9"/>
      <c r="IR873" s="9"/>
      <c r="JV873" s="7" t="s">
        <v>6159</v>
      </c>
      <c r="JX873" s="7" t="s">
        <v>322</v>
      </c>
      <c r="JY873" s="7" t="s">
        <v>448</v>
      </c>
      <c r="JZ873" s="7" t="s">
        <v>320</v>
      </c>
      <c r="KG873" s="4" t="s">
        <v>323</v>
      </c>
      <c r="KP873" s="5" t="s">
        <v>358</v>
      </c>
      <c r="KQ873" s="5" t="s">
        <v>6160</v>
      </c>
      <c r="KR873" s="5" t="s">
        <v>6161</v>
      </c>
      <c r="KS873" s="5" t="s">
        <v>6162</v>
      </c>
      <c r="KT873" s="5" t="s">
        <v>6163</v>
      </c>
    </row>
    <row r="874" spans="1:306" ht="144" x14ac:dyDescent="0.25">
      <c r="A874" s="5" t="s">
        <v>6316</v>
      </c>
      <c r="B874" s="4" t="s">
        <v>397</v>
      </c>
      <c r="C874" s="7" t="s">
        <v>398</v>
      </c>
      <c r="D874" s="8" t="s">
        <v>1069</v>
      </c>
      <c r="E874" s="4">
        <v>561110</v>
      </c>
      <c r="G874" s="4" t="s">
        <v>330</v>
      </c>
      <c r="H874" s="6">
        <v>123.2</v>
      </c>
      <c r="I874" s="6">
        <v>-31.82</v>
      </c>
      <c r="J874" s="4" t="s">
        <v>6316</v>
      </c>
      <c r="K874" s="4" t="s">
        <v>1918</v>
      </c>
      <c r="L874" s="4" t="s">
        <v>2441</v>
      </c>
      <c r="M874" s="4" t="s">
        <v>6317</v>
      </c>
      <c r="Q874" s="8"/>
      <c r="R874" s="8"/>
      <c r="U874" s="4"/>
      <c r="V874" s="4"/>
      <c r="W874" s="4"/>
      <c r="X874" s="4"/>
      <c r="Z874" s="4" t="s">
        <v>397</v>
      </c>
      <c r="AA874" s="7" t="s">
        <v>398</v>
      </c>
      <c r="AB874" s="8" t="s">
        <v>1069</v>
      </c>
      <c r="AC874" s="4" t="s">
        <v>301</v>
      </c>
      <c r="AD874" s="4" t="s">
        <v>302</v>
      </c>
      <c r="AE874" s="8">
        <v>1299</v>
      </c>
      <c r="AF874" s="8">
        <v>3</v>
      </c>
      <c r="AG874" s="9" t="s">
        <v>379</v>
      </c>
      <c r="AH874" s="9" t="s">
        <v>460</v>
      </c>
      <c r="AI874" s="4"/>
      <c r="AJ874" s="4"/>
      <c r="AK874" s="4"/>
      <c r="AL874" s="4"/>
      <c r="AM874" s="8">
        <v>4</v>
      </c>
      <c r="AS874" s="8"/>
      <c r="AT874" s="8"/>
      <c r="AW874" s="4"/>
      <c r="AX874" s="4"/>
      <c r="AY874" s="4"/>
      <c r="AZ874" s="4"/>
      <c r="BG874" s="8"/>
      <c r="BH874" s="8"/>
      <c r="BK874" s="4"/>
      <c r="BL874" s="4"/>
      <c r="BM874" s="4"/>
      <c r="BN874" s="4"/>
      <c r="BP874" s="7">
        <v>14.3</v>
      </c>
      <c r="BQ874" s="7"/>
      <c r="BR874" s="7">
        <v>0.9</v>
      </c>
      <c r="CK874" s="6">
        <v>0.08</v>
      </c>
      <c r="CL874" s="7">
        <v>2.2999999999999998</v>
      </c>
      <c r="DZ874" s="31"/>
      <c r="EH874" s="6">
        <f>BP874*BR874/100</f>
        <v>0.12870000000000001</v>
      </c>
      <c r="EZ874" s="8">
        <f>1000*BP874*CK874/100</f>
        <v>11.44</v>
      </c>
      <c r="FA874" s="6">
        <v>0.2554664912416717</v>
      </c>
      <c r="GP874" s="32"/>
      <c r="GY874" s="6" t="s">
        <v>338</v>
      </c>
      <c r="GZ874" s="6" t="s">
        <v>928</v>
      </c>
      <c r="HA874" s="6" t="s">
        <v>994</v>
      </c>
      <c r="HB874" s="6" t="s">
        <v>929</v>
      </c>
      <c r="HC874" s="6" t="s">
        <v>2347</v>
      </c>
      <c r="HD874" s="8" t="s">
        <v>6318</v>
      </c>
      <c r="HF874" s="8" t="s">
        <v>6319</v>
      </c>
      <c r="HG874" s="9" t="s">
        <v>349</v>
      </c>
      <c r="IB874" s="8" t="s">
        <v>6318</v>
      </c>
      <c r="ID874" s="8" t="s">
        <v>6319</v>
      </c>
      <c r="IE874" s="9" t="s">
        <v>349</v>
      </c>
      <c r="IF874" s="9" t="s">
        <v>319</v>
      </c>
      <c r="IG874" s="9"/>
      <c r="II874" s="9"/>
      <c r="IJ874" s="9"/>
      <c r="IK874" s="9"/>
      <c r="IR874" s="9"/>
      <c r="JX874" s="7" t="s">
        <v>322</v>
      </c>
      <c r="KG874" s="4" t="s">
        <v>323</v>
      </c>
      <c r="KM874" s="4" t="s">
        <v>888</v>
      </c>
      <c r="KN874" s="4" t="s">
        <v>888</v>
      </c>
      <c r="KP874" s="5" t="s">
        <v>6320</v>
      </c>
      <c r="KQ874" s="5" t="s">
        <v>6321</v>
      </c>
      <c r="KR874" s="5" t="s">
        <v>6322</v>
      </c>
      <c r="KS874" s="5" t="s">
        <v>6320</v>
      </c>
      <c r="KT874" s="5" t="s">
        <v>6323</v>
      </c>
    </row>
    <row r="875" spans="1:306" ht="168" x14ac:dyDescent="0.25">
      <c r="A875" s="5" t="s">
        <v>6461</v>
      </c>
      <c r="B875" s="4" t="s">
        <v>397</v>
      </c>
      <c r="C875" s="7" t="s">
        <v>398</v>
      </c>
      <c r="D875" s="8" t="s">
        <v>1069</v>
      </c>
      <c r="E875" s="4">
        <v>806703</v>
      </c>
      <c r="G875" s="4" t="s">
        <v>530</v>
      </c>
      <c r="H875" s="6">
        <v>134.48150000000001</v>
      </c>
      <c r="I875" s="6">
        <v>-23.438300000000002</v>
      </c>
      <c r="J875" s="4" t="s">
        <v>6462</v>
      </c>
      <c r="K875" s="4" t="s">
        <v>481</v>
      </c>
      <c r="L875" s="4" t="s">
        <v>1498</v>
      </c>
      <c r="Q875" s="8"/>
      <c r="R875" s="8"/>
      <c r="T875" s="4"/>
      <c r="U875" s="4"/>
      <c r="V875" s="4"/>
      <c r="W875" s="4"/>
      <c r="Z875" s="4" t="s">
        <v>397</v>
      </c>
      <c r="AA875" s="7" t="s">
        <v>398</v>
      </c>
      <c r="AB875" s="8" t="s">
        <v>1069</v>
      </c>
      <c r="AC875" s="4" t="s">
        <v>301</v>
      </c>
      <c r="AD875" s="4" t="s">
        <v>302</v>
      </c>
      <c r="AE875" s="8">
        <v>1132</v>
      </c>
      <c r="AF875" s="8">
        <v>5</v>
      </c>
      <c r="AG875" s="9" t="s">
        <v>379</v>
      </c>
      <c r="AH875" s="4" t="s">
        <v>1071</v>
      </c>
      <c r="AI875" s="4" t="s">
        <v>373</v>
      </c>
      <c r="AJ875" s="4" t="s">
        <v>306</v>
      </c>
      <c r="AK875" s="4" t="s">
        <v>307</v>
      </c>
      <c r="AL875" s="9" t="s">
        <v>337</v>
      </c>
      <c r="AM875" s="8">
        <v>4</v>
      </c>
      <c r="DZ875" s="31"/>
      <c r="EY875" s="6"/>
      <c r="GP875" s="32"/>
      <c r="GY875" s="6" t="s">
        <v>407</v>
      </c>
      <c r="HD875" s="8" t="s">
        <v>6463</v>
      </c>
      <c r="HE875" s="8">
        <v>25731</v>
      </c>
      <c r="HF875" s="8" t="s">
        <v>6464</v>
      </c>
      <c r="HG875" s="9" t="s">
        <v>349</v>
      </c>
      <c r="HY875" s="9"/>
      <c r="IB875" s="8" t="s">
        <v>6463</v>
      </c>
      <c r="IC875" s="8">
        <v>25731</v>
      </c>
      <c r="ID875" s="8" t="s">
        <v>6465</v>
      </c>
      <c r="IE875" s="9" t="s">
        <v>349</v>
      </c>
      <c r="IF875" s="9" t="s">
        <v>319</v>
      </c>
      <c r="IW875" s="8"/>
      <c r="JB875" s="8"/>
      <c r="JX875" s="7" t="s">
        <v>322</v>
      </c>
      <c r="JY875" s="7" t="s">
        <v>470</v>
      </c>
      <c r="JZ875" s="7" t="s">
        <v>353</v>
      </c>
      <c r="KG875" s="4" t="s">
        <v>323</v>
      </c>
      <c r="KP875" s="5" t="s">
        <v>6466</v>
      </c>
      <c r="KQ875" s="5" t="s">
        <v>6467</v>
      </c>
      <c r="KR875" s="5" t="s">
        <v>6468</v>
      </c>
    </row>
    <row r="876" spans="1:306" s="4" customFormat="1" ht="60" customHeight="1" x14ac:dyDescent="0.25">
      <c r="A876" s="5" t="s">
        <v>6522</v>
      </c>
      <c r="B876" s="4" t="s">
        <v>397</v>
      </c>
      <c r="C876" s="7" t="s">
        <v>398</v>
      </c>
      <c r="D876" s="8" t="s">
        <v>1069</v>
      </c>
      <c r="E876" s="4">
        <v>335844</v>
      </c>
      <c r="G876" s="4" t="s">
        <v>330</v>
      </c>
      <c r="H876" s="6">
        <v>127.8329</v>
      </c>
      <c r="I876" s="6">
        <v>-17.7501</v>
      </c>
      <c r="J876" s="4" t="s">
        <v>2345</v>
      </c>
      <c r="K876" s="4" t="s">
        <v>481</v>
      </c>
      <c r="L876" s="4" t="s">
        <v>872</v>
      </c>
      <c r="O876" s="8"/>
      <c r="Q876" s="7"/>
      <c r="R876" s="7"/>
      <c r="S876" s="9"/>
      <c r="Y876" s="8"/>
      <c r="Z876" s="4" t="s">
        <v>397</v>
      </c>
      <c r="AA876" s="7" t="s">
        <v>398</v>
      </c>
      <c r="AB876" s="8" t="s">
        <v>1069</v>
      </c>
      <c r="AC876" s="4" t="s">
        <v>301</v>
      </c>
      <c r="AD876" s="4" t="s">
        <v>302</v>
      </c>
      <c r="AE876" s="7">
        <v>1856</v>
      </c>
      <c r="AF876" s="7">
        <v>2</v>
      </c>
      <c r="AG876" s="9" t="s">
        <v>379</v>
      </c>
      <c r="AH876" s="4" t="s">
        <v>1071</v>
      </c>
      <c r="AI876" s="4" t="s">
        <v>373</v>
      </c>
      <c r="AJ876" s="4" t="s">
        <v>306</v>
      </c>
      <c r="AK876" s="4" t="s">
        <v>307</v>
      </c>
      <c r="AL876" s="4" t="s">
        <v>337</v>
      </c>
      <c r="AM876" s="8">
        <v>4</v>
      </c>
      <c r="AQ876" s="7"/>
      <c r="AR876" s="8"/>
      <c r="AS876" s="7"/>
      <c r="AT876" s="7"/>
      <c r="AU876" s="9"/>
      <c r="BA876" s="8"/>
      <c r="BE876" s="7"/>
      <c r="BF876" s="8"/>
      <c r="BG876" s="7"/>
      <c r="BH876" s="7"/>
      <c r="BI876" s="9"/>
      <c r="BO876" s="8"/>
      <c r="BP876" s="7">
        <v>92.9</v>
      </c>
      <c r="BQ876" s="6"/>
      <c r="BR876" s="6">
        <v>0.04</v>
      </c>
      <c r="BS876" s="6"/>
      <c r="BT876" s="6"/>
      <c r="BU876" s="8"/>
      <c r="BV876" s="6">
        <v>0.13</v>
      </c>
      <c r="BW876" s="6"/>
      <c r="BX876" s="6"/>
      <c r="BY876" s="6"/>
      <c r="BZ876" s="6"/>
      <c r="CA876" s="6"/>
      <c r="CB876" s="6"/>
      <c r="CC876" s="6"/>
      <c r="CD876" s="6"/>
      <c r="CE876" s="6"/>
      <c r="CF876" s="6"/>
      <c r="CG876" s="6"/>
      <c r="CH876" s="6">
        <v>3.06</v>
      </c>
      <c r="CI876" s="6"/>
      <c r="CJ876" s="6"/>
      <c r="CK876" s="6"/>
      <c r="CL876" s="6">
        <v>0.2</v>
      </c>
      <c r="CM876" s="6"/>
      <c r="CN876" s="6"/>
      <c r="CO876" s="6"/>
      <c r="CP876" s="6"/>
      <c r="CQ876" s="6"/>
      <c r="CR876" s="6"/>
      <c r="CS876" s="6"/>
      <c r="CT876" s="6"/>
      <c r="CU876" s="6"/>
      <c r="CV876" s="6">
        <v>0.72</v>
      </c>
      <c r="CW876" s="6"/>
      <c r="CX876" s="6"/>
      <c r="CY876" s="6"/>
      <c r="CZ876" s="6"/>
      <c r="DA876" s="6"/>
      <c r="DB876" s="6"/>
      <c r="DC876" s="6"/>
      <c r="DD876" s="6"/>
      <c r="DE876" s="6"/>
      <c r="DF876" s="6"/>
      <c r="DG876" s="6"/>
      <c r="DH876" s="6"/>
      <c r="DI876" s="6">
        <v>0.65</v>
      </c>
      <c r="DJ876" s="6"/>
      <c r="DK876" s="6"/>
      <c r="DL876" s="6"/>
      <c r="DM876" s="6"/>
      <c r="DN876" s="6"/>
      <c r="DO876" s="6"/>
      <c r="DP876" s="6"/>
      <c r="DQ876" s="6"/>
      <c r="DR876" s="6"/>
      <c r="DS876" s="6"/>
      <c r="DT876" s="6"/>
      <c r="DU876" s="6"/>
      <c r="DV876" s="6"/>
      <c r="DW876" s="6"/>
      <c r="DX876" s="6"/>
      <c r="DY876" s="6"/>
      <c r="DZ876" s="31"/>
      <c r="EA876" s="6"/>
      <c r="EB876" s="6"/>
      <c r="EC876" s="6"/>
      <c r="ED876" s="6"/>
      <c r="EE876" s="6"/>
      <c r="EF876" s="6"/>
      <c r="EG876" s="6"/>
      <c r="EH876" s="10">
        <f>BP876*BR876/100</f>
        <v>3.7159999999999999E-2</v>
      </c>
      <c r="EI876" s="10"/>
      <c r="EJ876" s="10"/>
      <c r="EK876" s="10"/>
      <c r="EL876" s="6">
        <f>BP876*BV876</f>
        <v>12.077000000000002</v>
      </c>
      <c r="EM876" s="6"/>
      <c r="EN876" s="6"/>
      <c r="EO876" s="6"/>
      <c r="EP876" s="6"/>
      <c r="EQ876" s="6"/>
      <c r="ER876" s="6"/>
      <c r="ES876" s="6"/>
      <c r="ET876" s="6"/>
      <c r="EU876" s="6"/>
      <c r="EV876" s="6"/>
      <c r="EW876" s="8">
        <f>1000*BP876*CH876/100</f>
        <v>2842.74</v>
      </c>
      <c r="EX876" s="6"/>
      <c r="EY876" s="8"/>
      <c r="EZ876" s="6"/>
      <c r="FA876" s="9">
        <f>BP876*CL876/100</f>
        <v>0.18580000000000002</v>
      </c>
      <c r="FB876" s="6"/>
      <c r="FC876" s="6"/>
      <c r="FD876" s="6"/>
      <c r="FE876" s="6"/>
      <c r="FF876" s="6"/>
      <c r="FG876" s="6"/>
      <c r="FH876" s="6"/>
      <c r="FI876" s="6"/>
      <c r="FJ876" s="6"/>
      <c r="FK876" s="8">
        <f>BP876*CV876</f>
        <v>66.888000000000005</v>
      </c>
      <c r="FL876" s="6"/>
      <c r="FM876" s="6"/>
      <c r="FN876" s="6"/>
      <c r="FO876" s="6"/>
      <c r="FP876" s="6"/>
      <c r="FQ876" s="6"/>
      <c r="FR876" s="6"/>
      <c r="FS876" s="6"/>
      <c r="FT876" s="6"/>
      <c r="FU876" s="6"/>
      <c r="FV876" s="6"/>
      <c r="FW876" s="6"/>
      <c r="FX876" s="6"/>
      <c r="FY876" s="8">
        <f>BP876*DI876</f>
        <v>60.385000000000005</v>
      </c>
      <c r="FZ876" s="6"/>
      <c r="GA876" s="6"/>
      <c r="GB876" s="6"/>
      <c r="GC876" s="6"/>
      <c r="GD876" s="6"/>
      <c r="GE876" s="6"/>
      <c r="GF876" s="6"/>
      <c r="GG876" s="6"/>
      <c r="GH876" s="6"/>
      <c r="GI876" s="6"/>
      <c r="GJ876" s="6"/>
      <c r="GK876" s="6"/>
      <c r="GL876" s="6"/>
      <c r="GM876" s="6"/>
      <c r="GN876" s="6"/>
      <c r="GO876" s="6"/>
      <c r="GP876" s="32"/>
      <c r="GQ876" s="6"/>
      <c r="GR876" s="6"/>
      <c r="GS876" s="6"/>
      <c r="GT876" s="6"/>
      <c r="GU876" s="6"/>
      <c r="GV876" s="6"/>
      <c r="GW876" s="6"/>
      <c r="GX876" s="6"/>
      <c r="GY876" s="6" t="s">
        <v>338</v>
      </c>
      <c r="GZ876" s="6" t="s">
        <v>6063</v>
      </c>
      <c r="HA876" s="6" t="s">
        <v>3553</v>
      </c>
      <c r="HB876" s="6" t="s">
        <v>1528</v>
      </c>
      <c r="HC876" s="6"/>
      <c r="HD876" s="8" t="s">
        <v>6523</v>
      </c>
      <c r="HE876" s="8">
        <v>77790</v>
      </c>
      <c r="HF876" s="8" t="s">
        <v>6524</v>
      </c>
      <c r="HG876" s="8" t="s">
        <v>538</v>
      </c>
      <c r="HH876" s="9"/>
      <c r="HI876" s="8"/>
      <c r="HJ876" s="9"/>
      <c r="HK876" s="9"/>
      <c r="HL876" s="9"/>
      <c r="HM876" s="8"/>
      <c r="HN876" s="9"/>
      <c r="HO876" s="9"/>
      <c r="HP876" s="9"/>
      <c r="HQ876" s="8"/>
      <c r="HR876" s="9"/>
      <c r="HS876" s="9"/>
      <c r="HT876" s="9"/>
      <c r="HU876" s="9"/>
      <c r="HV876" s="9"/>
      <c r="HW876" s="9"/>
      <c r="HX876" s="9"/>
      <c r="HY876" s="8"/>
      <c r="HZ876" s="9"/>
      <c r="IA876" s="9"/>
      <c r="IB876" s="8" t="s">
        <v>6523</v>
      </c>
      <c r="IC876" s="8">
        <v>77790</v>
      </c>
      <c r="ID876" s="8" t="s">
        <v>6525</v>
      </c>
      <c r="IE876" s="8" t="s">
        <v>538</v>
      </c>
      <c r="IF876" s="8" t="s">
        <v>319</v>
      </c>
      <c r="IG876" s="8"/>
      <c r="IH876" s="8"/>
      <c r="II876" s="8"/>
      <c r="IJ876" s="8"/>
      <c r="IK876" s="8"/>
      <c r="IL876" s="9"/>
      <c r="IM876" s="8"/>
      <c r="IN876" s="9"/>
      <c r="IO876" s="9"/>
      <c r="IP876" s="9"/>
      <c r="IQ876" s="9"/>
      <c r="IR876" s="9"/>
      <c r="IS876" s="9"/>
      <c r="IT876" s="9"/>
      <c r="IU876" s="9"/>
      <c r="IV876" s="9"/>
      <c r="IW876" s="9"/>
      <c r="IX876" s="9"/>
      <c r="IY876" s="9"/>
      <c r="IZ876" s="9"/>
      <c r="JA876" s="9"/>
      <c r="JB876" s="9"/>
      <c r="JC876" s="9"/>
      <c r="JD876" s="9"/>
      <c r="JE876" s="9"/>
      <c r="JF876" s="9"/>
      <c r="JG876" s="9"/>
      <c r="JH876" s="9"/>
      <c r="JI876" s="9"/>
      <c r="JJ876" s="9"/>
      <c r="JK876" s="9"/>
      <c r="JL876" s="9"/>
      <c r="JM876" s="9"/>
      <c r="JN876" s="9"/>
      <c r="JO876" s="9"/>
      <c r="JP876" s="9"/>
      <c r="JQ876" s="9"/>
      <c r="JR876" s="9"/>
      <c r="JS876" s="9"/>
      <c r="JT876" s="9"/>
      <c r="JU876" s="7"/>
      <c r="JV876" s="7"/>
      <c r="JW876" s="7"/>
      <c r="JX876" s="7" t="s">
        <v>320</v>
      </c>
      <c r="JY876" s="7" t="s">
        <v>321</v>
      </c>
      <c r="JZ876" s="7" t="s">
        <v>322</v>
      </c>
      <c r="KA876" s="7"/>
      <c r="KB876" s="7"/>
      <c r="KC876" s="7"/>
      <c r="KD876" s="7"/>
      <c r="KE876" s="7"/>
      <c r="KF876" s="7"/>
      <c r="KG876" s="4" t="s">
        <v>323</v>
      </c>
      <c r="KM876" s="4" t="s">
        <v>1439</v>
      </c>
      <c r="KN876" s="4" t="s">
        <v>1439</v>
      </c>
      <c r="KP876" s="5" t="s">
        <v>358</v>
      </c>
      <c r="KQ876" s="5" t="s">
        <v>6526</v>
      </c>
      <c r="KR876" s="5" t="s">
        <v>6527</v>
      </c>
      <c r="KS876" s="5" t="s">
        <v>6528</v>
      </c>
      <c r="KT876" s="5" t="s">
        <v>718</v>
      </c>
    </row>
    <row r="877" spans="1:306" ht="36" x14ac:dyDescent="0.2">
      <c r="A877" s="5" t="s">
        <v>6732</v>
      </c>
      <c r="B877" s="4" t="s">
        <v>397</v>
      </c>
      <c r="C877" s="7" t="s">
        <v>398</v>
      </c>
      <c r="D877" s="8" t="s">
        <v>1069</v>
      </c>
      <c r="E877" s="44">
        <v>437805</v>
      </c>
      <c r="G877" s="4" t="s">
        <v>530</v>
      </c>
      <c r="H877" s="6">
        <v>134.11000000000001</v>
      </c>
      <c r="I877" s="6">
        <v>-21.29</v>
      </c>
      <c r="J877" s="4" t="s">
        <v>4108</v>
      </c>
      <c r="K877" s="4" t="s">
        <v>481</v>
      </c>
      <c r="L877" s="4" t="s">
        <v>1498</v>
      </c>
      <c r="Q877" s="8"/>
      <c r="R877" s="8"/>
      <c r="T877" s="4"/>
      <c r="U877" s="4"/>
      <c r="V877" s="4"/>
      <c r="W877" s="4"/>
      <c r="Z877" s="4" t="s">
        <v>397</v>
      </c>
      <c r="AA877" s="7" t="s">
        <v>398</v>
      </c>
      <c r="AB877" s="8" t="s">
        <v>1069</v>
      </c>
      <c r="AC877" s="4" t="s">
        <v>301</v>
      </c>
      <c r="AD877" s="4" t="s">
        <v>375</v>
      </c>
      <c r="AE877" s="8"/>
      <c r="AF877" s="8"/>
      <c r="AH877" s="4"/>
      <c r="AI877" s="4"/>
      <c r="AJ877" s="4"/>
      <c r="AK877" s="4"/>
      <c r="AN877" s="4" t="s">
        <v>381</v>
      </c>
      <c r="AO877" s="4" t="s">
        <v>402</v>
      </c>
      <c r="AP877" s="4" t="s">
        <v>383</v>
      </c>
      <c r="AQ877" s="7" t="s">
        <v>384</v>
      </c>
      <c r="AR877" s="7" t="s">
        <v>827</v>
      </c>
      <c r="AS877" s="7">
        <v>0</v>
      </c>
      <c r="AT877" s="7">
        <v>0</v>
      </c>
      <c r="AU877" s="9" t="s">
        <v>303</v>
      </c>
      <c r="AV877" s="9" t="s">
        <v>406</v>
      </c>
      <c r="BA877" s="8">
        <v>5</v>
      </c>
      <c r="BP877" s="7">
        <v>3.2</v>
      </c>
      <c r="BR877" s="9">
        <v>0.56899999999999995</v>
      </c>
      <c r="CL877" s="9">
        <v>0.19700000000000001</v>
      </c>
      <c r="DZ877" s="31"/>
      <c r="EH877" s="10">
        <f>BP877*BR877/100</f>
        <v>1.8207999999999998E-2</v>
      </c>
      <c r="EY877" s="6"/>
      <c r="FA877" s="10">
        <f>BP877*CL877/100</f>
        <v>6.3040000000000006E-3</v>
      </c>
      <c r="GP877" s="32"/>
      <c r="GY877" s="6" t="s">
        <v>309</v>
      </c>
      <c r="GZ877" s="6" t="s">
        <v>2346</v>
      </c>
      <c r="HC877" s="6" t="s">
        <v>6733</v>
      </c>
      <c r="HF877" s="8" t="s">
        <v>702</v>
      </c>
      <c r="HY877" s="9"/>
      <c r="ID877" s="8" t="s">
        <v>702</v>
      </c>
      <c r="IE877" s="9"/>
      <c r="IF877" s="9" t="s">
        <v>319</v>
      </c>
      <c r="IW877" s="8"/>
      <c r="JB877" s="8"/>
      <c r="JX877" s="7" t="s">
        <v>322</v>
      </c>
      <c r="JY877" s="7" t="s">
        <v>354</v>
      </c>
      <c r="JZ877" s="7" t="s">
        <v>320</v>
      </c>
      <c r="KG877" s="4" t="s">
        <v>323</v>
      </c>
      <c r="KP877" s="5" t="s">
        <v>6734</v>
      </c>
      <c r="KQ877" s="5" t="s">
        <v>6734</v>
      </c>
      <c r="KS877" s="5" t="s">
        <v>6734</v>
      </c>
      <c r="KT877" s="5" t="s">
        <v>2462</v>
      </c>
    </row>
    <row r="878" spans="1:306" ht="204" x14ac:dyDescent="0.25">
      <c r="A878" s="5" t="s">
        <v>5908</v>
      </c>
      <c r="B878" s="4" t="s">
        <v>397</v>
      </c>
      <c r="C878" s="7" t="s">
        <v>398</v>
      </c>
      <c r="D878" s="8" t="s">
        <v>1069</v>
      </c>
      <c r="E878" s="4">
        <v>335472</v>
      </c>
      <c r="G878" s="4" t="s">
        <v>330</v>
      </c>
      <c r="H878" s="6">
        <v>116.8648</v>
      </c>
      <c r="I878" s="6">
        <v>-20.982500000000002</v>
      </c>
      <c r="J878" s="4" t="s">
        <v>5908</v>
      </c>
      <c r="K878" s="4" t="s">
        <v>331</v>
      </c>
      <c r="L878" s="4" t="s">
        <v>368</v>
      </c>
      <c r="M878" s="4" t="s">
        <v>666</v>
      </c>
      <c r="Q878" s="8"/>
      <c r="R878" s="8"/>
      <c r="S878" s="4"/>
      <c r="Z878" s="4" t="s">
        <v>397</v>
      </c>
      <c r="AA878" s="7" t="s">
        <v>398</v>
      </c>
      <c r="AB878" s="8" t="s">
        <v>1069</v>
      </c>
      <c r="AC878" s="4" t="s">
        <v>301</v>
      </c>
      <c r="AD878" s="4" t="s">
        <v>302</v>
      </c>
      <c r="AE878" s="8">
        <v>2892</v>
      </c>
      <c r="AF878" s="8">
        <v>34</v>
      </c>
      <c r="AG878" s="4" t="s">
        <v>303</v>
      </c>
      <c r="AH878" s="9" t="s">
        <v>304</v>
      </c>
      <c r="AI878" s="9" t="s">
        <v>598</v>
      </c>
      <c r="AJ878" s="9" t="s">
        <v>599</v>
      </c>
      <c r="AK878" s="9" t="s">
        <v>1081</v>
      </c>
      <c r="AM878" s="8">
        <v>5</v>
      </c>
      <c r="AS878" s="8"/>
      <c r="AT878" s="8"/>
      <c r="AU878" s="4"/>
      <c r="BG878" s="8"/>
      <c r="BH878" s="8"/>
      <c r="BI878" s="4"/>
      <c r="DZ878" s="31"/>
      <c r="EH878" s="10">
        <f>(16+4.12)/1000+(1.15*0.73/100)</f>
        <v>2.8515000000000002E-2</v>
      </c>
      <c r="EZ878" s="9">
        <f>0.589+1.15*279/1000</f>
        <v>0.90984999999999994</v>
      </c>
      <c r="FA878" s="10">
        <f>(21+2.605)/1000+1.15*0.52/100</f>
        <v>2.9585E-2</v>
      </c>
      <c r="FK878" s="6">
        <v>0.159</v>
      </c>
      <c r="GP878" s="32"/>
      <c r="GR878" s="10"/>
      <c r="GY878" s="6" t="s">
        <v>435</v>
      </c>
      <c r="GZ878" s="6" t="s">
        <v>2539</v>
      </c>
      <c r="HB878" s="6" t="s">
        <v>2540</v>
      </c>
      <c r="HD878" s="8" t="s">
        <v>6782</v>
      </c>
      <c r="HE878" s="8">
        <v>31687</v>
      </c>
      <c r="HF878" s="8" t="s">
        <v>6783</v>
      </c>
      <c r="HG878" s="9" t="s">
        <v>389</v>
      </c>
      <c r="IB878" s="8" t="s">
        <v>6782</v>
      </c>
      <c r="IC878" s="8">
        <v>31687</v>
      </c>
      <c r="ID878" s="8" t="s">
        <v>6784</v>
      </c>
      <c r="IE878" s="9" t="s">
        <v>389</v>
      </c>
      <c r="IF878" s="9"/>
      <c r="IR878" s="9"/>
      <c r="JV878" s="7" t="s">
        <v>6785</v>
      </c>
      <c r="JX878" s="7" t="s">
        <v>322</v>
      </c>
      <c r="JY878" s="7" t="s">
        <v>448</v>
      </c>
      <c r="JZ878" s="7" t="s">
        <v>353</v>
      </c>
      <c r="KA878" s="7" t="s">
        <v>354</v>
      </c>
      <c r="KB878" s="7" t="s">
        <v>320</v>
      </c>
      <c r="KG878" s="4" t="s">
        <v>323</v>
      </c>
      <c r="KM878" s="4" t="s">
        <v>391</v>
      </c>
      <c r="KN878" s="4" t="s">
        <v>391</v>
      </c>
      <c r="KP878" s="5" t="s">
        <v>358</v>
      </c>
      <c r="KQ878" s="5" t="s">
        <v>6786</v>
      </c>
      <c r="KR878" s="5" t="s">
        <v>6787</v>
      </c>
      <c r="KS878" s="5" t="s">
        <v>6788</v>
      </c>
      <c r="KT878" s="5" t="s">
        <v>6789</v>
      </c>
    </row>
    <row r="879" spans="1:306" ht="108" x14ac:dyDescent="0.25">
      <c r="A879" s="5" t="s">
        <v>7096</v>
      </c>
      <c r="B879" s="4" t="s">
        <v>397</v>
      </c>
      <c r="C879" s="7" t="s">
        <v>398</v>
      </c>
      <c r="D879" s="8" t="s">
        <v>1069</v>
      </c>
      <c r="E879" s="4">
        <v>333595</v>
      </c>
      <c r="G879" s="4" t="s">
        <v>330</v>
      </c>
      <c r="H879" s="6">
        <v>128.029</v>
      </c>
      <c r="I879" s="6">
        <v>-17.351199999999999</v>
      </c>
      <c r="J879" s="4" t="s">
        <v>2345</v>
      </c>
      <c r="K879" s="4" t="s">
        <v>481</v>
      </c>
      <c r="L879" s="4" t="s">
        <v>872</v>
      </c>
      <c r="Q879" s="7"/>
      <c r="R879" s="7"/>
      <c r="T879" s="4"/>
      <c r="U879" s="4"/>
      <c r="V879" s="4"/>
      <c r="W879" s="4"/>
      <c r="X879" s="4"/>
      <c r="Z879" s="4" t="s">
        <v>397</v>
      </c>
      <c r="AA879" s="7" t="s">
        <v>398</v>
      </c>
      <c r="AB879" s="8" t="s">
        <v>1069</v>
      </c>
      <c r="AC879" s="4" t="s">
        <v>301</v>
      </c>
      <c r="AD879" s="4" t="s">
        <v>302</v>
      </c>
      <c r="AE879" s="7">
        <v>1835.6</v>
      </c>
      <c r="AF879" s="7">
        <v>0.5</v>
      </c>
      <c r="AG879" s="9" t="s">
        <v>379</v>
      </c>
      <c r="AH879" s="4" t="s">
        <v>1071</v>
      </c>
      <c r="AI879" s="4" t="s">
        <v>373</v>
      </c>
      <c r="AJ879" s="4" t="s">
        <v>306</v>
      </c>
      <c r="AK879" s="4" t="s">
        <v>307</v>
      </c>
      <c r="AL879" s="4" t="s">
        <v>7097</v>
      </c>
      <c r="AM879" s="8">
        <v>4</v>
      </c>
      <c r="AS879" s="7"/>
      <c r="AT879" s="7"/>
      <c r="AV879" s="4"/>
      <c r="AW879" s="4"/>
      <c r="AX879" s="4"/>
      <c r="AY879" s="4"/>
      <c r="AZ879" s="4"/>
      <c r="BG879" s="8"/>
      <c r="BH879" s="8"/>
      <c r="BJ879" s="4"/>
      <c r="BK879" s="4"/>
      <c r="BL879" s="4"/>
      <c r="BM879" s="4"/>
      <c r="BN879" s="4"/>
      <c r="DZ879" s="31"/>
      <c r="EH879" s="6">
        <f>0.06+13.454*0.7/100</f>
        <v>0.15417799999999998</v>
      </c>
      <c r="EZ879" s="8">
        <f>5+1000*13.454*0.1/100</f>
        <v>18.454000000000001</v>
      </c>
      <c r="FA879" s="6">
        <f>0.18+13.454*1.56/100</f>
        <v>0.38988240000000002</v>
      </c>
      <c r="GP879" s="32"/>
      <c r="GY879" s="6" t="s">
        <v>435</v>
      </c>
      <c r="GZ879" s="6" t="s">
        <v>928</v>
      </c>
      <c r="HA879" s="6" t="s">
        <v>994</v>
      </c>
      <c r="HB879" s="6" t="s">
        <v>929</v>
      </c>
      <c r="HC879" s="6" t="s">
        <v>2347</v>
      </c>
      <c r="HD879" s="8" t="s">
        <v>7098</v>
      </c>
      <c r="HE879" s="8">
        <v>79545</v>
      </c>
      <c r="HF879" s="8" t="s">
        <v>7099</v>
      </c>
      <c r="HG879" s="9" t="s">
        <v>538</v>
      </c>
      <c r="HH879" s="9" t="s">
        <v>7100</v>
      </c>
      <c r="HI879" s="8">
        <v>81577</v>
      </c>
      <c r="HJ879" s="9" t="s">
        <v>7101</v>
      </c>
      <c r="HK879" s="9" t="s">
        <v>538</v>
      </c>
      <c r="HL879" s="9" t="s">
        <v>7102</v>
      </c>
      <c r="HM879" s="8">
        <v>18130</v>
      </c>
      <c r="HN879" s="9" t="s">
        <v>7103</v>
      </c>
      <c r="HO879" s="9" t="s">
        <v>538</v>
      </c>
      <c r="IB879" s="8" t="s">
        <v>7098</v>
      </c>
      <c r="IC879" s="8">
        <v>79545</v>
      </c>
      <c r="ID879" s="8" t="s">
        <v>7104</v>
      </c>
      <c r="IE879" s="9" t="s">
        <v>538</v>
      </c>
      <c r="IF879" s="9" t="s">
        <v>319</v>
      </c>
      <c r="IG879" s="9" t="s">
        <v>7100</v>
      </c>
      <c r="IH879" s="8">
        <v>81577</v>
      </c>
      <c r="II879" s="9" t="s">
        <v>7105</v>
      </c>
      <c r="IJ879" s="8" t="s">
        <v>538</v>
      </c>
      <c r="IK879" s="8" t="s">
        <v>319</v>
      </c>
      <c r="IR879" s="9"/>
      <c r="JX879" s="7" t="s">
        <v>322</v>
      </c>
      <c r="KG879" s="4" t="s">
        <v>323</v>
      </c>
      <c r="KM879" s="4" t="s">
        <v>702</v>
      </c>
      <c r="KN879" s="4" t="s">
        <v>702</v>
      </c>
      <c r="KP879" s="5" t="s">
        <v>358</v>
      </c>
      <c r="KQ879" s="5" t="s">
        <v>7106</v>
      </c>
      <c r="KR879" s="5" t="s">
        <v>7107</v>
      </c>
      <c r="KS879" s="5" t="s">
        <v>7108</v>
      </c>
      <c r="KT879" s="5" t="s">
        <v>7109</v>
      </c>
    </row>
    <row r="880" spans="1:306" ht="48" x14ac:dyDescent="0.25">
      <c r="A880" s="5" t="s">
        <v>7341</v>
      </c>
      <c r="B880" s="4" t="s">
        <v>397</v>
      </c>
      <c r="C880" s="7" t="s">
        <v>398</v>
      </c>
      <c r="D880" s="8" t="s">
        <v>1069</v>
      </c>
      <c r="E880" s="4">
        <v>600309</v>
      </c>
      <c r="G880" s="4" t="s">
        <v>330</v>
      </c>
      <c r="H880" s="6">
        <f>127+42/60</f>
        <v>127.7</v>
      </c>
      <c r="I880" s="6">
        <f>-(26+6/60)</f>
        <v>-26.1</v>
      </c>
      <c r="J880" s="4" t="s">
        <v>6155</v>
      </c>
      <c r="K880" s="4" t="s">
        <v>1918</v>
      </c>
      <c r="L880" s="4" t="s">
        <v>6156</v>
      </c>
      <c r="Q880" s="8"/>
      <c r="R880" s="8"/>
      <c r="T880" s="4"/>
      <c r="U880" s="4"/>
      <c r="V880" s="4"/>
      <c r="W880" s="4"/>
      <c r="X880" s="4"/>
      <c r="Z880" s="4" t="s">
        <v>397</v>
      </c>
      <c r="AA880" s="7" t="s">
        <v>398</v>
      </c>
      <c r="AB880" s="8" t="s">
        <v>1069</v>
      </c>
      <c r="AC880" s="4" t="s">
        <v>301</v>
      </c>
      <c r="AD880" s="4" t="s">
        <v>302</v>
      </c>
      <c r="AE880" s="8">
        <v>1079</v>
      </c>
      <c r="AF880" s="8">
        <v>4</v>
      </c>
      <c r="AG880" s="9" t="s">
        <v>379</v>
      </c>
      <c r="AH880" s="4" t="s">
        <v>1071</v>
      </c>
      <c r="AI880" s="4" t="s">
        <v>373</v>
      </c>
      <c r="AJ880" s="4" t="s">
        <v>306</v>
      </c>
      <c r="AK880" s="4" t="s">
        <v>307</v>
      </c>
      <c r="AL880" s="4" t="s">
        <v>337</v>
      </c>
      <c r="AM880" s="8">
        <v>4</v>
      </c>
      <c r="AS880" s="8"/>
      <c r="AT880" s="8"/>
      <c r="AV880" s="4"/>
      <c r="AW880" s="4"/>
      <c r="AX880" s="4"/>
      <c r="AY880" s="4"/>
      <c r="AZ880" s="4"/>
      <c r="BG880" s="8"/>
      <c r="BH880" s="8"/>
      <c r="BJ880" s="4"/>
      <c r="BK880" s="4"/>
      <c r="BL880" s="4"/>
      <c r="BM880" s="4"/>
      <c r="BN880" s="4"/>
      <c r="BP880" s="7">
        <v>156</v>
      </c>
      <c r="BR880" s="6">
        <v>0.6</v>
      </c>
      <c r="BV880" s="6">
        <v>0.02</v>
      </c>
      <c r="CL880" s="6">
        <v>0.06</v>
      </c>
      <c r="CV880" s="6">
        <v>0.11</v>
      </c>
      <c r="DI880" s="6">
        <v>0.04</v>
      </c>
      <c r="DZ880" s="31"/>
      <c r="EH880" s="10">
        <f>BP880*BR880/100</f>
        <v>0.93599999999999994</v>
      </c>
      <c r="EL880" s="6">
        <f>BP880*BV880</f>
        <v>3.12</v>
      </c>
      <c r="FA880" s="10">
        <f>BP880*CL880/100</f>
        <v>9.3599999999999989E-2</v>
      </c>
      <c r="FK880" s="6">
        <f>BP880*CV880</f>
        <v>17.16</v>
      </c>
      <c r="FY880" s="6">
        <f>BP880*DI880</f>
        <v>6.24</v>
      </c>
      <c r="GP880" s="32"/>
      <c r="GY880" s="6" t="s">
        <v>338</v>
      </c>
      <c r="GZ880" s="6" t="s">
        <v>994</v>
      </c>
      <c r="HA880" s="6" t="s">
        <v>928</v>
      </c>
      <c r="HB880" s="6" t="s">
        <v>7342</v>
      </c>
      <c r="HD880" s="8" t="s">
        <v>7343</v>
      </c>
      <c r="HF880" s="8" t="s">
        <v>7344</v>
      </c>
      <c r="HG880" s="9" t="s">
        <v>349</v>
      </c>
      <c r="IB880" s="8" t="s">
        <v>7343</v>
      </c>
      <c r="ID880" s="8" t="s">
        <v>7344</v>
      </c>
      <c r="IE880" s="9" t="s">
        <v>349</v>
      </c>
      <c r="IF880" s="9" t="s">
        <v>319</v>
      </c>
      <c r="IG880" s="9"/>
      <c r="II880" s="9"/>
      <c r="IJ880" s="9"/>
      <c r="IK880" s="9"/>
      <c r="IR880" s="9"/>
      <c r="JV880" s="7" t="s">
        <v>7345</v>
      </c>
      <c r="JX880" s="7" t="s">
        <v>322</v>
      </c>
      <c r="KG880" s="4" t="s">
        <v>323</v>
      </c>
      <c r="KP880" s="5" t="s">
        <v>7346</v>
      </c>
      <c r="KQ880" s="5" t="s">
        <v>7347</v>
      </c>
      <c r="KR880" s="5" t="s">
        <v>7348</v>
      </c>
      <c r="KS880" s="5" t="s">
        <v>7349</v>
      </c>
      <c r="KT880" s="5" t="s">
        <v>7350</v>
      </c>
    </row>
    <row r="881" spans="1:306" ht="120" customHeight="1" x14ac:dyDescent="0.25">
      <c r="A881" s="5" t="s">
        <v>647</v>
      </c>
      <c r="B881" s="4" t="s">
        <v>376</v>
      </c>
      <c r="C881" s="7" t="s">
        <v>648</v>
      </c>
      <c r="D881" s="8" t="s">
        <v>649</v>
      </c>
      <c r="E881" s="4">
        <v>334380</v>
      </c>
      <c r="G881" s="4" t="s">
        <v>479</v>
      </c>
      <c r="H881" s="6">
        <v>139.612211</v>
      </c>
      <c r="I881" s="6">
        <v>-20.661405999999999</v>
      </c>
      <c r="J881" s="4" t="s">
        <v>650</v>
      </c>
      <c r="K881" s="4" t="s">
        <v>481</v>
      </c>
      <c r="L881" s="4" t="s">
        <v>651</v>
      </c>
      <c r="M881" s="4" t="s">
        <v>652</v>
      </c>
      <c r="Q881" s="4"/>
      <c r="R881" s="4"/>
      <c r="S881" s="4"/>
      <c r="T881" s="4"/>
      <c r="U881" s="4"/>
      <c r="V881" s="4"/>
      <c r="W881" s="4"/>
      <c r="X881" s="4"/>
      <c r="Z881" s="4" t="s">
        <v>376</v>
      </c>
      <c r="AA881" s="7" t="s">
        <v>648</v>
      </c>
      <c r="AB881" s="8" t="s">
        <v>649</v>
      </c>
      <c r="AC881" s="4" t="s">
        <v>301</v>
      </c>
      <c r="AD881" s="4" t="s">
        <v>302</v>
      </c>
      <c r="AE881" s="4">
        <v>1534</v>
      </c>
      <c r="AF881" s="4">
        <v>4</v>
      </c>
      <c r="AG881" s="4" t="s">
        <v>379</v>
      </c>
      <c r="AH881" s="4" t="s">
        <v>335</v>
      </c>
      <c r="AI881" s="4" t="s">
        <v>653</v>
      </c>
      <c r="AJ881" s="4" t="s">
        <v>431</v>
      </c>
      <c r="AK881" s="4" t="s">
        <v>432</v>
      </c>
      <c r="AL881" s="4"/>
      <c r="AM881" s="8">
        <v>3</v>
      </c>
      <c r="AS881" s="7"/>
      <c r="AT881" s="7"/>
      <c r="BG881" s="7"/>
      <c r="BH881" s="7"/>
      <c r="BP881" s="7">
        <v>1.5</v>
      </c>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31"/>
      <c r="EA881" s="4"/>
      <c r="EB881" s="9">
        <f t="shared" ref="EB881:EB890" si="30">100*GR881/BP881/1000</f>
        <v>0.1522</v>
      </c>
      <c r="EC881" s="4"/>
      <c r="ED881" s="4"/>
      <c r="EE881" s="4"/>
      <c r="EF881" s="4"/>
      <c r="EG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32"/>
      <c r="GQ881" s="4"/>
      <c r="GR881" s="6">
        <v>2.2829999999999999</v>
      </c>
      <c r="GS881" s="4"/>
      <c r="GT881" s="4"/>
      <c r="GU881" s="4"/>
      <c r="GV881" s="4"/>
      <c r="GW881" s="4"/>
      <c r="GX881" s="4"/>
      <c r="GY881" s="4" t="s">
        <v>338</v>
      </c>
      <c r="GZ881" s="4" t="s">
        <v>654</v>
      </c>
      <c r="HA881" s="4"/>
      <c r="HB881" s="4"/>
      <c r="HC881" s="4" t="s">
        <v>655</v>
      </c>
      <c r="HD881" s="4" t="s">
        <v>656</v>
      </c>
      <c r="HE881" s="8">
        <v>5911</v>
      </c>
      <c r="HF881" s="4" t="s">
        <v>657</v>
      </c>
      <c r="HG881" s="4" t="s">
        <v>490</v>
      </c>
      <c r="HH881" s="4"/>
      <c r="HI881" s="4"/>
      <c r="HJ881" s="4"/>
      <c r="HK881" s="4"/>
      <c r="HL881" s="4"/>
      <c r="HN881" s="4"/>
      <c r="HO881" s="4"/>
      <c r="HP881" s="4"/>
      <c r="HR881" s="4"/>
      <c r="HS881" s="4"/>
      <c r="HT881" s="4"/>
      <c r="HU881" s="4"/>
      <c r="HV881" s="4"/>
      <c r="HW881" s="4"/>
      <c r="HX881" s="4"/>
      <c r="HY881" s="4"/>
      <c r="HZ881" s="4"/>
      <c r="IA881" s="4"/>
      <c r="IB881" s="4" t="s">
        <v>656</v>
      </c>
      <c r="IC881" s="8">
        <v>5911</v>
      </c>
      <c r="ID881" s="4" t="s">
        <v>657</v>
      </c>
      <c r="IE881" s="4" t="s">
        <v>490</v>
      </c>
      <c r="IF881" s="4" t="s">
        <v>445</v>
      </c>
      <c r="IG881" s="4"/>
      <c r="IH881" s="4"/>
      <c r="II881" s="4" t="s">
        <v>658</v>
      </c>
      <c r="IJ881" s="4"/>
      <c r="IK881" s="4" t="s">
        <v>329</v>
      </c>
      <c r="IL881" s="4"/>
      <c r="IN881" s="4"/>
      <c r="IO881" s="4"/>
      <c r="IP881" s="4"/>
      <c r="IQ881" s="4"/>
      <c r="IR881" s="4"/>
      <c r="IS881" s="4"/>
      <c r="IT881" s="4"/>
      <c r="IU881" s="4"/>
      <c r="IV881" s="4"/>
      <c r="IW881" s="4"/>
      <c r="IX881" s="4"/>
      <c r="IY881" s="4"/>
      <c r="IZ881" s="4"/>
      <c r="JA881" s="4"/>
      <c r="JB881" s="4"/>
      <c r="JC881" s="4"/>
      <c r="JD881" s="4"/>
      <c r="JE881" s="4"/>
      <c r="JF881" s="4"/>
      <c r="JG881" s="4"/>
      <c r="JH881" s="4"/>
      <c r="JI881" s="4"/>
      <c r="JJ881" s="4"/>
      <c r="JK881" s="4"/>
      <c r="JL881" s="4"/>
      <c r="JM881" s="4"/>
      <c r="JN881" s="4"/>
      <c r="JO881" s="4"/>
      <c r="JP881" s="4"/>
      <c r="JQ881" s="4"/>
      <c r="JR881" s="4"/>
      <c r="JS881" s="4"/>
      <c r="JT881" s="4"/>
      <c r="JU881" s="4" t="s">
        <v>659</v>
      </c>
      <c r="JV881" s="4" t="s">
        <v>660</v>
      </c>
      <c r="JW881" s="4"/>
      <c r="JX881" s="4" t="s">
        <v>353</v>
      </c>
      <c r="JY881" s="4"/>
      <c r="JZ881" s="4"/>
      <c r="KA881" s="4"/>
      <c r="KB881" s="4"/>
      <c r="KC881" s="4"/>
      <c r="KD881" s="4"/>
      <c r="KE881" s="4"/>
      <c r="KF881" s="4"/>
      <c r="KG881" s="4" t="s">
        <v>323</v>
      </c>
      <c r="KM881" s="4" t="s">
        <v>391</v>
      </c>
      <c r="KN881" s="4" t="s">
        <v>391</v>
      </c>
      <c r="KP881" s="5" t="s">
        <v>358</v>
      </c>
      <c r="KQ881" s="5" t="s">
        <v>661</v>
      </c>
      <c r="KR881" s="5" t="s">
        <v>662</v>
      </c>
      <c r="KS881" s="5" t="s">
        <v>663</v>
      </c>
      <c r="KT881" s="5" t="s">
        <v>664</v>
      </c>
    </row>
    <row r="882" spans="1:306" ht="60" x14ac:dyDescent="0.25">
      <c r="A882" s="5" t="s">
        <v>1409</v>
      </c>
      <c r="B882" s="4" t="s">
        <v>376</v>
      </c>
      <c r="C882" s="7" t="s">
        <v>648</v>
      </c>
      <c r="D882" s="8" t="s">
        <v>649</v>
      </c>
      <c r="E882" s="4">
        <v>336616</v>
      </c>
      <c r="G882" s="4" t="s">
        <v>479</v>
      </c>
      <c r="H882" s="6">
        <v>139.440179</v>
      </c>
      <c r="I882" s="6">
        <v>-20.414532000000001</v>
      </c>
      <c r="J882" s="4" t="s">
        <v>1410</v>
      </c>
      <c r="K882" s="4" t="s">
        <v>481</v>
      </c>
      <c r="L882" s="4" t="s">
        <v>651</v>
      </c>
      <c r="M882" s="4" t="s">
        <v>652</v>
      </c>
      <c r="Q882" s="4"/>
      <c r="R882" s="4"/>
      <c r="S882" s="4"/>
      <c r="T882" s="4"/>
      <c r="U882" s="4"/>
      <c r="V882" s="4"/>
      <c r="W882" s="4"/>
      <c r="X882" s="4"/>
      <c r="Z882" s="4" t="s">
        <v>376</v>
      </c>
      <c r="AA882" s="7" t="s">
        <v>648</v>
      </c>
      <c r="AB882" s="8" t="s">
        <v>649</v>
      </c>
      <c r="AC882" s="4" t="s">
        <v>301</v>
      </c>
      <c r="AD882" s="4" t="s">
        <v>302</v>
      </c>
      <c r="AE882" s="4">
        <v>1543</v>
      </c>
      <c r="AF882" s="4"/>
      <c r="AG882" s="4" t="s">
        <v>379</v>
      </c>
      <c r="AH882" s="4" t="s">
        <v>1156</v>
      </c>
      <c r="AI882" s="4"/>
      <c r="AJ882" s="4"/>
      <c r="AK882" s="4"/>
      <c r="AL882" s="4"/>
      <c r="AM882" s="8">
        <v>2</v>
      </c>
      <c r="AS882" s="7"/>
      <c r="AT882" s="7"/>
      <c r="BG882" s="7"/>
      <c r="BH882" s="7"/>
      <c r="BP882" s="7">
        <v>12.5</v>
      </c>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31"/>
      <c r="EA882" s="4"/>
      <c r="EB882" s="9">
        <f t="shared" si="30"/>
        <v>4.9536000000000004E-2</v>
      </c>
      <c r="EC882" s="4"/>
      <c r="ED882" s="4"/>
      <c r="EE882" s="4"/>
      <c r="EF882" s="4"/>
      <c r="EG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32"/>
      <c r="GQ882" s="4"/>
      <c r="GR882" s="6">
        <v>6.1920000000000002</v>
      </c>
      <c r="GS882" s="4"/>
      <c r="GT882" s="4"/>
      <c r="GU882" s="4"/>
      <c r="GV882" s="4"/>
      <c r="GW882" s="4"/>
      <c r="GX882" s="4"/>
      <c r="GY882" s="4" t="s">
        <v>338</v>
      </c>
      <c r="GZ882" s="4" t="s">
        <v>654</v>
      </c>
      <c r="HA882" s="4"/>
      <c r="HB882" s="4"/>
      <c r="HC882" s="4" t="s">
        <v>655</v>
      </c>
      <c r="HD882" s="4" t="s">
        <v>656</v>
      </c>
      <c r="HE882" s="8">
        <v>5911</v>
      </c>
      <c r="HF882" s="4" t="s">
        <v>1411</v>
      </c>
      <c r="HG882" s="4" t="s">
        <v>490</v>
      </c>
      <c r="HH882" s="4"/>
      <c r="HI882" s="4"/>
      <c r="HJ882" s="4"/>
      <c r="HK882" s="4"/>
      <c r="HL882" s="4"/>
      <c r="HN882" s="4"/>
      <c r="HO882" s="4"/>
      <c r="HP882" s="4"/>
      <c r="HR882" s="4"/>
      <c r="HS882" s="4"/>
      <c r="HT882" s="4"/>
      <c r="HU882" s="4"/>
      <c r="HV882" s="4"/>
      <c r="HW882" s="4"/>
      <c r="HX882" s="4"/>
      <c r="HY882" s="4"/>
      <c r="HZ882" s="4"/>
      <c r="IA882" s="4"/>
      <c r="IB882" s="4" t="s">
        <v>656</v>
      </c>
      <c r="IC882" s="8">
        <v>5911</v>
      </c>
      <c r="ID882" s="4" t="s">
        <v>1411</v>
      </c>
      <c r="IE882" s="4" t="s">
        <v>490</v>
      </c>
      <c r="IF882" s="4" t="s">
        <v>445</v>
      </c>
      <c r="IG882" s="4"/>
      <c r="IH882" s="4"/>
      <c r="II882" s="4"/>
      <c r="IJ882" s="4"/>
      <c r="IK882" s="4"/>
      <c r="IL882" s="4"/>
      <c r="IN882" s="4"/>
      <c r="IO882" s="4"/>
      <c r="IP882" s="4"/>
      <c r="IQ882" s="4"/>
      <c r="IR882" s="4"/>
      <c r="IS882" s="4"/>
      <c r="IT882" s="4"/>
      <c r="IU882" s="4"/>
      <c r="IV882" s="4"/>
      <c r="IW882" s="4"/>
      <c r="IX882" s="4"/>
      <c r="IY882" s="4"/>
      <c r="IZ882" s="4"/>
      <c r="JA882" s="4"/>
      <c r="JB882" s="4"/>
      <c r="JC882" s="4"/>
      <c r="JD882" s="4"/>
      <c r="JE882" s="4"/>
      <c r="JF882" s="4"/>
      <c r="JG882" s="4"/>
      <c r="JH882" s="4"/>
      <c r="JI882" s="4"/>
      <c r="JJ882" s="4"/>
      <c r="JK882" s="4"/>
      <c r="JL882" s="4"/>
      <c r="JM882" s="4"/>
      <c r="JN882" s="4"/>
      <c r="JO882" s="4"/>
      <c r="JP882" s="4"/>
      <c r="JQ882" s="4"/>
      <c r="JR882" s="4"/>
      <c r="JS882" s="4"/>
      <c r="JT882" s="4"/>
      <c r="JU882" s="4" t="s">
        <v>659</v>
      </c>
      <c r="JV882" s="4" t="s">
        <v>1412</v>
      </c>
      <c r="JW882" s="4"/>
      <c r="JX882" s="4"/>
      <c r="JY882" s="4"/>
      <c r="JZ882" s="4"/>
      <c r="KA882" s="4"/>
      <c r="KB882" s="4"/>
      <c r="KC882" s="4"/>
      <c r="KD882" s="4"/>
      <c r="KE882" s="4"/>
      <c r="KF882" s="4"/>
      <c r="KG882" s="4" t="s">
        <v>323</v>
      </c>
      <c r="KM882" s="4" t="s">
        <v>391</v>
      </c>
      <c r="KN882" s="4" t="s">
        <v>391</v>
      </c>
      <c r="KP882" s="5" t="s">
        <v>358</v>
      </c>
      <c r="KQ882" s="5" t="s">
        <v>1413</v>
      </c>
      <c r="KS882" s="5" t="s">
        <v>663</v>
      </c>
      <c r="KT882" s="5" t="s">
        <v>1414</v>
      </c>
    </row>
    <row r="883" spans="1:306" ht="48" x14ac:dyDescent="0.25">
      <c r="A883" s="5" t="s">
        <v>2861</v>
      </c>
      <c r="B883" s="4" t="s">
        <v>376</v>
      </c>
      <c r="C883" s="7" t="s">
        <v>648</v>
      </c>
      <c r="D883" s="8" t="s">
        <v>649</v>
      </c>
      <c r="E883" s="4">
        <v>466624</v>
      </c>
      <c r="G883" s="4" t="s">
        <v>479</v>
      </c>
      <c r="H883" s="6">
        <v>139.361919</v>
      </c>
      <c r="I883" s="6">
        <v>-19.979689</v>
      </c>
      <c r="J883" s="4" t="s">
        <v>2861</v>
      </c>
      <c r="K883" s="4" t="s">
        <v>481</v>
      </c>
      <c r="L883" s="4" t="s">
        <v>651</v>
      </c>
      <c r="M883" s="4" t="s">
        <v>652</v>
      </c>
      <c r="Q883" s="4"/>
      <c r="R883" s="4"/>
      <c r="S883" s="4"/>
      <c r="T883" s="4"/>
      <c r="U883" s="4"/>
      <c r="V883" s="4"/>
      <c r="W883" s="4"/>
      <c r="X883" s="4"/>
      <c r="Z883" s="4" t="s">
        <v>376</v>
      </c>
      <c r="AA883" s="7" t="s">
        <v>648</v>
      </c>
      <c r="AB883" s="8" t="s">
        <v>649</v>
      </c>
      <c r="AC883" s="4" t="s">
        <v>301</v>
      </c>
      <c r="AD883" s="4" t="s">
        <v>302</v>
      </c>
      <c r="AE883" s="4">
        <v>1543</v>
      </c>
      <c r="AF883" s="4"/>
      <c r="AG883" s="4" t="s">
        <v>379</v>
      </c>
      <c r="AH883" s="4" t="s">
        <v>1156</v>
      </c>
      <c r="AI883" s="4"/>
      <c r="AJ883" s="4"/>
      <c r="AK883" s="4"/>
      <c r="AL883" s="4"/>
      <c r="AM883" s="8">
        <v>2</v>
      </c>
      <c r="AS883" s="7"/>
      <c r="AT883" s="7"/>
      <c r="BG883" s="7"/>
      <c r="BH883" s="7"/>
      <c r="BP883" s="7">
        <v>0.8</v>
      </c>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31"/>
      <c r="EA883" s="4"/>
      <c r="EB883" s="9">
        <f t="shared" si="30"/>
        <v>0.13162499999999999</v>
      </c>
      <c r="EC883" s="4"/>
      <c r="ED883" s="4"/>
      <c r="EE883" s="4"/>
      <c r="EF883" s="4"/>
      <c r="EG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32"/>
      <c r="GQ883" s="4"/>
      <c r="GR883" s="6">
        <v>1.0529999999999999</v>
      </c>
      <c r="GS883" s="4"/>
      <c r="GT883" s="4"/>
      <c r="GU883" s="4"/>
      <c r="GV883" s="4"/>
      <c r="GW883" s="4"/>
      <c r="GX883" s="4"/>
      <c r="GY883" s="4" t="s">
        <v>338</v>
      </c>
      <c r="GZ883" s="4" t="s">
        <v>654</v>
      </c>
      <c r="HA883" s="4"/>
      <c r="HB883" s="4"/>
      <c r="HC883" s="4" t="s">
        <v>655</v>
      </c>
      <c r="HD883" s="4" t="s">
        <v>656</v>
      </c>
      <c r="HE883" s="8">
        <v>5911</v>
      </c>
      <c r="HF883" s="4" t="s">
        <v>1411</v>
      </c>
      <c r="HG883" s="4" t="s">
        <v>490</v>
      </c>
      <c r="HH883" s="4"/>
      <c r="HI883" s="4"/>
      <c r="HJ883" s="4"/>
      <c r="HK883" s="4"/>
      <c r="HL883" s="4"/>
      <c r="HN883" s="4"/>
      <c r="HO883" s="4"/>
      <c r="HP883" s="4"/>
      <c r="HR883" s="4"/>
      <c r="HS883" s="4"/>
      <c r="HT883" s="4"/>
      <c r="HU883" s="4"/>
      <c r="HV883" s="4"/>
      <c r="HW883" s="4"/>
      <c r="HX883" s="4"/>
      <c r="HY883" s="4"/>
      <c r="HZ883" s="4"/>
      <c r="IA883" s="4"/>
      <c r="IB883" s="4" t="s">
        <v>656</v>
      </c>
      <c r="IC883" s="8">
        <v>5911</v>
      </c>
      <c r="ID883" s="4" t="s">
        <v>1411</v>
      </c>
      <c r="IE883" s="4" t="s">
        <v>490</v>
      </c>
      <c r="IF883" s="4" t="s">
        <v>445</v>
      </c>
      <c r="IG883" s="4"/>
      <c r="IH883" s="4"/>
      <c r="II883" s="4"/>
      <c r="IJ883" s="4"/>
      <c r="IK883" s="4"/>
      <c r="IL883" s="4"/>
      <c r="IN883" s="4"/>
      <c r="IO883" s="4"/>
      <c r="IP883" s="4"/>
      <c r="IQ883" s="4"/>
      <c r="IR883" s="4"/>
      <c r="IS883" s="4"/>
      <c r="IT883" s="4"/>
      <c r="IU883" s="4"/>
      <c r="IV883" s="4"/>
      <c r="IW883" s="4"/>
      <c r="IX883" s="4"/>
      <c r="IY883" s="4"/>
      <c r="IZ883" s="4"/>
      <c r="JA883" s="4"/>
      <c r="JB883" s="4"/>
      <c r="JC883" s="4"/>
      <c r="JD883" s="4"/>
      <c r="JE883" s="4"/>
      <c r="JF883" s="4"/>
      <c r="JG883" s="4"/>
      <c r="JH883" s="4"/>
      <c r="JI883" s="4"/>
      <c r="JJ883" s="4"/>
      <c r="JK883" s="4"/>
      <c r="JL883" s="4"/>
      <c r="JM883" s="4"/>
      <c r="JN883" s="4"/>
      <c r="JO883" s="4"/>
      <c r="JP883" s="4"/>
      <c r="JQ883" s="4"/>
      <c r="JR883" s="4"/>
      <c r="JS883" s="4"/>
      <c r="JT883" s="4"/>
      <c r="JU883" s="4" t="s">
        <v>659</v>
      </c>
      <c r="JV883" s="4"/>
      <c r="JW883" s="4"/>
      <c r="JX883" s="4"/>
      <c r="JY883" s="4"/>
      <c r="JZ883" s="4"/>
      <c r="KA883" s="4"/>
      <c r="KB883" s="4"/>
      <c r="KC883" s="4"/>
      <c r="KD883" s="4"/>
      <c r="KE883" s="4"/>
      <c r="KF883" s="4"/>
      <c r="KM883" s="4" t="s">
        <v>391</v>
      </c>
      <c r="KN883" s="4" t="s">
        <v>391</v>
      </c>
      <c r="KP883" s="5" t="s">
        <v>358</v>
      </c>
      <c r="KQ883" s="5" t="s">
        <v>2862</v>
      </c>
      <c r="KS883" s="5" t="s">
        <v>663</v>
      </c>
      <c r="KT883" s="5" t="s">
        <v>1414</v>
      </c>
    </row>
    <row r="884" spans="1:306" ht="48" x14ac:dyDescent="0.25">
      <c r="A884" s="5" t="s">
        <v>4119</v>
      </c>
      <c r="B884" s="4" t="s">
        <v>376</v>
      </c>
      <c r="C884" s="7" t="s">
        <v>648</v>
      </c>
      <c r="D884" s="8" t="s">
        <v>649</v>
      </c>
      <c r="E884" s="4">
        <v>466240</v>
      </c>
      <c r="G884" s="4" t="s">
        <v>479</v>
      </c>
      <c r="H884" s="6">
        <v>139.439728</v>
      </c>
      <c r="I884" s="6">
        <v>-19.833328000000002</v>
      </c>
      <c r="J884" s="4" t="s">
        <v>2861</v>
      </c>
      <c r="K884" s="4" t="s">
        <v>481</v>
      </c>
      <c r="L884" s="4" t="s">
        <v>651</v>
      </c>
      <c r="M884" s="4" t="s">
        <v>652</v>
      </c>
      <c r="Q884" s="4"/>
      <c r="R884" s="4"/>
      <c r="S884" s="4"/>
      <c r="T884" s="4"/>
      <c r="U884" s="4"/>
      <c r="V884" s="4"/>
      <c r="W884" s="4"/>
      <c r="X884" s="4"/>
      <c r="Z884" s="4" t="s">
        <v>376</v>
      </c>
      <c r="AA884" s="7" t="s">
        <v>648</v>
      </c>
      <c r="AB884" s="8" t="s">
        <v>649</v>
      </c>
      <c r="AC884" s="4" t="s">
        <v>301</v>
      </c>
      <c r="AD884" s="4" t="s">
        <v>302</v>
      </c>
      <c r="AE884" s="4">
        <v>1543</v>
      </c>
      <c r="AF884" s="4"/>
      <c r="AG884" s="4" t="s">
        <v>379</v>
      </c>
      <c r="AH884" s="4" t="s">
        <v>380</v>
      </c>
      <c r="AI884" s="4"/>
      <c r="AJ884" s="4"/>
      <c r="AK884" s="4"/>
      <c r="AL884" s="4"/>
      <c r="AM884" s="8">
        <v>2</v>
      </c>
      <c r="AS884" s="7"/>
      <c r="AT884" s="7"/>
      <c r="BG884" s="7"/>
      <c r="BH884" s="7"/>
      <c r="BP884" s="7">
        <v>2.6</v>
      </c>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31"/>
      <c r="EA884" s="4"/>
      <c r="EB884" s="9">
        <f t="shared" si="30"/>
        <v>6.9230769230769221E-2</v>
      </c>
      <c r="EC884" s="4"/>
      <c r="ED884" s="4"/>
      <c r="EE884" s="4"/>
      <c r="EF884" s="4"/>
      <c r="EG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32"/>
      <c r="GQ884" s="4"/>
      <c r="GR884" s="6">
        <v>1.8</v>
      </c>
      <c r="GS884" s="4"/>
      <c r="GT884" s="4"/>
      <c r="GU884" s="4"/>
      <c r="GV884" s="4"/>
      <c r="GW884" s="4"/>
      <c r="GX884" s="4"/>
      <c r="GY884" s="4" t="s">
        <v>338</v>
      </c>
      <c r="GZ884" s="4" t="s">
        <v>654</v>
      </c>
      <c r="HA884" s="4"/>
      <c r="HB884" s="4"/>
      <c r="HC884" s="4" t="s">
        <v>655</v>
      </c>
      <c r="HD884" s="4" t="s">
        <v>656</v>
      </c>
      <c r="HE884" s="8">
        <v>5911</v>
      </c>
      <c r="HF884" s="4" t="s">
        <v>1411</v>
      </c>
      <c r="HG884" s="4" t="s">
        <v>490</v>
      </c>
      <c r="HH884" s="4"/>
      <c r="HI884" s="4"/>
      <c r="HJ884" s="4"/>
      <c r="HK884" s="4"/>
      <c r="HL884" s="4"/>
      <c r="HN884" s="4"/>
      <c r="HO884" s="4"/>
      <c r="HP884" s="4"/>
      <c r="HR884" s="4"/>
      <c r="HS884" s="4"/>
      <c r="HT884" s="4"/>
      <c r="HU884" s="4"/>
      <c r="HV884" s="4"/>
      <c r="HW884" s="4"/>
      <c r="HX884" s="4"/>
      <c r="HY884" s="4"/>
      <c r="HZ884" s="4"/>
      <c r="IA884" s="4"/>
      <c r="IB884" s="4" t="s">
        <v>656</v>
      </c>
      <c r="IC884" s="8">
        <v>5911</v>
      </c>
      <c r="ID884" s="4" t="s">
        <v>1411</v>
      </c>
      <c r="IE884" s="4" t="s">
        <v>490</v>
      </c>
      <c r="IF884" s="4" t="s">
        <v>445</v>
      </c>
      <c r="IG884" s="4"/>
      <c r="IH884" s="4"/>
      <c r="II884" s="4"/>
      <c r="IJ884" s="4"/>
      <c r="IK884" s="4"/>
      <c r="IL884" s="4"/>
      <c r="IN884" s="4"/>
      <c r="IO884" s="4"/>
      <c r="IP884" s="4"/>
      <c r="IQ884" s="4"/>
      <c r="IR884" s="4"/>
      <c r="IS884" s="4"/>
      <c r="IT884" s="4"/>
      <c r="IU884" s="4"/>
      <c r="IV884" s="4"/>
      <c r="IW884" s="4"/>
      <c r="IX884" s="4"/>
      <c r="IY884" s="4"/>
      <c r="IZ884" s="4"/>
      <c r="JA884" s="4"/>
      <c r="JB884" s="4"/>
      <c r="JC884" s="4"/>
      <c r="JD884" s="4"/>
      <c r="JE884" s="4"/>
      <c r="JF884" s="4"/>
      <c r="JG884" s="4"/>
      <c r="JH884" s="4"/>
      <c r="JI884" s="4"/>
      <c r="JJ884" s="4"/>
      <c r="JK884" s="4"/>
      <c r="JL884" s="4"/>
      <c r="JM884" s="4"/>
      <c r="JN884" s="4"/>
      <c r="JO884" s="4"/>
      <c r="JP884" s="4"/>
      <c r="JQ884" s="4"/>
      <c r="JR884" s="4"/>
      <c r="JS884" s="4"/>
      <c r="JT884" s="4"/>
      <c r="JU884" s="4" t="s">
        <v>659</v>
      </c>
      <c r="JV884" s="4"/>
      <c r="JW884" s="4"/>
      <c r="JX884" s="4"/>
      <c r="JY884" s="4"/>
      <c r="JZ884" s="4"/>
      <c r="KA884" s="4"/>
      <c r="KB884" s="4"/>
      <c r="KC884" s="4"/>
      <c r="KD884" s="4"/>
      <c r="KE884" s="4"/>
      <c r="KF884" s="4"/>
      <c r="KM884" s="4" t="s">
        <v>391</v>
      </c>
      <c r="KN884" s="4" t="s">
        <v>391</v>
      </c>
      <c r="KP884" s="5" t="s">
        <v>358</v>
      </c>
      <c r="KQ884" s="5" t="s">
        <v>2862</v>
      </c>
      <c r="KS884" s="5" t="s">
        <v>663</v>
      </c>
      <c r="KT884" s="5" t="s">
        <v>1414</v>
      </c>
    </row>
    <row r="885" spans="1:306" ht="48" x14ac:dyDescent="0.25">
      <c r="A885" s="5" t="s">
        <v>5273</v>
      </c>
      <c r="B885" s="4" t="s">
        <v>376</v>
      </c>
      <c r="C885" s="7" t="s">
        <v>648</v>
      </c>
      <c r="D885" s="8" t="s">
        <v>649</v>
      </c>
      <c r="E885" s="4">
        <v>467247</v>
      </c>
      <c r="G885" s="4" t="s">
        <v>479</v>
      </c>
      <c r="H885" s="6">
        <v>139.433953</v>
      </c>
      <c r="I885" s="6">
        <v>-20.434329999999999</v>
      </c>
      <c r="J885" s="4" t="s">
        <v>2861</v>
      </c>
      <c r="K885" s="4" t="s">
        <v>481</v>
      </c>
      <c r="L885" s="4" t="s">
        <v>651</v>
      </c>
      <c r="M885" s="4" t="s">
        <v>652</v>
      </c>
      <c r="Q885" s="4"/>
      <c r="S885" s="4"/>
      <c r="T885" s="4"/>
      <c r="Z885" s="4" t="s">
        <v>376</v>
      </c>
      <c r="AA885" s="7" t="s">
        <v>648</v>
      </c>
      <c r="AB885" s="8" t="s">
        <v>649</v>
      </c>
      <c r="AC885" s="4" t="s">
        <v>301</v>
      </c>
      <c r="AD885" s="4" t="s">
        <v>302</v>
      </c>
      <c r="AE885" s="4">
        <v>1543</v>
      </c>
      <c r="AG885" s="4" t="s">
        <v>379</v>
      </c>
      <c r="AH885" s="4" t="s">
        <v>380</v>
      </c>
      <c r="AM885" s="8">
        <v>2</v>
      </c>
      <c r="BP885" s="7">
        <v>2</v>
      </c>
      <c r="DZ885" s="31"/>
      <c r="EB885" s="9">
        <f t="shared" si="30"/>
        <v>5.6599999999999998E-2</v>
      </c>
      <c r="GP885" s="32"/>
      <c r="GR885" s="6">
        <v>1.1319999999999999</v>
      </c>
      <c r="GY885" s="6" t="s">
        <v>338</v>
      </c>
      <c r="GZ885" s="6" t="s">
        <v>654</v>
      </c>
      <c r="HC885" s="6" t="s">
        <v>655</v>
      </c>
      <c r="HD885" s="4" t="s">
        <v>656</v>
      </c>
      <c r="HE885" s="8">
        <v>5911</v>
      </c>
      <c r="HF885" s="4" t="s">
        <v>1411</v>
      </c>
      <c r="HG885" s="4" t="s">
        <v>490</v>
      </c>
      <c r="IB885" s="4" t="s">
        <v>656</v>
      </c>
      <c r="IC885" s="8">
        <v>5911</v>
      </c>
      <c r="ID885" s="4" t="s">
        <v>1411</v>
      </c>
      <c r="IE885" s="4" t="s">
        <v>490</v>
      </c>
      <c r="IF885" s="4" t="s">
        <v>445</v>
      </c>
      <c r="JU885" s="4" t="s">
        <v>659</v>
      </c>
      <c r="KM885" s="4" t="s">
        <v>391</v>
      </c>
      <c r="KN885" s="4" t="s">
        <v>391</v>
      </c>
      <c r="KP885" s="5" t="s">
        <v>358</v>
      </c>
      <c r="KQ885" s="5" t="s">
        <v>2862</v>
      </c>
      <c r="KS885" s="5" t="s">
        <v>663</v>
      </c>
      <c r="KT885" s="5" t="s">
        <v>1414</v>
      </c>
    </row>
    <row r="886" spans="1:306" ht="60" x14ac:dyDescent="0.25">
      <c r="A886" s="5" t="s">
        <v>6384</v>
      </c>
      <c r="B886" s="4" t="s">
        <v>376</v>
      </c>
      <c r="C886" s="7" t="s">
        <v>648</v>
      </c>
      <c r="D886" s="8" t="s">
        <v>649</v>
      </c>
      <c r="E886" s="4">
        <v>546004</v>
      </c>
      <c r="G886" s="4" t="s">
        <v>479</v>
      </c>
      <c r="H886" s="6">
        <v>139.365836</v>
      </c>
      <c r="I886" s="6">
        <v>-20.377714000000001</v>
      </c>
      <c r="J886" s="4" t="s">
        <v>1410</v>
      </c>
      <c r="K886" s="4" t="s">
        <v>481</v>
      </c>
      <c r="L886" s="4" t="s">
        <v>651</v>
      </c>
      <c r="M886" s="4" t="s">
        <v>652</v>
      </c>
      <c r="Q886" s="4"/>
      <c r="R886" s="4"/>
      <c r="S886" s="4"/>
      <c r="T886" s="4"/>
      <c r="U886" s="4"/>
      <c r="V886" s="4"/>
      <c r="W886" s="4"/>
      <c r="X886" s="4"/>
      <c r="Z886" s="4" t="s">
        <v>376</v>
      </c>
      <c r="AA886" s="7" t="s">
        <v>648</v>
      </c>
      <c r="AB886" s="8" t="s">
        <v>649</v>
      </c>
      <c r="AC886" s="4" t="s">
        <v>301</v>
      </c>
      <c r="AD886" s="4" t="s">
        <v>302</v>
      </c>
      <c r="AE886" s="4">
        <v>1543</v>
      </c>
      <c r="AF886" s="4"/>
      <c r="AG886" s="4" t="s">
        <v>379</v>
      </c>
      <c r="AH886" s="4" t="s">
        <v>1156</v>
      </c>
      <c r="AI886" s="4"/>
      <c r="AJ886" s="4"/>
      <c r="AK886" s="4"/>
      <c r="AL886" s="4"/>
      <c r="AM886" s="8">
        <v>2</v>
      </c>
      <c r="AS886" s="7"/>
      <c r="AT886" s="7"/>
      <c r="BG886" s="7"/>
      <c r="BH886" s="7"/>
      <c r="BP886" s="7">
        <v>14</v>
      </c>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31"/>
      <c r="EA886" s="4"/>
      <c r="EB886" s="9">
        <f t="shared" si="30"/>
        <v>5.6885714285714296E-2</v>
      </c>
      <c r="EC886" s="4"/>
      <c r="ED886" s="4"/>
      <c r="EE886" s="4"/>
      <c r="EF886" s="4"/>
      <c r="EG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32"/>
      <c r="GQ886" s="4"/>
      <c r="GR886" s="6">
        <v>7.9640000000000004</v>
      </c>
      <c r="GS886" s="4"/>
      <c r="GT886" s="4"/>
      <c r="GU886" s="4"/>
      <c r="GV886" s="4"/>
      <c r="GW886" s="4"/>
      <c r="GX886" s="4"/>
      <c r="GY886" s="4" t="s">
        <v>338</v>
      </c>
      <c r="GZ886" s="4" t="s">
        <v>654</v>
      </c>
      <c r="HA886" s="4"/>
      <c r="HB886" s="4"/>
      <c r="HC886" s="4" t="s">
        <v>655</v>
      </c>
      <c r="HD886" s="4" t="s">
        <v>656</v>
      </c>
      <c r="HE886" s="8">
        <v>5911</v>
      </c>
      <c r="HF886" s="4" t="s">
        <v>1411</v>
      </c>
      <c r="HG886" s="4" t="s">
        <v>490</v>
      </c>
      <c r="HH886" s="4"/>
      <c r="HI886" s="4"/>
      <c r="HJ886" s="4"/>
      <c r="HK886" s="4"/>
      <c r="HL886" s="4"/>
      <c r="HN886" s="4"/>
      <c r="HO886" s="4"/>
      <c r="HP886" s="4"/>
      <c r="HR886" s="4"/>
      <c r="HS886" s="4"/>
      <c r="HT886" s="4"/>
      <c r="HU886" s="4"/>
      <c r="HV886" s="4"/>
      <c r="HW886" s="4"/>
      <c r="HX886" s="4"/>
      <c r="HY886" s="4"/>
      <c r="HZ886" s="4"/>
      <c r="IA886" s="4"/>
      <c r="IB886" s="4" t="s">
        <v>656</v>
      </c>
      <c r="IC886" s="8">
        <v>5911</v>
      </c>
      <c r="ID886" s="4" t="s">
        <v>1411</v>
      </c>
      <c r="IE886" s="4" t="s">
        <v>490</v>
      </c>
      <c r="IF886" s="4" t="s">
        <v>445</v>
      </c>
      <c r="IG886" s="4"/>
      <c r="IH886" s="4"/>
      <c r="II886" s="4"/>
      <c r="IJ886" s="4"/>
      <c r="IK886" s="4"/>
      <c r="IL886" s="4"/>
      <c r="IN886" s="4"/>
      <c r="IO886" s="4"/>
      <c r="IP886" s="4"/>
      <c r="IQ886" s="4"/>
      <c r="IR886" s="4"/>
      <c r="IS886" s="4"/>
      <c r="IT886" s="4"/>
      <c r="IU886" s="4"/>
      <c r="IV886" s="4"/>
      <c r="IW886" s="4"/>
      <c r="IX886" s="4"/>
      <c r="IY886" s="4"/>
      <c r="IZ886" s="4"/>
      <c r="JA886" s="4"/>
      <c r="JB886" s="4"/>
      <c r="JC886" s="4"/>
      <c r="JD886" s="4"/>
      <c r="JE886" s="4"/>
      <c r="JF886" s="4"/>
      <c r="JG886" s="4"/>
      <c r="JH886" s="4"/>
      <c r="JI886" s="4"/>
      <c r="JJ886" s="4"/>
      <c r="JK886" s="4"/>
      <c r="JL886" s="4"/>
      <c r="JM886" s="4"/>
      <c r="JN886" s="4"/>
      <c r="JO886" s="4"/>
      <c r="JP886" s="4"/>
      <c r="JQ886" s="4"/>
      <c r="JR886" s="4"/>
      <c r="JS886" s="4"/>
      <c r="JT886" s="4"/>
      <c r="JU886" s="4" t="s">
        <v>659</v>
      </c>
      <c r="JV886" s="4"/>
      <c r="JW886" s="4"/>
      <c r="JX886" s="4"/>
      <c r="JY886" s="4"/>
      <c r="JZ886" s="4"/>
      <c r="KA886" s="4"/>
      <c r="KB886" s="4"/>
      <c r="KC886" s="4"/>
      <c r="KD886" s="4"/>
      <c r="KE886" s="4"/>
      <c r="KF886" s="4"/>
      <c r="KM886" s="4" t="s">
        <v>391</v>
      </c>
      <c r="KN886" s="4" t="s">
        <v>391</v>
      </c>
      <c r="KP886" s="5" t="s">
        <v>358</v>
      </c>
      <c r="KQ886" s="5" t="s">
        <v>6385</v>
      </c>
      <c r="KS886" s="5" t="s">
        <v>663</v>
      </c>
      <c r="KT886" s="5" t="s">
        <v>1414</v>
      </c>
    </row>
    <row r="887" spans="1:306" ht="48" x14ac:dyDescent="0.25">
      <c r="A887" s="5" t="s">
        <v>6768</v>
      </c>
      <c r="B887" s="4" t="s">
        <v>376</v>
      </c>
      <c r="C887" s="7" t="s">
        <v>648</v>
      </c>
      <c r="D887" s="8" t="s">
        <v>649</v>
      </c>
      <c r="E887" s="4">
        <v>558177</v>
      </c>
      <c r="G887" s="4" t="s">
        <v>479</v>
      </c>
      <c r="H887" s="6">
        <v>139.28513289399999</v>
      </c>
      <c r="I887" s="6">
        <v>-19.164262477000001</v>
      </c>
      <c r="J887" s="4" t="s">
        <v>2861</v>
      </c>
      <c r="K887" s="4" t="s">
        <v>481</v>
      </c>
      <c r="L887" s="4" t="s">
        <v>651</v>
      </c>
      <c r="M887" s="4" t="s">
        <v>652</v>
      </c>
      <c r="Q887" s="4"/>
      <c r="S887" s="4"/>
      <c r="T887" s="4"/>
      <c r="Z887" s="4" t="s">
        <v>376</v>
      </c>
      <c r="AA887" s="7" t="s">
        <v>648</v>
      </c>
      <c r="AB887" s="8" t="s">
        <v>649</v>
      </c>
      <c r="AC887" s="4" t="s">
        <v>301</v>
      </c>
      <c r="AD887" s="4" t="s">
        <v>302</v>
      </c>
      <c r="AE887" s="4">
        <v>1543</v>
      </c>
      <c r="AG887" s="4" t="s">
        <v>379</v>
      </c>
      <c r="AH887" s="4" t="s">
        <v>380</v>
      </c>
      <c r="AM887" s="8">
        <v>2</v>
      </c>
      <c r="BP887" s="7">
        <v>4.4000000000000004</v>
      </c>
      <c r="DZ887" s="31"/>
      <c r="EB887" s="9">
        <f t="shared" si="30"/>
        <v>2.4545454545454544E-2</v>
      </c>
      <c r="GP887" s="32"/>
      <c r="GR887" s="6">
        <v>1.08</v>
      </c>
      <c r="GY887" s="6" t="s">
        <v>338</v>
      </c>
      <c r="GZ887" s="6" t="s">
        <v>654</v>
      </c>
      <c r="HC887" s="6" t="s">
        <v>655</v>
      </c>
      <c r="HD887" s="4" t="s">
        <v>656</v>
      </c>
      <c r="HE887" s="8">
        <v>5911</v>
      </c>
      <c r="HF887" s="4" t="s">
        <v>1411</v>
      </c>
      <c r="HG887" s="4" t="s">
        <v>490</v>
      </c>
      <c r="IB887" s="4" t="s">
        <v>656</v>
      </c>
      <c r="IC887" s="8">
        <v>5911</v>
      </c>
      <c r="ID887" s="4" t="s">
        <v>1411</v>
      </c>
      <c r="IE887" s="4" t="s">
        <v>490</v>
      </c>
      <c r="IF887" s="4" t="s">
        <v>445</v>
      </c>
      <c r="JU887" s="4" t="s">
        <v>659</v>
      </c>
      <c r="KM887" s="4" t="s">
        <v>391</v>
      </c>
      <c r="KN887" s="4" t="s">
        <v>391</v>
      </c>
      <c r="KP887" s="5" t="s">
        <v>358</v>
      </c>
      <c r="KQ887" s="5" t="s">
        <v>2862</v>
      </c>
      <c r="KS887" s="5" t="s">
        <v>6769</v>
      </c>
      <c r="KT887" s="5" t="s">
        <v>1414</v>
      </c>
    </row>
    <row r="888" spans="1:306" ht="60" x14ac:dyDescent="0.25">
      <c r="A888" s="5" t="s">
        <v>7175</v>
      </c>
      <c r="B888" s="4" t="s">
        <v>376</v>
      </c>
      <c r="C888" s="7" t="s">
        <v>648</v>
      </c>
      <c r="D888" s="8" t="s">
        <v>649</v>
      </c>
      <c r="E888" s="4">
        <v>333697</v>
      </c>
      <c r="G888" s="4" t="s">
        <v>479</v>
      </c>
      <c r="H888" s="6">
        <v>139.46083200000001</v>
      </c>
      <c r="I888" s="6">
        <v>-20.434526999999999</v>
      </c>
      <c r="J888" s="4" t="s">
        <v>1410</v>
      </c>
      <c r="K888" s="4" t="s">
        <v>481</v>
      </c>
      <c r="L888" s="4" t="s">
        <v>651</v>
      </c>
      <c r="M888" s="4" t="s">
        <v>652</v>
      </c>
      <c r="Q888" s="4"/>
      <c r="R888" s="4"/>
      <c r="S888" s="4"/>
      <c r="T888" s="4"/>
      <c r="U888" s="4"/>
      <c r="V888" s="4"/>
      <c r="W888" s="4"/>
      <c r="X888" s="4"/>
      <c r="Z888" s="4" t="s">
        <v>376</v>
      </c>
      <c r="AA888" s="7" t="s">
        <v>648</v>
      </c>
      <c r="AB888" s="8" t="s">
        <v>649</v>
      </c>
      <c r="AC888" s="4" t="s">
        <v>301</v>
      </c>
      <c r="AD888" s="4" t="s">
        <v>302</v>
      </c>
      <c r="AE888" s="4">
        <v>1543</v>
      </c>
      <c r="AF888" s="4"/>
      <c r="AG888" s="4" t="s">
        <v>379</v>
      </c>
      <c r="AH888" s="4" t="s">
        <v>1156</v>
      </c>
      <c r="AI888" s="4"/>
      <c r="AJ888" s="4"/>
      <c r="AK888" s="4"/>
      <c r="AL888" s="4"/>
      <c r="AM888" s="8">
        <v>2</v>
      </c>
      <c r="AS888" s="7"/>
      <c r="AT888" s="7"/>
      <c r="BG888" s="7"/>
      <c r="BH888" s="7"/>
      <c r="BP888" s="7">
        <v>15.7</v>
      </c>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31"/>
      <c r="EA888" s="4"/>
      <c r="EB888" s="9">
        <f t="shared" si="30"/>
        <v>6.2961783439490451E-2</v>
      </c>
      <c r="EC888" s="4"/>
      <c r="ED888" s="4"/>
      <c r="EE888" s="4"/>
      <c r="EF888" s="4"/>
      <c r="EG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32"/>
      <c r="GQ888" s="4"/>
      <c r="GR888" s="6">
        <v>9.8849999999999998</v>
      </c>
      <c r="GS888" s="4"/>
      <c r="GT888" s="4"/>
      <c r="GU888" s="4"/>
      <c r="GV888" s="4"/>
      <c r="GW888" s="4"/>
      <c r="GX888" s="4"/>
      <c r="GY888" s="4" t="s">
        <v>338</v>
      </c>
      <c r="GZ888" s="4" t="s">
        <v>654</v>
      </c>
      <c r="HA888" s="4"/>
      <c r="HB888" s="4"/>
      <c r="HC888" s="4" t="s">
        <v>655</v>
      </c>
      <c r="HD888" s="4" t="s">
        <v>656</v>
      </c>
      <c r="HE888" s="8">
        <v>5911</v>
      </c>
      <c r="HF888" s="4" t="s">
        <v>1411</v>
      </c>
      <c r="HG888" s="4" t="s">
        <v>490</v>
      </c>
      <c r="HH888" s="4"/>
      <c r="HI888" s="4"/>
      <c r="HJ888" s="4"/>
      <c r="HK888" s="4"/>
      <c r="HL888" s="4"/>
      <c r="HN888" s="4"/>
      <c r="HO888" s="4"/>
      <c r="HP888" s="4"/>
      <c r="HR888" s="4"/>
      <c r="HS888" s="4"/>
      <c r="HT888" s="4"/>
      <c r="HU888" s="4"/>
      <c r="HV888" s="4"/>
      <c r="HW888" s="4"/>
      <c r="HX888" s="4"/>
      <c r="HY888" s="4"/>
      <c r="HZ888" s="4"/>
      <c r="IA888" s="4"/>
      <c r="IB888" s="4" t="s">
        <v>656</v>
      </c>
      <c r="IC888" s="8">
        <v>5911</v>
      </c>
      <c r="ID888" s="4" t="s">
        <v>1411</v>
      </c>
      <c r="IE888" s="4" t="s">
        <v>490</v>
      </c>
      <c r="IF888" s="4" t="s">
        <v>445</v>
      </c>
      <c r="IG888" s="4"/>
      <c r="IH888" s="4"/>
      <c r="II888" s="4"/>
      <c r="IJ888" s="4"/>
      <c r="IK888" s="4"/>
      <c r="IL888" s="4"/>
      <c r="IN888" s="4"/>
      <c r="IO888" s="4"/>
      <c r="IP888" s="4"/>
      <c r="IQ888" s="4"/>
      <c r="IR888" s="4"/>
      <c r="IS888" s="4"/>
      <c r="IT888" s="4"/>
      <c r="IU888" s="4"/>
      <c r="IV888" s="4"/>
      <c r="IW888" s="4"/>
      <c r="IX888" s="4"/>
      <c r="IY888" s="4"/>
      <c r="IZ888" s="4"/>
      <c r="JA888" s="4"/>
      <c r="JB888" s="4"/>
      <c r="JC888" s="4"/>
      <c r="JD888" s="4"/>
      <c r="JE888" s="4"/>
      <c r="JF888" s="4"/>
      <c r="JG888" s="4"/>
      <c r="JH888" s="4"/>
      <c r="JI888" s="4"/>
      <c r="JJ888" s="4"/>
      <c r="JK888" s="4"/>
      <c r="JL888" s="4"/>
      <c r="JM888" s="4"/>
      <c r="JN888" s="4"/>
      <c r="JO888" s="4"/>
      <c r="JP888" s="4"/>
      <c r="JQ888" s="4"/>
      <c r="JR888" s="4"/>
      <c r="JS888" s="4"/>
      <c r="JT888" s="4"/>
      <c r="JU888" s="4" t="s">
        <v>659</v>
      </c>
      <c r="JV888" s="4" t="s">
        <v>7176</v>
      </c>
      <c r="JW888" s="4"/>
      <c r="JX888" s="4"/>
      <c r="JY888" s="4"/>
      <c r="JZ888" s="4"/>
      <c r="KA888" s="4"/>
      <c r="KB888" s="4"/>
      <c r="KC888" s="4"/>
      <c r="KD888" s="4"/>
      <c r="KE888" s="4"/>
      <c r="KF888" s="4"/>
      <c r="KG888" s="4" t="s">
        <v>323</v>
      </c>
      <c r="KM888" s="4" t="s">
        <v>391</v>
      </c>
      <c r="KN888" s="4" t="s">
        <v>391</v>
      </c>
      <c r="KP888" s="5" t="s">
        <v>358</v>
      </c>
      <c r="KQ888" s="5" t="s">
        <v>6385</v>
      </c>
      <c r="KS888" s="5" t="s">
        <v>663</v>
      </c>
      <c r="KT888" s="5" t="s">
        <v>1414</v>
      </c>
    </row>
    <row r="889" spans="1:306" ht="84" x14ac:dyDescent="0.25">
      <c r="A889" s="5" t="s">
        <v>1410</v>
      </c>
      <c r="B889" s="4" t="s">
        <v>376</v>
      </c>
      <c r="C889" s="7" t="s">
        <v>648</v>
      </c>
      <c r="D889" s="8" t="s">
        <v>649</v>
      </c>
      <c r="E889" s="4">
        <v>335217</v>
      </c>
      <c r="G889" s="4" t="s">
        <v>479</v>
      </c>
      <c r="H889" s="6">
        <v>139.36783199999999</v>
      </c>
      <c r="I889" s="6">
        <v>-20.387526999999999</v>
      </c>
      <c r="J889" s="4" t="s">
        <v>1410</v>
      </c>
      <c r="K889" s="4" t="s">
        <v>481</v>
      </c>
      <c r="L889" s="4" t="s">
        <v>651</v>
      </c>
      <c r="M889" s="4" t="s">
        <v>652</v>
      </c>
      <c r="Q889" s="4"/>
      <c r="R889" s="4"/>
      <c r="S889" s="4"/>
      <c r="T889" s="4"/>
      <c r="U889" s="4"/>
      <c r="V889" s="4"/>
      <c r="W889" s="4"/>
      <c r="X889" s="4"/>
      <c r="Z889" s="4" t="s">
        <v>376</v>
      </c>
      <c r="AA889" s="7" t="s">
        <v>648</v>
      </c>
      <c r="AB889" s="8" t="s">
        <v>649</v>
      </c>
      <c r="AC889" s="4" t="s">
        <v>301</v>
      </c>
      <c r="AD889" s="4" t="s">
        <v>302</v>
      </c>
      <c r="AE889" s="4">
        <v>1543</v>
      </c>
      <c r="AF889" s="4">
        <v>15</v>
      </c>
      <c r="AG889" s="4" t="s">
        <v>303</v>
      </c>
      <c r="AH889" s="4" t="s">
        <v>304</v>
      </c>
      <c r="AI889" s="4" t="s">
        <v>7774</v>
      </c>
      <c r="AJ889" s="4" t="s">
        <v>306</v>
      </c>
      <c r="AK889" s="4" t="s">
        <v>4628</v>
      </c>
      <c r="AL889" s="4" t="s">
        <v>7775</v>
      </c>
      <c r="AM889" s="8">
        <v>5</v>
      </c>
      <c r="AS889" s="7"/>
      <c r="AT889" s="7"/>
      <c r="BG889" s="7"/>
      <c r="BH889" s="7"/>
      <c r="BP889" s="7">
        <v>43.76</v>
      </c>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31"/>
      <c r="EA889" s="4"/>
      <c r="EB889" s="9">
        <f t="shared" si="30"/>
        <v>7.9072212065813524E-2</v>
      </c>
      <c r="EC889" s="4"/>
      <c r="ED889" s="4"/>
      <c r="EE889" s="4"/>
      <c r="EF889" s="4"/>
      <c r="EG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32"/>
      <c r="GQ889" s="4"/>
      <c r="GR889" s="6">
        <v>34.601999999999997</v>
      </c>
      <c r="GS889" s="4"/>
      <c r="GT889" s="4"/>
      <c r="GU889" s="4"/>
      <c r="GV889" s="4"/>
      <c r="GW889" s="4"/>
      <c r="GX889" s="4"/>
      <c r="GY889" s="4" t="s">
        <v>338</v>
      </c>
      <c r="GZ889" s="4" t="s">
        <v>654</v>
      </c>
      <c r="HA889" s="4"/>
      <c r="HB889" s="4"/>
      <c r="HC889" s="4" t="s">
        <v>655</v>
      </c>
      <c r="HD889" s="4" t="s">
        <v>7776</v>
      </c>
      <c r="HE889" s="8">
        <v>5911</v>
      </c>
      <c r="HF889" s="4" t="s">
        <v>5530</v>
      </c>
      <c r="HG889" s="4" t="s">
        <v>490</v>
      </c>
      <c r="HH889" s="4" t="s">
        <v>7777</v>
      </c>
      <c r="HI889" s="8">
        <v>5911</v>
      </c>
      <c r="HJ889" s="4" t="s">
        <v>7778</v>
      </c>
      <c r="HK889" s="4" t="s">
        <v>490</v>
      </c>
      <c r="HL889" s="4" t="s">
        <v>7779</v>
      </c>
      <c r="HM889" s="8">
        <v>5911</v>
      </c>
      <c r="HN889" s="4" t="s">
        <v>7780</v>
      </c>
      <c r="HO889" s="4" t="s">
        <v>490</v>
      </c>
      <c r="HP889" s="4"/>
      <c r="HR889" s="4"/>
      <c r="HS889" s="4"/>
      <c r="HT889" s="4"/>
      <c r="HU889" s="4"/>
      <c r="HV889" s="4"/>
      <c r="HW889" s="4"/>
      <c r="HX889" s="4"/>
      <c r="HY889" s="4"/>
      <c r="HZ889" s="4"/>
      <c r="IA889" s="4"/>
      <c r="IB889" s="4" t="s">
        <v>656</v>
      </c>
      <c r="IC889" s="8">
        <v>5911</v>
      </c>
      <c r="ID889" s="4" t="s">
        <v>7781</v>
      </c>
      <c r="IE889" s="4" t="s">
        <v>490</v>
      </c>
      <c r="IF889" s="4" t="s">
        <v>445</v>
      </c>
      <c r="IG889" s="4"/>
      <c r="IH889" s="4"/>
      <c r="II889" s="4"/>
      <c r="IJ889" s="4"/>
      <c r="IK889" s="4"/>
      <c r="IL889" s="4"/>
      <c r="IN889" s="4"/>
      <c r="IO889" s="4"/>
      <c r="IP889" s="4"/>
      <c r="IQ889" s="4"/>
      <c r="IR889" s="4"/>
      <c r="IS889" s="4"/>
      <c r="IT889" s="4"/>
      <c r="IU889" s="4"/>
      <c r="IV889" s="4"/>
      <c r="IW889" s="4"/>
      <c r="IX889" s="4"/>
      <c r="IY889" s="4"/>
      <c r="IZ889" s="4"/>
      <c r="JA889" s="4"/>
      <c r="JB889" s="4"/>
      <c r="JC889" s="4"/>
      <c r="JD889" s="4"/>
      <c r="JE889" s="4"/>
      <c r="JF889" s="4"/>
      <c r="JG889" s="4"/>
      <c r="JH889" s="4"/>
      <c r="JI889" s="4"/>
      <c r="JJ889" s="4"/>
      <c r="JK889" s="4"/>
      <c r="JL889" s="4"/>
      <c r="JM889" s="4"/>
      <c r="JN889" s="4"/>
      <c r="JO889" s="4"/>
      <c r="JP889" s="4"/>
      <c r="JQ889" s="4"/>
      <c r="JR889" s="4"/>
      <c r="JS889" s="4"/>
      <c r="JT889" s="4"/>
      <c r="JU889" s="4" t="s">
        <v>659</v>
      </c>
      <c r="JV889" s="4" t="s">
        <v>7782</v>
      </c>
      <c r="JW889" s="4"/>
      <c r="JX889" s="4" t="s">
        <v>353</v>
      </c>
      <c r="JY889" s="4" t="s">
        <v>448</v>
      </c>
      <c r="JZ889" s="4" t="s">
        <v>355</v>
      </c>
      <c r="KA889" s="4"/>
      <c r="KB889" s="4"/>
      <c r="KC889" s="4"/>
      <c r="KD889" s="4"/>
      <c r="KE889" s="4"/>
      <c r="KF889" s="4"/>
      <c r="KG889" s="4" t="s">
        <v>323</v>
      </c>
      <c r="KM889" s="4" t="s">
        <v>391</v>
      </c>
      <c r="KN889" s="4" t="s">
        <v>391</v>
      </c>
      <c r="KP889" s="5" t="s">
        <v>358</v>
      </c>
      <c r="KQ889" s="5" t="s">
        <v>7783</v>
      </c>
      <c r="KR889" s="5" t="s">
        <v>7784</v>
      </c>
      <c r="KS889" s="5" t="s">
        <v>663</v>
      </c>
      <c r="KT889" s="5" t="s">
        <v>7785</v>
      </c>
    </row>
    <row r="890" spans="1:306" ht="48" x14ac:dyDescent="0.25">
      <c r="A890" s="5" t="s">
        <v>7915</v>
      </c>
      <c r="B890" s="4" t="s">
        <v>376</v>
      </c>
      <c r="C890" s="7" t="s">
        <v>648</v>
      </c>
      <c r="D890" s="8" t="s">
        <v>649</v>
      </c>
      <c r="E890" s="4">
        <v>467253</v>
      </c>
      <c r="G890" s="4" t="s">
        <v>479</v>
      </c>
      <c r="H890" s="6">
        <v>139.453147</v>
      </c>
      <c r="I890" s="6">
        <v>-20.152899999999999</v>
      </c>
      <c r="J890" s="4" t="s">
        <v>2861</v>
      </c>
      <c r="K890" s="4" t="s">
        <v>481</v>
      </c>
      <c r="L890" s="4" t="s">
        <v>651</v>
      </c>
      <c r="M890" s="4" t="s">
        <v>652</v>
      </c>
      <c r="Q890" s="4"/>
      <c r="R890" s="4"/>
      <c r="S890" s="4"/>
      <c r="T890" s="4"/>
      <c r="U890" s="4"/>
      <c r="V890" s="4"/>
      <c r="W890" s="4"/>
      <c r="X890" s="4"/>
      <c r="Z890" s="4" t="s">
        <v>376</v>
      </c>
      <c r="AA890" s="7" t="s">
        <v>648</v>
      </c>
      <c r="AB890" s="8" t="s">
        <v>649</v>
      </c>
      <c r="AC890" s="4" t="s">
        <v>301</v>
      </c>
      <c r="AD890" s="4" t="s">
        <v>302</v>
      </c>
      <c r="AE890" s="4">
        <v>1543</v>
      </c>
      <c r="AF890" s="4"/>
      <c r="AG890" s="4" t="s">
        <v>379</v>
      </c>
      <c r="AH890" s="4" t="s">
        <v>380</v>
      </c>
      <c r="AI890" s="4"/>
      <c r="AJ890" s="4"/>
      <c r="AK890" s="4"/>
      <c r="AL890" s="4"/>
      <c r="AM890" s="8">
        <v>2</v>
      </c>
      <c r="BP890" s="7">
        <v>5.6</v>
      </c>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31"/>
      <c r="EA890" s="4"/>
      <c r="EB890" s="9">
        <f t="shared" si="30"/>
        <v>4.0357142857142855E-2</v>
      </c>
      <c r="EC890" s="4"/>
      <c r="ED890" s="4"/>
      <c r="EE890" s="4"/>
      <c r="EF890" s="4"/>
      <c r="EG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32"/>
      <c r="GQ890" s="4"/>
      <c r="GR890" s="6">
        <v>2.2599999999999998</v>
      </c>
      <c r="GS890" s="4"/>
      <c r="GT890" s="4"/>
      <c r="GU890" s="4"/>
      <c r="GV890" s="4"/>
      <c r="GW890" s="4"/>
      <c r="GX890" s="4"/>
      <c r="GY890" s="4" t="s">
        <v>338</v>
      </c>
      <c r="GZ890" s="4" t="s">
        <v>654</v>
      </c>
      <c r="HA890" s="4"/>
      <c r="HB890" s="4"/>
      <c r="HC890" s="4" t="s">
        <v>655</v>
      </c>
      <c r="HD890" s="4" t="s">
        <v>656</v>
      </c>
      <c r="HE890" s="8">
        <v>5911</v>
      </c>
      <c r="HF890" s="4" t="s">
        <v>1411</v>
      </c>
      <c r="HG890" s="4" t="s">
        <v>490</v>
      </c>
      <c r="HH890" s="4"/>
      <c r="HI890" s="4"/>
      <c r="HJ890" s="4"/>
      <c r="HK890" s="4"/>
      <c r="HL890" s="4"/>
      <c r="HN890" s="4"/>
      <c r="HO890" s="4"/>
      <c r="HP890" s="4"/>
      <c r="HR890" s="4"/>
      <c r="HS890" s="4"/>
      <c r="HT890" s="4"/>
      <c r="HU890" s="4"/>
      <c r="HV890" s="4"/>
      <c r="HW890" s="4"/>
      <c r="HX890" s="4"/>
      <c r="HY890" s="4"/>
      <c r="HZ890" s="4"/>
      <c r="IA890" s="4"/>
      <c r="IB890" s="4" t="s">
        <v>656</v>
      </c>
      <c r="IC890" s="8">
        <v>5911</v>
      </c>
      <c r="ID890" s="4" t="s">
        <v>1411</v>
      </c>
      <c r="IE890" s="4" t="s">
        <v>490</v>
      </c>
      <c r="IF890" s="4" t="s">
        <v>445</v>
      </c>
      <c r="IG890" s="4"/>
      <c r="IH890" s="4"/>
      <c r="II890" s="4"/>
      <c r="IJ890" s="4"/>
      <c r="IK890" s="4"/>
      <c r="IL890" s="4"/>
      <c r="IN890" s="4"/>
      <c r="IO890" s="4"/>
      <c r="IP890" s="4"/>
      <c r="IQ890" s="4"/>
      <c r="IR890" s="4"/>
      <c r="IS890" s="4"/>
      <c r="IT890" s="4"/>
      <c r="IU890" s="4"/>
      <c r="IV890" s="4"/>
      <c r="IW890" s="4"/>
      <c r="IX890" s="4"/>
      <c r="IY890" s="4"/>
      <c r="IZ890" s="4"/>
      <c r="JA890" s="4"/>
      <c r="JB890" s="4"/>
      <c r="JC890" s="4"/>
      <c r="JD890" s="4"/>
      <c r="JE890" s="4"/>
      <c r="JF890" s="4"/>
      <c r="JG890" s="4"/>
      <c r="JH890" s="4"/>
      <c r="JI890" s="4"/>
      <c r="JJ890" s="4"/>
      <c r="JK890" s="4"/>
      <c r="JL890" s="4"/>
      <c r="JM890" s="4"/>
      <c r="JN890" s="4"/>
      <c r="JO890" s="4"/>
      <c r="JP890" s="4"/>
      <c r="JQ890" s="4"/>
      <c r="JR890" s="4"/>
      <c r="JS890" s="4"/>
      <c r="JT890" s="4"/>
      <c r="JU890" s="4" t="s">
        <v>659</v>
      </c>
      <c r="JV890" s="4"/>
      <c r="JW890" s="4"/>
      <c r="JX890" s="4"/>
      <c r="JY890" s="4"/>
      <c r="JZ890" s="4"/>
      <c r="KA890" s="4"/>
      <c r="KB890" s="4"/>
      <c r="KC890" s="4"/>
      <c r="KD890" s="4"/>
      <c r="KE890" s="4"/>
      <c r="KF890" s="4"/>
      <c r="KM890" s="4" t="s">
        <v>391</v>
      </c>
      <c r="KN890" s="4" t="s">
        <v>391</v>
      </c>
      <c r="KP890" s="5" t="s">
        <v>358</v>
      </c>
      <c r="KQ890" s="5" t="s">
        <v>2862</v>
      </c>
      <c r="KS890" s="5" t="s">
        <v>663</v>
      </c>
      <c r="KT890" s="5" t="s">
        <v>1414</v>
      </c>
    </row>
    <row r="891" spans="1:306" ht="144" x14ac:dyDescent="0.25">
      <c r="A891" s="5" t="s">
        <v>5689</v>
      </c>
      <c r="B891" s="4" t="s">
        <v>376</v>
      </c>
      <c r="C891" s="7" t="s">
        <v>992</v>
      </c>
      <c r="D891" s="8" t="s">
        <v>5690</v>
      </c>
      <c r="E891" s="4">
        <v>333400</v>
      </c>
      <c r="G891" s="4" t="s">
        <v>479</v>
      </c>
      <c r="H891" s="6">
        <v>139.47834492000001</v>
      </c>
      <c r="I891" s="6">
        <v>-20.743392109999998</v>
      </c>
      <c r="J891" s="4" t="s">
        <v>5691</v>
      </c>
      <c r="K891" s="4" t="s">
        <v>481</v>
      </c>
      <c r="L891" s="4" t="s">
        <v>651</v>
      </c>
      <c r="M891" s="4" t="s">
        <v>1972</v>
      </c>
      <c r="Q891" s="8"/>
      <c r="R891" s="8"/>
      <c r="Z891" s="4" t="s">
        <v>376</v>
      </c>
      <c r="AA891" s="7" t="s">
        <v>992</v>
      </c>
      <c r="AB891" s="8" t="s">
        <v>5690</v>
      </c>
      <c r="AC891" s="4" t="s">
        <v>301</v>
      </c>
      <c r="AD891" s="4" t="s">
        <v>375</v>
      </c>
      <c r="AE891" s="8">
        <v>1523</v>
      </c>
      <c r="AF891" s="8">
        <v>6</v>
      </c>
      <c r="AG891" s="9" t="s">
        <v>379</v>
      </c>
      <c r="AH891" s="9" t="s">
        <v>429</v>
      </c>
      <c r="AI891" s="9" t="s">
        <v>653</v>
      </c>
      <c r="AJ891" s="9" t="s">
        <v>431</v>
      </c>
      <c r="AK891" s="9" t="s">
        <v>432</v>
      </c>
      <c r="AM891" s="8">
        <v>3</v>
      </c>
      <c r="BP891" s="7">
        <v>255</v>
      </c>
      <c r="BR891" s="7">
        <v>3.3</v>
      </c>
      <c r="DZ891" s="31"/>
      <c r="EH891" s="10">
        <f>BP891*BR891/100</f>
        <v>8.4149999999999991</v>
      </c>
      <c r="EY891" s="6"/>
      <c r="FA891" s="6"/>
      <c r="GP891" s="32"/>
      <c r="GY891" s="6" t="s">
        <v>435</v>
      </c>
      <c r="GZ891" s="6" t="s">
        <v>994</v>
      </c>
      <c r="HC891" s="6" t="s">
        <v>5692</v>
      </c>
      <c r="HD891" s="4" t="s">
        <v>4067</v>
      </c>
      <c r="HE891" s="8">
        <v>19007</v>
      </c>
      <c r="HF891" s="4" t="s">
        <v>4068</v>
      </c>
      <c r="HG891" s="4" t="s">
        <v>490</v>
      </c>
      <c r="HH891" s="9" t="s">
        <v>5693</v>
      </c>
      <c r="HI891" s="8">
        <v>17143</v>
      </c>
      <c r="HJ891" s="9" t="s">
        <v>5694</v>
      </c>
      <c r="HK891" s="9" t="s">
        <v>490</v>
      </c>
      <c r="HL891" s="9" t="s">
        <v>5695</v>
      </c>
      <c r="HM891" s="8">
        <v>13930</v>
      </c>
      <c r="HN891" s="9" t="s">
        <v>5696</v>
      </c>
      <c r="HO891" s="9" t="s">
        <v>538</v>
      </c>
      <c r="HY891" s="9"/>
      <c r="IB891" s="4" t="s">
        <v>5697</v>
      </c>
      <c r="IC891" s="8">
        <v>17589</v>
      </c>
      <c r="ID891" s="4" t="s">
        <v>5698</v>
      </c>
      <c r="IE891" s="4" t="s">
        <v>490</v>
      </c>
      <c r="IF891" s="4" t="s">
        <v>445</v>
      </c>
      <c r="IG891" s="4" t="s">
        <v>4067</v>
      </c>
      <c r="IH891" s="4">
        <v>19007</v>
      </c>
      <c r="II891" s="4" t="s">
        <v>5699</v>
      </c>
      <c r="IJ891" s="4" t="s">
        <v>538</v>
      </c>
      <c r="IK891" s="4" t="s">
        <v>445</v>
      </c>
      <c r="IR891" s="9"/>
      <c r="JV891" s="7" t="s">
        <v>5700</v>
      </c>
      <c r="JX891" s="7" t="s">
        <v>320</v>
      </c>
      <c r="JY891" s="7" t="s">
        <v>354</v>
      </c>
      <c r="JZ891" s="7" t="s">
        <v>322</v>
      </c>
      <c r="KG891" s="4" t="s">
        <v>323</v>
      </c>
      <c r="KM891" s="4" t="s">
        <v>391</v>
      </c>
      <c r="KN891" s="4" t="s">
        <v>391</v>
      </c>
      <c r="KP891" s="5" t="s">
        <v>358</v>
      </c>
      <c r="KQ891" s="5" t="s">
        <v>5701</v>
      </c>
      <c r="KS891" s="5" t="s">
        <v>5702</v>
      </c>
      <c r="KT891" s="5" t="s">
        <v>5703</v>
      </c>
    </row>
    <row r="892" spans="1:306" ht="108" x14ac:dyDescent="0.25">
      <c r="A892" s="5" t="s">
        <v>1511</v>
      </c>
      <c r="B892" s="4" t="s">
        <v>376</v>
      </c>
      <c r="C892" s="7" t="s">
        <v>992</v>
      </c>
      <c r="D892" s="8" t="s">
        <v>993</v>
      </c>
      <c r="E892" s="4">
        <v>333302</v>
      </c>
      <c r="G892" s="4" t="s">
        <v>593</v>
      </c>
      <c r="H892" s="6">
        <v>138.6757791899</v>
      </c>
      <c r="I892" s="6">
        <v>-31.086060546999999</v>
      </c>
      <c r="J892" s="4" t="s">
        <v>1511</v>
      </c>
      <c r="K892" s="4" t="s">
        <v>595</v>
      </c>
      <c r="L892" s="4" t="s">
        <v>689</v>
      </c>
      <c r="Z892" s="4" t="s">
        <v>376</v>
      </c>
      <c r="AA892" s="7" t="s">
        <v>992</v>
      </c>
      <c r="AB892" s="8" t="s">
        <v>993</v>
      </c>
      <c r="AC892" s="4" t="s">
        <v>301</v>
      </c>
      <c r="AD892" s="4" t="s">
        <v>382</v>
      </c>
      <c r="AN892" s="4" t="s">
        <v>381</v>
      </c>
      <c r="AO892" s="4" t="s">
        <v>382</v>
      </c>
      <c r="AP892" s="4" t="s">
        <v>383</v>
      </c>
      <c r="AQ892" s="7" t="s">
        <v>384</v>
      </c>
      <c r="AR892" s="8" t="s">
        <v>827</v>
      </c>
      <c r="AS892" s="7">
        <v>0</v>
      </c>
      <c r="AT892" s="7">
        <v>0</v>
      </c>
      <c r="AU892" s="9" t="s">
        <v>303</v>
      </c>
      <c r="AV892" s="9" t="s">
        <v>406</v>
      </c>
      <c r="BA892" s="8">
        <v>5</v>
      </c>
      <c r="BP892" s="7">
        <v>0.20699999999999999</v>
      </c>
      <c r="BR892" s="6">
        <v>4.8</v>
      </c>
      <c r="DZ892" s="31"/>
      <c r="EB892" s="10"/>
      <c r="EH892" s="10">
        <f>BP892*BR892/100</f>
        <v>9.9359999999999987E-3</v>
      </c>
      <c r="EK892" s="6"/>
      <c r="GP892" s="32"/>
      <c r="GY892" s="6" t="s">
        <v>338</v>
      </c>
      <c r="GZ892" s="6" t="s">
        <v>994</v>
      </c>
      <c r="HC892" s="6" t="s">
        <v>929</v>
      </c>
      <c r="HD892" s="8" t="s">
        <v>1512</v>
      </c>
      <c r="HE892" s="8">
        <v>24469</v>
      </c>
      <c r="HF892" s="8" t="s">
        <v>1513</v>
      </c>
      <c r="HG892" s="9" t="s">
        <v>876</v>
      </c>
      <c r="JV892" s="7" t="s">
        <v>1514</v>
      </c>
      <c r="JX892" s="7" t="s">
        <v>320</v>
      </c>
      <c r="KG892" s="4" t="s">
        <v>356</v>
      </c>
      <c r="KH892" s="4" t="s">
        <v>1317</v>
      </c>
      <c r="KP892" s="5" t="s">
        <v>358</v>
      </c>
      <c r="KQ892" s="5" t="s">
        <v>1515</v>
      </c>
      <c r="KS892" s="5" t="s">
        <v>1516</v>
      </c>
      <c r="KT892" s="5" t="s">
        <v>1517</v>
      </c>
    </row>
    <row r="893" spans="1:306" ht="96" x14ac:dyDescent="0.25">
      <c r="A893" s="5" t="s">
        <v>1970</v>
      </c>
      <c r="B893" s="4" t="s">
        <v>376</v>
      </c>
      <c r="C893" s="7" t="s">
        <v>992</v>
      </c>
      <c r="D893" s="8" t="s">
        <v>993</v>
      </c>
      <c r="E893" s="4">
        <v>335308</v>
      </c>
      <c r="G893" s="4" t="s">
        <v>479</v>
      </c>
      <c r="H893" s="6">
        <f>139+21/60+23.1/3600</f>
        <v>139.35641666666666</v>
      </c>
      <c r="I893" s="6">
        <f>-(19+41/60+57.11/3600)</f>
        <v>-19.699197222222221</v>
      </c>
      <c r="J893" s="4" t="s">
        <v>1971</v>
      </c>
      <c r="K893" s="4" t="s">
        <v>481</v>
      </c>
      <c r="L893" s="4" t="s">
        <v>651</v>
      </c>
      <c r="M893" s="4" t="s">
        <v>1972</v>
      </c>
      <c r="Q893" s="4"/>
      <c r="R893" s="4"/>
      <c r="S893" s="4"/>
      <c r="T893" s="4"/>
      <c r="U893" s="4"/>
      <c r="V893" s="4"/>
      <c r="W893" s="4"/>
      <c r="X893" s="4"/>
      <c r="Z893" s="4" t="s">
        <v>376</v>
      </c>
      <c r="AA893" s="7" t="s">
        <v>992</v>
      </c>
      <c r="AB893" s="8" t="s">
        <v>993</v>
      </c>
      <c r="AC893" s="4" t="s">
        <v>301</v>
      </c>
      <c r="AD893" s="4" t="s">
        <v>382</v>
      </c>
      <c r="AE893" s="4">
        <v>1523</v>
      </c>
      <c r="AF893" s="4"/>
      <c r="AG893" s="4" t="s">
        <v>379</v>
      </c>
      <c r="AH893" s="4" t="s">
        <v>380</v>
      </c>
      <c r="AI893" s="4"/>
      <c r="AJ893" s="4"/>
      <c r="AK893" s="4"/>
      <c r="AL893" s="4"/>
      <c r="AM893" s="8">
        <v>2</v>
      </c>
      <c r="AN893" s="4" t="s">
        <v>381</v>
      </c>
      <c r="AO893" s="4" t="s">
        <v>382</v>
      </c>
      <c r="AP893" s="4" t="s">
        <v>383</v>
      </c>
      <c r="AQ893" s="7" t="s">
        <v>384</v>
      </c>
      <c r="AR893" s="8" t="s">
        <v>827</v>
      </c>
      <c r="AS893" s="7">
        <v>0</v>
      </c>
      <c r="AT893" s="7">
        <v>0</v>
      </c>
      <c r="AU893" s="9" t="s">
        <v>303</v>
      </c>
      <c r="AV893" s="9" t="s">
        <v>406</v>
      </c>
      <c r="BA893" s="8">
        <v>5</v>
      </c>
      <c r="BP893" s="7">
        <v>94.55</v>
      </c>
      <c r="BQ893" s="4"/>
      <c r="BR893" s="6">
        <v>3.18</v>
      </c>
      <c r="BS893" s="4"/>
      <c r="BT893" s="4"/>
      <c r="BU893" s="7">
        <v>7.92</v>
      </c>
      <c r="BV893" s="4"/>
      <c r="BW893" s="4"/>
      <c r="BX893" s="4"/>
      <c r="BY893" s="4"/>
      <c r="BZ893" s="4"/>
      <c r="CA893" s="4"/>
      <c r="CB893" s="4"/>
      <c r="CC893" s="4"/>
      <c r="CD893" s="4"/>
      <c r="CE893" s="4"/>
      <c r="CF893" s="4"/>
      <c r="CG893" s="4"/>
      <c r="CH893" s="4"/>
      <c r="CI893" s="4"/>
      <c r="CJ893" s="4"/>
      <c r="CK893" s="4">
        <v>0.04</v>
      </c>
      <c r="CL893" s="4"/>
      <c r="CM893" s="4"/>
      <c r="CN893" s="4">
        <v>0.13500000000000001</v>
      </c>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31"/>
      <c r="EA893" s="4"/>
      <c r="EB893" s="4"/>
      <c r="EC893" s="4"/>
      <c r="ED893" s="4"/>
      <c r="EE893" s="4"/>
      <c r="EF893" s="4"/>
      <c r="EG893" s="4"/>
      <c r="EH893" s="6">
        <v>3.01</v>
      </c>
      <c r="EK893" s="10">
        <f>BP893*BU893/1000</f>
        <v>0.74883600000000006</v>
      </c>
      <c r="EM893" s="4"/>
      <c r="EN893" s="4"/>
      <c r="EO893" s="4"/>
      <c r="EP893" s="4"/>
      <c r="EQ893" s="4"/>
      <c r="ER893" s="4"/>
      <c r="ES893" s="4"/>
      <c r="ET893" s="4"/>
      <c r="EU893" s="4"/>
      <c r="EV893" s="4"/>
      <c r="EW893" s="4"/>
      <c r="EX893" s="4"/>
      <c r="EY893" s="4"/>
      <c r="EZ893" s="4">
        <v>22</v>
      </c>
      <c r="FA893" s="4"/>
      <c r="FB893" s="4"/>
      <c r="FC893" s="4">
        <v>111</v>
      </c>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32"/>
      <c r="GQ893" s="4"/>
      <c r="GR893" s="4"/>
      <c r="GS893" s="4"/>
      <c r="GT893" s="4"/>
      <c r="GU893" s="4"/>
      <c r="GV893" s="4"/>
      <c r="GW893" s="4"/>
      <c r="GX893" s="4"/>
      <c r="GY893" s="4" t="s">
        <v>338</v>
      </c>
      <c r="GZ893" s="4" t="s">
        <v>994</v>
      </c>
      <c r="HA893" s="4"/>
      <c r="HB893" s="4" t="s">
        <v>1973</v>
      </c>
      <c r="HC893" s="4"/>
      <c r="HD893" s="4" t="s">
        <v>1974</v>
      </c>
      <c r="HE893" s="8">
        <v>19939</v>
      </c>
      <c r="HF893" s="8" t="s">
        <v>1975</v>
      </c>
      <c r="HG893" s="4" t="s">
        <v>490</v>
      </c>
      <c r="HH893" s="4" t="s">
        <v>1976</v>
      </c>
      <c r="HI893" s="4">
        <v>6282</v>
      </c>
      <c r="HJ893" s="4" t="s">
        <v>1977</v>
      </c>
      <c r="HK893" s="4" t="s">
        <v>490</v>
      </c>
      <c r="HL893" s="4" t="s">
        <v>1978</v>
      </c>
      <c r="HM893" s="8">
        <v>14857</v>
      </c>
      <c r="HN893" s="4" t="s">
        <v>1979</v>
      </c>
      <c r="HO893" s="4" t="s">
        <v>490</v>
      </c>
      <c r="HP893" s="4"/>
      <c r="HR893" s="4"/>
      <c r="HS893" s="4"/>
      <c r="HT893" s="4"/>
      <c r="HU893" s="4"/>
      <c r="HV893" s="4"/>
      <c r="HW893" s="4"/>
      <c r="HX893" s="4"/>
      <c r="HY893" s="4"/>
      <c r="HZ893" s="4"/>
      <c r="IA893" s="4"/>
      <c r="IB893" s="4"/>
      <c r="ID893" s="4"/>
      <c r="IE893" s="4"/>
      <c r="IF893" s="4"/>
      <c r="IG893" s="4"/>
      <c r="IH893" s="4"/>
      <c r="II893" s="4"/>
      <c r="IJ893" s="4"/>
      <c r="IK893" s="4"/>
      <c r="IL893" s="4"/>
      <c r="IN893" s="4"/>
      <c r="IO893" s="4"/>
      <c r="IP893" s="4"/>
      <c r="IQ893" s="4"/>
      <c r="IR893" s="4"/>
      <c r="IS893" s="4"/>
      <c r="IT893" s="4"/>
      <c r="IU893" s="4"/>
      <c r="IV893" s="4"/>
      <c r="IW893" s="4"/>
      <c r="IX893" s="4"/>
      <c r="IY893" s="4"/>
      <c r="IZ893" s="4"/>
      <c r="JA893" s="4"/>
      <c r="JB893" s="4"/>
      <c r="JC893" s="4"/>
      <c r="JD893" s="4"/>
      <c r="JE893" s="4"/>
      <c r="JF893" s="4"/>
      <c r="JG893" s="4"/>
      <c r="JH893" s="4"/>
      <c r="JI893" s="4"/>
      <c r="JJ893" s="4"/>
      <c r="JK893" s="4"/>
      <c r="JL893" s="4"/>
      <c r="JM893" s="4"/>
      <c r="JN893" s="4"/>
      <c r="JO893" s="4"/>
      <c r="JP893" s="4"/>
      <c r="JQ893" s="4"/>
      <c r="JR893" s="4"/>
      <c r="JS893" s="4"/>
      <c r="JT893" s="4"/>
      <c r="JU893" s="4"/>
      <c r="JV893" s="4" t="s">
        <v>1980</v>
      </c>
      <c r="JW893" s="4"/>
      <c r="JX893" s="4" t="s">
        <v>320</v>
      </c>
      <c r="JY893" s="4"/>
      <c r="JZ893" s="4"/>
      <c r="KA893" s="4"/>
      <c r="KB893" s="4"/>
      <c r="KC893" s="4"/>
      <c r="KD893" s="4"/>
      <c r="KE893" s="4"/>
      <c r="KF893" s="4"/>
      <c r="KG893" s="4" t="s">
        <v>323</v>
      </c>
      <c r="KM893" s="4" t="s">
        <v>836</v>
      </c>
      <c r="KN893" s="4" t="s">
        <v>836</v>
      </c>
      <c r="KP893" s="5" t="s">
        <v>358</v>
      </c>
      <c r="KQ893" s="5" t="s">
        <v>1981</v>
      </c>
      <c r="KR893" s="5" t="s">
        <v>1982</v>
      </c>
      <c r="KS893" s="5" t="s">
        <v>1983</v>
      </c>
      <c r="KT893" s="5" t="s">
        <v>1984</v>
      </c>
    </row>
    <row r="894" spans="1:306" ht="72" x14ac:dyDescent="0.25">
      <c r="A894" s="5" t="s">
        <v>3720</v>
      </c>
      <c r="B894" s="4" t="s">
        <v>376</v>
      </c>
      <c r="C894" s="7" t="s">
        <v>992</v>
      </c>
      <c r="D894" s="8" t="s">
        <v>993</v>
      </c>
      <c r="E894" s="4">
        <v>334000</v>
      </c>
      <c r="G894" s="4" t="s">
        <v>479</v>
      </c>
      <c r="H894" s="6">
        <v>140.531408</v>
      </c>
      <c r="I894" s="6">
        <v>-21.026536</v>
      </c>
      <c r="J894" s="4" t="s">
        <v>3720</v>
      </c>
      <c r="K894" s="4" t="s">
        <v>481</v>
      </c>
      <c r="L894" s="4" t="s">
        <v>651</v>
      </c>
      <c r="M894" s="4" t="s">
        <v>1950</v>
      </c>
      <c r="Q894" s="4"/>
      <c r="R894" s="4"/>
      <c r="S894" s="4"/>
      <c r="T894" s="4"/>
      <c r="U894" s="4"/>
      <c r="V894" s="4"/>
      <c r="W894" s="4"/>
      <c r="X894" s="4"/>
      <c r="Z894" s="4" t="s">
        <v>376</v>
      </c>
      <c r="AA894" s="7" t="s">
        <v>992</v>
      </c>
      <c r="AB894" s="8" t="s">
        <v>993</v>
      </c>
      <c r="AC894" s="4" t="s">
        <v>301</v>
      </c>
      <c r="AD894" s="4" t="s">
        <v>382</v>
      </c>
      <c r="AE894" s="4">
        <v>1545</v>
      </c>
      <c r="AF894" s="4"/>
      <c r="AG894" s="4" t="s">
        <v>379</v>
      </c>
      <c r="AH894" s="4" t="s">
        <v>460</v>
      </c>
      <c r="AI894" s="4"/>
      <c r="AJ894" s="4"/>
      <c r="AK894" s="4"/>
      <c r="AL894" s="4"/>
      <c r="AM894" s="8">
        <v>2</v>
      </c>
      <c r="AN894" s="4" t="s">
        <v>381</v>
      </c>
      <c r="AO894" s="4" t="s">
        <v>382</v>
      </c>
      <c r="AP894" s="4" t="s">
        <v>383</v>
      </c>
      <c r="AQ894" s="7" t="s">
        <v>384</v>
      </c>
      <c r="AR894" s="8" t="s">
        <v>827</v>
      </c>
      <c r="AS894" s="7">
        <v>0</v>
      </c>
      <c r="AT894" s="7">
        <v>0</v>
      </c>
      <c r="AU894" s="9" t="s">
        <v>303</v>
      </c>
      <c r="AV894" s="9" t="s">
        <v>406</v>
      </c>
      <c r="BA894" s="8">
        <v>5</v>
      </c>
      <c r="BG894" s="7"/>
      <c r="BH894" s="7"/>
      <c r="BP894" s="7">
        <f>1.2+7.7+3.8</f>
        <v>12.7</v>
      </c>
      <c r="BQ894" s="4"/>
      <c r="BR894" s="6">
        <f>((1.3*1.2)+(0.8*7.7)+(0.6*3.8))/BP894</f>
        <v>0.78740157480314965</v>
      </c>
      <c r="BS894" s="4"/>
      <c r="BT894" s="4"/>
      <c r="BU894" s="4"/>
      <c r="BV894" s="6">
        <f>((0.5*1.2)+(0.3*7.7)+(0.2*3.8))/BP894</f>
        <v>0.28897637795275594</v>
      </c>
      <c r="BW894" s="4"/>
      <c r="BX894" s="4"/>
      <c r="BY894" s="4"/>
      <c r="BZ894" s="4"/>
      <c r="CA894" s="4"/>
      <c r="CB894" s="4"/>
      <c r="CC894" s="4"/>
      <c r="CD894" s="4"/>
      <c r="CE894" s="4"/>
      <c r="CF894" s="4"/>
      <c r="CG894" s="4"/>
      <c r="CH894" s="4"/>
      <c r="CI894" s="4"/>
      <c r="CJ894" s="4"/>
      <c r="CK894" s="6">
        <f>((0.07*1.2)+(0.06*7.7)+(0.04*3.8))/BP894</f>
        <v>5.4960629921259843E-2</v>
      </c>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31"/>
      <c r="EA894" s="4"/>
      <c r="EB894" s="4"/>
      <c r="EC894" s="4"/>
      <c r="ED894" s="4"/>
      <c r="EE894" s="4"/>
      <c r="EF894" s="4"/>
      <c r="EG894" s="4"/>
      <c r="EH894" s="10">
        <f>BP894*BR894/100</f>
        <v>0.1</v>
      </c>
      <c r="EM894" s="4"/>
      <c r="EN894" s="4"/>
      <c r="EO894" s="4"/>
      <c r="EP894" s="4"/>
      <c r="EQ894" s="4"/>
      <c r="ER894" s="4"/>
      <c r="ES894" s="4"/>
      <c r="ET894" s="4"/>
      <c r="EU894" s="4"/>
      <c r="EV894" s="4"/>
      <c r="EW894" s="4"/>
      <c r="EX894" s="4"/>
      <c r="EY894" s="4"/>
      <c r="EZ894" s="4">
        <f>1000*BP894*CK894/100</f>
        <v>6.98</v>
      </c>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32"/>
      <c r="GQ894" s="4"/>
      <c r="GR894" s="4"/>
      <c r="GS894" s="4"/>
      <c r="GT894" s="4"/>
      <c r="GU894" s="4"/>
      <c r="GV894" s="4"/>
      <c r="GW894" s="4"/>
      <c r="GX894" s="4"/>
      <c r="GY894" s="4" t="s">
        <v>338</v>
      </c>
      <c r="GZ894" s="4" t="s">
        <v>1187</v>
      </c>
      <c r="HA894" s="4"/>
      <c r="HB894" s="25" t="s">
        <v>436</v>
      </c>
      <c r="HC894" s="4" t="s">
        <v>462</v>
      </c>
      <c r="HD894" s="4" t="s">
        <v>3721</v>
      </c>
      <c r="HE894" s="8">
        <v>28185</v>
      </c>
      <c r="HF894" s="4" t="s">
        <v>3722</v>
      </c>
      <c r="HG894" s="4" t="s">
        <v>490</v>
      </c>
      <c r="HH894" s="4"/>
      <c r="HI894" s="4"/>
      <c r="HJ894" s="4"/>
      <c r="HK894" s="4"/>
      <c r="HL894" s="4"/>
      <c r="HN894" s="4"/>
      <c r="HO894" s="4"/>
      <c r="HP894" s="4"/>
      <c r="HR894" s="4"/>
      <c r="HS894" s="4"/>
      <c r="HT894" s="4"/>
      <c r="HU894" s="4"/>
      <c r="HV894" s="4"/>
      <c r="HW894" s="4"/>
      <c r="HX894" s="4"/>
      <c r="HY894" s="4"/>
      <c r="HZ894" s="4"/>
      <c r="IA894" s="4"/>
      <c r="IB894" s="4"/>
      <c r="ID894" s="4"/>
      <c r="IE894" s="4"/>
      <c r="IF894" s="4"/>
      <c r="IG894" s="4"/>
      <c r="IH894" s="4"/>
      <c r="II894" s="4"/>
      <c r="IJ894" s="4"/>
      <c r="IK894" s="4"/>
      <c r="IL894" s="4"/>
      <c r="IN894" s="4"/>
      <c r="IO894" s="4"/>
      <c r="IP894" s="4"/>
      <c r="IQ894" s="4"/>
      <c r="IR894" s="4"/>
      <c r="IS894" s="4"/>
      <c r="IT894" s="4"/>
      <c r="IU894" s="4"/>
      <c r="IV894" s="4"/>
      <c r="IW894" s="4"/>
      <c r="IX894" s="4"/>
      <c r="IY894" s="4"/>
      <c r="IZ894" s="4"/>
      <c r="JA894" s="4"/>
      <c r="JB894" s="4"/>
      <c r="JC894" s="4"/>
      <c r="JD894" s="4"/>
      <c r="JE894" s="4"/>
      <c r="JF894" s="4"/>
      <c r="JG894" s="4"/>
      <c r="JH894" s="4"/>
      <c r="JI894" s="4"/>
      <c r="JJ894" s="4"/>
      <c r="JK894" s="4"/>
      <c r="JL894" s="4"/>
      <c r="JM894" s="4"/>
      <c r="JN894" s="4"/>
      <c r="JO894" s="4"/>
      <c r="JP894" s="4"/>
      <c r="JQ894" s="4"/>
      <c r="JR894" s="4"/>
      <c r="JS894" s="4"/>
      <c r="JT894" s="4"/>
      <c r="JU894" s="4"/>
      <c r="JV894" s="4" t="s">
        <v>3723</v>
      </c>
      <c r="JW894" s="4"/>
      <c r="JX894" s="4" t="s">
        <v>320</v>
      </c>
      <c r="JY894" s="4" t="s">
        <v>448</v>
      </c>
      <c r="JZ894" s="4" t="s">
        <v>322</v>
      </c>
      <c r="KA894" s="4"/>
      <c r="KB894" s="4"/>
      <c r="KC894" s="4"/>
      <c r="KD894" s="4"/>
      <c r="KE894" s="4"/>
      <c r="KF894" s="4"/>
      <c r="KG894" s="4" t="s">
        <v>323</v>
      </c>
      <c r="KM894" s="4" t="s">
        <v>702</v>
      </c>
      <c r="KN894" s="4" t="s">
        <v>702</v>
      </c>
      <c r="KP894" s="5" t="s">
        <v>358</v>
      </c>
      <c r="KQ894" s="5" t="s">
        <v>3724</v>
      </c>
      <c r="KR894" s="5" t="s">
        <v>3724</v>
      </c>
      <c r="KS894" s="5" t="s">
        <v>3725</v>
      </c>
      <c r="KT894" s="5" t="s">
        <v>3726</v>
      </c>
    </row>
    <row r="895" spans="1:306" ht="84" x14ac:dyDescent="0.25">
      <c r="A895" s="5" t="s">
        <v>4273</v>
      </c>
      <c r="B895" s="4" t="s">
        <v>376</v>
      </c>
      <c r="C895" s="7" t="s">
        <v>992</v>
      </c>
      <c r="D895" s="8" t="s">
        <v>993</v>
      </c>
      <c r="E895" s="4">
        <v>600142</v>
      </c>
      <c r="G895" s="4" t="s">
        <v>530</v>
      </c>
      <c r="H895" s="6">
        <v>136.25</v>
      </c>
      <c r="I895" s="6">
        <v>-22.672794117647058</v>
      </c>
      <c r="J895" s="4" t="s">
        <v>4274</v>
      </c>
      <c r="K895" s="4" t="s">
        <v>481</v>
      </c>
      <c r="L895" s="4" t="s">
        <v>1498</v>
      </c>
      <c r="Q895" s="8"/>
      <c r="R895" s="8"/>
      <c r="S895" s="4"/>
      <c r="T895" s="4"/>
      <c r="U895" s="4"/>
      <c r="V895" s="4"/>
      <c r="W895" s="4"/>
      <c r="X895" s="4"/>
      <c r="Z895" s="4" t="s">
        <v>376</v>
      </c>
      <c r="AA895" s="7" t="s">
        <v>992</v>
      </c>
      <c r="AB895" s="8" t="s">
        <v>993</v>
      </c>
      <c r="AC895" s="4" t="s">
        <v>301</v>
      </c>
      <c r="AD895" s="4" t="s">
        <v>375</v>
      </c>
      <c r="AE895" s="8">
        <v>1760</v>
      </c>
      <c r="AF895" s="8"/>
      <c r="AG895" s="4" t="s">
        <v>303</v>
      </c>
      <c r="AH895" s="4" t="s">
        <v>304</v>
      </c>
      <c r="AI895" s="4" t="s">
        <v>598</v>
      </c>
      <c r="AJ895" s="4" t="s">
        <v>599</v>
      </c>
      <c r="AK895" s="4" t="s">
        <v>600</v>
      </c>
      <c r="AL895" s="4"/>
      <c r="AM895" s="8">
        <v>4</v>
      </c>
      <c r="AN895" s="4" t="s">
        <v>381</v>
      </c>
      <c r="AO895" s="4" t="s">
        <v>402</v>
      </c>
      <c r="AP895" s="4" t="s">
        <v>383</v>
      </c>
      <c r="AQ895" s="7" t="s">
        <v>384</v>
      </c>
      <c r="AR895" s="7" t="s">
        <v>827</v>
      </c>
      <c r="AS895" s="7">
        <v>0</v>
      </c>
      <c r="AT895" s="7">
        <v>0</v>
      </c>
      <c r="AU895" s="9" t="s">
        <v>303</v>
      </c>
      <c r="AV895" s="9" t="s">
        <v>406</v>
      </c>
      <c r="BA895" s="8">
        <v>5</v>
      </c>
      <c r="BD895" s="7"/>
      <c r="BF895" s="7"/>
      <c r="BG895" s="7"/>
      <c r="BH895" s="7"/>
      <c r="BP895" s="7">
        <v>23.8</v>
      </c>
      <c r="BQ895" s="7"/>
      <c r="BR895" s="6">
        <v>2.02</v>
      </c>
      <c r="BU895" s="7">
        <v>25.3</v>
      </c>
      <c r="BV895" s="4">
        <v>0.25</v>
      </c>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31"/>
      <c r="EA895" s="4"/>
      <c r="EB895" s="4"/>
      <c r="EC895" s="4"/>
      <c r="ED895" s="4"/>
      <c r="EE895" s="4"/>
      <c r="EF895" s="4"/>
      <c r="EG895" s="4"/>
      <c r="EH895" s="10">
        <f>BP895*BR895/100</f>
        <v>0.48076000000000002</v>
      </c>
      <c r="EK895" s="6">
        <f>BP895*BU895/1000</f>
        <v>0.60214000000000001</v>
      </c>
      <c r="EL895" s="6">
        <f>BP895*BV895</f>
        <v>5.95</v>
      </c>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32"/>
      <c r="GQ895" s="4"/>
      <c r="GR895" s="4"/>
      <c r="GS895" s="4"/>
      <c r="GT895" s="4"/>
      <c r="GU895" s="4"/>
      <c r="GV895" s="4"/>
      <c r="GW895" s="4"/>
      <c r="GX895" s="4"/>
      <c r="GY895" s="4" t="s">
        <v>338</v>
      </c>
      <c r="GZ895" s="4" t="s">
        <v>994</v>
      </c>
      <c r="HA895" s="4"/>
      <c r="HB895" s="4" t="s">
        <v>2504</v>
      </c>
      <c r="HC895" s="4" t="s">
        <v>929</v>
      </c>
      <c r="HD895" s="4" t="s">
        <v>4275</v>
      </c>
      <c r="HE895" s="4">
        <v>28387</v>
      </c>
      <c r="HF895" s="4" t="s">
        <v>4276</v>
      </c>
      <c r="HG895" s="4" t="s">
        <v>538</v>
      </c>
      <c r="HH895" s="4"/>
      <c r="HJ895" s="4"/>
      <c r="HK895" s="4"/>
      <c r="HL895" s="4"/>
      <c r="HN895" s="4"/>
      <c r="HO895" s="4"/>
      <c r="HP895" s="4"/>
      <c r="HR895" s="4"/>
      <c r="HS895" s="4"/>
      <c r="HT895" s="4"/>
      <c r="HU895" s="4"/>
      <c r="HV895" s="4"/>
      <c r="HW895" s="4"/>
      <c r="HX895" s="4"/>
      <c r="HY895" s="4"/>
      <c r="HZ895" s="4"/>
      <c r="IA895" s="4"/>
      <c r="IB895" s="4" t="s">
        <v>4277</v>
      </c>
      <c r="IC895" s="8">
        <v>23345</v>
      </c>
      <c r="ID895" s="4" t="s">
        <v>4278</v>
      </c>
      <c r="IE895" s="4" t="s">
        <v>538</v>
      </c>
      <c r="IF895" s="4" t="s">
        <v>329</v>
      </c>
      <c r="IG895" s="4" t="s">
        <v>4279</v>
      </c>
      <c r="IH895" s="4">
        <v>80334</v>
      </c>
      <c r="II895" s="4" t="s">
        <v>4280</v>
      </c>
      <c r="IJ895" s="4" t="s">
        <v>538</v>
      </c>
      <c r="IK895" s="4" t="s">
        <v>329</v>
      </c>
      <c r="IL895" s="4" t="s">
        <v>4281</v>
      </c>
      <c r="IM895" s="8">
        <v>80345</v>
      </c>
      <c r="IN895" s="4" t="s">
        <v>4282</v>
      </c>
      <c r="IO895" s="4" t="s">
        <v>538</v>
      </c>
      <c r="IP895" s="4" t="s">
        <v>329</v>
      </c>
      <c r="IQ895" s="4"/>
      <c r="IS895" s="4" t="s">
        <v>4283</v>
      </c>
      <c r="IT895" s="4" t="s">
        <v>538</v>
      </c>
      <c r="IU895" s="4" t="s">
        <v>329</v>
      </c>
      <c r="IV895" s="4"/>
      <c r="IW895" s="8"/>
      <c r="IX895" s="4"/>
      <c r="IY895" s="4"/>
      <c r="IZ895" s="4"/>
      <c r="JA895" s="4"/>
      <c r="JB895" s="8"/>
      <c r="JC895" s="4"/>
      <c r="JD895" s="4"/>
      <c r="JE895" s="4"/>
      <c r="JF895" s="4"/>
      <c r="JG895" s="4"/>
      <c r="JH895" s="4"/>
      <c r="JI895" s="4"/>
      <c r="JJ895" s="4"/>
      <c r="JK895" s="4"/>
      <c r="JL895" s="4"/>
      <c r="JM895" s="4"/>
      <c r="JN895" s="4"/>
      <c r="JO895" s="4"/>
      <c r="JP895" s="4"/>
      <c r="JQ895" s="4"/>
      <c r="JR895" s="4"/>
      <c r="JS895" s="4"/>
      <c r="JT895" s="4"/>
      <c r="JU895" s="4"/>
      <c r="JV895" s="4" t="s">
        <v>4284</v>
      </c>
      <c r="JW895" s="4" t="s">
        <v>783</v>
      </c>
      <c r="JX895" s="4" t="s">
        <v>353</v>
      </c>
      <c r="JY895" s="4" t="s">
        <v>448</v>
      </c>
      <c r="JZ895" s="4" t="s">
        <v>320</v>
      </c>
      <c r="KA895" s="4"/>
      <c r="KB895" s="4"/>
      <c r="KC895" s="4"/>
      <c r="KD895" s="4"/>
      <c r="KE895" s="4"/>
      <c r="KF895" s="4"/>
      <c r="KG895" s="4" t="s">
        <v>323</v>
      </c>
      <c r="KM895" s="4" t="s">
        <v>702</v>
      </c>
      <c r="KN895" s="4" t="s">
        <v>702</v>
      </c>
      <c r="KP895" s="5" t="s">
        <v>358</v>
      </c>
      <c r="KQ895" s="5" t="s">
        <v>4285</v>
      </c>
      <c r="KR895" s="5" t="s">
        <v>4286</v>
      </c>
      <c r="KS895" s="5" t="s">
        <v>4287</v>
      </c>
      <c r="KT895" s="5" t="s">
        <v>4288</v>
      </c>
    </row>
    <row r="896" spans="1:306" ht="48" x14ac:dyDescent="0.25">
      <c r="A896" s="5" t="s">
        <v>4705</v>
      </c>
      <c r="B896" s="4" t="s">
        <v>376</v>
      </c>
      <c r="C896" s="7" t="s">
        <v>992</v>
      </c>
      <c r="D896" s="9" t="s">
        <v>993</v>
      </c>
      <c r="E896" s="4">
        <v>558218</v>
      </c>
      <c r="G896" s="4" t="s">
        <v>479</v>
      </c>
      <c r="H896" s="6">
        <f>140+33/60+2/3600</f>
        <v>140.55055555555558</v>
      </c>
      <c r="I896" s="6">
        <f>-(22+5/360+52/3600)</f>
        <v>-22.028333333333332</v>
      </c>
      <c r="J896" s="4" t="s">
        <v>4706</v>
      </c>
      <c r="K896" s="4" t="s">
        <v>481</v>
      </c>
      <c r="L896" s="4" t="s">
        <v>651</v>
      </c>
      <c r="M896" s="4" t="s">
        <v>1950</v>
      </c>
      <c r="O896" s="9"/>
      <c r="Q896" s="8"/>
      <c r="R896" s="8"/>
      <c r="S896" s="4"/>
      <c r="Z896" s="4" t="s">
        <v>376</v>
      </c>
      <c r="AA896" s="7" t="s">
        <v>992</v>
      </c>
      <c r="AB896" s="9" t="s">
        <v>993</v>
      </c>
      <c r="AC896" s="4" t="s">
        <v>301</v>
      </c>
      <c r="AD896" s="4" t="s">
        <v>375</v>
      </c>
      <c r="AE896" s="8">
        <v>1595</v>
      </c>
      <c r="AF896" s="8"/>
      <c r="AG896" s="4" t="s">
        <v>379</v>
      </c>
      <c r="AH896" s="9" t="s">
        <v>1156</v>
      </c>
      <c r="AM896" s="8">
        <v>3</v>
      </c>
      <c r="AN896" s="4" t="s">
        <v>381</v>
      </c>
      <c r="AO896" s="4" t="s">
        <v>402</v>
      </c>
      <c r="AP896" s="4" t="s">
        <v>383</v>
      </c>
      <c r="AQ896" s="7" t="s">
        <v>384</v>
      </c>
      <c r="AR896" s="8" t="s">
        <v>827</v>
      </c>
      <c r="AS896" s="7">
        <v>0</v>
      </c>
      <c r="AT896" s="7">
        <v>0</v>
      </c>
      <c r="AU896" s="9" t="s">
        <v>303</v>
      </c>
      <c r="AV896" s="9" t="s">
        <v>406</v>
      </c>
      <c r="BP896" s="7">
        <f>2.78+33.29+7.9</f>
        <v>43.97</v>
      </c>
      <c r="BR896" s="6">
        <f>(1.66*2.78+0.86*33.29+0.79*7.9)/(2.78+33.29+7.9)</f>
        <v>0.89800318398908352</v>
      </c>
      <c r="BS896" s="7"/>
      <c r="BT896" s="7"/>
      <c r="BU896" s="7"/>
      <c r="BV896" s="6">
        <f>(1.01*2.78+0.58*33.29+0.54*7.9)/(2.78+33.29+7.9)</f>
        <v>0.60000000000000009</v>
      </c>
      <c r="DZ896" s="31"/>
      <c r="EH896" s="10">
        <f>BP896*BR896/100</f>
        <v>0.39485199999999998</v>
      </c>
      <c r="EL896" s="6">
        <f>BP896*BV896</f>
        <v>26.382000000000001</v>
      </c>
      <c r="EY896" s="6"/>
      <c r="FA896" s="6"/>
      <c r="GP896" s="32"/>
      <c r="GY896" s="6" t="s">
        <v>338</v>
      </c>
      <c r="GZ896" s="6" t="s">
        <v>1361</v>
      </c>
      <c r="HC896" s="6" t="s">
        <v>929</v>
      </c>
      <c r="HD896" s="8" t="s">
        <v>4707</v>
      </c>
      <c r="HE896" s="8">
        <v>74793</v>
      </c>
      <c r="HF896" s="8" t="s">
        <v>4708</v>
      </c>
      <c r="HG896" s="4" t="s">
        <v>490</v>
      </c>
      <c r="HY896" s="9"/>
      <c r="IB896" s="8" t="s">
        <v>4707</v>
      </c>
      <c r="IC896" s="8">
        <v>74793</v>
      </c>
      <c r="ID896" s="8" t="s">
        <v>702</v>
      </c>
      <c r="IE896" s="9" t="s">
        <v>538</v>
      </c>
      <c r="IF896" s="8" t="s">
        <v>445</v>
      </c>
      <c r="IG896" s="8" t="s">
        <v>2895</v>
      </c>
      <c r="IH896" s="8">
        <v>30680</v>
      </c>
      <c r="II896" s="8" t="s">
        <v>4709</v>
      </c>
      <c r="IJ896" s="8" t="s">
        <v>487</v>
      </c>
      <c r="IK896" s="8" t="s">
        <v>329</v>
      </c>
      <c r="IR896" s="9"/>
      <c r="JV896" s="7" t="s">
        <v>4710</v>
      </c>
      <c r="JX896" s="7" t="s">
        <v>320</v>
      </c>
      <c r="JY896" s="7" t="s">
        <v>354</v>
      </c>
      <c r="JZ896" s="7" t="s">
        <v>322</v>
      </c>
      <c r="KG896" s="4" t="s">
        <v>323</v>
      </c>
      <c r="KM896" s="4" t="s">
        <v>1192</v>
      </c>
      <c r="KN896" s="4" t="s">
        <v>1192</v>
      </c>
      <c r="KP896" s="5" t="s">
        <v>358</v>
      </c>
      <c r="KQ896" s="5" t="s">
        <v>4711</v>
      </c>
      <c r="KR896" s="5" t="s">
        <v>4711</v>
      </c>
      <c r="KS896" s="5" t="s">
        <v>4711</v>
      </c>
      <c r="KT896" s="5" t="s">
        <v>4712</v>
      </c>
    </row>
    <row r="897" spans="1:306" ht="48" x14ac:dyDescent="0.25">
      <c r="A897" s="5" t="s">
        <v>4736</v>
      </c>
      <c r="B897" s="4" t="s">
        <v>376</v>
      </c>
      <c r="C897" s="7" t="s">
        <v>992</v>
      </c>
      <c r="D897" s="9" t="s">
        <v>993</v>
      </c>
      <c r="E897" s="4">
        <v>334235</v>
      </c>
      <c r="G897" s="4" t="s">
        <v>479</v>
      </c>
      <c r="H897" s="6">
        <v>140.50481099999999</v>
      </c>
      <c r="I897" s="6">
        <v>-21.276634999999999</v>
      </c>
      <c r="J897" s="4" t="s">
        <v>1949</v>
      </c>
      <c r="K897" s="4" t="s">
        <v>481</v>
      </c>
      <c r="L897" s="4" t="s">
        <v>651</v>
      </c>
      <c r="M897" s="4" t="s">
        <v>1950</v>
      </c>
      <c r="O897" s="9"/>
      <c r="Q897" s="4"/>
      <c r="R897" s="4"/>
      <c r="S897" s="4"/>
      <c r="T897" s="4"/>
      <c r="U897" s="4"/>
      <c r="V897" s="4"/>
      <c r="W897" s="4"/>
      <c r="X897" s="4"/>
      <c r="Z897" s="4" t="s">
        <v>376</v>
      </c>
      <c r="AA897" s="7" t="s">
        <v>992</v>
      </c>
      <c r="AB897" s="9" t="s">
        <v>993</v>
      </c>
      <c r="AC897" s="4" t="s">
        <v>301</v>
      </c>
      <c r="AE897" s="4"/>
      <c r="AF897" s="4"/>
      <c r="AG897" s="4"/>
      <c r="AH897" s="4"/>
      <c r="AI897" s="4"/>
      <c r="AJ897" s="4"/>
      <c r="AK897" s="4"/>
      <c r="AL897" s="4"/>
      <c r="BP897" s="7">
        <f>5.46+0.17169+0.021418</f>
        <v>5.6531079999999996</v>
      </c>
      <c r="BR897" s="6">
        <f>100*EH897/BP897</f>
        <v>1.2006621361687637</v>
      </c>
      <c r="BU897" s="6"/>
      <c r="BV897" s="6">
        <f>EL897/BP897</f>
        <v>0.28672420551668215</v>
      </c>
      <c r="BW897" s="4"/>
      <c r="BX897" s="4"/>
      <c r="BY897" s="4"/>
      <c r="BZ897" s="4"/>
      <c r="CA897" s="4"/>
      <c r="CB897" s="4"/>
      <c r="CC897" s="4"/>
      <c r="CD897" s="4"/>
      <c r="CE897" s="4"/>
      <c r="CF897" s="4"/>
      <c r="CG897" s="4"/>
      <c r="CH897" s="4"/>
      <c r="CI897" s="4"/>
      <c r="CJ897" s="4"/>
      <c r="CK897" s="9">
        <f>100*EZ897/1000/BP897</f>
        <v>2.3180169209574625E-2</v>
      </c>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31"/>
      <c r="EA897" s="4"/>
      <c r="EB897" s="4"/>
      <c r="EC897" s="4"/>
      <c r="ED897" s="4"/>
      <c r="EE897" s="4"/>
      <c r="EF897" s="4"/>
      <c r="EG897" s="4"/>
      <c r="EH897" s="10">
        <v>6.7874727272727267E-2</v>
      </c>
      <c r="EL897" s="6">
        <v>1.6208829</v>
      </c>
      <c r="EM897" s="4"/>
      <c r="EN897" s="4"/>
      <c r="EO897" s="4"/>
      <c r="EP897" s="4"/>
      <c r="EQ897" s="4"/>
      <c r="ER897" s="4"/>
      <c r="ES897" s="4"/>
      <c r="ET897" s="4"/>
      <c r="EU897" s="4"/>
      <c r="EV897" s="4"/>
      <c r="EW897" s="4"/>
      <c r="EX897" s="4"/>
      <c r="EY897" s="4"/>
      <c r="EZ897" s="4">
        <v>1.3104</v>
      </c>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32"/>
      <c r="GQ897" s="4"/>
      <c r="GR897" s="4"/>
      <c r="GS897" s="4"/>
      <c r="GT897" s="4"/>
      <c r="GU897" s="4"/>
      <c r="GV897" s="4"/>
      <c r="GW897" s="4"/>
      <c r="GX897" s="4"/>
      <c r="GY897" s="4" t="s">
        <v>338</v>
      </c>
      <c r="GZ897" s="4" t="s">
        <v>994</v>
      </c>
      <c r="HA897" s="4" t="s">
        <v>436</v>
      </c>
      <c r="HB897" s="4" t="s">
        <v>929</v>
      </c>
      <c r="HC897" s="4" t="s">
        <v>4737</v>
      </c>
      <c r="HD897" s="4" t="s">
        <v>4738</v>
      </c>
      <c r="HE897" s="8">
        <v>26144</v>
      </c>
      <c r="HF897" s="4" t="s">
        <v>4739</v>
      </c>
      <c r="HG897" s="4" t="s">
        <v>490</v>
      </c>
      <c r="HH897" s="4"/>
      <c r="HI897" s="4"/>
      <c r="HJ897" s="4"/>
      <c r="HK897" s="4"/>
      <c r="HL897" s="4"/>
      <c r="HN897" s="4"/>
      <c r="HO897" s="4"/>
      <c r="HP897" s="4"/>
      <c r="HR897" s="4"/>
      <c r="HS897" s="4"/>
      <c r="HT897" s="4"/>
      <c r="HU897" s="4"/>
      <c r="HV897" s="4"/>
      <c r="HW897" s="4"/>
      <c r="HX897" s="4"/>
      <c r="HY897" s="4"/>
      <c r="HZ897" s="4"/>
      <c r="IA897" s="4"/>
      <c r="IB897" s="4" t="s">
        <v>4738</v>
      </c>
      <c r="IC897" s="8">
        <v>26144</v>
      </c>
      <c r="ID897" s="4" t="s">
        <v>4739</v>
      </c>
      <c r="IE897" s="4" t="s">
        <v>490</v>
      </c>
      <c r="IF897" s="4" t="s">
        <v>445</v>
      </c>
      <c r="IG897" s="4"/>
      <c r="IH897" s="4"/>
      <c r="II897" s="4"/>
      <c r="IJ897" s="4"/>
      <c r="IK897" s="4"/>
      <c r="IL897" s="4"/>
      <c r="IN897" s="4"/>
      <c r="IO897" s="4"/>
      <c r="IP897" s="4"/>
      <c r="IQ897" s="4"/>
      <c r="IR897" s="4"/>
      <c r="IS897" s="4"/>
      <c r="IT897" s="4"/>
      <c r="IU897" s="4"/>
      <c r="IV897" s="4"/>
      <c r="IW897" s="4"/>
      <c r="IX897" s="4"/>
      <c r="IY897" s="4"/>
      <c r="IZ897" s="4"/>
      <c r="JA897" s="4"/>
      <c r="JB897" s="4"/>
      <c r="JC897" s="4"/>
      <c r="JD897" s="4"/>
      <c r="JE897" s="4"/>
      <c r="JF897" s="4"/>
      <c r="JG897" s="4"/>
      <c r="JH897" s="4"/>
      <c r="JI897" s="4"/>
      <c r="JJ897" s="4"/>
      <c r="JK897" s="4"/>
      <c r="JL897" s="4"/>
      <c r="JM897" s="4"/>
      <c r="JN897" s="4"/>
      <c r="JO897" s="4"/>
      <c r="JP897" s="4"/>
      <c r="JQ897" s="4"/>
      <c r="JR897" s="4"/>
      <c r="JS897" s="4"/>
      <c r="JT897" s="4"/>
      <c r="JU897" s="4"/>
      <c r="JV897" s="4"/>
      <c r="JW897" s="4"/>
      <c r="JX897" s="4"/>
      <c r="JY897" s="4"/>
      <c r="JZ897" s="4"/>
      <c r="KA897" s="4"/>
      <c r="KB897" s="4"/>
      <c r="KC897" s="4"/>
      <c r="KD897" s="4"/>
      <c r="KE897" s="4"/>
      <c r="KF897" s="4"/>
      <c r="KP897" s="5" t="s">
        <v>358</v>
      </c>
      <c r="KQ897" s="5" t="s">
        <v>4740</v>
      </c>
      <c r="KS897" s="5" t="s">
        <v>4740</v>
      </c>
      <c r="KT897" s="5" t="s">
        <v>4741</v>
      </c>
    </row>
    <row r="898" spans="1:306" ht="60" customHeight="1" x14ac:dyDescent="0.25">
      <c r="A898" s="5" t="s">
        <v>4750</v>
      </c>
      <c r="B898" s="4" t="s">
        <v>376</v>
      </c>
      <c r="C898" s="7" t="s">
        <v>992</v>
      </c>
      <c r="D898" s="8" t="s">
        <v>993</v>
      </c>
      <c r="E898" s="4">
        <v>606527</v>
      </c>
      <c r="G898" s="4" t="s">
        <v>479</v>
      </c>
      <c r="H898" s="6">
        <v>139.04518999999999</v>
      </c>
      <c r="I898" s="6">
        <v>-19.773056</v>
      </c>
      <c r="J898" s="4" t="s">
        <v>4751</v>
      </c>
      <c r="K898" s="4" t="s">
        <v>481</v>
      </c>
      <c r="L898" s="4" t="s">
        <v>651</v>
      </c>
      <c r="M898" s="4" t="s">
        <v>1972</v>
      </c>
      <c r="Q898" s="4"/>
      <c r="R898" s="4"/>
      <c r="S898" s="4"/>
      <c r="T898" s="4"/>
      <c r="U898" s="4"/>
      <c r="V898" s="4"/>
      <c r="W898" s="4"/>
      <c r="X898" s="4"/>
      <c r="Z898" s="4" t="s">
        <v>376</v>
      </c>
      <c r="AA898" s="7" t="s">
        <v>992</v>
      </c>
      <c r="AB898" s="8" t="s">
        <v>993</v>
      </c>
      <c r="AC898" s="4" t="s">
        <v>301</v>
      </c>
      <c r="AD898" s="4" t="s">
        <v>382</v>
      </c>
      <c r="AE898" s="4">
        <v>1523</v>
      </c>
      <c r="AF898" s="4"/>
      <c r="AG898" s="4" t="s">
        <v>379</v>
      </c>
      <c r="AH898" s="4" t="s">
        <v>380</v>
      </c>
      <c r="AI898" s="4"/>
      <c r="AJ898" s="4"/>
      <c r="AK898" s="4"/>
      <c r="AL898" s="4"/>
      <c r="AM898" s="8">
        <v>2</v>
      </c>
      <c r="AN898" s="4" t="s">
        <v>381</v>
      </c>
      <c r="AO898" s="4" t="s">
        <v>382</v>
      </c>
      <c r="AP898" s="4" t="s">
        <v>383</v>
      </c>
      <c r="AQ898" s="7" t="s">
        <v>384</v>
      </c>
      <c r="AR898" s="8" t="s">
        <v>827</v>
      </c>
      <c r="AS898" s="7">
        <v>0</v>
      </c>
      <c r="AT898" s="7">
        <v>0</v>
      </c>
      <c r="AU898" s="9" t="s">
        <v>303</v>
      </c>
      <c r="AV898" s="9" t="s">
        <v>406</v>
      </c>
      <c r="BA898" s="8">
        <v>5</v>
      </c>
      <c r="BG898" s="7"/>
      <c r="BH898" s="7"/>
      <c r="BP898" s="7">
        <v>61.73</v>
      </c>
      <c r="BQ898" s="4"/>
      <c r="BR898" s="4">
        <v>0.7</v>
      </c>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31"/>
      <c r="EA898" s="4"/>
      <c r="EB898" s="4"/>
      <c r="EC898" s="4"/>
      <c r="ED898" s="4"/>
      <c r="EE898" s="4"/>
      <c r="EF898" s="4"/>
      <c r="EG898" s="4"/>
      <c r="EH898" s="10">
        <f>BP898*BR898/100</f>
        <v>0.43210999999999999</v>
      </c>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32"/>
      <c r="GQ898" s="4"/>
      <c r="GR898" s="4"/>
      <c r="GS898" s="4"/>
      <c r="GT898" s="4"/>
      <c r="GU898" s="4"/>
      <c r="GV898" s="4"/>
      <c r="GW898" s="4"/>
      <c r="GX898" s="4"/>
      <c r="GY898" s="4" t="s">
        <v>338</v>
      </c>
      <c r="GZ898" s="4" t="s">
        <v>994</v>
      </c>
      <c r="HA898" s="4"/>
      <c r="HB898" s="4"/>
      <c r="HC898" s="4" t="s">
        <v>4752</v>
      </c>
      <c r="HD898" s="4" t="s">
        <v>1978</v>
      </c>
      <c r="HE898" s="8">
        <v>14857</v>
      </c>
      <c r="HF898" s="8" t="s">
        <v>4753</v>
      </c>
      <c r="HG898" s="4" t="s">
        <v>490</v>
      </c>
      <c r="HH898" s="4" t="s">
        <v>1976</v>
      </c>
      <c r="HI898" s="8">
        <v>6282</v>
      </c>
      <c r="HJ898" s="4" t="s">
        <v>1979</v>
      </c>
      <c r="HK898" s="4" t="s">
        <v>490</v>
      </c>
      <c r="HL898" s="4"/>
      <c r="HN898" s="4"/>
      <c r="HO898" s="4"/>
      <c r="HP898" s="4"/>
      <c r="HR898" s="4"/>
      <c r="HS898" s="4"/>
      <c r="HT898" s="4"/>
      <c r="HU898" s="4"/>
      <c r="HV898" s="4"/>
      <c r="HW898" s="4"/>
      <c r="HX898" s="4"/>
      <c r="HY898" s="4"/>
      <c r="HZ898" s="4"/>
      <c r="IA898" s="4"/>
      <c r="IB898" s="4"/>
      <c r="ID898" s="4"/>
      <c r="IE898" s="4"/>
      <c r="IF898" s="4"/>
      <c r="IG898" s="4"/>
      <c r="IH898" s="4"/>
      <c r="II898" s="4"/>
      <c r="IJ898" s="4"/>
      <c r="IK898" s="4"/>
      <c r="IL898" s="4"/>
      <c r="IN898" s="4"/>
      <c r="IO898" s="4"/>
      <c r="IP898" s="4"/>
      <c r="IQ898" s="4"/>
      <c r="IR898" s="4"/>
      <c r="IS898" s="4"/>
      <c r="IT898" s="4"/>
      <c r="IU898" s="4"/>
      <c r="IV898" s="4"/>
      <c r="IW898" s="4"/>
      <c r="IX898" s="4"/>
      <c r="IY898" s="4"/>
      <c r="IZ898" s="4"/>
      <c r="JA898" s="4"/>
      <c r="JB898" s="4"/>
      <c r="JC898" s="4"/>
      <c r="JD898" s="4"/>
      <c r="JE898" s="4"/>
      <c r="JF898" s="4"/>
      <c r="JG898" s="4"/>
      <c r="JH898" s="4"/>
      <c r="JI898" s="4"/>
      <c r="JJ898" s="4"/>
      <c r="JK898" s="4"/>
      <c r="JL898" s="4"/>
      <c r="JM898" s="4"/>
      <c r="JN898" s="4"/>
      <c r="JO898" s="4"/>
      <c r="JP898" s="4"/>
      <c r="JQ898" s="4"/>
      <c r="JR898" s="4"/>
      <c r="JS898" s="4"/>
      <c r="JT898" s="4"/>
      <c r="JU898" s="4"/>
      <c r="JV898" s="4"/>
      <c r="JW898" s="4"/>
      <c r="JX898" s="7" t="s">
        <v>320</v>
      </c>
      <c r="KA898" s="4"/>
      <c r="KB898" s="4"/>
      <c r="KC898" s="4"/>
      <c r="KD898" s="4"/>
      <c r="KE898" s="4"/>
      <c r="KF898" s="4"/>
      <c r="KG898" s="4" t="s">
        <v>323</v>
      </c>
      <c r="KM898" s="4" t="s">
        <v>836</v>
      </c>
      <c r="KN898" s="4" t="s">
        <v>836</v>
      </c>
      <c r="KP898" s="5" t="s">
        <v>358</v>
      </c>
      <c r="KQ898" s="5" t="s">
        <v>4754</v>
      </c>
      <c r="KS898" s="5" t="s">
        <v>4754</v>
      </c>
      <c r="KT898" s="5" t="s">
        <v>4755</v>
      </c>
    </row>
    <row r="899" spans="1:306" ht="120" x14ac:dyDescent="0.25">
      <c r="A899" s="5" t="s">
        <v>4910</v>
      </c>
      <c r="B899" s="4" t="s">
        <v>376</v>
      </c>
      <c r="C899" s="7" t="s">
        <v>992</v>
      </c>
      <c r="D899" s="9" t="s">
        <v>993</v>
      </c>
      <c r="E899" s="4">
        <v>794431</v>
      </c>
      <c r="G899" s="4" t="s">
        <v>479</v>
      </c>
      <c r="H899" s="6">
        <v>140.4266527778</v>
      </c>
      <c r="I899" s="6">
        <v>-21.799741666700001</v>
      </c>
      <c r="J899" s="4" t="s">
        <v>4767</v>
      </c>
      <c r="K899" s="4" t="s">
        <v>481</v>
      </c>
      <c r="L899" s="4" t="s">
        <v>651</v>
      </c>
      <c r="M899" s="4" t="s">
        <v>1950</v>
      </c>
      <c r="O899" s="9"/>
      <c r="Q899" s="8"/>
      <c r="Z899" s="4" t="s">
        <v>376</v>
      </c>
      <c r="AA899" s="7" t="s">
        <v>992</v>
      </c>
      <c r="AB899" s="9" t="s">
        <v>993</v>
      </c>
      <c r="AC899" s="4" t="s">
        <v>301</v>
      </c>
      <c r="AD899" s="4" t="s">
        <v>375</v>
      </c>
      <c r="AE899" s="8">
        <v>1503</v>
      </c>
      <c r="AG899" s="9" t="s">
        <v>379</v>
      </c>
      <c r="AH899" s="9" t="s">
        <v>1156</v>
      </c>
      <c r="AM899" s="8">
        <v>3</v>
      </c>
      <c r="AN899" s="4" t="s">
        <v>381</v>
      </c>
      <c r="AO899" s="4" t="s">
        <v>402</v>
      </c>
      <c r="AP899" s="4" t="s">
        <v>383</v>
      </c>
      <c r="AQ899" s="7" t="s">
        <v>384</v>
      </c>
      <c r="AR899" s="8" t="s">
        <v>827</v>
      </c>
      <c r="AS899" s="7">
        <v>0</v>
      </c>
      <c r="AT899" s="7">
        <v>0</v>
      </c>
      <c r="AU899" s="9" t="s">
        <v>303</v>
      </c>
      <c r="AV899" s="9" t="s">
        <v>406</v>
      </c>
      <c r="BA899" s="8">
        <v>5</v>
      </c>
      <c r="BP899" s="7">
        <v>6.4</v>
      </c>
      <c r="BQ899" s="7"/>
      <c r="BR899" s="7">
        <v>1</v>
      </c>
      <c r="BS899" s="7"/>
      <c r="BT899" s="7"/>
      <c r="BU899" s="7"/>
      <c r="BV899" s="7">
        <v>0.3</v>
      </c>
      <c r="DZ899" s="31"/>
      <c r="EH899" s="10">
        <f>BP899*BR899/100</f>
        <v>6.4000000000000001E-2</v>
      </c>
      <c r="EL899" s="6">
        <f>BP899*BV899</f>
        <v>1.92</v>
      </c>
      <c r="GP899" s="32"/>
      <c r="GY899" s="31" t="s">
        <v>407</v>
      </c>
      <c r="GZ899" s="6" t="s">
        <v>994</v>
      </c>
      <c r="HA899" s="6" t="s">
        <v>436</v>
      </c>
      <c r="HC899" s="6" t="s">
        <v>929</v>
      </c>
      <c r="HD899" s="8" t="s">
        <v>4911</v>
      </c>
      <c r="HE899" s="8">
        <v>17306</v>
      </c>
      <c r="HF899" s="8" t="s">
        <v>4912</v>
      </c>
      <c r="HG899" s="4" t="s">
        <v>490</v>
      </c>
      <c r="HJ899" s="9" t="s">
        <v>658</v>
      </c>
      <c r="HK899" s="9" t="s">
        <v>490</v>
      </c>
      <c r="ID899" s="8" t="s">
        <v>658</v>
      </c>
      <c r="IF899" s="8" t="s">
        <v>329</v>
      </c>
      <c r="IG899" s="8" t="s">
        <v>4913</v>
      </c>
      <c r="IH899" s="8">
        <v>30680</v>
      </c>
      <c r="II899" s="8" t="s">
        <v>2896</v>
      </c>
      <c r="IJ899" s="8" t="s">
        <v>487</v>
      </c>
      <c r="IK899" s="8" t="s">
        <v>329</v>
      </c>
      <c r="JV899" s="7" t="s">
        <v>353</v>
      </c>
      <c r="JX899" s="7" t="s">
        <v>353</v>
      </c>
      <c r="KG899" s="4" t="s">
        <v>323</v>
      </c>
      <c r="KM899" s="4" t="s">
        <v>702</v>
      </c>
      <c r="KN899" s="4" t="s">
        <v>702</v>
      </c>
      <c r="KP899" s="5" t="s">
        <v>358</v>
      </c>
      <c r="KQ899" s="5" t="s">
        <v>4914</v>
      </c>
      <c r="KR899" s="5" t="s">
        <v>4915</v>
      </c>
      <c r="KS899" s="5" t="s">
        <v>4776</v>
      </c>
      <c r="KT899" s="5" t="s">
        <v>4916</v>
      </c>
    </row>
    <row r="900" spans="1:306" ht="120" x14ac:dyDescent="0.25">
      <c r="A900" s="5" t="s">
        <v>4928</v>
      </c>
      <c r="B900" s="4" t="s">
        <v>383</v>
      </c>
      <c r="C900" s="7" t="s">
        <v>384</v>
      </c>
      <c r="D900" s="8" t="s">
        <v>827</v>
      </c>
      <c r="E900" s="4">
        <v>334957</v>
      </c>
      <c r="G900" s="4" t="s">
        <v>593</v>
      </c>
      <c r="H900" s="6">
        <v>138.60127027089999</v>
      </c>
      <c r="I900" s="6">
        <v>-30.195595807299998</v>
      </c>
      <c r="J900" s="4" t="s">
        <v>4929</v>
      </c>
      <c r="K900" s="4" t="s">
        <v>595</v>
      </c>
      <c r="L900" s="4" t="s">
        <v>689</v>
      </c>
      <c r="Z900" s="4" t="s">
        <v>376</v>
      </c>
      <c r="AA900" s="7" t="s">
        <v>992</v>
      </c>
      <c r="AB900" s="8" t="s">
        <v>993</v>
      </c>
      <c r="AC900" s="4" t="s">
        <v>301</v>
      </c>
      <c r="AD900" s="4" t="s">
        <v>371</v>
      </c>
      <c r="AN900" s="4" t="s">
        <v>381</v>
      </c>
      <c r="AO900" s="4" t="s">
        <v>302</v>
      </c>
      <c r="AP900" s="4" t="s">
        <v>383</v>
      </c>
      <c r="AQ900" s="7" t="s">
        <v>384</v>
      </c>
      <c r="AR900" s="8" t="s">
        <v>827</v>
      </c>
      <c r="AS900" s="7">
        <v>0</v>
      </c>
      <c r="AT900" s="7">
        <v>0</v>
      </c>
      <c r="AU900" s="9" t="s">
        <v>303</v>
      </c>
      <c r="AV900" s="9" t="s">
        <v>406</v>
      </c>
      <c r="BA900" s="8">
        <v>5</v>
      </c>
      <c r="BP900" s="7">
        <f>1+0.84</f>
        <v>1.8399999999999999</v>
      </c>
      <c r="BR900" s="6">
        <f>(1*0.72+0.84*0.75)/(1+0.84)</f>
        <v>0.73369565217391319</v>
      </c>
      <c r="DZ900" s="31"/>
      <c r="EB900" s="10"/>
      <c r="EH900" s="10">
        <f>BP900*BR900/100+350/1000000</f>
        <v>1.3850000000000001E-2</v>
      </c>
      <c r="EK900" s="6"/>
      <c r="GP900" s="32"/>
      <c r="GY900" s="6" t="s">
        <v>338</v>
      </c>
      <c r="GZ900" s="6" t="s">
        <v>994</v>
      </c>
      <c r="HC900" s="6" t="s">
        <v>929</v>
      </c>
      <c r="HD900" s="8" t="s">
        <v>3044</v>
      </c>
      <c r="HE900" s="8">
        <v>17814</v>
      </c>
      <c r="HF900" s="8" t="s">
        <v>3045</v>
      </c>
      <c r="HG900" s="9" t="s">
        <v>876</v>
      </c>
      <c r="KG900" s="4" t="s">
        <v>323</v>
      </c>
      <c r="KP900" s="5" t="s">
        <v>358</v>
      </c>
      <c r="KQ900" s="5" t="s">
        <v>4930</v>
      </c>
      <c r="KS900" s="5" t="s">
        <v>1516</v>
      </c>
      <c r="KT900" s="5" t="s">
        <v>4931</v>
      </c>
    </row>
    <row r="901" spans="1:306" ht="156" x14ac:dyDescent="0.25">
      <c r="A901" s="5" t="s">
        <v>5187</v>
      </c>
      <c r="B901" s="4" t="s">
        <v>376</v>
      </c>
      <c r="C901" s="7" t="s">
        <v>992</v>
      </c>
      <c r="D901" s="9" t="s">
        <v>993</v>
      </c>
      <c r="E901" s="4">
        <v>336237</v>
      </c>
      <c r="G901" s="4" t="s">
        <v>479</v>
      </c>
      <c r="H901" s="6">
        <v>140.49359999999999</v>
      </c>
      <c r="I901" s="6">
        <v>-21.6539</v>
      </c>
      <c r="J901" s="4" t="s">
        <v>4767</v>
      </c>
      <c r="K901" s="4" t="s">
        <v>481</v>
      </c>
      <c r="L901" s="4" t="s">
        <v>651</v>
      </c>
      <c r="M901" s="4" t="s">
        <v>1950</v>
      </c>
      <c r="O901" s="9"/>
      <c r="Q901" s="8"/>
      <c r="R901" s="8"/>
      <c r="S901" s="4"/>
      <c r="Z901" s="4" t="s">
        <v>376</v>
      </c>
      <c r="AA901" s="7" t="s">
        <v>992</v>
      </c>
      <c r="AB901" s="9" t="s">
        <v>993</v>
      </c>
      <c r="AC901" s="4" t="s">
        <v>301</v>
      </c>
      <c r="AD901" s="4" t="s">
        <v>382</v>
      </c>
      <c r="AE901" s="8">
        <f>(1539+1541+1533+1534+1529)/5</f>
        <v>1535.2</v>
      </c>
      <c r="AF901" s="8">
        <f>SQRT(5*36)/5</f>
        <v>2.6832815729997477</v>
      </c>
      <c r="AG901" s="4" t="s">
        <v>303</v>
      </c>
      <c r="AH901" s="9" t="s">
        <v>304</v>
      </c>
      <c r="AI901" s="9" t="s">
        <v>598</v>
      </c>
      <c r="AJ901" s="9" t="s">
        <v>599</v>
      </c>
      <c r="AK901" s="9" t="s">
        <v>600</v>
      </c>
      <c r="AM901" s="8">
        <v>5</v>
      </c>
      <c r="AS901" s="7"/>
      <c r="AT901" s="7"/>
      <c r="BG901" s="7"/>
      <c r="BH901" s="7"/>
      <c r="BP901" s="7">
        <v>6.4</v>
      </c>
      <c r="BR901" s="6">
        <v>0.3</v>
      </c>
      <c r="BS901" s="7"/>
      <c r="BT901" s="7"/>
      <c r="BU901" s="7"/>
      <c r="BV901" s="7"/>
      <c r="BX901" s="7"/>
      <c r="CT901" s="6">
        <v>1.5</v>
      </c>
      <c r="CX901" s="7"/>
      <c r="DF901" s="7">
        <v>26.4</v>
      </c>
      <c r="DZ901" s="31"/>
      <c r="EH901" s="10">
        <f>BP901*BR901/100</f>
        <v>1.9199999999999998E-2</v>
      </c>
      <c r="EY901" s="6"/>
      <c r="FA901" s="6"/>
      <c r="FI901" s="6">
        <f>1000*BP901*CT901/100</f>
        <v>96</v>
      </c>
      <c r="FU901" s="6">
        <f>BP901*DF901</f>
        <v>168.96</v>
      </c>
      <c r="GP901" s="32"/>
      <c r="GY901" s="6" t="s">
        <v>338</v>
      </c>
      <c r="GZ901" s="6" t="s">
        <v>763</v>
      </c>
      <c r="HB901" s="6" t="s">
        <v>5188</v>
      </c>
      <c r="HD901" s="8" t="s">
        <v>5189</v>
      </c>
      <c r="HE901" s="8">
        <v>76907</v>
      </c>
      <c r="HF901" s="8" t="s">
        <v>5190</v>
      </c>
      <c r="HG901" s="9" t="s">
        <v>490</v>
      </c>
      <c r="HH901" s="9" t="s">
        <v>5191</v>
      </c>
      <c r="HI901" s="8">
        <v>17306</v>
      </c>
      <c r="HJ901" s="9" t="s">
        <v>4912</v>
      </c>
      <c r="HK901" s="9" t="s">
        <v>490</v>
      </c>
      <c r="HY901" s="9"/>
      <c r="ID901" s="8" t="s">
        <v>5192</v>
      </c>
      <c r="IE901" s="8" t="s">
        <v>538</v>
      </c>
      <c r="IF901" s="8" t="s">
        <v>445</v>
      </c>
      <c r="IG901" s="8" t="s">
        <v>5193</v>
      </c>
      <c r="IH901" s="8">
        <v>24396</v>
      </c>
      <c r="II901" s="8" t="s">
        <v>5194</v>
      </c>
      <c r="IJ901" s="8" t="s">
        <v>487</v>
      </c>
      <c r="IK901" s="8" t="s">
        <v>329</v>
      </c>
      <c r="IR901" s="9"/>
      <c r="JV901" s="7" t="s">
        <v>5195</v>
      </c>
      <c r="JW901" s="7" t="s">
        <v>910</v>
      </c>
      <c r="JX901" s="7" t="s">
        <v>320</v>
      </c>
      <c r="KG901" s="4" t="s">
        <v>323</v>
      </c>
      <c r="KM901" s="4" t="s">
        <v>521</v>
      </c>
      <c r="KN901" s="4" t="s">
        <v>702</v>
      </c>
      <c r="KP901" s="5" t="s">
        <v>358</v>
      </c>
      <c r="KQ901" s="5" t="s">
        <v>5196</v>
      </c>
      <c r="KR901" s="5" t="s">
        <v>4775</v>
      </c>
      <c r="KS901" s="5" t="s">
        <v>5197</v>
      </c>
      <c r="KT901" s="5" t="s">
        <v>5198</v>
      </c>
    </row>
    <row r="902" spans="1:306" ht="108" x14ac:dyDescent="0.25">
      <c r="A902" s="5" t="s">
        <v>5518</v>
      </c>
      <c r="B902" s="4" t="s">
        <v>376</v>
      </c>
      <c r="C902" s="7" t="s">
        <v>992</v>
      </c>
      <c r="D902" s="9" t="s">
        <v>993</v>
      </c>
      <c r="E902" s="4">
        <v>333780</v>
      </c>
      <c r="G902" s="4" t="s">
        <v>479</v>
      </c>
      <c r="H902" s="6">
        <v>139.912848</v>
      </c>
      <c r="I902" s="6">
        <v>-19.989507</v>
      </c>
      <c r="K902" s="4" t="s">
        <v>481</v>
      </c>
      <c r="L902" s="4" t="s">
        <v>651</v>
      </c>
      <c r="M902" s="4" t="s">
        <v>652</v>
      </c>
      <c r="O902" s="9"/>
      <c r="Q902" s="4"/>
      <c r="R902" s="4"/>
      <c r="S902" s="4"/>
      <c r="T902" s="4"/>
      <c r="U902" s="4"/>
      <c r="V902" s="4"/>
      <c r="W902" s="4"/>
      <c r="X902" s="4"/>
      <c r="Z902" s="4" t="s">
        <v>376</v>
      </c>
      <c r="AA902" s="7" t="s">
        <v>992</v>
      </c>
      <c r="AB902" s="9" t="s">
        <v>993</v>
      </c>
      <c r="AC902" s="4" t="s">
        <v>301</v>
      </c>
      <c r="AD902" s="4" t="s">
        <v>382</v>
      </c>
      <c r="AE902" s="4"/>
      <c r="AF902" s="4"/>
      <c r="AG902" s="4"/>
      <c r="AH902" s="4"/>
      <c r="AI902" s="4"/>
      <c r="AJ902" s="4"/>
      <c r="AK902" s="4"/>
      <c r="AL902" s="4"/>
      <c r="AN902" s="4" t="s">
        <v>381</v>
      </c>
      <c r="AO902" s="4" t="s">
        <v>382</v>
      </c>
      <c r="AP902" s="4" t="s">
        <v>383</v>
      </c>
      <c r="AQ902" s="7" t="s">
        <v>384</v>
      </c>
      <c r="AR902" s="8" t="s">
        <v>827</v>
      </c>
      <c r="AS902" s="7">
        <v>0</v>
      </c>
      <c r="AT902" s="7">
        <v>0</v>
      </c>
      <c r="AU902" s="9" t="s">
        <v>303</v>
      </c>
      <c r="AV902" s="9" t="s">
        <v>406</v>
      </c>
      <c r="BA902" s="8">
        <v>5</v>
      </c>
      <c r="BG902" s="7"/>
      <c r="BH902" s="7"/>
      <c r="BP902" s="7">
        <f>0.894+0.241+0.064</f>
        <v>1.1990000000000001</v>
      </c>
      <c r="BQ902" s="7"/>
      <c r="BR902" s="7">
        <f>(1*0.894+0.9*0.241+1.9*0.064)/(0.894+0.241+0.064)</f>
        <v>1.0279399499582984</v>
      </c>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31"/>
      <c r="EA902" s="4"/>
      <c r="EB902" s="4"/>
      <c r="EC902" s="4"/>
      <c r="ED902" s="4"/>
      <c r="EE902" s="4"/>
      <c r="EF902" s="4"/>
      <c r="EG902" s="4"/>
      <c r="EH902" s="10">
        <f>BP902*BR902/100</f>
        <v>1.2324999999999999E-2</v>
      </c>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32"/>
      <c r="GQ902" s="4"/>
      <c r="GR902" s="4"/>
      <c r="GS902" s="4"/>
      <c r="GT902" s="4"/>
      <c r="GU902" s="4"/>
      <c r="GV902" s="4"/>
      <c r="GW902" s="4"/>
      <c r="GX902" s="4"/>
      <c r="GY902" s="4" t="s">
        <v>338</v>
      </c>
      <c r="GZ902" s="4" t="s">
        <v>994</v>
      </c>
      <c r="HA902" s="4"/>
      <c r="HB902" s="4"/>
      <c r="HC902" s="4" t="s">
        <v>4752</v>
      </c>
      <c r="HD902" s="4" t="s">
        <v>5519</v>
      </c>
      <c r="HE902" s="8">
        <v>28675</v>
      </c>
      <c r="HF902" s="4" t="s">
        <v>5520</v>
      </c>
      <c r="HG902" s="4" t="s">
        <v>490</v>
      </c>
      <c r="HH902" s="4"/>
      <c r="HI902" s="4"/>
      <c r="HJ902" s="4"/>
      <c r="HK902" s="4"/>
      <c r="HL902" s="4"/>
      <c r="HN902" s="4"/>
      <c r="HO902" s="4"/>
      <c r="HP902" s="4"/>
      <c r="HR902" s="4"/>
      <c r="HS902" s="4"/>
      <c r="HT902" s="4"/>
      <c r="HU902" s="4"/>
      <c r="HV902" s="4"/>
      <c r="HW902" s="4"/>
      <c r="HX902" s="4"/>
      <c r="HY902" s="4"/>
      <c r="HZ902" s="4"/>
      <c r="IA902" s="4"/>
      <c r="IB902" s="4" t="s">
        <v>5519</v>
      </c>
      <c r="IC902" s="8">
        <v>28675</v>
      </c>
      <c r="ID902" s="4" t="s">
        <v>5520</v>
      </c>
      <c r="IE902" s="4" t="s">
        <v>490</v>
      </c>
      <c r="IF902" s="4" t="s">
        <v>445</v>
      </c>
      <c r="IG902" s="4" t="s">
        <v>5521</v>
      </c>
      <c r="IH902" s="4">
        <v>9136</v>
      </c>
      <c r="II902" s="4" t="s">
        <v>5522</v>
      </c>
      <c r="IJ902" s="4" t="s">
        <v>490</v>
      </c>
      <c r="IK902" s="4" t="s">
        <v>329</v>
      </c>
      <c r="IL902" s="4"/>
      <c r="IN902" s="4"/>
      <c r="IO902" s="4"/>
      <c r="IP902" s="4"/>
      <c r="IQ902" s="4"/>
      <c r="IR902" s="4"/>
      <c r="IS902" s="4"/>
      <c r="IT902" s="4"/>
      <c r="IU902" s="4"/>
      <c r="IV902" s="4"/>
      <c r="IW902" s="4"/>
      <c r="IX902" s="4"/>
      <c r="IY902" s="4"/>
      <c r="IZ902" s="4"/>
      <c r="JA902" s="4"/>
      <c r="JB902" s="4"/>
      <c r="JC902" s="4"/>
      <c r="JD902" s="4"/>
      <c r="JE902" s="4"/>
      <c r="JF902" s="4"/>
      <c r="JG902" s="4"/>
      <c r="JH902" s="4"/>
      <c r="JI902" s="4"/>
      <c r="JJ902" s="4"/>
      <c r="JK902" s="4"/>
      <c r="JL902" s="4"/>
      <c r="JM902" s="4"/>
      <c r="JN902" s="4"/>
      <c r="JO902" s="4"/>
      <c r="JP902" s="4"/>
      <c r="JQ902" s="4"/>
      <c r="JR902" s="4"/>
      <c r="JS902" s="4"/>
      <c r="JT902" s="4"/>
      <c r="JU902" s="4"/>
      <c r="JV902" s="4" t="s">
        <v>5523</v>
      </c>
      <c r="JW902" s="4"/>
      <c r="JX902" s="4" t="s">
        <v>320</v>
      </c>
      <c r="JY902" s="4" t="s">
        <v>354</v>
      </c>
      <c r="JZ902" s="4" t="s">
        <v>322</v>
      </c>
      <c r="KA902" s="4" t="s">
        <v>354</v>
      </c>
      <c r="KB902" s="4" t="s">
        <v>353</v>
      </c>
      <c r="KC902" s="4"/>
      <c r="KD902" s="4"/>
      <c r="KE902" s="4"/>
      <c r="KF902" s="4"/>
      <c r="KG902" s="4" t="s">
        <v>323</v>
      </c>
      <c r="KM902" s="4" t="s">
        <v>391</v>
      </c>
      <c r="KN902" s="4" t="s">
        <v>391</v>
      </c>
      <c r="KP902" s="5" t="s">
        <v>358</v>
      </c>
      <c r="KQ902" s="5" t="s">
        <v>5524</v>
      </c>
      <c r="KS902" s="5" t="s">
        <v>5525</v>
      </c>
      <c r="KT902" s="5" t="s">
        <v>5526</v>
      </c>
    </row>
    <row r="903" spans="1:306" ht="84" x14ac:dyDescent="0.25">
      <c r="A903" s="5" t="s">
        <v>5537</v>
      </c>
      <c r="B903" s="4" t="s">
        <v>376</v>
      </c>
      <c r="C903" s="7" t="s">
        <v>992</v>
      </c>
      <c r="D903" s="9" t="s">
        <v>993</v>
      </c>
      <c r="E903" s="4">
        <v>336237</v>
      </c>
      <c r="G903" s="4" t="s">
        <v>479</v>
      </c>
      <c r="H903" s="6">
        <v>140.49260000000001</v>
      </c>
      <c r="I903" s="6">
        <v>-21.661999999999999</v>
      </c>
      <c r="J903" s="4" t="s">
        <v>4767</v>
      </c>
      <c r="K903" s="4" t="s">
        <v>481</v>
      </c>
      <c r="L903" s="4" t="s">
        <v>651</v>
      </c>
      <c r="M903" s="4" t="s">
        <v>1950</v>
      </c>
      <c r="O903" s="9"/>
      <c r="Q903" s="8"/>
      <c r="R903" s="8"/>
      <c r="S903" s="4"/>
      <c r="Z903" s="4" t="s">
        <v>376</v>
      </c>
      <c r="AA903" s="7" t="s">
        <v>992</v>
      </c>
      <c r="AB903" s="9" t="s">
        <v>993</v>
      </c>
      <c r="AC903" s="4" t="s">
        <v>301</v>
      </c>
      <c r="AD903" s="4" t="s">
        <v>382</v>
      </c>
      <c r="AE903" s="8">
        <v>1503</v>
      </c>
      <c r="AF903" s="8">
        <v>7</v>
      </c>
      <c r="AG903" s="4" t="s">
        <v>303</v>
      </c>
      <c r="AH903" s="9" t="s">
        <v>304</v>
      </c>
      <c r="AI903" s="9" t="s">
        <v>598</v>
      </c>
      <c r="AJ903" s="9" t="s">
        <v>599</v>
      </c>
      <c r="AK903" s="9" t="s">
        <v>600</v>
      </c>
      <c r="AM903" s="8">
        <v>5</v>
      </c>
      <c r="AN903" s="4" t="s">
        <v>381</v>
      </c>
      <c r="AO903" s="4" t="s">
        <v>382</v>
      </c>
      <c r="AP903" s="4" t="s">
        <v>383</v>
      </c>
      <c r="AQ903" s="7" t="s">
        <v>384</v>
      </c>
      <c r="AR903" s="8" t="s">
        <v>827</v>
      </c>
      <c r="AS903" s="7">
        <v>0</v>
      </c>
      <c r="AT903" s="7">
        <v>0</v>
      </c>
      <c r="AU903" s="9" t="s">
        <v>303</v>
      </c>
      <c r="AV903" s="9" t="s">
        <v>406</v>
      </c>
      <c r="BA903" s="8">
        <v>5</v>
      </c>
      <c r="BG903" s="7"/>
      <c r="BH903" s="7"/>
      <c r="BP903" s="7">
        <v>110.4</v>
      </c>
      <c r="BR903" s="6">
        <v>0.55000000000000004</v>
      </c>
      <c r="BS903" s="7">
        <v>0.3</v>
      </c>
      <c r="BT903" s="7">
        <v>0.05</v>
      </c>
      <c r="BU903" s="7"/>
      <c r="BV903" s="7">
        <v>0.1</v>
      </c>
      <c r="DZ903" s="31"/>
      <c r="EH903" s="10">
        <f>BP903*BR903/100</f>
        <v>0.60720000000000007</v>
      </c>
      <c r="EI903" s="10">
        <f>BP903*BS903/100</f>
        <v>0.33119999999999999</v>
      </c>
      <c r="EJ903" s="10">
        <f>BP903*BT903/100</f>
        <v>5.5200000000000006E-2</v>
      </c>
      <c r="EL903" s="6">
        <f>BP903*BV903</f>
        <v>11.040000000000001</v>
      </c>
      <c r="EY903" s="6"/>
      <c r="FA903" s="6"/>
      <c r="GP903" s="32"/>
      <c r="GY903" s="6" t="s">
        <v>338</v>
      </c>
      <c r="GZ903" s="6" t="s">
        <v>994</v>
      </c>
      <c r="HA903" s="6" t="s">
        <v>1049</v>
      </c>
      <c r="HB903" s="6" t="s">
        <v>5538</v>
      </c>
      <c r="HC903" s="6" t="s">
        <v>929</v>
      </c>
      <c r="HD903" s="8" t="s">
        <v>5189</v>
      </c>
      <c r="HE903" s="8">
        <v>76907</v>
      </c>
      <c r="HF903" s="8" t="s">
        <v>5190</v>
      </c>
      <c r="HG903" s="9" t="s">
        <v>490</v>
      </c>
      <c r="HY903" s="9"/>
      <c r="ID903" s="8" t="s">
        <v>5192</v>
      </c>
      <c r="IE903" s="8" t="s">
        <v>538</v>
      </c>
      <c r="IF903" s="8" t="s">
        <v>445</v>
      </c>
      <c r="IG903" s="8" t="s">
        <v>5193</v>
      </c>
      <c r="IH903" s="8">
        <v>24396</v>
      </c>
      <c r="II903" s="8" t="s">
        <v>5194</v>
      </c>
      <c r="IJ903" s="8" t="s">
        <v>487</v>
      </c>
      <c r="IK903" s="8" t="s">
        <v>329</v>
      </c>
      <c r="IR903" s="9"/>
      <c r="JV903" s="7" t="s">
        <v>5195</v>
      </c>
      <c r="JW903" s="7" t="s">
        <v>910</v>
      </c>
      <c r="JX903" s="7" t="s">
        <v>320</v>
      </c>
      <c r="KG903" s="4" t="s">
        <v>323</v>
      </c>
      <c r="KM903" s="4" t="s">
        <v>521</v>
      </c>
      <c r="KN903" s="4" t="s">
        <v>702</v>
      </c>
      <c r="KP903" s="5" t="s">
        <v>358</v>
      </c>
      <c r="KQ903" s="5" t="s">
        <v>5539</v>
      </c>
      <c r="KR903" s="5" t="s">
        <v>4775</v>
      </c>
      <c r="KS903" s="5" t="s">
        <v>5540</v>
      </c>
      <c r="KT903" s="5" t="s">
        <v>5541</v>
      </c>
    </row>
    <row r="904" spans="1:306" ht="120" x14ac:dyDescent="0.25">
      <c r="A904" s="5" t="s">
        <v>6044</v>
      </c>
      <c r="B904" s="4" t="s">
        <v>383</v>
      </c>
      <c r="C904" s="7" t="s">
        <v>384</v>
      </c>
      <c r="D904" s="8" t="s">
        <v>827</v>
      </c>
      <c r="E904" s="4">
        <v>333966</v>
      </c>
      <c r="G904" s="4" t="s">
        <v>593</v>
      </c>
      <c r="H904" s="6">
        <v>138.4512841582</v>
      </c>
      <c r="I904" s="6">
        <v>-30.578933325200001</v>
      </c>
      <c r="J904" s="4" t="s">
        <v>6045</v>
      </c>
      <c r="K904" s="4" t="s">
        <v>595</v>
      </c>
      <c r="L904" s="4" t="s">
        <v>689</v>
      </c>
      <c r="Z904" s="4" t="s">
        <v>376</v>
      </c>
      <c r="AA904" s="7" t="s">
        <v>992</v>
      </c>
      <c r="AB904" s="8" t="s">
        <v>993</v>
      </c>
      <c r="AC904" s="4" t="s">
        <v>301</v>
      </c>
      <c r="AD904" s="4" t="s">
        <v>402</v>
      </c>
      <c r="AN904" s="4" t="s">
        <v>381</v>
      </c>
      <c r="AO904" s="4" t="s">
        <v>375</v>
      </c>
      <c r="AP904" s="4" t="s">
        <v>383</v>
      </c>
      <c r="AQ904" s="7" t="s">
        <v>384</v>
      </c>
      <c r="AR904" s="8" t="s">
        <v>827</v>
      </c>
      <c r="AS904" s="7">
        <v>0</v>
      </c>
      <c r="AT904" s="7">
        <v>0</v>
      </c>
      <c r="AU904" s="9" t="s">
        <v>303</v>
      </c>
      <c r="AV904" s="9" t="s">
        <v>406</v>
      </c>
      <c r="BA904" s="8">
        <v>5</v>
      </c>
      <c r="BP904" s="7">
        <f>0.89+0.18</f>
        <v>1.07</v>
      </c>
      <c r="BR904" s="6">
        <f>(0.89*0.83+0.18*0.8)/(0.89+0.18)</f>
        <v>0.82495327102803739</v>
      </c>
      <c r="DZ904" s="31"/>
      <c r="EB904" s="10"/>
      <c r="EH904" s="10">
        <f>BP904*BR904/100+600/1000000</f>
        <v>9.4269999999999996E-3</v>
      </c>
      <c r="EK904" s="6"/>
      <c r="GP904" s="32"/>
      <c r="GY904" s="6" t="s">
        <v>338</v>
      </c>
      <c r="GZ904" s="6" t="s">
        <v>994</v>
      </c>
      <c r="HC904" s="6" t="s">
        <v>929</v>
      </c>
      <c r="HD904" s="8" t="s">
        <v>3044</v>
      </c>
      <c r="HE904" s="8">
        <v>17814</v>
      </c>
      <c r="HF904" s="8" t="s">
        <v>3045</v>
      </c>
      <c r="HG904" s="9" t="s">
        <v>876</v>
      </c>
      <c r="KG904" s="4" t="s">
        <v>323</v>
      </c>
      <c r="KP904" s="5" t="s">
        <v>358</v>
      </c>
      <c r="KQ904" s="5" t="s">
        <v>6046</v>
      </c>
      <c r="KS904" s="5" t="s">
        <v>1516</v>
      </c>
      <c r="KT904" s="5" t="s">
        <v>6047</v>
      </c>
    </row>
    <row r="905" spans="1:306" ht="36" x14ac:dyDescent="0.25">
      <c r="A905" s="5" t="s">
        <v>6713</v>
      </c>
      <c r="B905" s="4" t="s">
        <v>376</v>
      </c>
      <c r="C905" s="7" t="s">
        <v>992</v>
      </c>
      <c r="D905" s="8" t="s">
        <v>993</v>
      </c>
      <c r="E905" s="4">
        <v>700048</v>
      </c>
      <c r="G905" s="4" t="s">
        <v>593</v>
      </c>
      <c r="H905" s="6">
        <v>137.91477</v>
      </c>
      <c r="I905" s="6">
        <v>-34.005339999999997</v>
      </c>
      <c r="J905" s="4" t="s">
        <v>594</v>
      </c>
      <c r="K905" s="4" t="s">
        <v>595</v>
      </c>
      <c r="L905" s="4" t="s">
        <v>596</v>
      </c>
      <c r="M905" s="4" t="s">
        <v>597</v>
      </c>
      <c r="Q905" s="8"/>
      <c r="R905" s="8"/>
      <c r="S905" s="4"/>
      <c r="Z905" s="4" t="s">
        <v>376</v>
      </c>
      <c r="AA905" s="7" t="s">
        <v>992</v>
      </c>
      <c r="AB905" s="8" t="s">
        <v>993</v>
      </c>
      <c r="AC905" s="4" t="s">
        <v>301</v>
      </c>
      <c r="AD905" s="4" t="s">
        <v>302</v>
      </c>
      <c r="AE905" s="8">
        <v>1599</v>
      </c>
      <c r="AF905" s="8">
        <v>6</v>
      </c>
      <c r="AG905" s="4" t="s">
        <v>303</v>
      </c>
      <c r="AH905" s="9" t="s">
        <v>304</v>
      </c>
      <c r="AI905" s="9" t="s">
        <v>598</v>
      </c>
      <c r="AJ905" s="9" t="s">
        <v>599</v>
      </c>
      <c r="AK905" s="9" t="s">
        <v>600</v>
      </c>
      <c r="AM905" s="8">
        <v>5</v>
      </c>
      <c r="DZ905" s="31"/>
      <c r="EB905" s="10"/>
      <c r="EY905" s="6"/>
      <c r="FA905" s="6"/>
      <c r="GP905" s="32"/>
      <c r="GY905" s="6" t="s">
        <v>407</v>
      </c>
      <c r="HD905" s="8" t="s">
        <v>4054</v>
      </c>
      <c r="HE905" s="8">
        <v>23126</v>
      </c>
      <c r="HF905" s="8" t="s">
        <v>6714</v>
      </c>
      <c r="HG905" s="9" t="s">
        <v>538</v>
      </c>
      <c r="HY905" s="9"/>
      <c r="IM905" s="9"/>
      <c r="JV905" s="7" t="s">
        <v>6715</v>
      </c>
      <c r="JX905" s="7" t="s">
        <v>320</v>
      </c>
      <c r="KG905" s="4" t="s">
        <v>323</v>
      </c>
      <c r="KP905" s="5" t="s">
        <v>358</v>
      </c>
      <c r="KQ905" s="5" t="s">
        <v>602</v>
      </c>
      <c r="KT905" s="5" t="s">
        <v>6716</v>
      </c>
    </row>
    <row r="906" spans="1:306" ht="120" x14ac:dyDescent="0.25">
      <c r="A906" s="5" t="s">
        <v>6851</v>
      </c>
      <c r="B906" s="4" t="s">
        <v>376</v>
      </c>
      <c r="C906" s="7" t="s">
        <v>992</v>
      </c>
      <c r="D906" s="8" t="s">
        <v>993</v>
      </c>
      <c r="E906" s="4">
        <v>336018</v>
      </c>
      <c r="G906" s="4" t="s">
        <v>530</v>
      </c>
      <c r="H906" s="6">
        <v>137.74</v>
      </c>
      <c r="I906" s="6">
        <v>-17.190000000000001</v>
      </c>
      <c r="J906" s="4" t="s">
        <v>6852</v>
      </c>
      <c r="K906" s="4" t="s">
        <v>481</v>
      </c>
      <c r="L906" s="4" t="s">
        <v>651</v>
      </c>
      <c r="M906" s="4" t="s">
        <v>1950</v>
      </c>
      <c r="Q906" s="8"/>
      <c r="R906" s="8"/>
      <c r="Z906" s="4" t="s">
        <v>376</v>
      </c>
      <c r="AA906" s="7" t="s">
        <v>992</v>
      </c>
      <c r="AB906" s="8" t="s">
        <v>993</v>
      </c>
      <c r="AC906" s="4" t="s">
        <v>301</v>
      </c>
      <c r="AD906" s="4" t="s">
        <v>375</v>
      </c>
      <c r="AE906" s="8"/>
      <c r="AF906" s="8"/>
      <c r="AN906" s="4" t="s">
        <v>381</v>
      </c>
      <c r="AO906" s="4" t="s">
        <v>402</v>
      </c>
      <c r="AP906" s="4" t="s">
        <v>383</v>
      </c>
      <c r="AQ906" s="7" t="s">
        <v>384</v>
      </c>
      <c r="AR906" s="7" t="s">
        <v>827</v>
      </c>
      <c r="AS906" s="7">
        <v>0</v>
      </c>
      <c r="AT906" s="7">
        <v>0</v>
      </c>
      <c r="AU906" s="9" t="s">
        <v>303</v>
      </c>
      <c r="AV906" s="9" t="s">
        <v>406</v>
      </c>
      <c r="BA906" s="8">
        <v>5</v>
      </c>
      <c r="BG906" s="7"/>
      <c r="BH906" s="7"/>
      <c r="BP906" s="7">
        <f>0.17+0.054+8.3972</f>
        <v>8.6212</v>
      </c>
      <c r="BR906" s="6">
        <f>((4.6*0.17)+(6*0.054)+(1.1*8.3972))/(BP906)</f>
        <v>1.1997076973043197</v>
      </c>
      <c r="DZ906" s="31"/>
      <c r="EH906" s="10">
        <f>BP906*BR906/100</f>
        <v>0.10342920000000001</v>
      </c>
      <c r="GP906" s="32"/>
      <c r="GY906" s="6" t="s">
        <v>338</v>
      </c>
      <c r="GZ906" s="6" t="s">
        <v>994</v>
      </c>
      <c r="HC906" s="6" t="s">
        <v>4752</v>
      </c>
      <c r="HD906" s="8" t="s">
        <v>6853</v>
      </c>
      <c r="HE906" s="8">
        <v>7486</v>
      </c>
      <c r="HF906" s="8" t="s">
        <v>6854</v>
      </c>
      <c r="HG906" s="4" t="s">
        <v>538</v>
      </c>
      <c r="HH906" s="9" t="s">
        <v>6855</v>
      </c>
      <c r="HI906" s="8">
        <v>20358</v>
      </c>
      <c r="HJ906" s="9" t="s">
        <v>6856</v>
      </c>
      <c r="HK906" s="9" t="s">
        <v>538</v>
      </c>
      <c r="IB906" s="8" t="s">
        <v>6853</v>
      </c>
      <c r="IC906" s="8">
        <v>7486</v>
      </c>
      <c r="ID906" s="8" t="s">
        <v>6857</v>
      </c>
      <c r="IE906" s="4" t="s">
        <v>538</v>
      </c>
      <c r="IF906" s="8" t="s">
        <v>445</v>
      </c>
      <c r="IW906" s="8"/>
      <c r="JB906" s="8"/>
      <c r="JV906" s="7" t="s">
        <v>6858</v>
      </c>
      <c r="JX906" s="7" t="s">
        <v>320</v>
      </c>
      <c r="KG906" s="4" t="s">
        <v>323</v>
      </c>
      <c r="KM906" s="4" t="s">
        <v>471</v>
      </c>
      <c r="KN906" s="4" t="s">
        <v>471</v>
      </c>
      <c r="KP906" s="5" t="s">
        <v>358</v>
      </c>
      <c r="KQ906" s="5" t="s">
        <v>6859</v>
      </c>
      <c r="KS906" s="5" t="s">
        <v>6860</v>
      </c>
      <c r="KT906" s="5" t="s">
        <v>6861</v>
      </c>
    </row>
    <row r="907" spans="1:306" ht="120" x14ac:dyDescent="0.25">
      <c r="A907" s="5" t="s">
        <v>7287</v>
      </c>
      <c r="B907" s="4" t="s">
        <v>376</v>
      </c>
      <c r="C907" s="7" t="s">
        <v>992</v>
      </c>
      <c r="D907" s="8" t="s">
        <v>993</v>
      </c>
      <c r="E907" s="4">
        <v>806214</v>
      </c>
      <c r="G907" s="4" t="s">
        <v>530</v>
      </c>
      <c r="H907" s="6">
        <v>137.75</v>
      </c>
      <c r="I907" s="6">
        <v>-16.73</v>
      </c>
      <c r="J907" s="4" t="s">
        <v>7288</v>
      </c>
      <c r="K907" s="4" t="s">
        <v>481</v>
      </c>
      <c r="L907" s="4" t="s">
        <v>651</v>
      </c>
      <c r="M907" s="4" t="s">
        <v>1950</v>
      </c>
      <c r="Q907" s="8"/>
      <c r="R907" s="8"/>
      <c r="Z907" s="4" t="s">
        <v>376</v>
      </c>
      <c r="AA907" s="7" t="s">
        <v>992</v>
      </c>
      <c r="AB907" s="8" t="s">
        <v>993</v>
      </c>
      <c r="AC907" s="4" t="s">
        <v>301</v>
      </c>
      <c r="AD907" s="4" t="s">
        <v>375</v>
      </c>
      <c r="AE907" s="8"/>
      <c r="AF907" s="8"/>
      <c r="AN907" s="4" t="s">
        <v>381</v>
      </c>
      <c r="AO907" s="4" t="s">
        <v>402</v>
      </c>
      <c r="AP907" s="4" t="s">
        <v>383</v>
      </c>
      <c r="AQ907" s="7" t="s">
        <v>384</v>
      </c>
      <c r="AR907" s="7" t="s">
        <v>827</v>
      </c>
      <c r="AS907" s="7">
        <v>0</v>
      </c>
      <c r="AT907" s="7">
        <v>0</v>
      </c>
      <c r="AU907" s="9" t="s">
        <v>303</v>
      </c>
      <c r="AV907" s="9" t="s">
        <v>406</v>
      </c>
      <c r="BA907" s="8">
        <v>5</v>
      </c>
      <c r="BG907" s="7"/>
      <c r="BH907" s="7"/>
      <c r="BP907" s="7">
        <v>0.94199999999999995</v>
      </c>
      <c r="BR907" s="6">
        <v>1.2</v>
      </c>
      <c r="CK907" s="6">
        <v>0.13</v>
      </c>
      <c r="CL907" s="6">
        <v>0.06</v>
      </c>
      <c r="DZ907" s="31"/>
      <c r="EH907" s="10">
        <f>BP907*BR907/100</f>
        <v>1.1303999999999998E-2</v>
      </c>
      <c r="EZ907" s="6">
        <f>1000*BP907*CK907/100</f>
        <v>1.2246000000000001</v>
      </c>
      <c r="FA907" s="10">
        <f>BP907*CL907/100</f>
        <v>5.6519999999999997E-4</v>
      </c>
      <c r="GP907" s="32"/>
      <c r="GY907" s="6" t="s">
        <v>338</v>
      </c>
      <c r="GZ907" s="6" t="s">
        <v>1187</v>
      </c>
      <c r="HB907" s="6" t="s">
        <v>928</v>
      </c>
      <c r="HD907" s="8" t="s">
        <v>6853</v>
      </c>
      <c r="HE907" s="8">
        <v>7486</v>
      </c>
      <c r="HF907" s="8" t="s">
        <v>6854</v>
      </c>
      <c r="HG907" s="4" t="s">
        <v>538</v>
      </c>
      <c r="IB907" s="8" t="s">
        <v>6853</v>
      </c>
      <c r="IC907" s="8">
        <v>7486</v>
      </c>
      <c r="ID907" s="8" t="s">
        <v>6857</v>
      </c>
      <c r="IE907" s="4" t="s">
        <v>538</v>
      </c>
      <c r="IF907" s="8" t="s">
        <v>445</v>
      </c>
      <c r="IW907" s="8"/>
      <c r="JB907" s="8"/>
      <c r="JV907" s="7" t="s">
        <v>7289</v>
      </c>
      <c r="JX907" s="7" t="s">
        <v>320</v>
      </c>
      <c r="JY907" s="7" t="s">
        <v>470</v>
      </c>
      <c r="JZ907" s="7" t="s">
        <v>355</v>
      </c>
      <c r="KG907" s="4" t="s">
        <v>323</v>
      </c>
      <c r="KM907" s="4" t="s">
        <v>471</v>
      </c>
      <c r="KN907" s="4" t="s">
        <v>471</v>
      </c>
      <c r="KP907" s="5" t="s">
        <v>358</v>
      </c>
      <c r="KQ907" s="5" t="s">
        <v>1826</v>
      </c>
      <c r="KS907" s="5" t="s">
        <v>7290</v>
      </c>
      <c r="KT907" s="5" t="s">
        <v>7291</v>
      </c>
    </row>
    <row r="908" spans="1:306" ht="48" x14ac:dyDescent="0.25">
      <c r="A908" s="5" t="s">
        <v>7788</v>
      </c>
      <c r="B908" s="4" t="s">
        <v>376</v>
      </c>
      <c r="C908" s="7" t="s">
        <v>992</v>
      </c>
      <c r="D908" s="9" t="s">
        <v>993</v>
      </c>
      <c r="E908" s="4">
        <v>333410</v>
      </c>
      <c r="G908" s="4" t="s">
        <v>479</v>
      </c>
      <c r="H908" s="6">
        <v>140.47083799999999</v>
      </c>
      <c r="I908" s="6">
        <v>-21.777512999999999</v>
      </c>
      <c r="J908" s="4" t="s">
        <v>4767</v>
      </c>
      <c r="K908" s="4" t="s">
        <v>481</v>
      </c>
      <c r="L908" s="4" t="s">
        <v>651</v>
      </c>
      <c r="M908" s="4" t="s">
        <v>1950</v>
      </c>
      <c r="O908" s="9"/>
      <c r="Q908" s="8"/>
      <c r="Z908" s="4" t="s">
        <v>376</v>
      </c>
      <c r="AA908" s="7" t="s">
        <v>992</v>
      </c>
      <c r="AB908" s="9" t="s">
        <v>993</v>
      </c>
      <c r="AC908" s="4" t="s">
        <v>301</v>
      </c>
      <c r="AD908" s="4" t="s">
        <v>375</v>
      </c>
      <c r="AE908" s="8">
        <v>1503</v>
      </c>
      <c r="AG908" s="9" t="s">
        <v>379</v>
      </c>
      <c r="AH908" s="9" t="s">
        <v>1156</v>
      </c>
      <c r="AM908" s="8">
        <v>3</v>
      </c>
      <c r="AN908" s="4" t="s">
        <v>381</v>
      </c>
      <c r="AO908" s="4" t="s">
        <v>402</v>
      </c>
      <c r="AP908" s="4" t="s">
        <v>383</v>
      </c>
      <c r="AQ908" s="7" t="s">
        <v>384</v>
      </c>
      <c r="AR908" s="8" t="s">
        <v>827</v>
      </c>
      <c r="AS908" s="7">
        <v>0</v>
      </c>
      <c r="AT908" s="7">
        <v>0</v>
      </c>
      <c r="AU908" s="9" t="s">
        <v>303</v>
      </c>
      <c r="AV908" s="9" t="s">
        <v>406</v>
      </c>
      <c r="BA908" s="8">
        <v>5</v>
      </c>
      <c r="BG908" s="7"/>
      <c r="BH908" s="7"/>
      <c r="BP908" s="7">
        <f>0.2+5.08</f>
        <v>5.28</v>
      </c>
      <c r="BR908" s="6">
        <f>(2.5*0.2+1.12*5.08)/(0.2+5.08)</f>
        <v>1.1722727272727274</v>
      </c>
      <c r="BV908" s="6">
        <f>(0.3*0.2+0.18*5.08)/(0.2+5.08)</f>
        <v>0.18454545454545451</v>
      </c>
      <c r="DZ908" s="31"/>
      <c r="EH908" s="10">
        <f>BP908*BR908/100</f>
        <v>6.1896000000000007E-2</v>
      </c>
      <c r="EL908" s="6">
        <f>BP908*BV908</f>
        <v>0.97439999999999982</v>
      </c>
      <c r="GP908" s="32"/>
      <c r="GY908" s="6" t="s">
        <v>338</v>
      </c>
      <c r="GZ908" s="6" t="s">
        <v>994</v>
      </c>
      <c r="HA908" s="6" t="s">
        <v>1432</v>
      </c>
      <c r="HC908" s="6" t="s">
        <v>929</v>
      </c>
      <c r="HD908" s="8" t="s">
        <v>5189</v>
      </c>
      <c r="HE908" s="8">
        <v>76907</v>
      </c>
      <c r="HF908" s="8" t="s">
        <v>5567</v>
      </c>
      <c r="HG908" s="4" t="s">
        <v>490</v>
      </c>
      <c r="KG908" s="4" t="s">
        <v>323</v>
      </c>
      <c r="KM908" s="4" t="s">
        <v>702</v>
      </c>
      <c r="KN908" s="4" t="s">
        <v>702</v>
      </c>
      <c r="KP908" s="5" t="s">
        <v>358</v>
      </c>
      <c r="KQ908" s="5" t="s">
        <v>4914</v>
      </c>
      <c r="KR908" s="5" t="s">
        <v>4915</v>
      </c>
      <c r="KS908" s="5" t="s">
        <v>4776</v>
      </c>
      <c r="KT908" s="5" t="s">
        <v>7789</v>
      </c>
    </row>
    <row r="909" spans="1:306" ht="192" x14ac:dyDescent="0.25">
      <c r="A909" s="5" t="s">
        <v>7085</v>
      </c>
      <c r="B909" s="4" t="s">
        <v>376</v>
      </c>
      <c r="C909" s="7" t="s">
        <v>7086</v>
      </c>
      <c r="D909" s="8" t="s">
        <v>7087</v>
      </c>
      <c r="E909" s="4">
        <v>334638</v>
      </c>
      <c r="G909" s="4" t="s">
        <v>296</v>
      </c>
      <c r="H909" s="6">
        <v>145.203048</v>
      </c>
      <c r="I909" s="6">
        <v>-41.489474000000001</v>
      </c>
      <c r="J909" s="4" t="s">
        <v>7085</v>
      </c>
      <c r="K909" s="4" t="s">
        <v>298</v>
      </c>
      <c r="L909" s="4" t="s">
        <v>400</v>
      </c>
      <c r="M909" s="4" t="s">
        <v>401</v>
      </c>
      <c r="Q909" s="8"/>
      <c r="R909" s="8"/>
      <c r="Z909" s="4" t="s">
        <v>376</v>
      </c>
      <c r="AA909" s="7" t="s">
        <v>7086</v>
      </c>
      <c r="AB909" s="8" t="s">
        <v>7087</v>
      </c>
      <c r="AC909" s="4" t="s">
        <v>301</v>
      </c>
      <c r="AD909" s="4" t="s">
        <v>302</v>
      </c>
      <c r="AE909" s="8">
        <v>500</v>
      </c>
      <c r="AF909" s="8">
        <v>9</v>
      </c>
      <c r="AG909" s="9" t="s">
        <v>379</v>
      </c>
      <c r="AH909" s="9" t="s">
        <v>335</v>
      </c>
      <c r="AI909" s="9" t="s">
        <v>504</v>
      </c>
      <c r="AJ909" s="9" t="s">
        <v>306</v>
      </c>
      <c r="AK909" s="9" t="s">
        <v>307</v>
      </c>
      <c r="AL909" s="9" t="s">
        <v>308</v>
      </c>
      <c r="AM909" s="8">
        <v>3</v>
      </c>
      <c r="BP909" s="7">
        <v>489.9</v>
      </c>
      <c r="CJ909" s="7">
        <f>45.5*68.3/100</f>
        <v>31.076499999999999</v>
      </c>
      <c r="DZ909" s="31"/>
      <c r="EY909" s="8">
        <f>BP909*CJ909/100</f>
        <v>152.24377349999997</v>
      </c>
      <c r="FA909" s="6"/>
      <c r="GP909" s="32"/>
      <c r="GY909" s="6" t="s">
        <v>338</v>
      </c>
      <c r="HD909" s="8" t="s">
        <v>7088</v>
      </c>
      <c r="HE909" s="8">
        <v>2438</v>
      </c>
      <c r="HF909" s="8" t="s">
        <v>7089</v>
      </c>
      <c r="HG909" s="9" t="s">
        <v>876</v>
      </c>
      <c r="HQ909" s="9"/>
      <c r="HY909" s="9"/>
      <c r="IM909" s="9"/>
      <c r="IR909" s="9"/>
      <c r="JV909" s="7" t="s">
        <v>7090</v>
      </c>
      <c r="JX909" s="7" t="s">
        <v>353</v>
      </c>
      <c r="JY909" s="7" t="s">
        <v>448</v>
      </c>
      <c r="JZ909" s="7" t="s">
        <v>320</v>
      </c>
      <c r="KA909" s="7" t="s">
        <v>354</v>
      </c>
      <c r="KB909" s="7" t="s">
        <v>355</v>
      </c>
      <c r="KG909" s="4" t="s">
        <v>323</v>
      </c>
      <c r="KM909" s="4" t="s">
        <v>521</v>
      </c>
      <c r="KN909" s="4" t="s">
        <v>521</v>
      </c>
      <c r="KO909" s="4" t="s">
        <v>350</v>
      </c>
      <c r="KP909" s="5" t="s">
        <v>7091</v>
      </c>
      <c r="KQ909" s="5" t="s">
        <v>7092</v>
      </c>
      <c r="KR909" s="5" t="s">
        <v>7093</v>
      </c>
      <c r="KS909" s="47" t="s">
        <v>7094</v>
      </c>
      <c r="KT909" s="5" t="s">
        <v>7095</v>
      </c>
    </row>
    <row r="910" spans="1:306" ht="108" x14ac:dyDescent="0.25">
      <c r="A910" s="5" t="s">
        <v>6987</v>
      </c>
      <c r="B910" s="4" t="s">
        <v>376</v>
      </c>
      <c r="C910" s="7" t="s">
        <v>591</v>
      </c>
      <c r="D910" s="8" t="s">
        <v>2371</v>
      </c>
      <c r="E910" s="4">
        <v>596105</v>
      </c>
      <c r="G910" s="4" t="s">
        <v>479</v>
      </c>
      <c r="H910" s="6">
        <f>140+8/60+24/3600</f>
        <v>140.13999999999999</v>
      </c>
      <c r="I910" s="6">
        <f>-(20+13/60+12/3600)</f>
        <v>-20.22</v>
      </c>
      <c r="J910" s="4" t="s">
        <v>6988</v>
      </c>
      <c r="K910" s="4" t="s">
        <v>481</v>
      </c>
      <c r="L910" s="4" t="s">
        <v>651</v>
      </c>
      <c r="M910" s="4" t="s">
        <v>6989</v>
      </c>
      <c r="Q910" s="4"/>
      <c r="R910" s="4"/>
      <c r="S910" s="4"/>
      <c r="T910" s="4"/>
      <c r="U910" s="4"/>
      <c r="V910" s="4"/>
      <c r="W910" s="4"/>
      <c r="X910" s="4"/>
      <c r="Z910" s="4" t="s">
        <v>376</v>
      </c>
      <c r="AA910" s="7" t="s">
        <v>591</v>
      </c>
      <c r="AB910" s="8" t="s">
        <v>2371</v>
      </c>
      <c r="AC910" s="4" t="s">
        <v>301</v>
      </c>
      <c r="AD910" s="4" t="s">
        <v>375</v>
      </c>
      <c r="AE910" s="4">
        <v>1523</v>
      </c>
      <c r="AF910" s="4"/>
      <c r="AG910" s="4" t="s">
        <v>379</v>
      </c>
      <c r="AH910" s="4" t="s">
        <v>1156</v>
      </c>
      <c r="AI910" s="4"/>
      <c r="AJ910" s="4"/>
      <c r="AK910" s="4"/>
      <c r="AL910" s="4"/>
      <c r="AM910" s="8">
        <v>2</v>
      </c>
      <c r="AN910" s="4" t="s">
        <v>381</v>
      </c>
      <c r="AO910" s="4" t="s">
        <v>382</v>
      </c>
      <c r="AP910" s="4" t="s">
        <v>383</v>
      </c>
      <c r="AQ910" s="7" t="s">
        <v>384</v>
      </c>
      <c r="AR910" s="8" t="s">
        <v>827</v>
      </c>
      <c r="AS910" s="7">
        <v>0</v>
      </c>
      <c r="AT910" s="7">
        <v>0</v>
      </c>
      <c r="AU910" s="9" t="s">
        <v>303</v>
      </c>
      <c r="AV910" s="9" t="s">
        <v>406</v>
      </c>
      <c r="BA910" s="8">
        <v>5</v>
      </c>
      <c r="BP910" s="7">
        <f>173.5+156.9</f>
        <v>330.4</v>
      </c>
      <c r="BQ910" s="4"/>
      <c r="BR910" s="6">
        <f>(0.37*173.5+0.54*156.9)/(173.5+156.9)</f>
        <v>0.45072941888619855</v>
      </c>
      <c r="BS910" s="4"/>
      <c r="BT910" s="4"/>
      <c r="BU910" s="4"/>
      <c r="BV910" s="6">
        <f>(0.07*173.5+0*156.9)/(173.5+156.9)</f>
        <v>3.675847457627119E-2</v>
      </c>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31"/>
      <c r="EA910" s="4"/>
      <c r="EB910" s="4"/>
      <c r="EC910" s="4"/>
      <c r="ED910" s="4"/>
      <c r="EE910" s="4"/>
      <c r="EF910" s="4"/>
      <c r="EG910" s="4"/>
      <c r="EH910" s="10">
        <f>BP910*BR910/100</f>
        <v>1.4892099999999999</v>
      </c>
      <c r="EL910" s="6">
        <f>BP910*BV910</f>
        <v>12.145</v>
      </c>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32"/>
      <c r="GQ910" s="4"/>
      <c r="GR910" s="4"/>
      <c r="GS910" s="4"/>
      <c r="GT910" s="4"/>
      <c r="GU910" s="4"/>
      <c r="GV910" s="4"/>
      <c r="GW910" s="4"/>
      <c r="GX910" s="4"/>
      <c r="GY910" s="4" t="s">
        <v>338</v>
      </c>
      <c r="GZ910" s="4" t="s">
        <v>994</v>
      </c>
      <c r="HA910" s="4"/>
      <c r="HB910" s="4" t="s">
        <v>436</v>
      </c>
      <c r="HC910" s="4" t="s">
        <v>2372</v>
      </c>
      <c r="HD910" s="4" t="s">
        <v>2965</v>
      </c>
      <c r="HE910" s="8">
        <v>4727</v>
      </c>
      <c r="HF910" s="4" t="s">
        <v>6990</v>
      </c>
      <c r="HG910" s="4" t="s">
        <v>490</v>
      </c>
      <c r="HH910" s="4" t="s">
        <v>6991</v>
      </c>
      <c r="HI910" s="8">
        <v>74231</v>
      </c>
      <c r="HJ910" s="4" t="s">
        <v>6992</v>
      </c>
      <c r="HK910" s="4" t="s">
        <v>490</v>
      </c>
      <c r="HL910" s="4" t="s">
        <v>6993</v>
      </c>
      <c r="HM910" s="8">
        <v>24222</v>
      </c>
      <c r="HN910" s="4" t="s">
        <v>6994</v>
      </c>
      <c r="HO910" s="4" t="s">
        <v>490</v>
      </c>
      <c r="HP910" s="4"/>
      <c r="HR910" s="4"/>
      <c r="HS910" s="4"/>
      <c r="HT910" s="4"/>
      <c r="HU910" s="4"/>
      <c r="HV910" s="4"/>
      <c r="HW910" s="4"/>
      <c r="HX910" s="4"/>
      <c r="HY910" s="4"/>
      <c r="HZ910" s="4"/>
      <c r="IA910" s="4"/>
      <c r="IB910" s="4"/>
      <c r="ID910" s="4" t="s">
        <v>6995</v>
      </c>
      <c r="IE910" s="4" t="s">
        <v>538</v>
      </c>
      <c r="IF910" s="4" t="s">
        <v>445</v>
      </c>
      <c r="IG910" s="4" t="s">
        <v>6996</v>
      </c>
      <c r="IH910" s="4">
        <v>30727</v>
      </c>
      <c r="II910" s="4" t="s">
        <v>6997</v>
      </c>
      <c r="IJ910" s="4" t="s">
        <v>538</v>
      </c>
      <c r="IK910" s="4" t="s">
        <v>445</v>
      </c>
      <c r="IL910" s="4" t="s">
        <v>6998</v>
      </c>
      <c r="IM910" s="8">
        <v>36128</v>
      </c>
      <c r="IN910" s="4" t="s">
        <v>6999</v>
      </c>
      <c r="IO910" s="4" t="s">
        <v>487</v>
      </c>
      <c r="IP910" s="4" t="s">
        <v>329</v>
      </c>
      <c r="IQ910" s="4"/>
      <c r="IR910" s="4"/>
      <c r="IS910" s="4" t="s">
        <v>5083</v>
      </c>
      <c r="IT910" s="4" t="s">
        <v>487</v>
      </c>
      <c r="IU910" s="4" t="s">
        <v>319</v>
      </c>
      <c r="IV910" s="4"/>
      <c r="IW910" s="4"/>
      <c r="IX910" s="4"/>
      <c r="IY910" s="4"/>
      <c r="IZ910" s="4"/>
      <c r="JA910" s="4"/>
      <c r="JB910" s="4"/>
      <c r="JC910" s="4"/>
      <c r="JD910" s="4"/>
      <c r="JE910" s="4"/>
      <c r="JF910" s="4"/>
      <c r="JG910" s="4"/>
      <c r="JH910" s="4"/>
      <c r="JI910" s="4"/>
      <c r="JJ910" s="4"/>
      <c r="JK910" s="4"/>
      <c r="JL910" s="4"/>
      <c r="JM910" s="4"/>
      <c r="JN910" s="4"/>
      <c r="JO910" s="4"/>
      <c r="JP910" s="4"/>
      <c r="JQ910" s="4"/>
      <c r="JR910" s="4"/>
      <c r="JS910" s="4"/>
      <c r="JT910" s="4"/>
      <c r="JU910" s="4"/>
      <c r="JV910" s="4" t="s">
        <v>7000</v>
      </c>
      <c r="JW910" s="4"/>
      <c r="JX910" s="4" t="s">
        <v>353</v>
      </c>
      <c r="JY910" s="4" t="s">
        <v>321</v>
      </c>
      <c r="JZ910" s="4" t="s">
        <v>320</v>
      </c>
      <c r="KA910" s="4" t="s">
        <v>321</v>
      </c>
      <c r="KB910" s="4" t="s">
        <v>322</v>
      </c>
      <c r="KC910" s="4" t="s">
        <v>321</v>
      </c>
      <c r="KD910" s="4" t="s">
        <v>355</v>
      </c>
      <c r="KE910" s="4"/>
      <c r="KF910" s="4"/>
      <c r="KG910" s="4" t="s">
        <v>323</v>
      </c>
      <c r="KM910" s="4" t="s">
        <v>391</v>
      </c>
      <c r="KN910" s="4" t="s">
        <v>702</v>
      </c>
      <c r="KP910" s="5" t="s">
        <v>7001</v>
      </c>
      <c r="KQ910" s="5" t="s">
        <v>7001</v>
      </c>
      <c r="KS910" s="5" t="s">
        <v>7001</v>
      </c>
      <c r="KT910" s="5" t="s">
        <v>7002</v>
      </c>
    </row>
    <row r="911" spans="1:306" ht="132" customHeight="1" x14ac:dyDescent="0.25">
      <c r="A911" s="5" t="s">
        <v>7375</v>
      </c>
      <c r="B911" s="4" t="s">
        <v>376</v>
      </c>
      <c r="C911" s="7" t="s">
        <v>591</v>
      </c>
      <c r="D911" s="8" t="s">
        <v>2371</v>
      </c>
      <c r="E911" s="4">
        <v>339288</v>
      </c>
      <c r="G911" s="4" t="s">
        <v>479</v>
      </c>
      <c r="H911" s="6">
        <v>140.49</v>
      </c>
      <c r="I911" s="6">
        <v>-21.55</v>
      </c>
      <c r="J911" s="4" t="s">
        <v>4767</v>
      </c>
      <c r="K911" s="4" t="s">
        <v>481</v>
      </c>
      <c r="L911" s="4" t="s">
        <v>651</v>
      </c>
      <c r="M911" s="4" t="s">
        <v>1950</v>
      </c>
      <c r="Q911" s="8"/>
      <c r="R911" s="8"/>
      <c r="S911" s="4"/>
      <c r="Z911" s="4" t="s">
        <v>376</v>
      </c>
      <c r="AA911" s="7" t="s">
        <v>591</v>
      </c>
      <c r="AB911" s="8" t="s">
        <v>2371</v>
      </c>
      <c r="AC911" s="4" t="s">
        <v>301</v>
      </c>
      <c r="AD911" s="4" t="s">
        <v>375</v>
      </c>
      <c r="AE911" s="8">
        <v>1520</v>
      </c>
      <c r="AF911" s="8">
        <v>1</v>
      </c>
      <c r="AG911" s="4" t="s">
        <v>303</v>
      </c>
      <c r="AH911" s="9" t="s">
        <v>304</v>
      </c>
      <c r="AI911" s="9" t="s">
        <v>4052</v>
      </c>
      <c r="AJ911" s="9" t="s">
        <v>1080</v>
      </c>
      <c r="AK911" s="9" t="s">
        <v>307</v>
      </c>
      <c r="AL911" s="9" t="s">
        <v>1295</v>
      </c>
      <c r="AM911" s="8">
        <v>5</v>
      </c>
      <c r="AN911" s="4" t="s">
        <v>381</v>
      </c>
      <c r="AO911" s="4" t="s">
        <v>402</v>
      </c>
      <c r="AP911" s="4" t="s">
        <v>383</v>
      </c>
      <c r="AQ911" s="7" t="s">
        <v>384</v>
      </c>
      <c r="AR911" s="8" t="s">
        <v>827</v>
      </c>
      <c r="AS911" s="7">
        <v>0</v>
      </c>
      <c r="AT911" s="7">
        <v>0</v>
      </c>
      <c r="AU911" s="9" t="s">
        <v>303</v>
      </c>
      <c r="AV911" s="9" t="s">
        <v>406</v>
      </c>
      <c r="BA911" s="8">
        <v>5</v>
      </c>
      <c r="BP911" s="7">
        <v>317.7</v>
      </c>
      <c r="BR911" s="6">
        <v>0.56000000000000005</v>
      </c>
      <c r="BS911" s="7"/>
      <c r="BT911" s="7"/>
      <c r="BU911" s="7"/>
      <c r="BV911" s="6">
        <v>0.34</v>
      </c>
      <c r="DZ911" s="31"/>
      <c r="EH911" s="10">
        <v>1.7790999999999999</v>
      </c>
      <c r="EL911" s="6">
        <v>108.02</v>
      </c>
      <c r="EY911" s="6"/>
      <c r="FA911" s="6"/>
      <c r="GP911" s="32"/>
      <c r="GY911" s="6" t="s">
        <v>338</v>
      </c>
      <c r="GZ911" s="6" t="s">
        <v>1361</v>
      </c>
      <c r="HC911" s="6" t="s">
        <v>2372</v>
      </c>
      <c r="HD911" s="8" t="s">
        <v>4911</v>
      </c>
      <c r="HE911" s="8">
        <v>17306</v>
      </c>
      <c r="HF911" s="8" t="s">
        <v>7376</v>
      </c>
      <c r="HG911" s="9" t="s">
        <v>490</v>
      </c>
      <c r="HY911" s="9"/>
      <c r="IB911" s="4" t="s">
        <v>7377</v>
      </c>
      <c r="ID911" s="4" t="s">
        <v>2946</v>
      </c>
      <c r="IE911" s="4" t="s">
        <v>538</v>
      </c>
      <c r="IF911" s="4" t="s">
        <v>445</v>
      </c>
      <c r="IG911" s="8" t="s">
        <v>5569</v>
      </c>
      <c r="IH911" s="8">
        <v>30680</v>
      </c>
      <c r="II911" s="8" t="s">
        <v>2896</v>
      </c>
      <c r="IJ911" s="8" t="s">
        <v>487</v>
      </c>
      <c r="IK911" s="8" t="s">
        <v>319</v>
      </c>
      <c r="IN911" s="9" t="s">
        <v>7378</v>
      </c>
      <c r="IO911" s="9" t="s">
        <v>2974</v>
      </c>
      <c r="IP911" s="9" t="s">
        <v>350</v>
      </c>
      <c r="IR911" s="9"/>
      <c r="JX911" s="7" t="s">
        <v>353</v>
      </c>
      <c r="JY911" s="7" t="s">
        <v>354</v>
      </c>
      <c r="JZ911" s="7" t="s">
        <v>320</v>
      </c>
      <c r="KA911" s="7" t="s">
        <v>354</v>
      </c>
      <c r="KB911" s="7" t="s">
        <v>1034</v>
      </c>
      <c r="KC911" s="7" t="s">
        <v>448</v>
      </c>
      <c r="KD911" s="7" t="s">
        <v>7379</v>
      </c>
      <c r="KG911" s="4" t="s">
        <v>1893</v>
      </c>
      <c r="KH911" s="4" t="s">
        <v>7380</v>
      </c>
      <c r="KM911" s="4" t="s">
        <v>702</v>
      </c>
      <c r="KN911" s="4" t="s">
        <v>702</v>
      </c>
      <c r="KP911" s="5" t="s">
        <v>4773</v>
      </c>
      <c r="KQ911" s="5" t="s">
        <v>7381</v>
      </c>
      <c r="KR911" s="5" t="s">
        <v>7382</v>
      </c>
      <c r="KS911" s="5" t="s">
        <v>4776</v>
      </c>
      <c r="KT911" s="5" t="s">
        <v>7383</v>
      </c>
    </row>
    <row r="912" spans="1:306" ht="132" x14ac:dyDescent="0.25">
      <c r="A912" s="5" t="s">
        <v>3174</v>
      </c>
      <c r="B912" s="4" t="s">
        <v>376</v>
      </c>
      <c r="C912" s="7" t="s">
        <v>591</v>
      </c>
      <c r="D912" s="8" t="s">
        <v>2371</v>
      </c>
      <c r="E912" s="4">
        <v>334994</v>
      </c>
      <c r="G912" s="4" t="s">
        <v>479</v>
      </c>
      <c r="H912" s="6">
        <v>140.70164700000001</v>
      </c>
      <c r="I912" s="6">
        <v>-20.441313999999998</v>
      </c>
      <c r="J912" s="4" t="s">
        <v>1949</v>
      </c>
      <c r="K912" s="4" t="s">
        <v>481</v>
      </c>
      <c r="L912" s="4" t="s">
        <v>651</v>
      </c>
      <c r="M912" s="4" t="s">
        <v>1950</v>
      </c>
      <c r="Q912" s="8"/>
      <c r="R912" s="8"/>
      <c r="S912" s="4"/>
      <c r="Z912" s="4" t="s">
        <v>376</v>
      </c>
      <c r="AA912" s="7" t="s">
        <v>591</v>
      </c>
      <c r="AB912" s="8" t="s">
        <v>2371</v>
      </c>
      <c r="AC912" s="4" t="s">
        <v>301</v>
      </c>
      <c r="AD912" s="4" t="s">
        <v>375</v>
      </c>
      <c r="AE912" s="8">
        <v>1523</v>
      </c>
      <c r="AF912" s="8">
        <v>15</v>
      </c>
      <c r="AG912" s="4" t="s">
        <v>379</v>
      </c>
      <c r="AH912" s="9" t="s">
        <v>460</v>
      </c>
      <c r="AM912" s="8">
        <v>4</v>
      </c>
      <c r="AN912" s="4" t="s">
        <v>381</v>
      </c>
      <c r="AO912" s="4" t="s">
        <v>402</v>
      </c>
      <c r="AP912" s="4" t="s">
        <v>383</v>
      </c>
      <c r="AQ912" s="7" t="s">
        <v>384</v>
      </c>
      <c r="AR912" s="8" t="s">
        <v>827</v>
      </c>
      <c r="BP912" s="7">
        <v>166</v>
      </c>
      <c r="BR912" s="7">
        <v>1.1000000000000001</v>
      </c>
      <c r="BV912" s="6">
        <v>0.54</v>
      </c>
      <c r="DZ912" s="31"/>
      <c r="EH912" s="10">
        <f>BP912*BR912/100</f>
        <v>1.8260000000000003</v>
      </c>
      <c r="EL912" s="6">
        <f>BP912*BV912</f>
        <v>89.64</v>
      </c>
      <c r="EY912" s="6"/>
      <c r="FA912" s="6"/>
      <c r="GP912" s="32"/>
      <c r="GY912" s="6" t="s">
        <v>338</v>
      </c>
      <c r="GZ912" s="6" t="s">
        <v>1361</v>
      </c>
      <c r="HC912" s="6" t="s">
        <v>2372</v>
      </c>
      <c r="HD912" s="8" t="s">
        <v>2891</v>
      </c>
      <c r="HE912" s="8">
        <v>31420</v>
      </c>
      <c r="HF912" s="8" t="s">
        <v>2892</v>
      </c>
      <c r="HG912" s="9" t="s">
        <v>490</v>
      </c>
      <c r="HY912" s="9"/>
      <c r="IB912" s="8" t="s">
        <v>2891</v>
      </c>
      <c r="IC912" s="8">
        <v>31420</v>
      </c>
      <c r="ID912" s="8" t="s">
        <v>2893</v>
      </c>
      <c r="IE912" s="9" t="s">
        <v>538</v>
      </c>
      <c r="IF912" s="8" t="s">
        <v>445</v>
      </c>
      <c r="II912" s="8" t="s">
        <v>2894</v>
      </c>
      <c r="IJ912" s="8" t="s">
        <v>538</v>
      </c>
      <c r="IK912" s="8" t="s">
        <v>445</v>
      </c>
      <c r="IL912" s="9" t="s">
        <v>2895</v>
      </c>
      <c r="IM912" s="8">
        <v>30680</v>
      </c>
      <c r="IN912" s="9" t="s">
        <v>2896</v>
      </c>
      <c r="IO912" s="9" t="s">
        <v>487</v>
      </c>
      <c r="IP912" s="9" t="s">
        <v>319</v>
      </c>
      <c r="IR912" s="9"/>
      <c r="JV912" s="7" t="s">
        <v>3175</v>
      </c>
      <c r="JX912" s="7" t="s">
        <v>353</v>
      </c>
      <c r="JY912" s="7" t="s">
        <v>354</v>
      </c>
      <c r="JZ912" s="7" t="s">
        <v>320</v>
      </c>
      <c r="KA912" s="7" t="s">
        <v>354</v>
      </c>
      <c r="KB912" s="7" t="s">
        <v>355</v>
      </c>
      <c r="KG912" s="4" t="s">
        <v>356</v>
      </c>
      <c r="KH912" s="4" t="s">
        <v>1317</v>
      </c>
      <c r="KM912" s="4" t="s">
        <v>702</v>
      </c>
      <c r="KN912" s="4" t="s">
        <v>702</v>
      </c>
      <c r="KO912" s="4" t="s">
        <v>445</v>
      </c>
      <c r="KP912" s="5" t="s">
        <v>3176</v>
      </c>
      <c r="KQ912" s="5" t="s">
        <v>3177</v>
      </c>
      <c r="KR912" s="5" t="s">
        <v>3178</v>
      </c>
      <c r="KS912" s="5" t="s">
        <v>3179</v>
      </c>
      <c r="KT912" s="5" t="s">
        <v>3180</v>
      </c>
    </row>
    <row r="913" spans="1:306" ht="60" x14ac:dyDescent="0.25">
      <c r="A913" s="5" t="s">
        <v>6930</v>
      </c>
      <c r="B913" s="4" t="s">
        <v>376</v>
      </c>
      <c r="C913" s="7" t="s">
        <v>591</v>
      </c>
      <c r="D913" s="8" t="s">
        <v>2371</v>
      </c>
      <c r="E913" s="4">
        <v>435553</v>
      </c>
      <c r="G913" s="4" t="s">
        <v>479</v>
      </c>
      <c r="H913" s="6">
        <v>140.36301900000001</v>
      </c>
      <c r="I913" s="6">
        <v>-20.678090000000001</v>
      </c>
      <c r="J913" s="4" t="s">
        <v>1949</v>
      </c>
      <c r="K913" s="4" t="s">
        <v>481</v>
      </c>
      <c r="L913" s="4" t="s">
        <v>651</v>
      </c>
      <c r="M913" s="4" t="s">
        <v>1950</v>
      </c>
      <c r="Q913" s="4"/>
      <c r="R913" s="4"/>
      <c r="S913" s="4"/>
      <c r="T913" s="4"/>
      <c r="U913" s="4"/>
      <c r="V913" s="4"/>
      <c r="W913" s="4"/>
      <c r="X913" s="4"/>
      <c r="Z913" s="4" t="s">
        <v>376</v>
      </c>
      <c r="AA913" s="7" t="s">
        <v>591</v>
      </c>
      <c r="AB913" s="8" t="s">
        <v>2371</v>
      </c>
      <c r="AC913" s="4" t="s">
        <v>301</v>
      </c>
      <c r="AD913" s="4" t="s">
        <v>375</v>
      </c>
      <c r="AE913" s="4">
        <v>1523</v>
      </c>
      <c r="AF913" s="4"/>
      <c r="AG913" s="4" t="s">
        <v>379</v>
      </c>
      <c r="AH913" s="4" t="s">
        <v>1156</v>
      </c>
      <c r="AI913" s="4"/>
      <c r="AJ913" s="4"/>
      <c r="AK913" s="4"/>
      <c r="AL913" s="4"/>
      <c r="AM913" s="8">
        <v>2</v>
      </c>
      <c r="AN913" s="4" t="s">
        <v>381</v>
      </c>
      <c r="AO913" s="4" t="s">
        <v>382</v>
      </c>
      <c r="AP913" s="4" t="s">
        <v>383</v>
      </c>
      <c r="AQ913" s="7" t="s">
        <v>384</v>
      </c>
      <c r="AR913" s="8" t="s">
        <v>827</v>
      </c>
      <c r="AS913" s="7">
        <v>0</v>
      </c>
      <c r="AT913" s="7">
        <v>0</v>
      </c>
      <c r="AU913" s="9" t="s">
        <v>303</v>
      </c>
      <c r="AV913" s="9" t="s">
        <v>406</v>
      </c>
      <c r="BA913" s="8">
        <v>5</v>
      </c>
      <c r="BG913" s="7"/>
      <c r="BH913" s="7"/>
      <c r="BP913" s="7">
        <v>55.4</v>
      </c>
      <c r="BQ913" s="4"/>
      <c r="BR913" s="4">
        <v>0.64</v>
      </c>
      <c r="BS913" s="4"/>
      <c r="BT913" s="4"/>
      <c r="BU913" s="4"/>
      <c r="BV913" s="4">
        <v>0.15</v>
      </c>
      <c r="BW913" s="4"/>
      <c r="BX913" s="4"/>
      <c r="BY913" s="4"/>
      <c r="BZ913" s="4"/>
      <c r="CA913" s="4"/>
      <c r="CB913" s="4"/>
      <c r="CC913" s="4"/>
      <c r="CD913" s="4"/>
      <c r="CE913" s="4"/>
      <c r="CF913" s="4"/>
      <c r="CG913" s="4"/>
      <c r="CH913" s="4"/>
      <c r="CI913" s="4"/>
      <c r="CJ913" s="4"/>
      <c r="CK913" s="10">
        <v>2.9000000000000001E-2</v>
      </c>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31"/>
      <c r="EA913" s="4"/>
      <c r="EB913" s="4"/>
      <c r="EC913" s="4"/>
      <c r="ED913" s="4"/>
      <c r="EE913" s="4"/>
      <c r="EF913" s="4"/>
      <c r="EG913" s="4"/>
      <c r="EH913" s="10">
        <f>BP913*BR913/100</f>
        <v>0.35456000000000004</v>
      </c>
      <c r="EL913" s="6">
        <f>BP913*BV913</f>
        <v>8.3099999999999987</v>
      </c>
      <c r="EM913" s="4"/>
      <c r="EN913" s="4"/>
      <c r="EO913" s="4"/>
      <c r="EP913" s="4"/>
      <c r="EQ913" s="4"/>
      <c r="ER913" s="4"/>
      <c r="ES913" s="4"/>
      <c r="ET913" s="4"/>
      <c r="EU913" s="4"/>
      <c r="EV913" s="4"/>
      <c r="EW913" s="4"/>
      <c r="EX913" s="4"/>
      <c r="EY913" s="4"/>
      <c r="EZ913" s="4">
        <f>1000*BP913*CK913/100</f>
        <v>16.066000000000003</v>
      </c>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32"/>
      <c r="GQ913" s="4"/>
      <c r="GR913" s="4"/>
      <c r="GS913" s="4"/>
      <c r="GT913" s="4"/>
      <c r="GU913" s="4"/>
      <c r="GV913" s="4"/>
      <c r="GW913" s="4"/>
      <c r="GX913" s="4"/>
      <c r="GY913" s="4" t="s">
        <v>338</v>
      </c>
      <c r="GZ913" s="4" t="s">
        <v>994</v>
      </c>
      <c r="HA913" s="4" t="s">
        <v>6931</v>
      </c>
      <c r="HB913" s="4"/>
      <c r="HC913" s="4" t="s">
        <v>6932</v>
      </c>
      <c r="HD913" s="4"/>
      <c r="HF913" s="4" t="s">
        <v>6933</v>
      </c>
      <c r="HG913" s="4" t="s">
        <v>490</v>
      </c>
      <c r="HH913" s="4" t="s">
        <v>6934</v>
      </c>
      <c r="HI913" s="8">
        <v>26091</v>
      </c>
      <c r="HJ913" s="4" t="s">
        <v>6935</v>
      </c>
      <c r="HK913" s="4" t="s">
        <v>490</v>
      </c>
      <c r="HL913" s="4"/>
      <c r="HN913" s="4"/>
      <c r="HO913" s="4"/>
      <c r="HP913" s="4"/>
      <c r="HR913" s="4"/>
      <c r="HS913" s="4"/>
      <c r="HT913" s="4"/>
      <c r="HU913" s="4"/>
      <c r="HV913" s="4"/>
      <c r="HW913" s="4"/>
      <c r="HX913" s="4"/>
      <c r="HY913" s="4"/>
      <c r="HZ913" s="4"/>
      <c r="IA913" s="4"/>
      <c r="IB913" s="4"/>
      <c r="ID913" s="4" t="s">
        <v>6933</v>
      </c>
      <c r="IE913" s="4" t="s">
        <v>538</v>
      </c>
      <c r="IF913" s="4" t="s">
        <v>445</v>
      </c>
      <c r="IG913" s="4" t="s">
        <v>6936</v>
      </c>
      <c r="IH913" s="4">
        <v>30704</v>
      </c>
      <c r="II913" s="4" t="s">
        <v>5300</v>
      </c>
      <c r="IJ913" s="4" t="s">
        <v>487</v>
      </c>
      <c r="IK913" s="4" t="s">
        <v>329</v>
      </c>
      <c r="IL913" s="4"/>
      <c r="IN913" s="4"/>
      <c r="IO913" s="4"/>
      <c r="IP913" s="4"/>
      <c r="IQ913" s="4"/>
      <c r="IR913" s="4"/>
      <c r="IS913" s="4"/>
      <c r="IT913" s="4"/>
      <c r="IU913" s="4"/>
      <c r="IV913" s="4"/>
      <c r="IW913" s="4"/>
      <c r="IX913" s="4"/>
      <c r="IY913" s="4"/>
      <c r="IZ913" s="4"/>
      <c r="JA913" s="4"/>
      <c r="JB913" s="4"/>
      <c r="JC913" s="4"/>
      <c r="JD913" s="4"/>
      <c r="JE913" s="4"/>
      <c r="JF913" s="4"/>
      <c r="JG913" s="4"/>
      <c r="JH913" s="4"/>
      <c r="JI913" s="4"/>
      <c r="JJ913" s="4"/>
      <c r="JK913" s="4"/>
      <c r="JL913" s="4"/>
      <c r="JM913" s="4"/>
      <c r="JN913" s="4"/>
      <c r="JO913" s="4"/>
      <c r="JP913" s="4"/>
      <c r="JQ913" s="4"/>
      <c r="JR913" s="4"/>
      <c r="JS913" s="4"/>
      <c r="JT913" s="4"/>
      <c r="JU913" s="4"/>
      <c r="JV913" s="4" t="s">
        <v>6937</v>
      </c>
      <c r="JW913" s="4"/>
      <c r="JX913" s="4" t="s">
        <v>353</v>
      </c>
      <c r="JY913" s="4" t="s">
        <v>354</v>
      </c>
      <c r="JZ913" s="4" t="s">
        <v>320</v>
      </c>
      <c r="KA913" s="4" t="s">
        <v>448</v>
      </c>
      <c r="KB913" s="4" t="s">
        <v>355</v>
      </c>
      <c r="KC913" s="4"/>
      <c r="KD913" s="4"/>
      <c r="KE913" s="4"/>
      <c r="KF913" s="4"/>
      <c r="KG913" s="4" t="s">
        <v>356</v>
      </c>
      <c r="KH913" s="4" t="s">
        <v>1317</v>
      </c>
      <c r="KM913" s="4" t="s">
        <v>702</v>
      </c>
      <c r="KN913" s="4" t="s">
        <v>702</v>
      </c>
      <c r="KP913" s="5" t="s">
        <v>6938</v>
      </c>
      <c r="KQ913" s="5" t="s">
        <v>6938</v>
      </c>
      <c r="KS913" s="5" t="s">
        <v>6938</v>
      </c>
      <c r="KT913" s="5" t="s">
        <v>6939</v>
      </c>
    </row>
    <row r="914" spans="1:306" ht="132" x14ac:dyDescent="0.25">
      <c r="A914" s="5" t="s">
        <v>2890</v>
      </c>
      <c r="B914" s="4" t="s">
        <v>376</v>
      </c>
      <c r="C914" s="7" t="s">
        <v>591</v>
      </c>
      <c r="D914" s="8" t="s">
        <v>2371</v>
      </c>
      <c r="E914" s="4">
        <v>334035</v>
      </c>
      <c r="G914" s="4" t="s">
        <v>479</v>
      </c>
      <c r="H914" s="6">
        <f>140+47/60+10/3600</f>
        <v>140.7861111111111</v>
      </c>
      <c r="I914" s="6">
        <f>-(20+26/60+31/3600)</f>
        <v>-20.441944444444445</v>
      </c>
      <c r="J914" s="4" t="s">
        <v>1949</v>
      </c>
      <c r="K914" s="4" t="s">
        <v>481</v>
      </c>
      <c r="L914" s="4" t="s">
        <v>651</v>
      </c>
      <c r="M914" s="4" t="s">
        <v>1950</v>
      </c>
      <c r="Q914" s="4"/>
      <c r="R914" s="4"/>
      <c r="S914" s="4"/>
      <c r="T914" s="4"/>
      <c r="U914" s="4"/>
      <c r="V914" s="4"/>
      <c r="W914" s="4"/>
      <c r="X914" s="4"/>
      <c r="Z914" s="4" t="s">
        <v>376</v>
      </c>
      <c r="AA914" s="7" t="s">
        <v>591</v>
      </c>
      <c r="AB914" s="8" t="s">
        <v>2371</v>
      </c>
      <c r="AC914" s="4" t="s">
        <v>301</v>
      </c>
      <c r="AD914" s="4" t="s">
        <v>375</v>
      </c>
      <c r="AE914" s="4">
        <v>1523</v>
      </c>
      <c r="AF914" s="4"/>
      <c r="AG914" s="4" t="s">
        <v>379</v>
      </c>
      <c r="AH914" s="4" t="s">
        <v>1156</v>
      </c>
      <c r="AI914" s="4"/>
      <c r="AJ914" s="4"/>
      <c r="AK914" s="4"/>
      <c r="AL914" s="4"/>
      <c r="AM914" s="8">
        <v>2</v>
      </c>
      <c r="AN914" s="4" t="s">
        <v>381</v>
      </c>
      <c r="AO914" s="4" t="s">
        <v>382</v>
      </c>
      <c r="AP914" s="4" t="s">
        <v>383</v>
      </c>
      <c r="AQ914" s="7" t="s">
        <v>384</v>
      </c>
      <c r="AR914" s="8" t="s">
        <v>827</v>
      </c>
      <c r="BP914" s="7">
        <v>48.1</v>
      </c>
      <c r="BQ914" s="4"/>
      <c r="BR914" s="4">
        <v>0.72</v>
      </c>
      <c r="BS914" s="4"/>
      <c r="BT914" s="4"/>
      <c r="BU914" s="4"/>
      <c r="BV914" s="4">
        <v>0.21</v>
      </c>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31"/>
      <c r="EA914" s="4"/>
      <c r="EB914" s="4"/>
      <c r="EC914" s="4"/>
      <c r="ED914" s="4"/>
      <c r="EE914" s="4"/>
      <c r="EF914" s="4"/>
      <c r="EG914" s="4"/>
      <c r="EH914" s="10">
        <f>BP914*BR914/100</f>
        <v>0.34631999999999996</v>
      </c>
      <c r="EL914" s="6">
        <f>BP914*BV914</f>
        <v>10.100999999999999</v>
      </c>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32"/>
      <c r="GQ914" s="4"/>
      <c r="GR914" s="4"/>
      <c r="GS914" s="4"/>
      <c r="GT914" s="4"/>
      <c r="GU914" s="4"/>
      <c r="GV914" s="4"/>
      <c r="GW914" s="4"/>
      <c r="GX914" s="4"/>
      <c r="GY914" s="4" t="s">
        <v>338</v>
      </c>
      <c r="GZ914" s="4" t="s">
        <v>994</v>
      </c>
      <c r="HA914" s="4" t="s">
        <v>436</v>
      </c>
      <c r="HB914" s="4"/>
      <c r="HC914" s="4" t="s">
        <v>2372</v>
      </c>
      <c r="HD914" s="4" t="s">
        <v>2891</v>
      </c>
      <c r="HE914" s="8">
        <v>31420</v>
      </c>
      <c r="HF914" s="4" t="s">
        <v>2892</v>
      </c>
      <c r="HG914" s="4" t="s">
        <v>490</v>
      </c>
      <c r="HH914" s="4"/>
      <c r="HJ914" s="4"/>
      <c r="HK914" s="4"/>
      <c r="HL914" s="4"/>
      <c r="HN914" s="4"/>
      <c r="HO914" s="4"/>
      <c r="HP914" s="4"/>
      <c r="HR914" s="4"/>
      <c r="HS914" s="4"/>
      <c r="HT914" s="4"/>
      <c r="HU914" s="4"/>
      <c r="HV914" s="4"/>
      <c r="HW914" s="4"/>
      <c r="HX914" s="4"/>
      <c r="HY914" s="4"/>
      <c r="HZ914" s="4"/>
      <c r="IA914" s="4"/>
      <c r="IB914" s="4" t="s">
        <v>2891</v>
      </c>
      <c r="IC914" s="8">
        <v>31420</v>
      </c>
      <c r="ID914" s="4" t="s">
        <v>2893</v>
      </c>
      <c r="IE914" s="4" t="s">
        <v>538</v>
      </c>
      <c r="IF914" s="4" t="s">
        <v>445</v>
      </c>
      <c r="IG914" s="4"/>
      <c r="IH914" s="4"/>
      <c r="II914" s="4" t="s">
        <v>2894</v>
      </c>
      <c r="IJ914" s="4" t="s">
        <v>538</v>
      </c>
      <c r="IK914" s="4" t="s">
        <v>445</v>
      </c>
      <c r="IL914" s="4" t="s">
        <v>2895</v>
      </c>
      <c r="IM914" s="8">
        <v>30680</v>
      </c>
      <c r="IN914" s="4" t="s">
        <v>2896</v>
      </c>
      <c r="IO914" s="4" t="s">
        <v>487</v>
      </c>
      <c r="IP914" s="4" t="s">
        <v>319</v>
      </c>
      <c r="IQ914" s="4"/>
      <c r="IR914" s="4"/>
      <c r="IS914" s="4"/>
      <c r="IT914" s="4"/>
      <c r="IU914" s="4"/>
      <c r="IV914" s="4"/>
      <c r="IW914" s="4"/>
      <c r="IX914" s="4"/>
      <c r="IY914" s="4"/>
      <c r="IZ914" s="4"/>
      <c r="JA914" s="4"/>
      <c r="JB914" s="4"/>
      <c r="JC914" s="4"/>
      <c r="JD914" s="4"/>
      <c r="JE914" s="4"/>
      <c r="JF914" s="4"/>
      <c r="JG914" s="4"/>
      <c r="JH914" s="4"/>
      <c r="JI914" s="4"/>
      <c r="JJ914" s="4"/>
      <c r="JK914" s="4"/>
      <c r="JL914" s="4"/>
      <c r="JM914" s="4"/>
      <c r="JN914" s="4"/>
      <c r="JO914" s="4"/>
      <c r="JP914" s="4"/>
      <c r="JQ914" s="4"/>
      <c r="JR914" s="4"/>
      <c r="JS914" s="4"/>
      <c r="JT914" s="4"/>
      <c r="JU914" s="4"/>
      <c r="JV914" s="4" t="s">
        <v>2897</v>
      </c>
      <c r="JW914" s="4"/>
      <c r="JX914" s="4" t="s">
        <v>353</v>
      </c>
      <c r="JY914" s="4" t="s">
        <v>354</v>
      </c>
      <c r="JZ914" s="4" t="s">
        <v>320</v>
      </c>
      <c r="KA914" s="4" t="s">
        <v>354</v>
      </c>
      <c r="KB914" s="4" t="s">
        <v>322</v>
      </c>
      <c r="KC914" s="4" t="s">
        <v>448</v>
      </c>
      <c r="KD914" s="4" t="s">
        <v>355</v>
      </c>
      <c r="KE914" s="4"/>
      <c r="KF914" s="4"/>
      <c r="KG914" s="4" t="s">
        <v>356</v>
      </c>
      <c r="KH914" s="4" t="s">
        <v>357</v>
      </c>
      <c r="KM914" s="4" t="s">
        <v>702</v>
      </c>
      <c r="KN914" s="4" t="s">
        <v>702</v>
      </c>
      <c r="KP914" s="5" t="s">
        <v>2898</v>
      </c>
      <c r="KQ914" s="5" t="s">
        <v>2898</v>
      </c>
      <c r="KS914" s="5" t="s">
        <v>2899</v>
      </c>
      <c r="KT914" s="5" t="s">
        <v>2900</v>
      </c>
    </row>
    <row r="915" spans="1:306" ht="96" x14ac:dyDescent="0.25">
      <c r="A915" s="5" t="s">
        <v>5566</v>
      </c>
      <c r="B915" s="4" t="s">
        <v>376</v>
      </c>
      <c r="C915" s="7" t="s">
        <v>591</v>
      </c>
      <c r="D915" s="8" t="s">
        <v>2371</v>
      </c>
      <c r="E915" s="4">
        <v>333596</v>
      </c>
      <c r="G915" s="4" t="s">
        <v>479</v>
      </c>
      <c r="H915" s="6">
        <v>140.5017</v>
      </c>
      <c r="I915" s="6">
        <v>-21.54</v>
      </c>
      <c r="J915" s="4" t="s">
        <v>4767</v>
      </c>
      <c r="K915" s="4" t="s">
        <v>481</v>
      </c>
      <c r="L915" s="4" t="s">
        <v>651</v>
      </c>
      <c r="M915" s="4" t="s">
        <v>1950</v>
      </c>
      <c r="Q915" s="8"/>
      <c r="R915" s="8"/>
      <c r="S915" s="4"/>
      <c r="Z915" s="4" t="s">
        <v>376</v>
      </c>
      <c r="AA915" s="7" t="s">
        <v>591</v>
      </c>
      <c r="AB915" s="8" t="s">
        <v>2371</v>
      </c>
      <c r="AC915" s="4" t="s">
        <v>301</v>
      </c>
      <c r="AD915" s="4" t="s">
        <v>375</v>
      </c>
      <c r="AE915" s="8">
        <v>1513</v>
      </c>
      <c r="AF915" s="8">
        <v>5</v>
      </c>
      <c r="AG915" s="4" t="s">
        <v>303</v>
      </c>
      <c r="AH915" s="9" t="s">
        <v>304</v>
      </c>
      <c r="AI915" s="9" t="s">
        <v>598</v>
      </c>
      <c r="AJ915" s="9" t="s">
        <v>599</v>
      </c>
      <c r="AK915" s="9" t="s">
        <v>600</v>
      </c>
      <c r="AM915" s="8">
        <v>5</v>
      </c>
      <c r="AN915" s="4" t="s">
        <v>381</v>
      </c>
      <c r="AO915" s="4" t="s">
        <v>402</v>
      </c>
      <c r="AP915" s="4" t="s">
        <v>383</v>
      </c>
      <c r="AQ915" s="7" t="s">
        <v>384</v>
      </c>
      <c r="AR915" s="8" t="s">
        <v>827</v>
      </c>
      <c r="AS915" s="7">
        <v>0</v>
      </c>
      <c r="AT915" s="7">
        <v>0</v>
      </c>
      <c r="AU915" s="9" t="s">
        <v>303</v>
      </c>
      <c r="AV915" s="9" t="s">
        <v>406</v>
      </c>
      <c r="BA915" s="8">
        <v>5</v>
      </c>
      <c r="BG915" s="7"/>
      <c r="BH915" s="7"/>
      <c r="BP915" s="7">
        <f>5.1+24.8+11.3</f>
        <v>41.2</v>
      </c>
      <c r="BR915" s="6">
        <f>(2.9*5.1+0.94*24.8+0.86*11.3)/(5.1+24.8+11.3)</f>
        <v>1.1606796116504852</v>
      </c>
      <c r="BS915" s="7"/>
      <c r="BT915" s="7"/>
      <c r="BU915" s="7"/>
      <c r="BV915" s="6">
        <f>(1.5*5.1+0.5*24.8+0.49*11.3)/(5.1+24.8+11.3)</f>
        <v>0.62104368932038834</v>
      </c>
      <c r="DZ915" s="31"/>
      <c r="EH915" s="10">
        <f>BP915*BR915/100+0.0248</f>
        <v>0.503</v>
      </c>
      <c r="EL915" s="6">
        <f>BP915*BV915+31.1*34000/1000000</f>
        <v>26.644400000000001</v>
      </c>
      <c r="EY915" s="6"/>
      <c r="FA915" s="6"/>
      <c r="GP915" s="32"/>
      <c r="GY915" s="6" t="s">
        <v>338</v>
      </c>
      <c r="GZ915" s="6" t="s">
        <v>1361</v>
      </c>
      <c r="HC915" s="6" t="s">
        <v>2372</v>
      </c>
      <c r="HD915" s="8" t="s">
        <v>5189</v>
      </c>
      <c r="HE915" s="8">
        <v>76907</v>
      </c>
      <c r="HF915" s="8" t="s">
        <v>5567</v>
      </c>
      <c r="HG915" s="9" t="s">
        <v>490</v>
      </c>
      <c r="HJ915" s="9" t="s">
        <v>5530</v>
      </c>
      <c r="HK915" s="9" t="s">
        <v>490</v>
      </c>
      <c r="HY915" s="9"/>
      <c r="ID915" s="8" t="s">
        <v>5568</v>
      </c>
      <c r="IE915" s="8" t="s">
        <v>538</v>
      </c>
      <c r="IF915" s="8" t="s">
        <v>445</v>
      </c>
      <c r="IG915" s="8" t="s">
        <v>5569</v>
      </c>
      <c r="IH915" s="8">
        <v>30680</v>
      </c>
      <c r="II915" s="8" t="s">
        <v>2896</v>
      </c>
      <c r="IJ915" s="8" t="s">
        <v>487</v>
      </c>
      <c r="IK915" s="8" t="s">
        <v>319</v>
      </c>
      <c r="IN915" s="9" t="s">
        <v>658</v>
      </c>
      <c r="IP915" s="9" t="s">
        <v>329</v>
      </c>
      <c r="IR915" s="9"/>
      <c r="IS915" s="9" t="s">
        <v>5570</v>
      </c>
      <c r="IT915" s="9" t="s">
        <v>487</v>
      </c>
      <c r="IU915" s="9" t="s">
        <v>350</v>
      </c>
      <c r="JV915" s="7" t="s">
        <v>5571</v>
      </c>
      <c r="JW915" s="7" t="s">
        <v>910</v>
      </c>
      <c r="JX915" s="7" t="s">
        <v>320</v>
      </c>
      <c r="JY915" s="7" t="s">
        <v>354</v>
      </c>
      <c r="JZ915" s="7" t="s">
        <v>322</v>
      </c>
      <c r="KA915" s="7" t="s">
        <v>321</v>
      </c>
      <c r="KB915" s="7" t="s">
        <v>353</v>
      </c>
      <c r="KG915" s="4" t="s">
        <v>323</v>
      </c>
      <c r="KM915" s="4" t="s">
        <v>702</v>
      </c>
      <c r="KN915" s="4" t="s">
        <v>702</v>
      </c>
      <c r="KP915" s="5" t="s">
        <v>4773</v>
      </c>
      <c r="KQ915" s="5" t="s">
        <v>4774</v>
      </c>
      <c r="KR915" s="5" t="s">
        <v>4775</v>
      </c>
      <c r="KS915" s="5" t="s">
        <v>4776</v>
      </c>
      <c r="KT915" s="5" t="s">
        <v>5572</v>
      </c>
    </row>
    <row r="916" spans="1:306" ht="84" x14ac:dyDescent="0.25">
      <c r="A916" s="5" t="s">
        <v>4420</v>
      </c>
      <c r="B916" s="4" t="s">
        <v>376</v>
      </c>
      <c r="C916" s="7" t="s">
        <v>591</v>
      </c>
      <c r="D916" s="8" t="s">
        <v>2371</v>
      </c>
      <c r="E916" s="4">
        <v>333999</v>
      </c>
      <c r="G916" s="4" t="s">
        <v>479</v>
      </c>
      <c r="H916" s="6">
        <v>139.96700000000001</v>
      </c>
      <c r="I916" s="6">
        <v>-21.0459</v>
      </c>
      <c r="J916" s="4" t="s">
        <v>1949</v>
      </c>
      <c r="K916" s="4" t="s">
        <v>481</v>
      </c>
      <c r="L916" s="4" t="s">
        <v>651</v>
      </c>
      <c r="M916" s="4" t="s">
        <v>1950</v>
      </c>
      <c r="Q916" s="8"/>
      <c r="R916" s="8"/>
      <c r="S916" s="4"/>
      <c r="Z916" s="4" t="s">
        <v>376</v>
      </c>
      <c r="AA916" s="7" t="s">
        <v>591</v>
      </c>
      <c r="AB916" s="8" t="s">
        <v>2371</v>
      </c>
      <c r="AC916" s="4" t="s">
        <v>301</v>
      </c>
      <c r="AD916" s="4" t="s">
        <v>302</v>
      </c>
      <c r="AE916" s="8">
        <v>1475</v>
      </c>
      <c r="AF916" s="8">
        <v>5</v>
      </c>
      <c r="AG916" s="4" t="s">
        <v>303</v>
      </c>
      <c r="AH916" s="9" t="s">
        <v>304</v>
      </c>
      <c r="AI916" s="9" t="s">
        <v>598</v>
      </c>
      <c r="AJ916" s="9" t="s">
        <v>599</v>
      </c>
      <c r="AK916" s="9" t="s">
        <v>600</v>
      </c>
      <c r="AM916" s="8">
        <v>5</v>
      </c>
      <c r="BP916" s="7">
        <v>20</v>
      </c>
      <c r="BR916" s="6">
        <v>0.61</v>
      </c>
      <c r="BV916" s="6">
        <v>0.34</v>
      </c>
      <c r="CT916" s="6">
        <v>0.14000000000000001</v>
      </c>
      <c r="DZ916" s="31"/>
      <c r="EH916" s="10">
        <f>BP916*BR916/100</f>
        <v>0.122</v>
      </c>
      <c r="EL916" s="6">
        <f t="shared" ref="EL916:EL923" si="31">BP916*BV916</f>
        <v>6.8000000000000007</v>
      </c>
      <c r="EY916" s="6"/>
      <c r="FA916" s="6"/>
      <c r="FI916" s="6">
        <f>1000*BP916*CT916/100</f>
        <v>28.000000000000004</v>
      </c>
      <c r="GP916" s="32"/>
      <c r="GY916" s="6" t="s">
        <v>338</v>
      </c>
      <c r="GZ916" s="6" t="s">
        <v>4421</v>
      </c>
      <c r="HA916" s="6" t="s">
        <v>436</v>
      </c>
      <c r="HC916" s="6" t="s">
        <v>4422</v>
      </c>
      <c r="HD916" s="8" t="s">
        <v>2965</v>
      </c>
      <c r="HE916" s="8">
        <v>4727</v>
      </c>
      <c r="HF916" s="8" t="s">
        <v>4423</v>
      </c>
      <c r="HG916" s="9" t="s">
        <v>490</v>
      </c>
      <c r="HY916" s="9"/>
      <c r="ID916" s="8" t="s">
        <v>4424</v>
      </c>
      <c r="IE916" s="8" t="s">
        <v>538</v>
      </c>
      <c r="IF916" s="8" t="s">
        <v>445</v>
      </c>
      <c r="II916" s="8" t="s">
        <v>4425</v>
      </c>
      <c r="IJ916" s="8" t="s">
        <v>538</v>
      </c>
      <c r="IK916" s="8" t="s">
        <v>445</v>
      </c>
      <c r="IL916" s="8" t="s">
        <v>4426</v>
      </c>
      <c r="IM916" s="8">
        <v>24446</v>
      </c>
      <c r="IN916" s="8" t="s">
        <v>4427</v>
      </c>
      <c r="IO916" s="8" t="s">
        <v>538</v>
      </c>
      <c r="IP916" s="8" t="s">
        <v>445</v>
      </c>
      <c r="IQ916" s="8" t="s">
        <v>4428</v>
      </c>
      <c r="IS916" s="8" t="s">
        <v>2946</v>
      </c>
      <c r="IT916" s="8"/>
      <c r="IU916" s="8" t="s">
        <v>329</v>
      </c>
      <c r="IW916" s="8"/>
      <c r="IX916" s="9" t="s">
        <v>4429</v>
      </c>
      <c r="IZ916" s="9" t="s">
        <v>329</v>
      </c>
      <c r="JC916" s="9" t="s">
        <v>4430</v>
      </c>
      <c r="JE916" s="9" t="s">
        <v>329</v>
      </c>
      <c r="JV916" s="7" t="s">
        <v>4431</v>
      </c>
      <c r="JX916" s="7" t="s">
        <v>353</v>
      </c>
      <c r="JY916" s="7" t="s">
        <v>321</v>
      </c>
      <c r="JZ916" s="7" t="s">
        <v>320</v>
      </c>
      <c r="KG916" s="4" t="s">
        <v>323</v>
      </c>
      <c r="KM916" s="4" t="s">
        <v>702</v>
      </c>
      <c r="KN916" s="4" t="s">
        <v>702</v>
      </c>
      <c r="KP916" s="5" t="s">
        <v>4432</v>
      </c>
      <c r="KQ916" s="5" t="s">
        <v>4433</v>
      </c>
      <c r="KR916" s="5" t="s">
        <v>4434</v>
      </c>
      <c r="KS916" s="5" t="s">
        <v>4435</v>
      </c>
      <c r="KT916" s="5" t="s">
        <v>718</v>
      </c>
    </row>
    <row r="917" spans="1:306" ht="48" x14ac:dyDescent="0.25">
      <c r="A917" s="5" t="s">
        <v>4406</v>
      </c>
      <c r="B917" s="4" t="s">
        <v>376</v>
      </c>
      <c r="C917" s="7" t="s">
        <v>591</v>
      </c>
      <c r="D917" s="8" t="s">
        <v>2371</v>
      </c>
      <c r="E917" s="4">
        <v>335032</v>
      </c>
      <c r="G917" s="4" t="s">
        <v>479</v>
      </c>
      <c r="H917" s="6">
        <v>144.03540000000001</v>
      </c>
      <c r="I917" s="6">
        <v>-18.528199999999998</v>
      </c>
      <c r="J917" s="4" t="s">
        <v>2182</v>
      </c>
      <c r="K917" s="4" t="s">
        <v>481</v>
      </c>
      <c r="L917" s="4" t="s">
        <v>482</v>
      </c>
      <c r="Q917" s="4"/>
      <c r="R917" s="4"/>
      <c r="S917" s="4"/>
      <c r="T917" s="4"/>
      <c r="U917" s="4"/>
      <c r="V917" s="4"/>
      <c r="W917" s="4"/>
      <c r="X917" s="4"/>
      <c r="Z917" s="4" t="s">
        <v>376</v>
      </c>
      <c r="AA917" s="7" t="s">
        <v>591</v>
      </c>
      <c r="AB917" s="8" t="s">
        <v>2371</v>
      </c>
      <c r="AC917" s="4" t="s">
        <v>301</v>
      </c>
      <c r="AD917" s="4" t="s">
        <v>375</v>
      </c>
      <c r="AE917" s="4">
        <v>1524</v>
      </c>
      <c r="AF917" s="4">
        <v>8</v>
      </c>
      <c r="AG917" s="4" t="s">
        <v>303</v>
      </c>
      <c r="AH917" s="4" t="s">
        <v>304</v>
      </c>
      <c r="AI917" s="4" t="s">
        <v>598</v>
      </c>
      <c r="AJ917" s="4" t="s">
        <v>599</v>
      </c>
      <c r="AK917" s="4" t="s">
        <v>600</v>
      </c>
      <c r="AL917" s="4"/>
      <c r="AM917" s="8">
        <v>5</v>
      </c>
      <c r="AN917" s="4" t="s">
        <v>381</v>
      </c>
      <c r="AO917" s="4" t="s">
        <v>402</v>
      </c>
      <c r="AP917" s="4" t="s">
        <v>383</v>
      </c>
      <c r="AQ917" s="7" t="s">
        <v>384</v>
      </c>
      <c r="AR917" s="8" t="s">
        <v>827</v>
      </c>
      <c r="AS917" s="7">
        <v>0</v>
      </c>
      <c r="AT917" s="7">
        <v>0</v>
      </c>
      <c r="AU917" s="9" t="s">
        <v>303</v>
      </c>
      <c r="AV917" s="9" t="s">
        <v>406</v>
      </c>
      <c r="BA917" s="8">
        <v>5</v>
      </c>
      <c r="BG917" s="7"/>
      <c r="BH917" s="7"/>
      <c r="BP917" s="7">
        <v>18.45</v>
      </c>
      <c r="BQ917" s="4"/>
      <c r="BR917" s="4">
        <v>0.83</v>
      </c>
      <c r="BS917" s="4"/>
      <c r="BT917" s="4"/>
      <c r="BU917" s="4">
        <v>5.82</v>
      </c>
      <c r="BV917" s="4">
        <v>0.02</v>
      </c>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31"/>
      <c r="EA917" s="4"/>
      <c r="EB917" s="4"/>
      <c r="EC917" s="4"/>
      <c r="ED917" s="4"/>
      <c r="EE917" s="4"/>
      <c r="EF917" s="4"/>
      <c r="EG917" s="4"/>
      <c r="EH917" s="10">
        <f>BP917*BR917/100</f>
        <v>0.15313499999999999</v>
      </c>
      <c r="EK917" s="10">
        <f>BP917*BU917/1000</f>
        <v>0.107379</v>
      </c>
      <c r="EL917" s="6">
        <f t="shared" si="31"/>
        <v>0.36899999999999999</v>
      </c>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32"/>
      <c r="GQ917" s="4"/>
      <c r="GR917" s="4"/>
      <c r="GS917" s="4"/>
      <c r="GT917" s="4"/>
      <c r="GU917" s="4"/>
      <c r="GV917" s="4"/>
      <c r="GW917" s="4"/>
      <c r="GX917" s="4"/>
      <c r="GY917" s="4" t="s">
        <v>338</v>
      </c>
      <c r="GZ917" s="4" t="s">
        <v>994</v>
      </c>
      <c r="HA917" s="4"/>
      <c r="HB917" s="4" t="s">
        <v>2504</v>
      </c>
      <c r="HC917" s="4" t="s">
        <v>2951</v>
      </c>
      <c r="HD917" s="4" t="s">
        <v>2183</v>
      </c>
      <c r="HE917" s="8">
        <v>6018</v>
      </c>
      <c r="HF917" s="4" t="s">
        <v>4407</v>
      </c>
      <c r="HG917" s="4" t="s">
        <v>490</v>
      </c>
      <c r="HH917" s="4"/>
      <c r="HJ917" s="4"/>
      <c r="HK917" s="4"/>
      <c r="HL917" s="4"/>
      <c r="HN917" s="4"/>
      <c r="HO917" s="4"/>
      <c r="HP917" s="4"/>
      <c r="HR917" s="4"/>
      <c r="HS917" s="4"/>
      <c r="HT917" s="4"/>
      <c r="HU917" s="4"/>
      <c r="HV917" s="4"/>
      <c r="HW917" s="4"/>
      <c r="HX917" s="4"/>
      <c r="HY917" s="4"/>
      <c r="HZ917" s="4"/>
      <c r="IA917" s="4"/>
      <c r="IB917" s="4" t="s">
        <v>2183</v>
      </c>
      <c r="IC917" s="8">
        <v>6018</v>
      </c>
      <c r="ID917" s="4" t="s">
        <v>4408</v>
      </c>
      <c r="IE917" s="4" t="s">
        <v>538</v>
      </c>
      <c r="IF917" s="4" t="s">
        <v>445</v>
      </c>
      <c r="IG917" s="4"/>
      <c r="IH917" s="4"/>
      <c r="II917" s="4"/>
      <c r="IJ917" s="4"/>
      <c r="IK917" s="4"/>
      <c r="IL917" s="4"/>
      <c r="IN917" s="4"/>
      <c r="IO917" s="4"/>
      <c r="IP917" s="4"/>
      <c r="IQ917" s="4"/>
      <c r="IR917" s="4"/>
      <c r="IS917" s="4"/>
      <c r="IT917" s="4"/>
      <c r="IU917" s="4"/>
      <c r="IV917" s="4"/>
      <c r="IW917" s="4"/>
      <c r="IX917" s="4"/>
      <c r="IY917" s="4"/>
      <c r="IZ917" s="4"/>
      <c r="JA917" s="4"/>
      <c r="JB917" s="4"/>
      <c r="JC917" s="4"/>
      <c r="JD917" s="4"/>
      <c r="JE917" s="4"/>
      <c r="JF917" s="4"/>
      <c r="JG917" s="4"/>
      <c r="JH917" s="4"/>
      <c r="JI917" s="4"/>
      <c r="JJ917" s="4"/>
      <c r="JK917" s="4"/>
      <c r="JL917" s="4"/>
      <c r="JM917" s="4"/>
      <c r="JN917" s="4"/>
      <c r="JO917" s="4"/>
      <c r="JP917" s="4"/>
      <c r="JQ917" s="4"/>
      <c r="JR917" s="4"/>
      <c r="JS917" s="4"/>
      <c r="JT917" s="4"/>
      <c r="JU917" s="4"/>
      <c r="JV917" s="4" t="s">
        <v>4409</v>
      </c>
      <c r="JW917" s="4"/>
      <c r="JX917" s="4" t="s">
        <v>320</v>
      </c>
      <c r="JY917" s="4" t="s">
        <v>470</v>
      </c>
      <c r="JZ917" s="4" t="s">
        <v>322</v>
      </c>
      <c r="KA917" s="4" t="s">
        <v>354</v>
      </c>
      <c r="KB917" s="4" t="s">
        <v>353</v>
      </c>
      <c r="KC917" s="4"/>
      <c r="KD917" s="4"/>
      <c r="KE917" s="4"/>
      <c r="KF917" s="4"/>
      <c r="KG917" s="4" t="s">
        <v>323</v>
      </c>
      <c r="KM917" s="4" t="s">
        <v>702</v>
      </c>
      <c r="KN917" s="4" t="s">
        <v>888</v>
      </c>
      <c r="KP917" s="5" t="s">
        <v>1956</v>
      </c>
      <c r="KQ917" s="5" t="s">
        <v>2955</v>
      </c>
      <c r="KR917" s="5" t="s">
        <v>3235</v>
      </c>
      <c r="KS917" s="5" t="s">
        <v>2188</v>
      </c>
      <c r="KT917" s="5" t="s">
        <v>4410</v>
      </c>
    </row>
    <row r="918" spans="1:306" ht="108" x14ac:dyDescent="0.25">
      <c r="A918" s="5" t="s">
        <v>4766</v>
      </c>
      <c r="B918" s="4" t="s">
        <v>383</v>
      </c>
      <c r="C918" s="7" t="s">
        <v>384</v>
      </c>
      <c r="D918" s="8" t="s">
        <v>827</v>
      </c>
      <c r="E918" s="4">
        <v>334360</v>
      </c>
      <c r="G918" s="4" t="s">
        <v>479</v>
      </c>
      <c r="H918" s="6">
        <v>140.47891300000001</v>
      </c>
      <c r="I918" s="6">
        <v>-21.578234999999999</v>
      </c>
      <c r="J918" s="4" t="s">
        <v>4767</v>
      </c>
      <c r="K918" s="4" t="s">
        <v>481</v>
      </c>
      <c r="L918" s="4" t="s">
        <v>651</v>
      </c>
      <c r="M918" s="4" t="s">
        <v>1950</v>
      </c>
      <c r="Q918" s="8"/>
      <c r="R918" s="8"/>
      <c r="S918" s="4"/>
      <c r="Z918" s="4" t="s">
        <v>376</v>
      </c>
      <c r="AA918" s="7" t="s">
        <v>591</v>
      </c>
      <c r="AB918" s="8" t="s">
        <v>2371</v>
      </c>
      <c r="AC918" s="4" t="s">
        <v>301</v>
      </c>
      <c r="AD918" s="4" t="s">
        <v>402</v>
      </c>
      <c r="AE918" s="8">
        <v>1487</v>
      </c>
      <c r="AF918" s="8">
        <v>5</v>
      </c>
      <c r="AG918" s="4" t="s">
        <v>303</v>
      </c>
      <c r="AH918" s="9" t="s">
        <v>304</v>
      </c>
      <c r="AI918" s="9" t="s">
        <v>598</v>
      </c>
      <c r="AJ918" s="9" t="s">
        <v>599</v>
      </c>
      <c r="AK918" s="9" t="s">
        <v>600</v>
      </c>
      <c r="AM918" s="8">
        <v>5</v>
      </c>
      <c r="AN918" s="4" t="s">
        <v>381</v>
      </c>
      <c r="AO918" s="4" t="s">
        <v>375</v>
      </c>
      <c r="AP918" s="4" t="s">
        <v>383</v>
      </c>
      <c r="AQ918" s="7" t="s">
        <v>384</v>
      </c>
      <c r="AR918" s="8" t="s">
        <v>827</v>
      </c>
      <c r="AS918" s="7">
        <v>0</v>
      </c>
      <c r="AT918" s="7">
        <v>0</v>
      </c>
      <c r="AU918" s="9" t="s">
        <v>303</v>
      </c>
      <c r="AV918" s="9" t="s">
        <v>406</v>
      </c>
      <c r="BA918" s="8">
        <v>5</v>
      </c>
      <c r="BP918" s="7">
        <v>0.5</v>
      </c>
      <c r="BR918" s="7">
        <v>1.6</v>
      </c>
      <c r="BV918" s="7">
        <v>1.3</v>
      </c>
      <c r="DZ918" s="31"/>
      <c r="EH918" s="10">
        <f>BP918*BR918/100</f>
        <v>8.0000000000000002E-3</v>
      </c>
      <c r="EL918" s="6">
        <f t="shared" si="31"/>
        <v>0.65</v>
      </c>
      <c r="EY918" s="6"/>
      <c r="FA918" s="6"/>
      <c r="GP918" s="32"/>
      <c r="GY918" s="6" t="s">
        <v>309</v>
      </c>
      <c r="GZ918" s="6" t="s">
        <v>1361</v>
      </c>
      <c r="HC918" s="6" t="s">
        <v>2372</v>
      </c>
      <c r="HD918" s="8" t="s">
        <v>4768</v>
      </c>
      <c r="HF918" s="8" t="s">
        <v>4769</v>
      </c>
      <c r="HG918" s="9" t="s">
        <v>490</v>
      </c>
      <c r="HH918" s="8" t="s">
        <v>4770</v>
      </c>
      <c r="HI918" s="8">
        <v>18730</v>
      </c>
      <c r="HJ918" s="8" t="s">
        <v>4771</v>
      </c>
      <c r="HK918" s="9" t="s">
        <v>490</v>
      </c>
      <c r="HY918" s="9"/>
      <c r="IB918" s="8" t="s">
        <v>4768</v>
      </c>
      <c r="ID918" s="8" t="s">
        <v>4769</v>
      </c>
      <c r="IE918" s="8" t="s">
        <v>538</v>
      </c>
      <c r="IF918" s="8" t="s">
        <v>445</v>
      </c>
      <c r="IG918" s="8" t="s">
        <v>4770</v>
      </c>
      <c r="IH918" s="8">
        <v>18730</v>
      </c>
      <c r="II918" s="8" t="s">
        <v>4771</v>
      </c>
      <c r="IJ918" s="8" t="s">
        <v>538</v>
      </c>
      <c r="IK918" s="8" t="s">
        <v>445</v>
      </c>
      <c r="IL918" s="9" t="s">
        <v>2895</v>
      </c>
      <c r="IM918" s="8">
        <v>30680</v>
      </c>
      <c r="IN918" s="9" t="s">
        <v>2896</v>
      </c>
      <c r="IO918" s="9" t="s">
        <v>487</v>
      </c>
      <c r="IP918" s="9" t="s">
        <v>319</v>
      </c>
      <c r="IR918" s="9"/>
      <c r="JV918" s="7" t="s">
        <v>4772</v>
      </c>
      <c r="JW918" s="7" t="s">
        <v>910</v>
      </c>
      <c r="JX918" s="7" t="s">
        <v>353</v>
      </c>
      <c r="JY918" s="7" t="s">
        <v>321</v>
      </c>
      <c r="JZ918" s="7" t="s">
        <v>320</v>
      </c>
      <c r="KG918" s="4" t="s">
        <v>323</v>
      </c>
      <c r="KM918" s="4" t="s">
        <v>702</v>
      </c>
      <c r="KN918" s="4" t="s">
        <v>702</v>
      </c>
      <c r="KP918" s="5" t="s">
        <v>4773</v>
      </c>
      <c r="KQ918" s="5" t="s">
        <v>4774</v>
      </c>
      <c r="KR918" s="5" t="s">
        <v>4775</v>
      </c>
      <c r="KS918" s="5" t="s">
        <v>4776</v>
      </c>
      <c r="KT918" s="5" t="s">
        <v>4777</v>
      </c>
    </row>
    <row r="919" spans="1:306" ht="84" x14ac:dyDescent="0.2">
      <c r="A919" s="14" t="s">
        <v>2370</v>
      </c>
      <c r="B919" s="29" t="s">
        <v>376</v>
      </c>
      <c r="C919" s="30" t="s">
        <v>591</v>
      </c>
      <c r="D919" s="26" t="s">
        <v>2371</v>
      </c>
      <c r="E919" s="44">
        <v>859643</v>
      </c>
      <c r="F919" s="29"/>
      <c r="G919" s="29" t="s">
        <v>427</v>
      </c>
      <c r="H919" s="31">
        <v>141.50630000000001</v>
      </c>
      <c r="I919" s="31">
        <v>-32.129899999999999</v>
      </c>
      <c r="J919" s="29" t="s">
        <v>1698</v>
      </c>
      <c r="K919" s="29" t="s">
        <v>595</v>
      </c>
      <c r="L919" s="29" t="s">
        <v>1422</v>
      </c>
      <c r="M919" s="29"/>
      <c r="N919" s="29"/>
      <c r="O919" s="26"/>
      <c r="P919" s="29"/>
      <c r="Q919" s="30"/>
      <c r="R919" s="30"/>
      <c r="S919" s="27"/>
      <c r="T919" s="27"/>
      <c r="U919" s="27"/>
      <c r="V919" s="27"/>
      <c r="W919" s="27"/>
      <c r="X919" s="27"/>
      <c r="Y919" s="26"/>
      <c r="Z919" s="29" t="s">
        <v>376</v>
      </c>
      <c r="AA919" s="30" t="s">
        <v>591</v>
      </c>
      <c r="AB919" s="26" t="s">
        <v>2371</v>
      </c>
      <c r="AC919" s="29" t="s">
        <v>301</v>
      </c>
      <c r="AD919" s="29" t="s">
        <v>382</v>
      </c>
      <c r="AE919" s="30">
        <v>1603</v>
      </c>
      <c r="AF919" s="30">
        <v>3.8</v>
      </c>
      <c r="AG919" s="27" t="s">
        <v>379</v>
      </c>
      <c r="AH919" s="27" t="s">
        <v>429</v>
      </c>
      <c r="AI919" s="27" t="s">
        <v>373</v>
      </c>
      <c r="AJ919" s="27" t="s">
        <v>306</v>
      </c>
      <c r="AK919" s="27" t="s">
        <v>307</v>
      </c>
      <c r="AL919" s="27" t="s">
        <v>308</v>
      </c>
      <c r="AM919" s="26"/>
      <c r="AN919" s="29"/>
      <c r="AO919" s="29"/>
      <c r="AP919" s="29"/>
      <c r="AQ919" s="30"/>
      <c r="AR919" s="26"/>
      <c r="AS919" s="30"/>
      <c r="AT919" s="30"/>
      <c r="AU919" s="27"/>
      <c r="AV919" s="27"/>
      <c r="AW919" s="27"/>
      <c r="AX919" s="27"/>
      <c r="AY919" s="27"/>
      <c r="AZ919" s="27"/>
      <c r="BA919" s="26"/>
      <c r="BB919" s="29"/>
      <c r="BC919" s="29"/>
      <c r="BD919" s="29"/>
      <c r="BE919" s="30"/>
      <c r="BF919" s="26"/>
      <c r="BG919" s="27"/>
      <c r="BH919" s="27"/>
      <c r="BI919" s="27"/>
      <c r="BJ919" s="27"/>
      <c r="BK919" s="27"/>
      <c r="BL919" s="27"/>
      <c r="BM919" s="27"/>
      <c r="BN919" s="27"/>
      <c r="BO919" s="26"/>
      <c r="BP919" s="30">
        <v>12.5</v>
      </c>
      <c r="BQ919" s="30"/>
      <c r="BR919" s="30">
        <v>0.7</v>
      </c>
      <c r="BS919" s="30"/>
      <c r="BT919" s="30"/>
      <c r="BU919" s="26"/>
      <c r="BV919" s="31">
        <v>0.18</v>
      </c>
      <c r="BW919" s="31"/>
      <c r="BX919" s="31"/>
      <c r="BY919" s="31"/>
      <c r="BZ919" s="31"/>
      <c r="CA919" s="31"/>
      <c r="CB919" s="31"/>
      <c r="CC919" s="31"/>
      <c r="CD919" s="31"/>
      <c r="CE919" s="31"/>
      <c r="CF919" s="31"/>
      <c r="CG919" s="31"/>
      <c r="CH919" s="31"/>
      <c r="CI919" s="31"/>
      <c r="CJ919" s="31"/>
      <c r="CK919" s="31"/>
      <c r="CL919" s="31"/>
      <c r="CM919" s="31"/>
      <c r="CN919" s="31"/>
      <c r="CO919" s="31"/>
      <c r="CP919" s="31"/>
      <c r="CQ919" s="31"/>
      <c r="CR919" s="31"/>
      <c r="CS919" s="31"/>
      <c r="CT919" s="31"/>
      <c r="CU919" s="31"/>
      <c r="CV919" s="31"/>
      <c r="CW919" s="31"/>
      <c r="CX919" s="31"/>
      <c r="CY919" s="31"/>
      <c r="CZ919" s="31"/>
      <c r="DA919" s="31"/>
      <c r="DB919" s="31"/>
      <c r="DC919" s="31"/>
      <c r="DD919" s="31"/>
      <c r="DE919" s="31"/>
      <c r="DF919" s="31"/>
      <c r="DG919" s="31"/>
      <c r="DH919" s="31"/>
      <c r="DI919" s="31"/>
      <c r="DJ919" s="31"/>
      <c r="DK919" s="31"/>
      <c r="DL919" s="31"/>
      <c r="DM919" s="31"/>
      <c r="DN919" s="31"/>
      <c r="DO919" s="31"/>
      <c r="DP919" s="31"/>
      <c r="DQ919" s="31"/>
      <c r="DR919" s="31"/>
      <c r="DS919" s="31"/>
      <c r="DT919" s="31"/>
      <c r="DU919" s="31"/>
      <c r="DV919" s="31"/>
      <c r="DW919" s="31"/>
      <c r="DX919" s="31"/>
      <c r="DY919" s="31"/>
      <c r="DZ919" s="31"/>
      <c r="EA919" s="31"/>
      <c r="EB919" s="31"/>
      <c r="EC919" s="31"/>
      <c r="ED919" s="31"/>
      <c r="EE919" s="30"/>
      <c r="EF919" s="30"/>
      <c r="EG919" s="30"/>
      <c r="EH919" s="32">
        <f>BP919*BR919/100+750/1000000</f>
        <v>8.8249999999999995E-2</v>
      </c>
      <c r="EI919" s="32"/>
      <c r="EJ919" s="32"/>
      <c r="EK919" s="32"/>
      <c r="EL919" s="31">
        <f t="shared" si="31"/>
        <v>2.25</v>
      </c>
      <c r="EM919" s="31"/>
      <c r="EN919" s="31"/>
      <c r="EO919" s="31"/>
      <c r="EP919" s="31"/>
      <c r="EQ919" s="31"/>
      <c r="ER919" s="31"/>
      <c r="ES919" s="31"/>
      <c r="ET919" s="31"/>
      <c r="EU919" s="31"/>
      <c r="EV919" s="31"/>
      <c r="EW919" s="31"/>
      <c r="EX919" s="31"/>
      <c r="EY919" s="31"/>
      <c r="EZ919" s="31"/>
      <c r="FA919" s="31"/>
      <c r="FB919" s="31"/>
      <c r="FC919" s="31"/>
      <c r="FD919" s="31"/>
      <c r="FE919" s="31"/>
      <c r="FF919" s="31"/>
      <c r="FG919" s="31"/>
      <c r="FH919" s="31"/>
      <c r="FI919" s="31"/>
      <c r="FJ919" s="31"/>
      <c r="FK919" s="31"/>
      <c r="FL919" s="31"/>
      <c r="FM919" s="31"/>
      <c r="FN919" s="31"/>
      <c r="FO919" s="31"/>
      <c r="FP919" s="31"/>
      <c r="FQ919" s="31"/>
      <c r="FR919" s="31"/>
      <c r="FS919" s="31"/>
      <c r="FT919" s="31"/>
      <c r="FU919" s="31"/>
      <c r="FV919" s="31"/>
      <c r="FW919" s="31"/>
      <c r="FX919" s="31"/>
      <c r="FY919" s="31"/>
      <c r="FZ919" s="31"/>
      <c r="GA919" s="31"/>
      <c r="GB919" s="31"/>
      <c r="GC919" s="31"/>
      <c r="GD919" s="31"/>
      <c r="GE919" s="31"/>
      <c r="GF919" s="31"/>
      <c r="GG919" s="31"/>
      <c r="GH919" s="31"/>
      <c r="GI919" s="31"/>
      <c r="GJ919" s="31"/>
      <c r="GK919" s="31"/>
      <c r="GL919" s="31"/>
      <c r="GM919" s="31"/>
      <c r="GN919" s="31"/>
      <c r="GO919" s="31"/>
      <c r="GP919" s="32"/>
      <c r="GQ919" s="31"/>
      <c r="GR919" s="31"/>
      <c r="GS919" s="31"/>
      <c r="GT919" s="31"/>
      <c r="GU919" s="31"/>
      <c r="GV919" s="31"/>
      <c r="GW919" s="31"/>
      <c r="GX919" s="31"/>
      <c r="GY919" s="31" t="s">
        <v>338</v>
      </c>
      <c r="GZ919" s="31" t="s">
        <v>994</v>
      </c>
      <c r="HA919" s="31" t="s">
        <v>436</v>
      </c>
      <c r="HB919" s="31"/>
      <c r="HC919" s="31" t="s">
        <v>2372</v>
      </c>
      <c r="HD919" s="26" t="s">
        <v>2373</v>
      </c>
      <c r="HE919" s="26">
        <v>25749</v>
      </c>
      <c r="HF919" s="26" t="s">
        <v>2374</v>
      </c>
      <c r="HG919" s="27" t="s">
        <v>538</v>
      </c>
      <c r="HH919" s="27" t="s">
        <v>2375</v>
      </c>
      <c r="HI919" s="26">
        <v>2617</v>
      </c>
      <c r="HJ919" s="27" t="s">
        <v>2376</v>
      </c>
      <c r="HK919" s="27" t="s">
        <v>538</v>
      </c>
      <c r="HL919" s="27"/>
      <c r="HM919" s="26"/>
      <c r="HN919" s="27"/>
      <c r="HO919" s="27"/>
      <c r="HP919" s="27"/>
      <c r="HQ919" s="26"/>
      <c r="HR919" s="27"/>
      <c r="HS919" s="27"/>
      <c r="HT919" s="27"/>
      <c r="HU919" s="27"/>
      <c r="HV919" s="27"/>
      <c r="HW919" s="27"/>
      <c r="HX919" s="27"/>
      <c r="HY919" s="26"/>
      <c r="HZ919" s="27"/>
      <c r="IA919" s="27"/>
      <c r="IB919" s="26"/>
      <c r="IC919" s="26"/>
      <c r="ID919" s="26"/>
      <c r="IE919" s="26"/>
      <c r="IF919" s="26"/>
      <c r="IG919" s="26"/>
      <c r="IH919" s="26"/>
      <c r="II919" s="26"/>
      <c r="IJ919" s="26"/>
      <c r="IK919" s="26"/>
      <c r="IL919" s="27"/>
      <c r="IM919" s="26"/>
      <c r="IN919" s="27"/>
      <c r="IO919" s="27"/>
      <c r="IP919" s="27"/>
      <c r="IQ919" s="27"/>
      <c r="IR919" s="26"/>
      <c r="IS919" s="27"/>
      <c r="IT919" s="27"/>
      <c r="IU919" s="27"/>
      <c r="IV919" s="27"/>
      <c r="IW919" s="26"/>
      <c r="IX919" s="27"/>
      <c r="IY919" s="27"/>
      <c r="IZ919" s="27"/>
      <c r="JA919" s="27"/>
      <c r="JB919" s="26"/>
      <c r="JC919" s="27"/>
      <c r="JD919" s="27"/>
      <c r="JE919" s="27"/>
      <c r="JF919" s="27"/>
      <c r="JG919" s="27"/>
      <c r="JH919" s="27"/>
      <c r="JI919" s="27"/>
      <c r="JJ919" s="27"/>
      <c r="JK919" s="27"/>
      <c r="JL919" s="27"/>
      <c r="JM919" s="27"/>
      <c r="JN919" s="27"/>
      <c r="JO919" s="27"/>
      <c r="JP919" s="27"/>
      <c r="JQ919" s="27"/>
      <c r="JR919" s="27"/>
      <c r="JS919" s="27"/>
      <c r="JT919" s="27"/>
      <c r="JU919" s="30"/>
      <c r="JV919" s="30" t="s">
        <v>2377</v>
      </c>
      <c r="JW919" s="30"/>
      <c r="JX919" s="30" t="s">
        <v>353</v>
      </c>
      <c r="JY919" s="30" t="s">
        <v>354</v>
      </c>
      <c r="JZ919" s="30" t="s">
        <v>320</v>
      </c>
      <c r="KA919" s="30"/>
      <c r="KB919" s="30"/>
      <c r="KC919" s="30"/>
      <c r="KD919" s="30"/>
      <c r="KE919" s="30"/>
      <c r="KF919" s="30"/>
      <c r="KG919" s="29" t="s">
        <v>323</v>
      </c>
      <c r="KH919" s="29"/>
      <c r="KI919" s="29"/>
      <c r="KJ919" s="29"/>
      <c r="KK919" s="29"/>
      <c r="KL919" s="29"/>
      <c r="KM919" s="29" t="s">
        <v>888</v>
      </c>
      <c r="KN919" s="29" t="s">
        <v>888</v>
      </c>
      <c r="KO919" s="29"/>
      <c r="KP919" s="14" t="s">
        <v>2378</v>
      </c>
      <c r="KQ919" s="14" t="s">
        <v>2379</v>
      </c>
      <c r="KR919" s="14" t="s">
        <v>2380</v>
      </c>
      <c r="KS919" s="14" t="s">
        <v>2381</v>
      </c>
      <c r="KT919" s="14" t="s">
        <v>2382</v>
      </c>
    </row>
    <row r="920" spans="1:306" ht="60" x14ac:dyDescent="0.25">
      <c r="A920" s="5" t="s">
        <v>3015</v>
      </c>
      <c r="B920" s="4" t="s">
        <v>376</v>
      </c>
      <c r="C920" s="7" t="s">
        <v>591</v>
      </c>
      <c r="D920" s="8" t="s">
        <v>2371</v>
      </c>
      <c r="E920" s="4">
        <v>336037</v>
      </c>
      <c r="G920" s="4" t="s">
        <v>479</v>
      </c>
      <c r="H920" s="6">
        <v>140.97989444000001</v>
      </c>
      <c r="I920" s="6">
        <v>-20.95485278</v>
      </c>
      <c r="J920" s="4" t="s">
        <v>3015</v>
      </c>
      <c r="K920" s="4" t="s">
        <v>481</v>
      </c>
      <c r="L920" s="4" t="s">
        <v>651</v>
      </c>
      <c r="M920" s="4" t="s">
        <v>1950</v>
      </c>
      <c r="Q920" s="8"/>
      <c r="R920" s="8"/>
      <c r="Z920" s="4" t="s">
        <v>376</v>
      </c>
      <c r="AA920" s="7" t="s">
        <v>591</v>
      </c>
      <c r="AB920" s="8" t="s">
        <v>2371</v>
      </c>
      <c r="AC920" s="4" t="s">
        <v>301</v>
      </c>
      <c r="AD920" s="4" t="s">
        <v>375</v>
      </c>
      <c r="AE920" s="8">
        <v>1522</v>
      </c>
      <c r="AF920" s="8">
        <v>11</v>
      </c>
      <c r="AG920" s="9" t="s">
        <v>379</v>
      </c>
      <c r="AH920" s="9" t="s">
        <v>460</v>
      </c>
      <c r="AM920" s="8">
        <v>4</v>
      </c>
      <c r="BP920" s="7">
        <v>10</v>
      </c>
      <c r="BR920" s="7">
        <v>3.2</v>
      </c>
      <c r="BV920" s="7">
        <v>0.7</v>
      </c>
      <c r="DZ920" s="31"/>
      <c r="EH920" s="10">
        <f>BP920*BR920/100</f>
        <v>0.32</v>
      </c>
      <c r="EL920" s="6">
        <f t="shared" si="31"/>
        <v>7</v>
      </c>
      <c r="EY920" s="6"/>
      <c r="FA920" s="6"/>
      <c r="GP920" s="32"/>
      <c r="GY920" s="6" t="s">
        <v>338</v>
      </c>
      <c r="GZ920" s="6" t="s">
        <v>994</v>
      </c>
      <c r="HA920" s="6" t="s">
        <v>436</v>
      </c>
      <c r="HC920" s="6" t="s">
        <v>2372</v>
      </c>
      <c r="HD920" s="4" t="s">
        <v>1952</v>
      </c>
      <c r="HE920" s="8">
        <v>12978</v>
      </c>
      <c r="HF920" s="4" t="s">
        <v>3016</v>
      </c>
      <c r="HG920" s="4" t="s">
        <v>490</v>
      </c>
      <c r="HY920" s="9"/>
      <c r="ID920" s="8" t="s">
        <v>702</v>
      </c>
      <c r="IE920" s="8" t="s">
        <v>538</v>
      </c>
      <c r="IF920" s="8" t="s">
        <v>329</v>
      </c>
      <c r="IR920" s="9"/>
      <c r="JV920" s="7" t="s">
        <v>3017</v>
      </c>
      <c r="JX920" s="7" t="s">
        <v>320</v>
      </c>
      <c r="JY920" s="7" t="s">
        <v>470</v>
      </c>
      <c r="JZ920" s="7" t="s">
        <v>353</v>
      </c>
      <c r="KA920" s="7" t="s">
        <v>354</v>
      </c>
      <c r="KB920" s="7" t="s">
        <v>320</v>
      </c>
      <c r="KG920" s="4" t="s">
        <v>323</v>
      </c>
      <c r="KM920" s="4" t="s">
        <v>521</v>
      </c>
      <c r="KN920" s="4" t="s">
        <v>522</v>
      </c>
      <c r="KP920" s="5" t="s">
        <v>3018</v>
      </c>
      <c r="KQ920" s="5" t="s">
        <v>3019</v>
      </c>
      <c r="KR920" s="5" t="s">
        <v>3020</v>
      </c>
      <c r="KS920" s="5" t="s">
        <v>3018</v>
      </c>
      <c r="KT920" s="5" t="s">
        <v>3021</v>
      </c>
    </row>
    <row r="921" spans="1:306" ht="96" x14ac:dyDescent="0.25">
      <c r="A921" s="5" t="s">
        <v>5294</v>
      </c>
      <c r="B921" s="4" t="s">
        <v>376</v>
      </c>
      <c r="C921" s="7" t="s">
        <v>591</v>
      </c>
      <c r="D921" s="8" t="s">
        <v>2371</v>
      </c>
      <c r="E921" s="4">
        <v>335574</v>
      </c>
      <c r="G921" s="4" t="s">
        <v>479</v>
      </c>
      <c r="H921" s="6">
        <v>140.6885</v>
      </c>
      <c r="I921" s="6">
        <v>-20.625</v>
      </c>
      <c r="J921" s="4" t="s">
        <v>1949</v>
      </c>
      <c r="K921" s="4" t="s">
        <v>481</v>
      </c>
      <c r="L921" s="4" t="s">
        <v>651</v>
      </c>
      <c r="M921" s="4" t="s">
        <v>1950</v>
      </c>
      <c r="Q921" s="4"/>
      <c r="R921" s="4"/>
      <c r="S921" s="4"/>
      <c r="T921" s="4"/>
      <c r="U921" s="4"/>
      <c r="V921" s="4"/>
      <c r="W921" s="4"/>
      <c r="X921" s="4"/>
      <c r="Z921" s="4" t="s">
        <v>376</v>
      </c>
      <c r="AA921" s="7" t="s">
        <v>591</v>
      </c>
      <c r="AB921" s="8" t="s">
        <v>2371</v>
      </c>
      <c r="AC921" s="4" t="s">
        <v>301</v>
      </c>
      <c r="AD921" s="4" t="s">
        <v>375</v>
      </c>
      <c r="AE921" s="4">
        <v>1523</v>
      </c>
      <c r="AF921" s="4"/>
      <c r="AG921" s="4" t="s">
        <v>379</v>
      </c>
      <c r="AH921" s="4" t="s">
        <v>1156</v>
      </c>
      <c r="AI921" s="4"/>
      <c r="AJ921" s="4"/>
      <c r="AK921" s="4"/>
      <c r="AL921" s="4"/>
      <c r="AM921" s="8">
        <v>2</v>
      </c>
      <c r="AN921" s="4" t="s">
        <v>381</v>
      </c>
      <c r="AO921" s="4" t="s">
        <v>382</v>
      </c>
      <c r="AP921" s="4" t="s">
        <v>383</v>
      </c>
      <c r="AQ921" s="7" t="s">
        <v>384</v>
      </c>
      <c r="AR921" s="8" t="s">
        <v>827</v>
      </c>
      <c r="AS921" s="7">
        <v>0</v>
      </c>
      <c r="AT921" s="7">
        <v>0</v>
      </c>
      <c r="AU921" s="9" t="s">
        <v>303</v>
      </c>
      <c r="AV921" s="9" t="s">
        <v>406</v>
      </c>
      <c r="BA921" s="8">
        <v>5</v>
      </c>
      <c r="BP921" s="7">
        <v>4</v>
      </c>
      <c r="BQ921" s="4"/>
      <c r="BR921" s="4">
        <v>1.32</v>
      </c>
      <c r="BS921" s="4"/>
      <c r="BT921" s="4"/>
      <c r="BU921" s="4"/>
      <c r="BV921" s="4">
        <v>0.42</v>
      </c>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31"/>
      <c r="EA921" s="4"/>
      <c r="EB921" s="4"/>
      <c r="EC921" s="4"/>
      <c r="ED921" s="4"/>
      <c r="EE921" s="4"/>
      <c r="EF921" s="4"/>
      <c r="EG921" s="4"/>
      <c r="EH921" s="10">
        <f>BP921*BR921/100</f>
        <v>5.28E-2</v>
      </c>
      <c r="EL921" s="6">
        <f t="shared" si="31"/>
        <v>1.68</v>
      </c>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32"/>
      <c r="GQ921" s="4"/>
      <c r="GR921" s="4"/>
      <c r="GS921" s="4"/>
      <c r="GT921" s="4"/>
      <c r="GU921" s="4"/>
      <c r="GV921" s="4"/>
      <c r="GW921" s="4"/>
      <c r="GX921" s="4"/>
      <c r="GY921" s="4" t="s">
        <v>338</v>
      </c>
      <c r="GZ921" s="4" t="s">
        <v>994</v>
      </c>
      <c r="HA921" s="4" t="s">
        <v>436</v>
      </c>
      <c r="HB921" s="4"/>
      <c r="HC921" s="4" t="s">
        <v>2372</v>
      </c>
      <c r="HD921" s="4" t="s">
        <v>5295</v>
      </c>
      <c r="HE921" s="8">
        <v>12978</v>
      </c>
      <c r="HF921" s="4" t="s">
        <v>5296</v>
      </c>
      <c r="HG921" s="4" t="s">
        <v>490</v>
      </c>
      <c r="HH921" s="4" t="s">
        <v>3663</v>
      </c>
      <c r="HI921" s="4">
        <v>18370</v>
      </c>
      <c r="HJ921" s="4" t="s">
        <v>5297</v>
      </c>
      <c r="HK921" s="4" t="s">
        <v>490</v>
      </c>
      <c r="HL921" s="4"/>
      <c r="HN921" s="4"/>
      <c r="HO921" s="4"/>
      <c r="HP921" s="4"/>
      <c r="HR921" s="4"/>
      <c r="HS921" s="4"/>
      <c r="HT921" s="4"/>
      <c r="HU921" s="4"/>
      <c r="HV921" s="4"/>
      <c r="HW921" s="4"/>
      <c r="HX921" s="4"/>
      <c r="HY921" s="4"/>
      <c r="HZ921" s="4"/>
      <c r="IA921" s="4"/>
      <c r="IB921" s="4" t="s">
        <v>3663</v>
      </c>
      <c r="IC921" s="8">
        <v>18370</v>
      </c>
      <c r="ID921" s="4" t="s">
        <v>5298</v>
      </c>
      <c r="IE921" s="4" t="s">
        <v>490</v>
      </c>
      <c r="IF921" s="4" t="s">
        <v>445</v>
      </c>
      <c r="IG921" s="4" t="s">
        <v>5299</v>
      </c>
      <c r="IH921" s="4">
        <v>30704</v>
      </c>
      <c r="II921" s="4" t="s">
        <v>5300</v>
      </c>
      <c r="IJ921" s="4" t="s">
        <v>487</v>
      </c>
      <c r="IK921" s="4" t="s">
        <v>329</v>
      </c>
      <c r="IL921" s="4"/>
      <c r="IN921" s="4"/>
      <c r="IO921" s="4"/>
      <c r="IP921" s="4"/>
      <c r="IQ921" s="4"/>
      <c r="IR921" s="4"/>
      <c r="IS921" s="4"/>
      <c r="IT921" s="4"/>
      <c r="IU921" s="4"/>
      <c r="IV921" s="4"/>
      <c r="IW921" s="4"/>
      <c r="IX921" s="4"/>
      <c r="IY921" s="4"/>
      <c r="IZ921" s="4"/>
      <c r="JA921" s="4"/>
      <c r="JB921" s="4"/>
      <c r="JC921" s="4"/>
      <c r="JD921" s="4"/>
      <c r="JE921" s="4"/>
      <c r="JF921" s="4"/>
      <c r="JG921" s="4"/>
      <c r="JH921" s="4"/>
      <c r="JI921" s="4"/>
      <c r="JJ921" s="4"/>
      <c r="JK921" s="4"/>
      <c r="JL921" s="4"/>
      <c r="JM921" s="4"/>
      <c r="JN921" s="4"/>
      <c r="JO921" s="4"/>
      <c r="JP921" s="4"/>
      <c r="JQ921" s="4"/>
      <c r="JR921" s="4"/>
      <c r="JS921" s="4"/>
      <c r="JT921" s="4"/>
      <c r="JU921" s="4"/>
      <c r="JV921" s="4" t="s">
        <v>5301</v>
      </c>
      <c r="JW921" s="4"/>
      <c r="JX921" s="4" t="s">
        <v>320</v>
      </c>
      <c r="JY921" s="4" t="s">
        <v>470</v>
      </c>
      <c r="JZ921" s="4" t="s">
        <v>353</v>
      </c>
      <c r="KA921" s="4"/>
      <c r="KB921" s="4"/>
      <c r="KC921" s="4"/>
      <c r="KD921" s="4"/>
      <c r="KE921" s="4"/>
      <c r="KF921" s="4"/>
      <c r="KG921" s="4" t="s">
        <v>356</v>
      </c>
      <c r="KH921" s="4" t="s">
        <v>357</v>
      </c>
      <c r="KM921" s="4" t="s">
        <v>702</v>
      </c>
      <c r="KN921" s="4" t="s">
        <v>702</v>
      </c>
      <c r="KP921" s="5" t="s">
        <v>5302</v>
      </c>
      <c r="KQ921" s="5" t="s">
        <v>5303</v>
      </c>
      <c r="KS921" s="5" t="s">
        <v>5303</v>
      </c>
      <c r="KT921" s="5" t="s">
        <v>5304</v>
      </c>
    </row>
    <row r="922" spans="1:306" ht="96" x14ac:dyDescent="0.25">
      <c r="A922" s="5" t="s">
        <v>3662</v>
      </c>
      <c r="B922" s="4" t="s">
        <v>376</v>
      </c>
      <c r="C922" s="7" t="s">
        <v>591</v>
      </c>
      <c r="D922" s="8" t="s">
        <v>2371</v>
      </c>
      <c r="E922" s="4">
        <v>335394</v>
      </c>
      <c r="G922" s="4" t="s">
        <v>479</v>
      </c>
      <c r="H922" s="6">
        <v>140.51050000000001</v>
      </c>
      <c r="I922" s="6">
        <v>-20.720600000000001</v>
      </c>
      <c r="J922" s="4" t="s">
        <v>1949</v>
      </c>
      <c r="K922" s="4" t="s">
        <v>481</v>
      </c>
      <c r="L922" s="4" t="s">
        <v>651</v>
      </c>
      <c r="M922" s="4" t="s">
        <v>1950</v>
      </c>
      <c r="Q922" s="4"/>
      <c r="R922" s="4"/>
      <c r="S922" s="4"/>
      <c r="T922" s="4"/>
      <c r="U922" s="4"/>
      <c r="V922" s="4"/>
      <c r="W922" s="4"/>
      <c r="X922" s="4"/>
      <c r="Z922" s="4" t="s">
        <v>376</v>
      </c>
      <c r="AA922" s="7" t="s">
        <v>591</v>
      </c>
      <c r="AB922" s="8" t="s">
        <v>2371</v>
      </c>
      <c r="AC922" s="4" t="s">
        <v>301</v>
      </c>
      <c r="AD922" s="4" t="s">
        <v>382</v>
      </c>
      <c r="AE922" s="4">
        <v>1523</v>
      </c>
      <c r="AF922" s="4"/>
      <c r="AG922" s="4" t="s">
        <v>379</v>
      </c>
      <c r="AH922" s="4" t="s">
        <v>1156</v>
      </c>
      <c r="AI922" s="4"/>
      <c r="AJ922" s="4"/>
      <c r="AK922" s="4"/>
      <c r="AL922" s="4"/>
      <c r="AM922" s="8">
        <v>2</v>
      </c>
      <c r="AN922" s="4" t="s">
        <v>381</v>
      </c>
      <c r="AO922" s="4" t="s">
        <v>382</v>
      </c>
      <c r="AP922" s="4" t="s">
        <v>383</v>
      </c>
      <c r="AQ922" s="7" t="s">
        <v>384</v>
      </c>
      <c r="AR922" s="8" t="s">
        <v>827</v>
      </c>
      <c r="AS922" s="7">
        <v>0</v>
      </c>
      <c r="AT922" s="7">
        <v>0</v>
      </c>
      <c r="AU922" s="9" t="s">
        <v>303</v>
      </c>
      <c r="AV922" s="9" t="s">
        <v>406</v>
      </c>
      <c r="BA922" s="8">
        <v>5</v>
      </c>
      <c r="BG922" s="7"/>
      <c r="BH922" s="7"/>
      <c r="BP922" s="7">
        <v>2.1</v>
      </c>
      <c r="BQ922" s="4"/>
      <c r="BR922" s="4">
        <v>1.54</v>
      </c>
      <c r="BS922" s="4"/>
      <c r="BT922" s="4"/>
      <c r="BU922" s="4"/>
      <c r="BV922" s="4">
        <v>0.13</v>
      </c>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31"/>
      <c r="EA922" s="4"/>
      <c r="EB922" s="4"/>
      <c r="EC922" s="4"/>
      <c r="ED922" s="4"/>
      <c r="EE922" s="4"/>
      <c r="EF922" s="4"/>
      <c r="EG922" s="4"/>
      <c r="EH922" s="10">
        <f>BP922*BR922/100</f>
        <v>3.2340000000000008E-2</v>
      </c>
      <c r="EL922" s="6">
        <f t="shared" si="31"/>
        <v>0.27300000000000002</v>
      </c>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32"/>
      <c r="GQ922" s="4"/>
      <c r="GR922" s="4"/>
      <c r="GS922" s="4"/>
      <c r="GT922" s="4"/>
      <c r="GU922" s="4"/>
      <c r="GV922" s="4"/>
      <c r="GW922" s="4"/>
      <c r="GX922" s="4"/>
      <c r="GY922" s="4" t="s">
        <v>338</v>
      </c>
      <c r="GZ922" s="4" t="s">
        <v>994</v>
      </c>
      <c r="HA922" s="4"/>
      <c r="HB922" s="4" t="s">
        <v>436</v>
      </c>
      <c r="HC922" s="4" t="s">
        <v>2372</v>
      </c>
      <c r="HD922" s="4" t="s">
        <v>3663</v>
      </c>
      <c r="HE922" s="8">
        <v>18370</v>
      </c>
      <c r="HF922" s="4" t="s">
        <v>3664</v>
      </c>
      <c r="HG922" s="4" t="s">
        <v>490</v>
      </c>
      <c r="HH922" s="4"/>
      <c r="HI922" s="4"/>
      <c r="HJ922" s="4"/>
      <c r="HK922" s="4"/>
      <c r="HL922" s="4"/>
      <c r="HN922" s="4"/>
      <c r="HO922" s="4"/>
      <c r="HP922" s="4"/>
      <c r="HR922" s="4"/>
      <c r="HS922" s="4"/>
      <c r="HT922" s="4"/>
      <c r="HU922" s="4"/>
      <c r="HV922" s="4"/>
      <c r="HW922" s="4"/>
      <c r="HX922" s="4"/>
      <c r="HY922" s="4"/>
      <c r="HZ922" s="4"/>
      <c r="IA922" s="4"/>
      <c r="IB922" s="4" t="s">
        <v>3663</v>
      </c>
      <c r="IC922" s="8">
        <v>18370</v>
      </c>
      <c r="ID922" s="4" t="s">
        <v>3664</v>
      </c>
      <c r="IE922" s="4" t="s">
        <v>490</v>
      </c>
      <c r="IF922" s="4" t="s">
        <v>445</v>
      </c>
      <c r="IG922" s="4" t="s">
        <v>3665</v>
      </c>
      <c r="IH922" s="4">
        <v>13847</v>
      </c>
      <c r="II922" s="4" t="s">
        <v>3666</v>
      </c>
      <c r="IJ922" s="4" t="s">
        <v>487</v>
      </c>
      <c r="IK922" s="4" t="s">
        <v>329</v>
      </c>
      <c r="IL922" s="4"/>
      <c r="IN922" s="4"/>
      <c r="IO922" s="4"/>
      <c r="IP922" s="4"/>
      <c r="IQ922" s="4"/>
      <c r="IR922" s="4"/>
      <c r="IS922" s="4"/>
      <c r="IT922" s="4"/>
      <c r="IU922" s="4"/>
      <c r="IV922" s="4"/>
      <c r="IW922" s="4"/>
      <c r="IX922" s="4"/>
      <c r="IY922" s="4"/>
      <c r="IZ922" s="4"/>
      <c r="JA922" s="4"/>
      <c r="JB922" s="4"/>
      <c r="JC922" s="4"/>
      <c r="JD922" s="4"/>
      <c r="JE922" s="4"/>
      <c r="JF922" s="4"/>
      <c r="JG922" s="4"/>
      <c r="JH922" s="4"/>
      <c r="JI922" s="4"/>
      <c r="JJ922" s="4"/>
      <c r="JK922" s="4"/>
      <c r="JL922" s="4"/>
      <c r="JM922" s="4"/>
      <c r="JN922" s="4"/>
      <c r="JO922" s="4"/>
      <c r="JP922" s="4"/>
      <c r="JQ922" s="4"/>
      <c r="JR922" s="4"/>
      <c r="JS922" s="4"/>
      <c r="JT922" s="4"/>
      <c r="JU922" s="4" t="s">
        <v>3667</v>
      </c>
      <c r="JV922" s="4" t="s">
        <v>3668</v>
      </c>
      <c r="JW922" s="4"/>
      <c r="JX922" s="4" t="s">
        <v>320</v>
      </c>
      <c r="JY922" s="4" t="s">
        <v>354</v>
      </c>
      <c r="JZ922" s="4" t="s">
        <v>353</v>
      </c>
      <c r="KA922" s="4" t="s">
        <v>354</v>
      </c>
      <c r="KB922" s="4" t="s">
        <v>355</v>
      </c>
      <c r="KC922" s="4"/>
      <c r="KD922" s="4"/>
      <c r="KE922" s="4"/>
      <c r="KF922" s="4"/>
      <c r="KG922" s="4" t="s">
        <v>323</v>
      </c>
      <c r="KM922" s="4" t="s">
        <v>391</v>
      </c>
      <c r="KN922" s="4" t="s">
        <v>391</v>
      </c>
      <c r="KP922" s="5" t="s">
        <v>358</v>
      </c>
      <c r="KQ922" s="5" t="s">
        <v>3669</v>
      </c>
      <c r="KS922" s="5" t="s">
        <v>3670</v>
      </c>
      <c r="KT922" s="5" t="s">
        <v>3671</v>
      </c>
    </row>
    <row r="923" spans="1:306" ht="48" x14ac:dyDescent="0.25">
      <c r="A923" s="5" t="s">
        <v>2950</v>
      </c>
      <c r="B923" s="4" t="s">
        <v>376</v>
      </c>
      <c r="C923" s="7" t="s">
        <v>591</v>
      </c>
      <c r="D923" s="8" t="s">
        <v>2371</v>
      </c>
      <c r="E923" s="4">
        <v>334081</v>
      </c>
      <c r="G923" s="4" t="s">
        <v>479</v>
      </c>
      <c r="H923" s="6">
        <v>144.09989999999999</v>
      </c>
      <c r="I923" s="6">
        <v>-18.507400000000001</v>
      </c>
      <c r="J923" s="4" t="s">
        <v>2182</v>
      </c>
      <c r="K923" s="4" t="s">
        <v>481</v>
      </c>
      <c r="L923" s="4" t="s">
        <v>482</v>
      </c>
      <c r="Q923" s="4"/>
      <c r="R923" s="4"/>
      <c r="S923" s="4"/>
      <c r="T923" s="4"/>
      <c r="U923" s="4"/>
      <c r="V923" s="4"/>
      <c r="W923" s="4"/>
      <c r="X923" s="4"/>
      <c r="Z923" s="4" t="s">
        <v>376</v>
      </c>
      <c r="AA923" s="7" t="s">
        <v>591</v>
      </c>
      <c r="AB923" s="8" t="s">
        <v>2371</v>
      </c>
      <c r="AC923" s="4" t="s">
        <v>301</v>
      </c>
      <c r="AD923" s="4" t="s">
        <v>302</v>
      </c>
      <c r="AE923" s="4">
        <v>1396</v>
      </c>
      <c r="AF923" s="4"/>
      <c r="AG923" s="4" t="s">
        <v>303</v>
      </c>
      <c r="AH923" s="4" t="s">
        <v>304</v>
      </c>
      <c r="AI923" s="4" t="s">
        <v>598</v>
      </c>
      <c r="AJ923" s="4" t="s">
        <v>599</v>
      </c>
      <c r="AK923" s="4" t="s">
        <v>600</v>
      </c>
      <c r="AL923" s="4"/>
      <c r="AM923" s="8">
        <v>3</v>
      </c>
      <c r="AS923" s="7"/>
      <c r="AT923" s="7"/>
      <c r="BG923" s="7"/>
      <c r="BH923" s="7"/>
      <c r="BP923" s="7">
        <v>1.1000000000000001</v>
      </c>
      <c r="BQ923" s="4"/>
      <c r="BR923" s="7">
        <v>2.9</v>
      </c>
      <c r="BS923" s="4"/>
      <c r="BT923" s="4"/>
      <c r="BU923" s="8">
        <v>13</v>
      </c>
      <c r="BV923" s="6">
        <v>0.15</v>
      </c>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31"/>
      <c r="EA923" s="4"/>
      <c r="EB923" s="4"/>
      <c r="EC923" s="4"/>
      <c r="ED923" s="4"/>
      <c r="EE923" s="4"/>
      <c r="EF923" s="4"/>
      <c r="EG923" s="4"/>
      <c r="EH923" s="10">
        <f>BP923*BR923/100</f>
        <v>3.1899999999999998E-2</v>
      </c>
      <c r="EK923" s="10">
        <f>BP923*BU923/1000</f>
        <v>1.43E-2</v>
      </c>
      <c r="EL923" s="6">
        <f t="shared" si="31"/>
        <v>0.16500000000000001</v>
      </c>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32"/>
      <c r="GQ923" s="4"/>
      <c r="GR923" s="4"/>
      <c r="GS923" s="4"/>
      <c r="GT923" s="4"/>
      <c r="GU923" s="4"/>
      <c r="GV923" s="4"/>
      <c r="GW923" s="4"/>
      <c r="GX923" s="4"/>
      <c r="GY923" s="4" t="s">
        <v>338</v>
      </c>
      <c r="GZ923" s="4" t="s">
        <v>994</v>
      </c>
      <c r="HA923" s="4"/>
      <c r="HB923" s="4" t="s">
        <v>2504</v>
      </c>
      <c r="HC923" s="4" t="s">
        <v>2951</v>
      </c>
      <c r="HD923" s="4" t="s">
        <v>2183</v>
      </c>
      <c r="HE923" s="8">
        <v>6018</v>
      </c>
      <c r="HF923" s="4" t="s">
        <v>2952</v>
      </c>
      <c r="HG923" s="4" t="s">
        <v>490</v>
      </c>
      <c r="HH923" s="4"/>
      <c r="HJ923" s="4"/>
      <c r="HK923" s="4"/>
      <c r="HL923" s="4"/>
      <c r="HN923" s="4"/>
      <c r="HO923" s="4"/>
      <c r="HP923" s="4"/>
      <c r="HR923" s="4"/>
      <c r="HS923" s="4"/>
      <c r="HT923" s="4"/>
      <c r="HU923" s="4"/>
      <c r="HV923" s="4"/>
      <c r="HW923" s="4"/>
      <c r="HX923" s="4"/>
      <c r="HY923" s="4"/>
      <c r="HZ923" s="4"/>
      <c r="IA923" s="4"/>
      <c r="IB923" s="4"/>
      <c r="ID923" s="4" t="s">
        <v>528</v>
      </c>
      <c r="IE923" s="4" t="s">
        <v>538</v>
      </c>
      <c r="IF923" s="4" t="s">
        <v>445</v>
      </c>
      <c r="IG923" s="4"/>
      <c r="IH923" s="4"/>
      <c r="II923" s="4"/>
      <c r="IJ923" s="4"/>
      <c r="IK923" s="4"/>
      <c r="IL923" s="4"/>
      <c r="IN923" s="4"/>
      <c r="IO923" s="4"/>
      <c r="IP923" s="4"/>
      <c r="IQ923" s="4"/>
      <c r="IR923" s="4"/>
      <c r="IS923" s="4"/>
      <c r="IT923" s="4"/>
      <c r="IU923" s="4"/>
      <c r="IV923" s="4"/>
      <c r="IW923" s="4"/>
      <c r="IX923" s="4"/>
      <c r="IY923" s="4"/>
      <c r="IZ923" s="4"/>
      <c r="JA923" s="4"/>
      <c r="JB923" s="4"/>
      <c r="JC923" s="4"/>
      <c r="JD923" s="4"/>
      <c r="JE923" s="4"/>
      <c r="JF923" s="4"/>
      <c r="JG923" s="4"/>
      <c r="JH923" s="4"/>
      <c r="JI923" s="4"/>
      <c r="JJ923" s="4"/>
      <c r="JK923" s="4"/>
      <c r="JL923" s="4"/>
      <c r="JM923" s="4"/>
      <c r="JN923" s="4"/>
      <c r="JO923" s="4"/>
      <c r="JP923" s="4"/>
      <c r="JQ923" s="4"/>
      <c r="JR923" s="4"/>
      <c r="JS923" s="4"/>
      <c r="JT923" s="4"/>
      <c r="JU923" s="4"/>
      <c r="JV923" s="4" t="s">
        <v>2953</v>
      </c>
      <c r="JW923" s="4"/>
      <c r="JX923" s="4" t="s">
        <v>322</v>
      </c>
      <c r="JY923" s="4" t="s">
        <v>354</v>
      </c>
      <c r="JZ923" s="4" t="s">
        <v>320</v>
      </c>
      <c r="KA923" s="4" t="s">
        <v>354</v>
      </c>
      <c r="KB923" s="4" t="s">
        <v>353</v>
      </c>
      <c r="KC923" s="4"/>
      <c r="KD923" s="4"/>
      <c r="KE923" s="4"/>
      <c r="KF923" s="4"/>
      <c r="KG923" s="4" t="s">
        <v>323</v>
      </c>
      <c r="KM923" s="4" t="s">
        <v>702</v>
      </c>
      <c r="KN923" s="4" t="s">
        <v>888</v>
      </c>
      <c r="KP923" s="5" t="s">
        <v>1956</v>
      </c>
      <c r="KQ923" s="5" t="s">
        <v>2954</v>
      </c>
      <c r="KR923" s="5" t="s">
        <v>1958</v>
      </c>
      <c r="KS923" s="5" t="s">
        <v>2955</v>
      </c>
      <c r="KT923" s="5" t="s">
        <v>2956</v>
      </c>
    </row>
    <row r="924" spans="1:306" ht="36" x14ac:dyDescent="0.25">
      <c r="A924" s="5" t="s">
        <v>590</v>
      </c>
      <c r="B924" s="4" t="s">
        <v>376</v>
      </c>
      <c r="C924" s="7" t="s">
        <v>591</v>
      </c>
      <c r="D924" s="8" t="s">
        <v>592</v>
      </c>
      <c r="E924" s="4">
        <v>651701</v>
      </c>
      <c r="G924" s="4" t="s">
        <v>593</v>
      </c>
      <c r="H924" s="6">
        <v>137.742842</v>
      </c>
      <c r="I924" s="6">
        <v>-33.876060000000003</v>
      </c>
      <c r="J924" s="4" t="s">
        <v>594</v>
      </c>
      <c r="K924" s="4" t="s">
        <v>595</v>
      </c>
      <c r="L924" s="4" t="s">
        <v>596</v>
      </c>
      <c r="M924" s="4" t="s">
        <v>597</v>
      </c>
      <c r="Q924" s="8"/>
      <c r="R924" s="8"/>
      <c r="S924" s="4"/>
      <c r="Z924" s="4" t="s">
        <v>376</v>
      </c>
      <c r="AA924" s="7" t="s">
        <v>591</v>
      </c>
      <c r="AB924" s="8" t="s">
        <v>592</v>
      </c>
      <c r="AC924" s="4" t="s">
        <v>301</v>
      </c>
      <c r="AD924" s="4" t="s">
        <v>302</v>
      </c>
      <c r="AE924" s="8">
        <v>1575</v>
      </c>
      <c r="AF924" s="8">
        <v>4</v>
      </c>
      <c r="AG924" s="4" t="s">
        <v>303</v>
      </c>
      <c r="AH924" s="9" t="s">
        <v>304</v>
      </c>
      <c r="AI924" s="9" t="s">
        <v>598</v>
      </c>
      <c r="AJ924" s="9" t="s">
        <v>599</v>
      </c>
      <c r="AK924" s="9" t="s">
        <v>600</v>
      </c>
      <c r="AM924" s="8">
        <v>5</v>
      </c>
      <c r="AS924" s="8"/>
      <c r="AT924" s="8"/>
      <c r="AU924" s="4"/>
      <c r="DZ924" s="31"/>
      <c r="EB924" s="10"/>
      <c r="EY924" s="6"/>
      <c r="FA924" s="6"/>
      <c r="GP924" s="32"/>
      <c r="GY924" s="6" t="s">
        <v>407</v>
      </c>
      <c r="HY924" s="9"/>
      <c r="IM924" s="9"/>
      <c r="JV924" s="7" t="s">
        <v>601</v>
      </c>
      <c r="JX924" s="7" t="s">
        <v>353</v>
      </c>
      <c r="JY924" s="7" t="s">
        <v>321</v>
      </c>
      <c r="JZ924" s="7" t="s">
        <v>355</v>
      </c>
      <c r="KG924" s="4" t="s">
        <v>323</v>
      </c>
      <c r="KP924" s="5" t="s">
        <v>602</v>
      </c>
      <c r="KQ924" s="5" t="s">
        <v>602</v>
      </c>
      <c r="KT924" s="5" t="s">
        <v>603</v>
      </c>
    </row>
    <row r="925" spans="1:306" ht="60" x14ac:dyDescent="0.25">
      <c r="A925" s="5" t="s">
        <v>2031</v>
      </c>
      <c r="B925" s="4" t="s">
        <v>376</v>
      </c>
      <c r="C925" s="7" t="s">
        <v>591</v>
      </c>
      <c r="D925" s="8" t="s">
        <v>592</v>
      </c>
      <c r="E925" s="4">
        <v>529756</v>
      </c>
      <c r="G925" s="4" t="s">
        <v>593</v>
      </c>
      <c r="H925" s="6">
        <v>137.4984</v>
      </c>
      <c r="I925" s="6">
        <v>-31.217500000000001</v>
      </c>
      <c r="J925" s="4" t="s">
        <v>2031</v>
      </c>
      <c r="K925" s="4" t="s">
        <v>595</v>
      </c>
      <c r="L925" s="4" t="s">
        <v>596</v>
      </c>
      <c r="M925" s="4" t="s">
        <v>597</v>
      </c>
      <c r="Q925" s="8"/>
      <c r="R925" s="8"/>
      <c r="Z925" s="4" t="s">
        <v>376</v>
      </c>
      <c r="AA925" s="7" t="s">
        <v>591</v>
      </c>
      <c r="AB925" s="8" t="s">
        <v>592</v>
      </c>
      <c r="AC925" s="4" t="s">
        <v>301</v>
      </c>
      <c r="AD925" s="4" t="s">
        <v>375</v>
      </c>
      <c r="AE925" s="8">
        <v>1598</v>
      </c>
      <c r="AF925" s="8">
        <v>6</v>
      </c>
      <c r="AG925" s="9" t="s">
        <v>379</v>
      </c>
      <c r="AH925" s="9" t="s">
        <v>335</v>
      </c>
      <c r="AI925" s="9" t="s">
        <v>2032</v>
      </c>
      <c r="AJ925" s="9" t="s">
        <v>599</v>
      </c>
      <c r="AK925" s="9" t="s">
        <v>1081</v>
      </c>
      <c r="AM925" s="8">
        <v>4</v>
      </c>
      <c r="AN925" s="4" t="s">
        <v>381</v>
      </c>
      <c r="AO925" s="4" t="s">
        <v>402</v>
      </c>
      <c r="AP925" s="4" t="s">
        <v>383</v>
      </c>
      <c r="AQ925" s="7" t="s">
        <v>384</v>
      </c>
      <c r="AR925" s="8" t="s">
        <v>827</v>
      </c>
      <c r="BB925" s="4" t="s">
        <v>381</v>
      </c>
      <c r="BC925" s="4" t="s">
        <v>402</v>
      </c>
      <c r="BD925" s="4" t="s">
        <v>383</v>
      </c>
      <c r="BE925" s="7" t="s">
        <v>384</v>
      </c>
      <c r="BF925" s="8" t="s">
        <v>433</v>
      </c>
      <c r="BP925" s="7">
        <v>134</v>
      </c>
      <c r="BR925" s="7">
        <v>1.5</v>
      </c>
      <c r="BU925" s="7">
        <v>6.5</v>
      </c>
      <c r="BV925" s="7">
        <v>0.6</v>
      </c>
      <c r="DZ925" s="31"/>
      <c r="EB925" s="10"/>
      <c r="EH925" s="10">
        <f>BP925*BR925/100</f>
        <v>2.0099999999999998</v>
      </c>
      <c r="EK925" s="10">
        <f>BP925*BU925/1000</f>
        <v>0.871</v>
      </c>
      <c r="EL925" s="6">
        <f>BP925*BV925</f>
        <v>80.399999999999991</v>
      </c>
      <c r="EY925" s="6"/>
      <c r="FA925" s="6"/>
      <c r="GP925" s="32"/>
      <c r="GY925" s="6" t="s">
        <v>338</v>
      </c>
      <c r="GZ925" s="6" t="s">
        <v>1361</v>
      </c>
      <c r="HB925" s="6" t="s">
        <v>462</v>
      </c>
      <c r="HC925" s="6" t="s">
        <v>2033</v>
      </c>
      <c r="HD925" s="8" t="s">
        <v>2034</v>
      </c>
      <c r="HE925" s="8">
        <v>5603</v>
      </c>
      <c r="HF925" s="8" t="s">
        <v>2035</v>
      </c>
      <c r="HG925" s="9" t="s">
        <v>538</v>
      </c>
      <c r="HY925" s="9"/>
      <c r="IB925" s="8" t="s">
        <v>2034</v>
      </c>
      <c r="IC925" s="8">
        <v>5603</v>
      </c>
      <c r="ID925" s="8" t="s">
        <v>2035</v>
      </c>
      <c r="IE925" s="9" t="s">
        <v>538</v>
      </c>
      <c r="IF925" s="8" t="s">
        <v>445</v>
      </c>
      <c r="IG925" s="8" t="s">
        <v>2036</v>
      </c>
      <c r="II925" s="8" t="s">
        <v>1174</v>
      </c>
      <c r="IJ925" s="8" t="s">
        <v>538</v>
      </c>
      <c r="IK925" s="8" t="s">
        <v>445</v>
      </c>
      <c r="IL925" s="9" t="s">
        <v>2037</v>
      </c>
      <c r="IM925" s="9"/>
      <c r="IN925" s="9" t="s">
        <v>2038</v>
      </c>
      <c r="IO925" s="9" t="s">
        <v>538</v>
      </c>
      <c r="IP925" s="9" t="s">
        <v>445</v>
      </c>
      <c r="JV925" s="7" t="s">
        <v>2039</v>
      </c>
      <c r="JX925" s="7" t="s">
        <v>355</v>
      </c>
      <c r="JY925" s="7" t="s">
        <v>354</v>
      </c>
      <c r="JZ925" s="7" t="s">
        <v>320</v>
      </c>
      <c r="KG925" s="4" t="s">
        <v>323</v>
      </c>
      <c r="KP925" s="5" t="s">
        <v>2040</v>
      </c>
      <c r="KQ925" s="5" t="s">
        <v>2040</v>
      </c>
      <c r="KR925" s="5" t="s">
        <v>2041</v>
      </c>
      <c r="KS925" s="5" t="s">
        <v>2040</v>
      </c>
      <c r="KT925" s="5" t="s">
        <v>2042</v>
      </c>
    </row>
    <row r="926" spans="1:306" ht="60" x14ac:dyDescent="0.25">
      <c r="A926" s="5" t="s">
        <v>2986</v>
      </c>
      <c r="B926" s="4" t="s">
        <v>376</v>
      </c>
      <c r="C926" s="7" t="s">
        <v>591</v>
      </c>
      <c r="D926" s="8" t="s">
        <v>592</v>
      </c>
      <c r="E926" s="4">
        <v>529299</v>
      </c>
      <c r="G926" s="4" t="s">
        <v>593</v>
      </c>
      <c r="H926" s="6">
        <v>137.87</v>
      </c>
      <c r="I926" s="6">
        <v>-34.54</v>
      </c>
      <c r="J926" s="4" t="s">
        <v>594</v>
      </c>
      <c r="K926" s="4" t="s">
        <v>595</v>
      </c>
      <c r="L926" s="4" t="s">
        <v>596</v>
      </c>
      <c r="M926" s="4" t="s">
        <v>597</v>
      </c>
      <c r="Q926" s="8"/>
      <c r="R926" s="8"/>
      <c r="Z926" s="4" t="s">
        <v>376</v>
      </c>
      <c r="AA926" s="7" t="s">
        <v>591</v>
      </c>
      <c r="AB926" s="8" t="s">
        <v>592</v>
      </c>
      <c r="AC926" s="4" t="s">
        <v>301</v>
      </c>
      <c r="AD926" s="4" t="s">
        <v>375</v>
      </c>
      <c r="AE926" s="8">
        <v>1584</v>
      </c>
      <c r="AF926" s="8">
        <v>7</v>
      </c>
      <c r="AG926" s="9" t="s">
        <v>379</v>
      </c>
      <c r="AH926" s="9" t="s">
        <v>335</v>
      </c>
      <c r="AI926" s="9" t="s">
        <v>4052</v>
      </c>
      <c r="AJ926" s="9" t="s">
        <v>1080</v>
      </c>
      <c r="AK926" s="9" t="s">
        <v>307</v>
      </c>
      <c r="AL926" s="9" t="s">
        <v>337</v>
      </c>
      <c r="AM926" s="8">
        <v>4</v>
      </c>
      <c r="AN926" s="4" t="s">
        <v>381</v>
      </c>
      <c r="AO926" s="4" t="s">
        <v>402</v>
      </c>
      <c r="AP926" s="4" t="s">
        <v>383</v>
      </c>
      <c r="AQ926" s="7" t="s">
        <v>384</v>
      </c>
      <c r="AR926" s="8" t="s">
        <v>827</v>
      </c>
      <c r="AS926" s="7">
        <v>0</v>
      </c>
      <c r="AT926" s="7">
        <v>0</v>
      </c>
      <c r="AU926" s="9" t="s">
        <v>303</v>
      </c>
      <c r="AV926" s="9" t="s">
        <v>406</v>
      </c>
      <c r="BA926" s="8">
        <v>5</v>
      </c>
      <c r="BB926" s="4" t="s">
        <v>381</v>
      </c>
      <c r="BC926" s="4" t="s">
        <v>402</v>
      </c>
      <c r="BD926" s="4" t="s">
        <v>383</v>
      </c>
      <c r="BE926" s="7" t="s">
        <v>384</v>
      </c>
      <c r="BF926" s="8" t="s">
        <v>433</v>
      </c>
      <c r="BG926" s="7">
        <v>0</v>
      </c>
      <c r="BH926" s="7">
        <v>0</v>
      </c>
      <c r="BI926" s="9" t="s">
        <v>303</v>
      </c>
      <c r="BJ926" s="9" t="s">
        <v>406</v>
      </c>
      <c r="BO926" s="8">
        <v>5</v>
      </c>
      <c r="BP926" s="7">
        <v>337</v>
      </c>
      <c r="BR926" s="7">
        <v>0.6</v>
      </c>
      <c r="BV926" s="6">
        <v>0.14000000000000001</v>
      </c>
      <c r="DZ926" s="31"/>
      <c r="EB926" s="10"/>
      <c r="EH926" s="10">
        <f>BP926*BR926/100</f>
        <v>2.0219999999999998</v>
      </c>
      <c r="EL926" s="6">
        <f>BP926*BV926</f>
        <v>47.180000000000007</v>
      </c>
      <c r="EY926" s="6"/>
      <c r="FA926" s="6"/>
      <c r="GP926" s="32"/>
      <c r="GY926" s="6" t="s">
        <v>338</v>
      </c>
      <c r="GZ926" s="6" t="s">
        <v>994</v>
      </c>
      <c r="HA926" s="6" t="s">
        <v>436</v>
      </c>
      <c r="HC926" s="6" t="s">
        <v>4053</v>
      </c>
      <c r="HD926" s="8" t="s">
        <v>4054</v>
      </c>
      <c r="HE926" s="8">
        <v>23126</v>
      </c>
      <c r="HF926" s="8" t="s">
        <v>4055</v>
      </c>
      <c r="HG926" s="9" t="s">
        <v>538</v>
      </c>
      <c r="HH926" s="9" t="s">
        <v>4056</v>
      </c>
      <c r="HJ926" s="9" t="s">
        <v>4057</v>
      </c>
      <c r="HK926" s="9" t="s">
        <v>4058</v>
      </c>
      <c r="HY926" s="9"/>
      <c r="IB926" s="8" t="s">
        <v>4059</v>
      </c>
      <c r="ID926" s="8" t="s">
        <v>514</v>
      </c>
      <c r="IF926" s="8" t="s">
        <v>445</v>
      </c>
      <c r="IG926" s="8" t="s">
        <v>4056</v>
      </c>
      <c r="II926" s="8" t="s">
        <v>4057</v>
      </c>
      <c r="IJ926" s="8" t="s">
        <v>349</v>
      </c>
      <c r="IK926" s="8" t="s">
        <v>319</v>
      </c>
      <c r="IL926" s="8" t="s">
        <v>4060</v>
      </c>
      <c r="IN926" s="8" t="s">
        <v>3899</v>
      </c>
      <c r="IO926" s="8" t="s">
        <v>349</v>
      </c>
      <c r="IP926" s="8" t="s">
        <v>319</v>
      </c>
      <c r="JV926" s="7" t="s">
        <v>4061</v>
      </c>
      <c r="JX926" s="7" t="s">
        <v>355</v>
      </c>
      <c r="JY926" s="7" t="s">
        <v>354</v>
      </c>
      <c r="JZ926" s="7" t="s">
        <v>353</v>
      </c>
      <c r="KA926" s="7" t="s">
        <v>354</v>
      </c>
      <c r="KB926" s="7" t="s">
        <v>320</v>
      </c>
      <c r="KG926" s="4" t="s">
        <v>323</v>
      </c>
      <c r="KM926" s="4" t="s">
        <v>702</v>
      </c>
      <c r="KN926" s="4" t="s">
        <v>702</v>
      </c>
      <c r="KP926" s="5" t="s">
        <v>4062</v>
      </c>
      <c r="KQ926" s="5" t="s">
        <v>4062</v>
      </c>
      <c r="KR926" s="5" t="s">
        <v>4063</v>
      </c>
      <c r="KS926" s="5" t="s">
        <v>4062</v>
      </c>
      <c r="KT926" s="5" t="s">
        <v>4064</v>
      </c>
    </row>
    <row r="927" spans="1:306" ht="60" x14ac:dyDescent="0.25">
      <c r="A927" s="5" t="s">
        <v>4564</v>
      </c>
      <c r="B927" s="4" t="s">
        <v>376</v>
      </c>
      <c r="C927" s="7" t="s">
        <v>591</v>
      </c>
      <c r="D927" s="8" t="s">
        <v>592</v>
      </c>
      <c r="E927" s="4">
        <v>700824</v>
      </c>
      <c r="G927" s="4" t="s">
        <v>593</v>
      </c>
      <c r="H927" s="6">
        <v>137.40614600000001</v>
      </c>
      <c r="I927" s="6">
        <v>-31.181826000000001</v>
      </c>
      <c r="J927" s="4" t="s">
        <v>2031</v>
      </c>
      <c r="K927" s="4" t="s">
        <v>595</v>
      </c>
      <c r="L927" s="4" t="s">
        <v>596</v>
      </c>
      <c r="M927" s="4" t="s">
        <v>597</v>
      </c>
      <c r="Q927" s="8"/>
      <c r="R927" s="8"/>
      <c r="Z927" s="4" t="s">
        <v>376</v>
      </c>
      <c r="AA927" s="7" t="s">
        <v>591</v>
      </c>
      <c r="AB927" s="8" t="s">
        <v>592</v>
      </c>
      <c r="AC927" s="4" t="s">
        <v>301</v>
      </c>
      <c r="AD927" s="4" t="s">
        <v>302</v>
      </c>
      <c r="AE927" s="8">
        <v>1598</v>
      </c>
      <c r="AF927" s="8">
        <v>6</v>
      </c>
      <c r="AG927" s="9" t="s">
        <v>379</v>
      </c>
      <c r="AH927" s="9" t="s">
        <v>1156</v>
      </c>
      <c r="AM927" s="8">
        <v>3</v>
      </c>
      <c r="BP927" s="7">
        <v>202</v>
      </c>
      <c r="BR927" s="7">
        <v>0.6</v>
      </c>
      <c r="BU927" s="7">
        <v>1.7</v>
      </c>
      <c r="BV927" s="7">
        <v>0.1</v>
      </c>
      <c r="DZ927" s="31"/>
      <c r="EB927" s="10">
        <f>86*(238.03*3+8*15.99)/(3*238.03)/10000</f>
        <v>1.0140578918623702E-2</v>
      </c>
      <c r="EH927" s="10">
        <f>BP927*BR927/100</f>
        <v>1.212</v>
      </c>
      <c r="EK927" s="10">
        <f>BP927*BU927/1000</f>
        <v>0.34339999999999998</v>
      </c>
      <c r="EL927" s="6">
        <f>BP927*BV927</f>
        <v>20.200000000000003</v>
      </c>
      <c r="EY927" s="6"/>
      <c r="FA927" s="6"/>
      <c r="GP927" s="32"/>
      <c r="GR927" s="6">
        <f>1000*BP927*EB927/100</f>
        <v>20.483969415619878</v>
      </c>
      <c r="GY927" s="31" t="s">
        <v>407</v>
      </c>
      <c r="GZ927" s="6" t="s">
        <v>994</v>
      </c>
      <c r="HA927" s="6" t="s">
        <v>654</v>
      </c>
      <c r="HB927" s="6" t="s">
        <v>1432</v>
      </c>
      <c r="HC927" s="6" t="s">
        <v>2951</v>
      </c>
      <c r="HD927" s="8" t="s">
        <v>4565</v>
      </c>
      <c r="HF927" s="8" t="s">
        <v>4566</v>
      </c>
      <c r="HG927" s="9" t="s">
        <v>349</v>
      </c>
      <c r="HY927" s="9"/>
      <c r="IB927" s="8" t="s">
        <v>1841</v>
      </c>
      <c r="ID927" s="8" t="s">
        <v>4567</v>
      </c>
      <c r="IE927" s="9"/>
      <c r="IF927" s="8" t="s">
        <v>445</v>
      </c>
      <c r="IG927" s="8" t="s">
        <v>2036</v>
      </c>
      <c r="II927" s="8" t="s">
        <v>1174</v>
      </c>
      <c r="IJ927" s="8" t="s">
        <v>538</v>
      </c>
      <c r="IK927" s="8" t="s">
        <v>445</v>
      </c>
      <c r="IM927" s="9"/>
      <c r="JV927" s="7" t="s">
        <v>4568</v>
      </c>
      <c r="JX927" s="7" t="s">
        <v>355</v>
      </c>
      <c r="KG927" s="4" t="s">
        <v>323</v>
      </c>
      <c r="KP927" s="5" t="s">
        <v>4569</v>
      </c>
      <c r="KQ927" s="5" t="s">
        <v>4569</v>
      </c>
      <c r="KT927" s="5" t="s">
        <v>4570</v>
      </c>
    </row>
    <row r="928" spans="1:306" ht="24" x14ac:dyDescent="0.25">
      <c r="A928" s="5" t="s">
        <v>5000</v>
      </c>
      <c r="B928" s="4" t="s">
        <v>376</v>
      </c>
      <c r="C928" s="7" t="s">
        <v>591</v>
      </c>
      <c r="D928" s="8" t="s">
        <v>592</v>
      </c>
      <c r="E928" s="4">
        <v>700569</v>
      </c>
      <c r="G928" s="4" t="s">
        <v>593</v>
      </c>
      <c r="H928" s="6">
        <v>135.431093</v>
      </c>
      <c r="I928" s="6">
        <v>-29.633649999999999</v>
      </c>
      <c r="J928" s="4" t="s">
        <v>1900</v>
      </c>
      <c r="K928" s="4" t="s">
        <v>595</v>
      </c>
      <c r="L928" s="4" t="s">
        <v>596</v>
      </c>
      <c r="M928" s="4" t="s">
        <v>1901</v>
      </c>
      <c r="Q928" s="8"/>
      <c r="R928" s="8"/>
      <c r="S928" s="4"/>
      <c r="Z928" s="4" t="s">
        <v>376</v>
      </c>
      <c r="AA928" s="7" t="s">
        <v>591</v>
      </c>
      <c r="AB928" s="8" t="s">
        <v>592</v>
      </c>
      <c r="AC928" s="4" t="s">
        <v>301</v>
      </c>
      <c r="AD928" s="4" t="s">
        <v>302</v>
      </c>
      <c r="AE928" s="8">
        <v>1582</v>
      </c>
      <c r="AF928" s="8">
        <v>5</v>
      </c>
      <c r="AG928" s="4" t="s">
        <v>303</v>
      </c>
      <c r="AH928" s="9" t="s">
        <v>304</v>
      </c>
      <c r="AI928" s="9" t="s">
        <v>598</v>
      </c>
      <c r="AJ928" s="9" t="s">
        <v>599</v>
      </c>
      <c r="AK928" s="9" t="s">
        <v>600</v>
      </c>
      <c r="AM928" s="8">
        <v>5</v>
      </c>
      <c r="DZ928" s="31"/>
      <c r="EB928" s="10"/>
      <c r="EY928" s="6"/>
      <c r="FA928" s="6"/>
      <c r="GP928" s="32"/>
      <c r="GY928" s="6" t="s">
        <v>407</v>
      </c>
      <c r="HD928" s="8" t="s">
        <v>5001</v>
      </c>
      <c r="HF928" s="8" t="s">
        <v>5002</v>
      </c>
      <c r="HY928" s="9"/>
      <c r="IM928" s="9"/>
      <c r="KP928" s="5" t="s">
        <v>5003</v>
      </c>
      <c r="KQ928" s="5" t="s">
        <v>5003</v>
      </c>
      <c r="KR928" s="5" t="s">
        <v>5004</v>
      </c>
      <c r="KT928" s="5" t="s">
        <v>5005</v>
      </c>
    </row>
    <row r="929" spans="1:306" ht="24" x14ac:dyDescent="0.25">
      <c r="A929" s="5" t="s">
        <v>5122</v>
      </c>
      <c r="B929" s="4" t="s">
        <v>376</v>
      </c>
      <c r="C929" s="7" t="s">
        <v>591</v>
      </c>
      <c r="D929" s="8" t="s">
        <v>592</v>
      </c>
      <c r="E929" s="4">
        <v>699615</v>
      </c>
      <c r="G929" s="4" t="s">
        <v>593</v>
      </c>
      <c r="H929" s="6">
        <v>136.44518500000001</v>
      </c>
      <c r="I929" s="6">
        <v>-32.755719999999997</v>
      </c>
      <c r="J929" s="4" t="s">
        <v>5123</v>
      </c>
      <c r="K929" s="4" t="s">
        <v>595</v>
      </c>
      <c r="L929" s="4" t="s">
        <v>596</v>
      </c>
      <c r="M929" s="4" t="s">
        <v>1838</v>
      </c>
      <c r="Q929" s="8"/>
      <c r="R929" s="8"/>
      <c r="Z929" s="4" t="s">
        <v>376</v>
      </c>
      <c r="AA929" s="7" t="s">
        <v>591</v>
      </c>
      <c r="AB929" s="8" t="s">
        <v>592</v>
      </c>
      <c r="AC929" s="4" t="s">
        <v>301</v>
      </c>
      <c r="AD929" s="4" t="s">
        <v>302</v>
      </c>
      <c r="AE929" s="8">
        <v>1581</v>
      </c>
      <c r="AF929" s="8">
        <v>9</v>
      </c>
      <c r="AG929" s="9" t="s">
        <v>379</v>
      </c>
      <c r="AH929" s="9" t="s">
        <v>429</v>
      </c>
      <c r="AI929" s="9" t="s">
        <v>5056</v>
      </c>
      <c r="AJ929" s="9" t="s">
        <v>5057</v>
      </c>
      <c r="AK929" s="9" t="s">
        <v>1081</v>
      </c>
      <c r="AL929" s="9" t="s">
        <v>1295</v>
      </c>
      <c r="AM929" s="8">
        <v>4</v>
      </c>
      <c r="DZ929" s="31"/>
      <c r="EB929" s="10"/>
      <c r="EY929" s="6"/>
      <c r="FA929" s="6"/>
      <c r="GP929" s="32"/>
      <c r="GY929" s="6" t="s">
        <v>407</v>
      </c>
      <c r="HD929" s="8" t="s">
        <v>4054</v>
      </c>
      <c r="HE929" s="8">
        <v>23126</v>
      </c>
      <c r="HF929" s="8" t="s">
        <v>5124</v>
      </c>
      <c r="HG929" s="9" t="s">
        <v>538</v>
      </c>
      <c r="HY929" s="9"/>
      <c r="IM929" s="9"/>
      <c r="JV929" s="7" t="s">
        <v>5125</v>
      </c>
      <c r="KG929" s="4" t="s">
        <v>323</v>
      </c>
      <c r="KP929" s="5" t="s">
        <v>5126</v>
      </c>
      <c r="KQ929" s="5" t="s">
        <v>5126</v>
      </c>
      <c r="KR929" s="5" t="s">
        <v>5126</v>
      </c>
      <c r="KT929" s="5" t="s">
        <v>5127</v>
      </c>
    </row>
    <row r="930" spans="1:306" ht="264" x14ac:dyDescent="0.25">
      <c r="A930" s="5" t="s">
        <v>6407</v>
      </c>
      <c r="B930" s="4" t="s">
        <v>376</v>
      </c>
      <c r="C930" s="7" t="s">
        <v>591</v>
      </c>
      <c r="D930" s="8" t="s">
        <v>592</v>
      </c>
      <c r="E930" s="4">
        <v>335647</v>
      </c>
      <c r="G930" s="4" t="s">
        <v>593</v>
      </c>
      <c r="H930" s="6">
        <v>136.87</v>
      </c>
      <c r="I930" s="6">
        <v>-30.44</v>
      </c>
      <c r="J930" s="4" t="s">
        <v>6407</v>
      </c>
      <c r="K930" s="4" t="s">
        <v>595</v>
      </c>
      <c r="L930" s="4" t="s">
        <v>596</v>
      </c>
      <c r="M930" s="4" t="s">
        <v>597</v>
      </c>
      <c r="Q930" s="8"/>
      <c r="R930" s="8"/>
      <c r="Z930" s="4" t="s">
        <v>376</v>
      </c>
      <c r="AA930" s="7" t="s">
        <v>591</v>
      </c>
      <c r="AB930" s="8" t="s">
        <v>592</v>
      </c>
      <c r="AC930" s="4" t="s">
        <v>301</v>
      </c>
      <c r="AD930" s="4" t="s">
        <v>302</v>
      </c>
      <c r="AE930" s="8">
        <v>1594</v>
      </c>
      <c r="AF930" s="8">
        <v>5</v>
      </c>
      <c r="AG930" s="9" t="s">
        <v>303</v>
      </c>
      <c r="AH930" s="9" t="s">
        <v>304</v>
      </c>
      <c r="AI930" s="9" t="s">
        <v>723</v>
      </c>
      <c r="AJ930" s="9" t="s">
        <v>306</v>
      </c>
      <c r="AK930" s="9" t="s">
        <v>307</v>
      </c>
      <c r="AL930" s="9" t="s">
        <v>308</v>
      </c>
      <c r="AM930" s="8">
        <v>5</v>
      </c>
      <c r="BP930" s="7">
        <v>10400</v>
      </c>
      <c r="BR930" s="6">
        <v>0.77</v>
      </c>
      <c r="BU930" s="8">
        <v>1</v>
      </c>
      <c r="BV930" s="6">
        <v>0.32</v>
      </c>
      <c r="DK930" s="6">
        <v>0.2</v>
      </c>
      <c r="DL930" s="6">
        <v>0.28999999999999998</v>
      </c>
      <c r="DM930" s="9">
        <v>2.5999999999999999E-2</v>
      </c>
      <c r="DN930" s="9">
        <v>6.8000000000000005E-2</v>
      </c>
      <c r="DO930" s="9">
        <v>7.4999999999999997E-3</v>
      </c>
      <c r="DP930" s="9">
        <v>2.2000000000000001E-3</v>
      </c>
      <c r="DQ930" s="9">
        <v>5.1000000000000004E-3</v>
      </c>
      <c r="DR930" s="9">
        <v>5.9999999999999995E-4</v>
      </c>
      <c r="DS930" s="9">
        <v>3.2000000000000002E-3</v>
      </c>
      <c r="DT930" s="9">
        <v>5.9999999999999995E-4</v>
      </c>
      <c r="DU930" s="9">
        <v>1.8E-3</v>
      </c>
      <c r="DV930" s="10">
        <v>2.0000000000000001E-4</v>
      </c>
      <c r="DW930" s="9">
        <v>1.6999999999999999E-3</v>
      </c>
      <c r="DX930" s="10">
        <v>2.9999999999999997E-4</v>
      </c>
      <c r="DY930" s="6">
        <v>0.60799999999999998</v>
      </c>
      <c r="DZ930" s="31">
        <f>GP930/BP930*100</f>
        <v>1.2154</v>
      </c>
      <c r="EB930" s="10"/>
      <c r="EH930" s="7">
        <f>(10400*0.77/100)+3.8</f>
        <v>83.88</v>
      </c>
      <c r="EK930" s="7">
        <f>(10400*1/1000)+17*31.1/1000</f>
        <v>10.928700000000001</v>
      </c>
      <c r="EL930" s="8">
        <f>(10400*0.32)+1.9*31.1</f>
        <v>3387.09</v>
      </c>
      <c r="EY930" s="6"/>
      <c r="FA930" s="6"/>
      <c r="GA930" s="6">
        <v>20.507840000000002</v>
      </c>
      <c r="GB930" s="6">
        <v>30.453800000000001</v>
      </c>
      <c r="GC930" s="6">
        <v>2.70933</v>
      </c>
      <c r="GD930" s="6">
        <v>7.1162400000000003</v>
      </c>
      <c r="GE930" s="6">
        <v>0.77517000000000003</v>
      </c>
      <c r="GF930" s="6">
        <v>0.23286999999999999</v>
      </c>
      <c r="GG930" s="6">
        <v>0.53081999999999996</v>
      </c>
      <c r="GH930" s="6">
        <v>6.5000000000000002E-2</v>
      </c>
      <c r="GI930" s="6">
        <v>0.33333000000000002</v>
      </c>
      <c r="GJ930" s="6">
        <v>6.1030000000000001E-2</v>
      </c>
      <c r="GK930" s="6">
        <v>0.18567</v>
      </c>
      <c r="GL930" s="6">
        <v>2.2589999999999999E-2</v>
      </c>
      <c r="GM930" s="6">
        <v>0.18071999999999999</v>
      </c>
      <c r="GN930" s="6">
        <v>2.7189999999999999E-2</v>
      </c>
      <c r="GO930" s="6">
        <v>63.2</v>
      </c>
      <c r="GP930" s="32">
        <f>SUM(GA930:GO930)+FE930</f>
        <v>126.4016</v>
      </c>
      <c r="GR930" s="8">
        <v>2681</v>
      </c>
      <c r="GY930" s="6" t="s">
        <v>435</v>
      </c>
      <c r="GZ930" s="6" t="s">
        <v>6408</v>
      </c>
      <c r="HA930" s="6" t="s">
        <v>654</v>
      </c>
      <c r="HB930" s="6" t="s">
        <v>2504</v>
      </c>
      <c r="HC930" s="6" t="s">
        <v>6409</v>
      </c>
      <c r="HD930" s="8" t="s">
        <v>6410</v>
      </c>
      <c r="HE930" s="8">
        <v>28003</v>
      </c>
      <c r="HF930" s="8" t="s">
        <v>6411</v>
      </c>
      <c r="HG930" s="9" t="s">
        <v>349</v>
      </c>
      <c r="HH930" s="9" t="s">
        <v>6412</v>
      </c>
      <c r="HJ930" s="9" t="s">
        <v>6413</v>
      </c>
      <c r="HK930" s="9" t="s">
        <v>349</v>
      </c>
      <c r="HL930" s="9" t="s">
        <v>1625</v>
      </c>
      <c r="HN930" s="9" t="s">
        <v>6414</v>
      </c>
      <c r="HO930" s="9" t="s">
        <v>349</v>
      </c>
      <c r="HP930" s="9" t="s">
        <v>1625</v>
      </c>
      <c r="HR930" s="9" t="s">
        <v>6415</v>
      </c>
      <c r="HS930" s="9" t="s">
        <v>349</v>
      </c>
      <c r="HY930" s="9"/>
      <c r="IB930" s="8" t="s">
        <v>1625</v>
      </c>
      <c r="ID930" s="8" t="s">
        <v>6416</v>
      </c>
      <c r="IE930" s="8" t="s">
        <v>349</v>
      </c>
      <c r="IF930" s="8" t="s">
        <v>445</v>
      </c>
      <c r="IG930" s="8" t="s">
        <v>6410</v>
      </c>
      <c r="IH930" s="8">
        <v>28003</v>
      </c>
      <c r="II930" s="8" t="s">
        <v>6411</v>
      </c>
      <c r="IJ930" s="9" t="s">
        <v>349</v>
      </c>
      <c r="IK930" s="9" t="s">
        <v>445</v>
      </c>
      <c r="IL930" s="9" t="s">
        <v>1625</v>
      </c>
      <c r="IM930" s="9"/>
      <c r="IN930" s="9" t="s">
        <v>6414</v>
      </c>
      <c r="IO930" s="9" t="s">
        <v>349</v>
      </c>
      <c r="IP930" s="9" t="s">
        <v>319</v>
      </c>
      <c r="IQ930" s="9" t="s">
        <v>1625</v>
      </c>
      <c r="IS930" s="9" t="s">
        <v>6415</v>
      </c>
      <c r="IT930" s="9" t="s">
        <v>349</v>
      </c>
      <c r="IU930" s="9" t="s">
        <v>319</v>
      </c>
      <c r="IV930" s="9" t="s">
        <v>1625</v>
      </c>
      <c r="IX930" s="9" t="s">
        <v>6417</v>
      </c>
      <c r="IY930" s="9" t="s">
        <v>349</v>
      </c>
      <c r="IZ930" s="9" t="s">
        <v>350</v>
      </c>
      <c r="JV930" s="7" t="s">
        <v>6418</v>
      </c>
      <c r="JX930" s="7" t="s">
        <v>355</v>
      </c>
      <c r="JY930" s="7" t="s">
        <v>448</v>
      </c>
      <c r="JZ930" s="7" t="s">
        <v>320</v>
      </c>
      <c r="KA930" s="7" t="s">
        <v>354</v>
      </c>
      <c r="KB930" s="7" t="s">
        <v>353</v>
      </c>
      <c r="KC930" s="7" t="s">
        <v>448</v>
      </c>
      <c r="KD930" s="7" t="s">
        <v>322</v>
      </c>
      <c r="KG930" s="4" t="s">
        <v>356</v>
      </c>
      <c r="KH930" s="4" t="s">
        <v>357</v>
      </c>
      <c r="KI930" s="4" t="s">
        <v>6419</v>
      </c>
      <c r="KJ930" s="4" t="s">
        <v>1317</v>
      </c>
      <c r="KK930" s="4" t="s">
        <v>1893</v>
      </c>
      <c r="KL930" s="4" t="s">
        <v>1317</v>
      </c>
      <c r="KM930" s="4" t="s">
        <v>471</v>
      </c>
      <c r="KN930" s="4" t="s">
        <v>471</v>
      </c>
      <c r="KP930" s="5" t="s">
        <v>6420</v>
      </c>
      <c r="KQ930" s="5" t="s">
        <v>6421</v>
      </c>
      <c r="KR930" s="5" t="s">
        <v>6422</v>
      </c>
      <c r="KS930" s="5" t="s">
        <v>6423</v>
      </c>
      <c r="KT930" s="5" t="s">
        <v>6424</v>
      </c>
    </row>
    <row r="931" spans="1:306" ht="120" x14ac:dyDescent="0.25">
      <c r="A931" s="14" t="s">
        <v>1900</v>
      </c>
      <c r="B931" s="29" t="s">
        <v>376</v>
      </c>
      <c r="C931" s="30" t="s">
        <v>591</v>
      </c>
      <c r="D931" s="26" t="s">
        <v>592</v>
      </c>
      <c r="E931" s="29">
        <v>333675</v>
      </c>
      <c r="F931" s="29"/>
      <c r="G931" s="29" t="s">
        <v>593</v>
      </c>
      <c r="H931" s="31">
        <v>135.58000000000001</v>
      </c>
      <c r="I931" s="31">
        <v>-29.72</v>
      </c>
      <c r="J931" s="29" t="s">
        <v>1900</v>
      </c>
      <c r="K931" s="29" t="s">
        <v>595</v>
      </c>
      <c r="L931" s="29" t="s">
        <v>596</v>
      </c>
      <c r="M931" s="29" t="s">
        <v>1901</v>
      </c>
      <c r="N931" s="29" t="s">
        <v>6717</v>
      </c>
      <c r="O931" s="26"/>
      <c r="P931" s="29"/>
      <c r="Q931" s="26"/>
      <c r="R931" s="26"/>
      <c r="S931" s="27"/>
      <c r="T931" s="27"/>
      <c r="U931" s="27"/>
      <c r="V931" s="27"/>
      <c r="W931" s="27"/>
      <c r="X931" s="27"/>
      <c r="Y931" s="26"/>
      <c r="Z931" s="29" t="s">
        <v>376</v>
      </c>
      <c r="AA931" s="30" t="s">
        <v>591</v>
      </c>
      <c r="AB931" s="26" t="s">
        <v>592</v>
      </c>
      <c r="AC931" s="29" t="s">
        <v>301</v>
      </c>
      <c r="AD931" s="29" t="s">
        <v>302</v>
      </c>
      <c r="AE931" s="26">
        <v>1578</v>
      </c>
      <c r="AF931" s="26">
        <v>8</v>
      </c>
      <c r="AG931" s="27" t="s">
        <v>379</v>
      </c>
      <c r="AH931" s="27" t="s">
        <v>460</v>
      </c>
      <c r="AI931" s="27"/>
      <c r="AJ931" s="27"/>
      <c r="AK931" s="27"/>
      <c r="AL931" s="27"/>
      <c r="AM931" s="26">
        <v>4</v>
      </c>
      <c r="AN931" s="29"/>
      <c r="AO931" s="29"/>
      <c r="AP931" s="29"/>
      <c r="AQ931" s="30"/>
      <c r="AR931" s="26"/>
      <c r="AS931" s="27"/>
      <c r="AT931" s="27"/>
      <c r="AU931" s="27"/>
      <c r="AV931" s="27"/>
      <c r="AW931" s="27"/>
      <c r="AX931" s="27"/>
      <c r="AY931" s="27"/>
      <c r="AZ931" s="27"/>
      <c r="BA931" s="26"/>
      <c r="BB931" s="29"/>
      <c r="BC931" s="29"/>
      <c r="BD931" s="29"/>
      <c r="BE931" s="30"/>
      <c r="BF931" s="26"/>
      <c r="BG931" s="27"/>
      <c r="BH931" s="27"/>
      <c r="BI931" s="27"/>
      <c r="BJ931" s="27"/>
      <c r="BK931" s="27"/>
      <c r="BL931" s="27"/>
      <c r="BM931" s="27"/>
      <c r="BN931" s="27"/>
      <c r="BO931" s="26"/>
      <c r="BP931" s="30">
        <f>283.4+14.5</f>
        <v>297.89999999999998</v>
      </c>
      <c r="BQ931" s="31"/>
      <c r="BR931" s="31">
        <f>(283.4*0.89+14.5*1.69)/(283.4+14.5)</f>
        <v>0.92893924135615979</v>
      </c>
      <c r="BS931" s="31"/>
      <c r="BT931" s="31"/>
      <c r="BU931" s="31">
        <f>(283.4*2.48+14.5*3.7)/(283.4+14.5)</f>
        <v>2.5393823430681439</v>
      </c>
      <c r="BV931" s="31">
        <f>(283.4*0.81+14.5*0.28)/(283.4+14.5)</f>
        <v>0.78420275260154426</v>
      </c>
      <c r="BW931" s="31"/>
      <c r="BX931" s="31"/>
      <c r="BY931" s="31"/>
      <c r="BZ931" s="31"/>
      <c r="CA931" s="31"/>
      <c r="CB931" s="31"/>
      <c r="CC931" s="31"/>
      <c r="CD931" s="31"/>
      <c r="CE931" s="31"/>
      <c r="CF931" s="31"/>
      <c r="CG931" s="31"/>
      <c r="CH931" s="31"/>
      <c r="CI931" s="31"/>
      <c r="CJ931" s="31"/>
      <c r="CK931" s="31"/>
      <c r="CL931" s="31"/>
      <c r="CM931" s="31"/>
      <c r="CN931" s="31"/>
      <c r="CO931" s="31"/>
      <c r="CP931" s="31"/>
      <c r="CQ931" s="31"/>
      <c r="CR931" s="31"/>
      <c r="CS931" s="31"/>
      <c r="CT931" s="31"/>
      <c r="CU931" s="31"/>
      <c r="CV931" s="31"/>
      <c r="CW931" s="31"/>
      <c r="CX931" s="31"/>
      <c r="CY931" s="31"/>
      <c r="CZ931" s="31"/>
      <c r="DA931" s="31"/>
      <c r="DB931" s="31"/>
      <c r="DC931" s="31"/>
      <c r="DD931" s="31"/>
      <c r="DE931" s="31"/>
      <c r="DF931" s="31"/>
      <c r="DG931" s="31"/>
      <c r="DH931" s="31"/>
      <c r="DI931" s="31"/>
      <c r="DJ931" s="31"/>
      <c r="DK931" s="31"/>
      <c r="DL931" s="31"/>
      <c r="DM931" s="31"/>
      <c r="DN931" s="31"/>
      <c r="DO931" s="31"/>
      <c r="DP931" s="31"/>
      <c r="DQ931" s="31"/>
      <c r="DR931" s="31"/>
      <c r="DS931" s="31"/>
      <c r="DT931" s="31"/>
      <c r="DU931" s="31"/>
      <c r="DV931" s="31"/>
      <c r="DW931" s="31"/>
      <c r="DX931" s="31"/>
      <c r="DY931" s="31"/>
      <c r="DZ931" s="31"/>
      <c r="EA931" s="31"/>
      <c r="EB931" s="32"/>
      <c r="EC931" s="31"/>
      <c r="ED931" s="31"/>
      <c r="EE931" s="31"/>
      <c r="EF931" s="31"/>
      <c r="EG931" s="31"/>
      <c r="EH931" s="32">
        <f>BP931*BR931/100</f>
        <v>2.7673100000000002</v>
      </c>
      <c r="EI931" s="32"/>
      <c r="EJ931" s="32"/>
      <c r="EK931" s="32">
        <f>BP931*BU931/1000</f>
        <v>0.75648199999999999</v>
      </c>
      <c r="EL931" s="31">
        <f>BP931*BV931</f>
        <v>233.614</v>
      </c>
      <c r="EM931" s="31"/>
      <c r="EN931" s="31"/>
      <c r="EO931" s="31"/>
      <c r="EP931" s="31"/>
      <c r="EQ931" s="31"/>
      <c r="ER931" s="31"/>
      <c r="ES931" s="31"/>
      <c r="ET931" s="31"/>
      <c r="EU931" s="31"/>
      <c r="EV931" s="31"/>
      <c r="EW931" s="31"/>
      <c r="EX931" s="31"/>
      <c r="EY931" s="31"/>
      <c r="EZ931" s="31"/>
      <c r="FA931" s="31"/>
      <c r="FB931" s="31"/>
      <c r="FC931" s="31"/>
      <c r="FD931" s="31"/>
      <c r="FE931" s="31"/>
      <c r="FF931" s="31"/>
      <c r="FG931" s="31"/>
      <c r="FH931" s="31"/>
      <c r="FI931" s="31"/>
      <c r="FJ931" s="31"/>
      <c r="FK931" s="31"/>
      <c r="FL931" s="31"/>
      <c r="FM931" s="31"/>
      <c r="FN931" s="31"/>
      <c r="FO931" s="31"/>
      <c r="FP931" s="31"/>
      <c r="FQ931" s="31"/>
      <c r="FR931" s="31"/>
      <c r="FS931" s="31"/>
      <c r="FT931" s="31"/>
      <c r="FU931" s="31"/>
      <c r="FV931" s="31"/>
      <c r="FW931" s="31"/>
      <c r="FX931" s="31"/>
      <c r="FY931" s="31"/>
      <c r="FZ931" s="31"/>
      <c r="GA931" s="31"/>
      <c r="GB931" s="31"/>
      <c r="GC931" s="31"/>
      <c r="GD931" s="31"/>
      <c r="GE931" s="31"/>
      <c r="GF931" s="31"/>
      <c r="GG931" s="31"/>
      <c r="GH931" s="31"/>
      <c r="GI931" s="31"/>
      <c r="GJ931" s="31"/>
      <c r="GK931" s="31"/>
      <c r="GL931" s="31"/>
      <c r="GM931" s="31"/>
      <c r="GN931" s="31"/>
      <c r="GO931" s="31"/>
      <c r="GP931" s="32"/>
      <c r="GQ931" s="31"/>
      <c r="GR931" s="31"/>
      <c r="GS931" s="31"/>
      <c r="GT931" s="31"/>
      <c r="GU931" s="31"/>
      <c r="GV931" s="31"/>
      <c r="GW931" s="31"/>
      <c r="GX931" s="31"/>
      <c r="GY931" s="31" t="s">
        <v>338</v>
      </c>
      <c r="GZ931" s="31" t="s">
        <v>1361</v>
      </c>
      <c r="HA931" s="31"/>
      <c r="HB931" s="31" t="s">
        <v>462</v>
      </c>
      <c r="HC931" s="31" t="s">
        <v>2033</v>
      </c>
      <c r="HD931" s="26" t="s">
        <v>6718</v>
      </c>
      <c r="HE931" s="26">
        <v>23126</v>
      </c>
      <c r="HF931" s="27" t="s">
        <v>6719</v>
      </c>
      <c r="HG931" s="27" t="s">
        <v>538</v>
      </c>
      <c r="HH931" s="27" t="s">
        <v>6720</v>
      </c>
      <c r="HI931" s="26"/>
      <c r="HJ931" s="27" t="s">
        <v>6721</v>
      </c>
      <c r="HK931" s="27"/>
      <c r="HL931" s="27"/>
      <c r="HM931" s="26"/>
      <c r="HN931" s="27"/>
      <c r="HO931" s="27"/>
      <c r="HP931" s="27"/>
      <c r="HQ931" s="26"/>
      <c r="HR931" s="27"/>
      <c r="HS931" s="27"/>
      <c r="HT931" s="27"/>
      <c r="HU931" s="27"/>
      <c r="HV931" s="27"/>
      <c r="HW931" s="27"/>
      <c r="HX931" s="27"/>
      <c r="HY931" s="27"/>
      <c r="HZ931" s="27"/>
      <c r="IA931" s="27"/>
      <c r="IB931" s="26" t="s">
        <v>6722</v>
      </c>
      <c r="IC931" s="26">
        <v>7059</v>
      </c>
      <c r="ID931" s="26" t="s">
        <v>6723</v>
      </c>
      <c r="IE931" s="26" t="s">
        <v>349</v>
      </c>
      <c r="IF931" s="26" t="s">
        <v>445</v>
      </c>
      <c r="IG931" s="26" t="s">
        <v>6718</v>
      </c>
      <c r="IH931" s="26">
        <v>23126</v>
      </c>
      <c r="II931" s="27" t="s">
        <v>6719</v>
      </c>
      <c r="IJ931" s="27" t="s">
        <v>538</v>
      </c>
      <c r="IK931" s="26" t="s">
        <v>445</v>
      </c>
      <c r="IL931" s="27" t="s">
        <v>6720</v>
      </c>
      <c r="IM931" s="27"/>
      <c r="IN931" s="27" t="s">
        <v>6724</v>
      </c>
      <c r="IO931" s="27"/>
      <c r="IP931" s="27" t="s">
        <v>445</v>
      </c>
      <c r="IQ931" s="27" t="s">
        <v>6725</v>
      </c>
      <c r="IR931" s="26">
        <v>72709</v>
      </c>
      <c r="IS931" s="27" t="s">
        <v>2697</v>
      </c>
      <c r="IT931" s="27" t="s">
        <v>876</v>
      </c>
      <c r="IU931" s="27" t="s">
        <v>350</v>
      </c>
      <c r="IV931" s="27"/>
      <c r="IW931" s="27"/>
      <c r="IX931" s="27"/>
      <c r="IY931" s="27"/>
      <c r="IZ931" s="27"/>
      <c r="JA931" s="27"/>
      <c r="JB931" s="27"/>
      <c r="JC931" s="27"/>
      <c r="JD931" s="27"/>
      <c r="JE931" s="27"/>
      <c r="JF931" s="27"/>
      <c r="JG931" s="27"/>
      <c r="JH931" s="27"/>
      <c r="JI931" s="27"/>
      <c r="JJ931" s="27"/>
      <c r="JK931" s="27"/>
      <c r="JL931" s="27"/>
      <c r="JM931" s="27"/>
      <c r="JN931" s="27"/>
      <c r="JO931" s="27"/>
      <c r="JP931" s="27"/>
      <c r="JQ931" s="27"/>
      <c r="JR931" s="27"/>
      <c r="JS931" s="27"/>
      <c r="JT931" s="27"/>
      <c r="JU931" s="30"/>
      <c r="JV931" s="30" t="s">
        <v>6726</v>
      </c>
      <c r="JW931" s="30"/>
      <c r="JX931" s="30" t="s">
        <v>355</v>
      </c>
      <c r="JY931" s="30" t="s">
        <v>354</v>
      </c>
      <c r="JZ931" s="30" t="s">
        <v>353</v>
      </c>
      <c r="KA931" s="30" t="s">
        <v>354</v>
      </c>
      <c r="KB931" s="30" t="s">
        <v>320</v>
      </c>
      <c r="KC931" s="30"/>
      <c r="KD931" s="30"/>
      <c r="KE931" s="30"/>
      <c r="KF931" s="30"/>
      <c r="KG931" s="29" t="s">
        <v>356</v>
      </c>
      <c r="KH931" s="29" t="s">
        <v>1317</v>
      </c>
      <c r="KI931" s="29"/>
      <c r="KJ931" s="29"/>
      <c r="KK931" s="29"/>
      <c r="KL931" s="29"/>
      <c r="KM931" s="29"/>
      <c r="KN931" s="29"/>
      <c r="KO931" s="29"/>
      <c r="KP931" s="14" t="s">
        <v>6727</v>
      </c>
      <c r="KQ931" s="14" t="s">
        <v>6728</v>
      </c>
      <c r="KR931" s="14" t="s">
        <v>6729</v>
      </c>
      <c r="KS931" s="14" t="s">
        <v>6730</v>
      </c>
      <c r="KT931" s="14" t="s">
        <v>6731</v>
      </c>
    </row>
    <row r="932" spans="1:306" ht="36" x14ac:dyDescent="0.25">
      <c r="A932" s="5" t="s">
        <v>7655</v>
      </c>
      <c r="B932" s="4" t="s">
        <v>376</v>
      </c>
      <c r="C932" s="7" t="s">
        <v>591</v>
      </c>
      <c r="D932" s="8" t="s">
        <v>592</v>
      </c>
      <c r="E932" s="4">
        <v>694986</v>
      </c>
      <c r="G932" s="4" t="s">
        <v>593</v>
      </c>
      <c r="H932" s="6">
        <v>137.65261699999999</v>
      </c>
      <c r="I932" s="6">
        <v>-30.7804</v>
      </c>
      <c r="J932" s="4" t="s">
        <v>6407</v>
      </c>
      <c r="K932" s="4" t="s">
        <v>595</v>
      </c>
      <c r="L932" s="4" t="s">
        <v>596</v>
      </c>
      <c r="M932" s="4" t="s">
        <v>597</v>
      </c>
      <c r="Q932" s="8"/>
      <c r="R932" s="8"/>
      <c r="Z932" s="4" t="s">
        <v>376</v>
      </c>
      <c r="AA932" s="7" t="s">
        <v>591</v>
      </c>
      <c r="AB932" s="8" t="s">
        <v>592</v>
      </c>
      <c r="AC932" s="4" t="s">
        <v>301</v>
      </c>
      <c r="AD932" s="4" t="s">
        <v>302</v>
      </c>
      <c r="AE932" s="8">
        <v>1575</v>
      </c>
      <c r="AF932" s="8">
        <v>11</v>
      </c>
      <c r="AG932" s="9" t="s">
        <v>379</v>
      </c>
      <c r="AH932" s="9" t="s">
        <v>429</v>
      </c>
      <c r="AI932" s="9" t="s">
        <v>845</v>
      </c>
      <c r="AJ932" s="9" t="s">
        <v>431</v>
      </c>
      <c r="AK932" s="9" t="s">
        <v>432</v>
      </c>
      <c r="AM932" s="8">
        <v>4</v>
      </c>
      <c r="DZ932" s="31"/>
      <c r="EB932" s="10"/>
      <c r="EY932" s="6"/>
      <c r="FA932" s="6"/>
      <c r="GP932" s="32"/>
      <c r="GY932" s="6" t="s">
        <v>407</v>
      </c>
      <c r="HD932" s="8" t="s">
        <v>4054</v>
      </c>
      <c r="HE932" s="8">
        <v>23126</v>
      </c>
      <c r="HF932" s="8" t="s">
        <v>5124</v>
      </c>
      <c r="HG932" s="9" t="s">
        <v>538</v>
      </c>
      <c r="HY932" s="9"/>
      <c r="IM932" s="9"/>
      <c r="JV932" s="7" t="s">
        <v>7656</v>
      </c>
      <c r="JX932" s="7" t="s">
        <v>353</v>
      </c>
      <c r="JY932" s="7" t="s">
        <v>321</v>
      </c>
      <c r="JZ932" s="7" t="s">
        <v>355</v>
      </c>
      <c r="KA932" s="7" t="s">
        <v>321</v>
      </c>
      <c r="KB932" s="7" t="s">
        <v>320</v>
      </c>
      <c r="KG932" s="4" t="s">
        <v>323</v>
      </c>
      <c r="KP932" s="5" t="s">
        <v>602</v>
      </c>
      <c r="KQ932" s="5" t="s">
        <v>602</v>
      </c>
      <c r="KR932" s="5" t="s">
        <v>602</v>
      </c>
    </row>
    <row r="933" spans="1:306" ht="36" x14ac:dyDescent="0.25">
      <c r="A933" s="5" t="s">
        <v>7790</v>
      </c>
      <c r="B933" s="4" t="s">
        <v>376</v>
      </c>
      <c r="C933" s="7" t="s">
        <v>591</v>
      </c>
      <c r="D933" s="8" t="s">
        <v>592</v>
      </c>
      <c r="E933" s="4">
        <v>698375</v>
      </c>
      <c r="G933" s="4" t="s">
        <v>593</v>
      </c>
      <c r="H933" s="6">
        <v>137.72576100000001</v>
      </c>
      <c r="I933" s="6">
        <v>-34.018340000000002</v>
      </c>
      <c r="J933" s="4" t="s">
        <v>6407</v>
      </c>
      <c r="K933" s="4" t="s">
        <v>595</v>
      </c>
      <c r="L933" s="4" t="s">
        <v>596</v>
      </c>
      <c r="M933" s="4" t="s">
        <v>597</v>
      </c>
      <c r="Q933" s="8"/>
      <c r="R933" s="8"/>
      <c r="S933" s="4"/>
      <c r="Z933" s="4" t="s">
        <v>376</v>
      </c>
      <c r="AA933" s="7" t="s">
        <v>591</v>
      </c>
      <c r="AB933" s="8" t="s">
        <v>592</v>
      </c>
      <c r="AC933" s="4" t="s">
        <v>301</v>
      </c>
      <c r="AD933" s="4" t="s">
        <v>302</v>
      </c>
      <c r="AE933" s="8">
        <v>1586</v>
      </c>
      <c r="AF933" s="8">
        <v>3</v>
      </c>
      <c r="AG933" s="4" t="s">
        <v>303</v>
      </c>
      <c r="AH933" s="9" t="s">
        <v>304</v>
      </c>
      <c r="AI933" s="9" t="s">
        <v>598</v>
      </c>
      <c r="AJ933" s="9" t="s">
        <v>599</v>
      </c>
      <c r="AK933" s="9" t="s">
        <v>307</v>
      </c>
      <c r="AL933" s="9" t="s">
        <v>1295</v>
      </c>
      <c r="AM933" s="8">
        <v>5</v>
      </c>
      <c r="AN933" s="4" t="s">
        <v>381</v>
      </c>
      <c r="AO933" s="4" t="s">
        <v>402</v>
      </c>
      <c r="AP933" s="4" t="s">
        <v>424</v>
      </c>
      <c r="AQ933" s="7" t="s">
        <v>425</v>
      </c>
      <c r="AR933" s="8" t="s">
        <v>10243</v>
      </c>
      <c r="AS933" s="8">
        <v>560</v>
      </c>
      <c r="AT933" s="8">
        <v>25</v>
      </c>
      <c r="AU933" s="9" t="s">
        <v>303</v>
      </c>
      <c r="AV933" s="9" t="s">
        <v>429</v>
      </c>
      <c r="AW933" s="9" t="s">
        <v>7791</v>
      </c>
      <c r="AX933" s="9" t="s">
        <v>7013</v>
      </c>
      <c r="AY933" s="9" t="s">
        <v>1081</v>
      </c>
      <c r="AZ933" s="9" t="s">
        <v>7792</v>
      </c>
      <c r="BA933" s="8">
        <v>4</v>
      </c>
      <c r="BB933" s="4" t="s">
        <v>381</v>
      </c>
      <c r="BC933" s="4" t="s">
        <v>402</v>
      </c>
      <c r="BD933" s="4" t="s">
        <v>424</v>
      </c>
      <c r="BE933" s="7" t="s">
        <v>425</v>
      </c>
      <c r="BF933" s="8" t="s">
        <v>10243</v>
      </c>
      <c r="BG933" s="8">
        <v>334</v>
      </c>
      <c r="BH933" s="8">
        <v>7</v>
      </c>
      <c r="BI933" s="9" t="s">
        <v>303</v>
      </c>
      <c r="BJ933" s="9" t="s">
        <v>429</v>
      </c>
      <c r="BK933" s="9" t="s">
        <v>7791</v>
      </c>
      <c r="BL933" s="9" t="s">
        <v>7013</v>
      </c>
      <c r="BM933" s="9" t="s">
        <v>1081</v>
      </c>
      <c r="BN933" s="9" t="s">
        <v>7792</v>
      </c>
      <c r="BO933" s="8">
        <v>4</v>
      </c>
      <c r="DZ933" s="31"/>
      <c r="EB933" s="10"/>
      <c r="EY933" s="6"/>
      <c r="FA933" s="6"/>
      <c r="GP933" s="32"/>
      <c r="GY933" s="6" t="s">
        <v>407</v>
      </c>
      <c r="GZ933" s="6" t="s">
        <v>639</v>
      </c>
      <c r="HC933" s="6" t="s">
        <v>311</v>
      </c>
      <c r="HD933" s="8" t="s">
        <v>7793</v>
      </c>
      <c r="HE933" s="8">
        <v>39174</v>
      </c>
      <c r="HF933" s="8" t="s">
        <v>7794</v>
      </c>
      <c r="HG933" s="9" t="s">
        <v>538</v>
      </c>
      <c r="HY933" s="9"/>
      <c r="IB933" s="8" t="s">
        <v>7793</v>
      </c>
      <c r="IC933" s="8">
        <v>39174</v>
      </c>
      <c r="ID933" s="8" t="s">
        <v>7794</v>
      </c>
      <c r="IE933" s="9" t="s">
        <v>538</v>
      </c>
      <c r="IF933" s="8" t="s">
        <v>445</v>
      </c>
      <c r="IM933" s="9"/>
      <c r="JV933" s="7" t="s">
        <v>7795</v>
      </c>
      <c r="JX933" s="7" t="s">
        <v>355</v>
      </c>
      <c r="JY933" s="7" t="s">
        <v>354</v>
      </c>
      <c r="JZ933" s="7" t="s">
        <v>320</v>
      </c>
      <c r="KG933" s="4" t="s">
        <v>323</v>
      </c>
      <c r="KP933" s="5" t="s">
        <v>7796</v>
      </c>
      <c r="KQ933" s="5" t="s">
        <v>7796</v>
      </c>
      <c r="KR933" s="5" t="s">
        <v>7797</v>
      </c>
      <c r="KT933" s="14" t="s">
        <v>7798</v>
      </c>
    </row>
    <row r="934" spans="1:306" ht="120" x14ac:dyDescent="0.25">
      <c r="A934" s="5" t="s">
        <v>840</v>
      </c>
      <c r="B934" s="4" t="s">
        <v>376</v>
      </c>
      <c r="C934" s="7" t="s">
        <v>591</v>
      </c>
      <c r="D934" s="8" t="s">
        <v>841</v>
      </c>
      <c r="E934" s="4">
        <v>336129</v>
      </c>
      <c r="G934" s="4" t="s">
        <v>530</v>
      </c>
      <c r="H934" s="6">
        <v>134.218782</v>
      </c>
      <c r="I934" s="6">
        <v>-19.668548000000001</v>
      </c>
      <c r="J934" s="4" t="s">
        <v>842</v>
      </c>
      <c r="K934" s="4" t="s">
        <v>481</v>
      </c>
      <c r="L934" s="4" t="s">
        <v>843</v>
      </c>
      <c r="M934" s="4" t="s">
        <v>844</v>
      </c>
      <c r="Q934" s="8"/>
      <c r="R934" s="8"/>
      <c r="Z934" s="4" t="s">
        <v>376</v>
      </c>
      <c r="AA934" s="7" t="s">
        <v>591</v>
      </c>
      <c r="AB934" s="8" t="s">
        <v>841</v>
      </c>
      <c r="AC934" s="4" t="s">
        <v>301</v>
      </c>
      <c r="AD934" s="4" t="s">
        <v>302</v>
      </c>
      <c r="AE934" s="8">
        <v>1850</v>
      </c>
      <c r="AF934" s="8">
        <v>21.8</v>
      </c>
      <c r="AG934" s="9" t="s">
        <v>379</v>
      </c>
      <c r="AH934" s="9" t="s">
        <v>429</v>
      </c>
      <c r="AI934" s="9" t="s">
        <v>845</v>
      </c>
      <c r="AJ934" s="9" t="s">
        <v>431</v>
      </c>
      <c r="AK934" s="9" t="s">
        <v>432</v>
      </c>
      <c r="AM934" s="8">
        <v>2</v>
      </c>
      <c r="BP934" s="7">
        <v>0.28999999999999998</v>
      </c>
      <c r="BV934" s="6">
        <f>EL934/BP934</f>
        <v>7.068965517241379</v>
      </c>
      <c r="DZ934" s="31"/>
      <c r="EL934" s="9">
        <v>2.0499999999999998</v>
      </c>
      <c r="EY934" s="6"/>
      <c r="FA934" s="6"/>
      <c r="GP934" s="32"/>
      <c r="GY934" s="6" t="s">
        <v>338</v>
      </c>
      <c r="GZ934" s="6" t="s">
        <v>436</v>
      </c>
      <c r="HC934" s="6" t="s">
        <v>846</v>
      </c>
      <c r="HD934" s="8" t="s">
        <v>847</v>
      </c>
      <c r="HE934" s="8">
        <v>30741</v>
      </c>
      <c r="HF934" s="8" t="s">
        <v>848</v>
      </c>
      <c r="HG934" s="9" t="s">
        <v>538</v>
      </c>
      <c r="HY934" s="9"/>
      <c r="IB934" s="8" t="s">
        <v>849</v>
      </c>
      <c r="IC934" s="8">
        <v>39127</v>
      </c>
      <c r="ID934" s="8" t="s">
        <v>850</v>
      </c>
      <c r="IE934" s="8" t="s">
        <v>538</v>
      </c>
      <c r="IF934" s="8" t="s">
        <v>319</v>
      </c>
      <c r="IG934" s="8" t="s">
        <v>851</v>
      </c>
      <c r="IH934" s="8">
        <v>72693</v>
      </c>
      <c r="II934" s="8" t="s">
        <v>852</v>
      </c>
      <c r="IJ934" s="8" t="s">
        <v>538</v>
      </c>
      <c r="IK934" s="8" t="s">
        <v>319</v>
      </c>
      <c r="IW934" s="8"/>
      <c r="JB934" s="8"/>
      <c r="JV934" s="7" t="s">
        <v>853</v>
      </c>
      <c r="JX934" s="7" t="s">
        <v>353</v>
      </c>
      <c r="JY934" s="7" t="s">
        <v>354</v>
      </c>
      <c r="JZ934" s="7" t="s">
        <v>320</v>
      </c>
      <c r="KA934" s="7" t="s">
        <v>354</v>
      </c>
      <c r="KB934" s="7" t="s">
        <v>355</v>
      </c>
      <c r="KG934" s="4" t="s">
        <v>323</v>
      </c>
      <c r="KM934" s="4" t="s">
        <v>836</v>
      </c>
      <c r="KN934" s="4" t="s">
        <v>836</v>
      </c>
      <c r="KP934" s="5" t="s">
        <v>358</v>
      </c>
      <c r="KQ934" s="5" t="s">
        <v>854</v>
      </c>
      <c r="KR934" s="5" t="s">
        <v>855</v>
      </c>
      <c r="KS934" s="5" t="s">
        <v>856</v>
      </c>
      <c r="KT934" s="5" t="s">
        <v>857</v>
      </c>
    </row>
    <row r="935" spans="1:306" ht="120" x14ac:dyDescent="0.25">
      <c r="A935" s="5" t="s">
        <v>2127</v>
      </c>
      <c r="B935" s="4" t="s">
        <v>376</v>
      </c>
      <c r="C935" s="7" t="s">
        <v>591</v>
      </c>
      <c r="D935" s="8" t="s">
        <v>841</v>
      </c>
      <c r="E935" s="4">
        <v>334531</v>
      </c>
      <c r="G935" s="4" t="s">
        <v>530</v>
      </c>
      <c r="H935" s="6">
        <v>134.09690000000001</v>
      </c>
      <c r="I935" s="6">
        <v>-19.654</v>
      </c>
      <c r="J935" s="4" t="s">
        <v>842</v>
      </c>
      <c r="K935" s="4" t="s">
        <v>481</v>
      </c>
      <c r="L935" s="4" t="s">
        <v>843</v>
      </c>
      <c r="M935" s="4" t="s">
        <v>844</v>
      </c>
      <c r="Q935" s="8"/>
      <c r="R935" s="8"/>
      <c r="Z935" s="4" t="s">
        <v>376</v>
      </c>
      <c r="AA935" s="7" t="s">
        <v>591</v>
      </c>
      <c r="AB935" s="8" t="s">
        <v>841</v>
      </c>
      <c r="AC935" s="4" t="s">
        <v>301</v>
      </c>
      <c r="AD935" s="4" t="s">
        <v>302</v>
      </c>
      <c r="AE935" s="8">
        <v>1848</v>
      </c>
      <c r="AF935" s="8"/>
      <c r="AG935" s="9" t="s">
        <v>379</v>
      </c>
      <c r="AH935" s="9" t="s">
        <v>380</v>
      </c>
      <c r="AM935" s="8">
        <v>2</v>
      </c>
      <c r="BP935" s="7">
        <v>0.55620000000000003</v>
      </c>
      <c r="BV935" s="6">
        <v>7.8</v>
      </c>
      <c r="DZ935" s="31"/>
      <c r="EL935" s="9">
        <f>BV935*BP935</f>
        <v>4.3383599999999998</v>
      </c>
      <c r="GP935" s="32"/>
      <c r="GY935" s="6" t="s">
        <v>338</v>
      </c>
      <c r="GZ935" s="6" t="s">
        <v>436</v>
      </c>
      <c r="HC935" s="6" t="s">
        <v>2128</v>
      </c>
      <c r="HD935" s="8" t="s">
        <v>847</v>
      </c>
      <c r="HE935" s="8">
        <v>30741</v>
      </c>
      <c r="HF935" s="8" t="s">
        <v>848</v>
      </c>
      <c r="HG935" s="9" t="s">
        <v>538</v>
      </c>
      <c r="IB935" s="8" t="s">
        <v>849</v>
      </c>
      <c r="IC935" s="8">
        <v>39127</v>
      </c>
      <c r="ID935" s="8" t="s">
        <v>850</v>
      </c>
      <c r="IE935" s="8" t="s">
        <v>538</v>
      </c>
      <c r="IF935" s="8" t="s">
        <v>319</v>
      </c>
      <c r="IG935" s="8" t="s">
        <v>851</v>
      </c>
      <c r="IH935" s="8">
        <v>72693</v>
      </c>
      <c r="II935" s="8" t="s">
        <v>852</v>
      </c>
      <c r="IJ935" s="8" t="s">
        <v>538</v>
      </c>
      <c r="IK935" s="8" t="s">
        <v>319</v>
      </c>
      <c r="IW935" s="8"/>
      <c r="JB935" s="8"/>
      <c r="JV935" s="7" t="s">
        <v>2129</v>
      </c>
      <c r="JX935" s="7" t="s">
        <v>355</v>
      </c>
      <c r="JY935" s="7" t="s">
        <v>448</v>
      </c>
      <c r="JZ935" s="7" t="s">
        <v>353</v>
      </c>
      <c r="KA935" s="7" t="s">
        <v>470</v>
      </c>
      <c r="KB935" s="7" t="s">
        <v>320</v>
      </c>
      <c r="KG935" s="4" t="s">
        <v>323</v>
      </c>
      <c r="KM935" s="4" t="s">
        <v>836</v>
      </c>
      <c r="KN935" s="4" t="s">
        <v>836</v>
      </c>
      <c r="KP935" s="5" t="s">
        <v>358</v>
      </c>
      <c r="KQ935" s="5" t="s">
        <v>856</v>
      </c>
      <c r="KS935" s="5" t="s">
        <v>2130</v>
      </c>
      <c r="KT935" s="5" t="s">
        <v>2131</v>
      </c>
    </row>
    <row r="936" spans="1:306" ht="120" x14ac:dyDescent="0.25">
      <c r="A936" s="5" t="s">
        <v>2980</v>
      </c>
      <c r="B936" s="4" t="s">
        <v>376</v>
      </c>
      <c r="C936" s="7" t="s">
        <v>591</v>
      </c>
      <c r="D936" s="8" t="s">
        <v>841</v>
      </c>
      <c r="E936" s="4">
        <v>335747</v>
      </c>
      <c r="G936" s="4" t="s">
        <v>530</v>
      </c>
      <c r="H936" s="6">
        <v>134.233</v>
      </c>
      <c r="I936" s="6">
        <v>-19.697099999999999</v>
      </c>
      <c r="J936" s="4" t="s">
        <v>842</v>
      </c>
      <c r="K936" s="4" t="s">
        <v>481</v>
      </c>
      <c r="L936" s="4" t="s">
        <v>843</v>
      </c>
      <c r="M936" s="4" t="s">
        <v>844</v>
      </c>
      <c r="Q936" s="8"/>
      <c r="R936" s="8"/>
      <c r="Z936" s="4" t="s">
        <v>376</v>
      </c>
      <c r="AA936" s="7" t="s">
        <v>591</v>
      </c>
      <c r="AB936" s="8" t="s">
        <v>841</v>
      </c>
      <c r="AC936" s="4" t="s">
        <v>301</v>
      </c>
      <c r="AD936" s="4" t="s">
        <v>302</v>
      </c>
      <c r="AE936" s="8">
        <v>1848</v>
      </c>
      <c r="AF936" s="8"/>
      <c r="AG936" s="9" t="s">
        <v>379</v>
      </c>
      <c r="AH936" s="9" t="s">
        <v>380</v>
      </c>
      <c r="AM936" s="8">
        <v>2</v>
      </c>
      <c r="BP936" s="7">
        <v>0.21</v>
      </c>
      <c r="BV936" s="6">
        <v>18.095238095238095</v>
      </c>
      <c r="DZ936" s="31"/>
      <c r="EL936" s="9">
        <v>3.8</v>
      </c>
      <c r="GP936" s="32"/>
      <c r="GY936" s="6" t="s">
        <v>338</v>
      </c>
      <c r="GZ936" s="6" t="s">
        <v>436</v>
      </c>
      <c r="HC936" s="6" t="s">
        <v>2128</v>
      </c>
      <c r="HD936" s="8" t="s">
        <v>847</v>
      </c>
      <c r="HE936" s="8">
        <v>30741</v>
      </c>
      <c r="HF936" s="8" t="s">
        <v>848</v>
      </c>
      <c r="HG936" s="9" t="s">
        <v>538</v>
      </c>
      <c r="IB936" s="8" t="s">
        <v>849</v>
      </c>
      <c r="IC936" s="8">
        <v>39127</v>
      </c>
      <c r="ID936" s="8" t="s">
        <v>850</v>
      </c>
      <c r="IE936" s="8" t="s">
        <v>538</v>
      </c>
      <c r="IF936" s="8" t="s">
        <v>319</v>
      </c>
      <c r="IG936" s="8" t="s">
        <v>851</v>
      </c>
      <c r="IH936" s="8">
        <v>72693</v>
      </c>
      <c r="II936" s="8" t="s">
        <v>852</v>
      </c>
      <c r="IJ936" s="8" t="s">
        <v>538</v>
      </c>
      <c r="IK936" s="8" t="s">
        <v>319</v>
      </c>
      <c r="IW936" s="8"/>
      <c r="JB936" s="8"/>
      <c r="JV936" s="7" t="s">
        <v>2981</v>
      </c>
      <c r="JX936" s="7" t="s">
        <v>355</v>
      </c>
      <c r="JY936" s="7" t="s">
        <v>448</v>
      </c>
      <c r="JZ936" s="7" t="s">
        <v>353</v>
      </c>
      <c r="KG936" s="4" t="s">
        <v>323</v>
      </c>
      <c r="KM936" s="4" t="s">
        <v>836</v>
      </c>
      <c r="KN936" s="4" t="s">
        <v>836</v>
      </c>
      <c r="KP936" s="5" t="s">
        <v>358</v>
      </c>
      <c r="KQ936" s="5" t="s">
        <v>2982</v>
      </c>
      <c r="KS936" s="5" t="s">
        <v>856</v>
      </c>
      <c r="KT936" s="5" t="s">
        <v>2983</v>
      </c>
    </row>
    <row r="937" spans="1:306" ht="120" x14ac:dyDescent="0.25">
      <c r="A937" s="5" t="s">
        <v>3249</v>
      </c>
      <c r="B937" s="4" t="s">
        <v>376</v>
      </c>
      <c r="C937" s="7" t="s">
        <v>591</v>
      </c>
      <c r="D937" s="8" t="s">
        <v>841</v>
      </c>
      <c r="E937" s="4">
        <v>596107</v>
      </c>
      <c r="G937" s="4" t="s">
        <v>530</v>
      </c>
      <c r="H937" s="6">
        <v>133.38749999999999</v>
      </c>
      <c r="I937" s="6">
        <v>-19.964200000000002</v>
      </c>
      <c r="J937" s="4" t="s">
        <v>3239</v>
      </c>
      <c r="K937" s="4" t="s">
        <v>481</v>
      </c>
      <c r="L937" s="4" t="s">
        <v>843</v>
      </c>
      <c r="Q937" s="8"/>
      <c r="R937" s="8"/>
      <c r="Z937" s="4" t="s">
        <v>376</v>
      </c>
      <c r="AA937" s="7" t="s">
        <v>591</v>
      </c>
      <c r="AB937" s="8" t="s">
        <v>841</v>
      </c>
      <c r="AC937" s="4" t="s">
        <v>301</v>
      </c>
      <c r="AD937" s="4" t="s">
        <v>302</v>
      </c>
      <c r="AE937" s="8">
        <v>1828</v>
      </c>
      <c r="AF937" s="8"/>
      <c r="AG937" s="9" t="s">
        <v>379</v>
      </c>
      <c r="AH937" s="9" t="s">
        <v>380</v>
      </c>
      <c r="AM937" s="8">
        <v>2</v>
      </c>
      <c r="BP937" s="7">
        <v>0.17599999999999999</v>
      </c>
      <c r="BR937" s="6">
        <v>5.21</v>
      </c>
      <c r="BV937" s="6">
        <v>0.21</v>
      </c>
      <c r="DZ937" s="31"/>
      <c r="EH937" s="10">
        <v>9.1695999999999982E-3</v>
      </c>
      <c r="EL937" s="6">
        <v>3.696E-2</v>
      </c>
      <c r="GP937" s="32"/>
      <c r="GY937" s="6" t="s">
        <v>338</v>
      </c>
      <c r="GZ937" s="6" t="s">
        <v>994</v>
      </c>
      <c r="HB937" s="6" t="s">
        <v>436</v>
      </c>
      <c r="HC937" s="6" t="s">
        <v>2128</v>
      </c>
      <c r="HD937" s="8" t="s">
        <v>847</v>
      </c>
      <c r="HE937" s="8">
        <v>30741</v>
      </c>
      <c r="HF937" s="8" t="s">
        <v>848</v>
      </c>
      <c r="HG937" s="9" t="s">
        <v>538</v>
      </c>
      <c r="IB937" s="8" t="s">
        <v>849</v>
      </c>
      <c r="IC937" s="8">
        <v>39127</v>
      </c>
      <c r="ID937" s="8" t="s">
        <v>850</v>
      </c>
      <c r="IE937" s="8" t="s">
        <v>538</v>
      </c>
      <c r="IF937" s="8" t="s">
        <v>319</v>
      </c>
      <c r="IG937" s="8" t="s">
        <v>851</v>
      </c>
      <c r="IH937" s="8">
        <v>72693</v>
      </c>
      <c r="II937" s="8" t="s">
        <v>852</v>
      </c>
      <c r="IJ937" s="8" t="s">
        <v>538</v>
      </c>
      <c r="IK937" s="8" t="s">
        <v>319</v>
      </c>
      <c r="IW937" s="8"/>
      <c r="JB937" s="8"/>
      <c r="JX937" s="7" t="s">
        <v>355</v>
      </c>
      <c r="KM937" s="4" t="s">
        <v>836</v>
      </c>
      <c r="KN937" s="4" t="s">
        <v>836</v>
      </c>
      <c r="KP937" s="5" t="s">
        <v>358</v>
      </c>
      <c r="KQ937" s="5" t="s">
        <v>3250</v>
      </c>
      <c r="KS937" s="5" t="s">
        <v>3251</v>
      </c>
      <c r="KT937" s="5" t="s">
        <v>3252</v>
      </c>
    </row>
    <row r="938" spans="1:306" ht="120" x14ac:dyDescent="0.25">
      <c r="A938" s="5" t="s">
        <v>3411</v>
      </c>
      <c r="B938" s="4" t="s">
        <v>376</v>
      </c>
      <c r="C938" s="7" t="s">
        <v>591</v>
      </c>
      <c r="D938" s="8" t="s">
        <v>841</v>
      </c>
      <c r="E938" s="4">
        <v>334279</v>
      </c>
      <c r="G938" s="4" t="s">
        <v>530</v>
      </c>
      <c r="H938" s="6">
        <v>134.06610000000001</v>
      </c>
      <c r="I938" s="6">
        <v>-19.435400000000001</v>
      </c>
      <c r="J938" s="4" t="s">
        <v>842</v>
      </c>
      <c r="K938" s="4" t="s">
        <v>481</v>
      </c>
      <c r="L938" s="4" t="s">
        <v>843</v>
      </c>
      <c r="M938" s="4" t="s">
        <v>844</v>
      </c>
      <c r="Q938" s="8"/>
      <c r="R938" s="8"/>
      <c r="Z938" s="4" t="s">
        <v>376</v>
      </c>
      <c r="AA938" s="7" t="s">
        <v>591</v>
      </c>
      <c r="AB938" s="8" t="s">
        <v>841</v>
      </c>
      <c r="AC938" s="4" t="s">
        <v>301</v>
      </c>
      <c r="AD938" s="4" t="s">
        <v>302</v>
      </c>
      <c r="AE938" s="8">
        <v>1848</v>
      </c>
      <c r="AF938" s="8"/>
      <c r="AG938" s="9" t="s">
        <v>379</v>
      </c>
      <c r="AH938" s="9" t="s">
        <v>380</v>
      </c>
      <c r="AM938" s="8">
        <v>2</v>
      </c>
      <c r="BP938" s="7">
        <v>4.4800000000000004</v>
      </c>
      <c r="BR938" s="6">
        <v>3.5647321428571423</v>
      </c>
      <c r="BV938" s="6">
        <v>0.7700892857142857</v>
      </c>
      <c r="DZ938" s="31"/>
      <c r="EH938" s="10">
        <f>BP938*BR938/100</f>
        <v>0.15969999999999998</v>
      </c>
      <c r="EL938" s="9">
        <v>3.45</v>
      </c>
      <c r="GP938" s="32"/>
      <c r="GY938" s="6" t="s">
        <v>338</v>
      </c>
      <c r="GZ938" s="6" t="s">
        <v>994</v>
      </c>
      <c r="HA938" s="6" t="s">
        <v>436</v>
      </c>
      <c r="HC938" s="6" t="s">
        <v>2128</v>
      </c>
      <c r="HD938" s="8" t="s">
        <v>847</v>
      </c>
      <c r="HE938" s="8">
        <v>30741</v>
      </c>
      <c r="HF938" s="8" t="s">
        <v>848</v>
      </c>
      <c r="HG938" s="9" t="s">
        <v>538</v>
      </c>
      <c r="IB938" s="8" t="s">
        <v>849</v>
      </c>
      <c r="IC938" s="8">
        <v>39127</v>
      </c>
      <c r="ID938" s="8" t="s">
        <v>850</v>
      </c>
      <c r="IE938" s="8" t="s">
        <v>538</v>
      </c>
      <c r="IF938" s="8" t="s">
        <v>319</v>
      </c>
      <c r="IG938" s="8" t="s">
        <v>851</v>
      </c>
      <c r="IH938" s="8">
        <v>72693</v>
      </c>
      <c r="II938" s="8" t="s">
        <v>852</v>
      </c>
      <c r="IJ938" s="8" t="s">
        <v>538</v>
      </c>
      <c r="IK938" s="8" t="s">
        <v>319</v>
      </c>
      <c r="IW938" s="8"/>
      <c r="JB938" s="8"/>
      <c r="JV938" s="7" t="s">
        <v>3412</v>
      </c>
      <c r="JX938" s="7" t="s">
        <v>353</v>
      </c>
      <c r="JY938" s="7" t="s">
        <v>470</v>
      </c>
      <c r="JZ938" s="7" t="s">
        <v>355</v>
      </c>
      <c r="KA938" s="7" t="s">
        <v>354</v>
      </c>
      <c r="KB938" s="7" t="s">
        <v>320</v>
      </c>
      <c r="KG938" s="4" t="s">
        <v>356</v>
      </c>
      <c r="KH938" s="4" t="s">
        <v>1317</v>
      </c>
      <c r="KM938" s="4" t="s">
        <v>836</v>
      </c>
      <c r="KN938" s="4" t="s">
        <v>836</v>
      </c>
      <c r="KP938" s="5" t="s">
        <v>358</v>
      </c>
      <c r="KQ938" s="5" t="s">
        <v>3413</v>
      </c>
      <c r="KS938" s="5" t="s">
        <v>3414</v>
      </c>
      <c r="KT938" s="5" t="s">
        <v>3415</v>
      </c>
    </row>
    <row r="939" spans="1:306" ht="120" x14ac:dyDescent="0.25">
      <c r="A939" s="5" t="s">
        <v>3511</v>
      </c>
      <c r="B939" s="4" t="s">
        <v>376</v>
      </c>
      <c r="C939" s="7" t="s">
        <v>591</v>
      </c>
      <c r="D939" s="8" t="s">
        <v>841</v>
      </c>
      <c r="E939" s="4">
        <v>575411</v>
      </c>
      <c r="G939" s="4" t="s">
        <v>530</v>
      </c>
      <c r="H939" s="6">
        <v>134.07744400000001</v>
      </c>
      <c r="I939" s="6">
        <v>-19.430122000000001</v>
      </c>
      <c r="J939" s="4" t="s">
        <v>842</v>
      </c>
      <c r="K939" s="4" t="s">
        <v>481</v>
      </c>
      <c r="L939" s="4" t="s">
        <v>843</v>
      </c>
      <c r="M939" s="4" t="s">
        <v>844</v>
      </c>
      <c r="Q939" s="8"/>
      <c r="R939" s="8"/>
      <c r="Z939" s="4" t="s">
        <v>376</v>
      </c>
      <c r="AA939" s="7" t="s">
        <v>591</v>
      </c>
      <c r="AB939" s="8" t="s">
        <v>841</v>
      </c>
      <c r="AC939" s="4" t="s">
        <v>301</v>
      </c>
      <c r="AD939" s="4" t="s">
        <v>302</v>
      </c>
      <c r="AE939" s="8">
        <v>1848</v>
      </c>
      <c r="AF939" s="8"/>
      <c r="AG939" s="9" t="s">
        <v>379</v>
      </c>
      <c r="AH939" s="9" t="s">
        <v>380</v>
      </c>
      <c r="AM939" s="8">
        <v>2</v>
      </c>
      <c r="BP939" s="7">
        <v>2.92</v>
      </c>
      <c r="BR939" s="6">
        <v>1.8</v>
      </c>
      <c r="BV939" s="6">
        <v>0.2</v>
      </c>
      <c r="DZ939" s="31"/>
      <c r="EH939" s="10">
        <v>5.2560000000000003E-2</v>
      </c>
      <c r="EL939" s="9">
        <f>BV939*BP939</f>
        <v>0.58399999999999996</v>
      </c>
      <c r="GP939" s="32"/>
      <c r="GY939" s="6" t="s">
        <v>338</v>
      </c>
      <c r="GZ939" s="6" t="s">
        <v>994</v>
      </c>
      <c r="HB939" s="6" t="s">
        <v>436</v>
      </c>
      <c r="HC939" s="6" t="s">
        <v>2128</v>
      </c>
      <c r="HD939" s="8" t="s">
        <v>847</v>
      </c>
      <c r="HE939" s="8">
        <v>30741</v>
      </c>
      <c r="HF939" s="8" t="s">
        <v>848</v>
      </c>
      <c r="HG939" s="9" t="s">
        <v>538</v>
      </c>
      <c r="IB939" s="8" t="s">
        <v>849</v>
      </c>
      <c r="IC939" s="8">
        <v>39127</v>
      </c>
      <c r="ID939" s="8" t="s">
        <v>850</v>
      </c>
      <c r="IE939" s="8" t="s">
        <v>538</v>
      </c>
      <c r="IF939" s="8" t="s">
        <v>319</v>
      </c>
      <c r="IG939" s="8" t="s">
        <v>851</v>
      </c>
      <c r="IH939" s="8">
        <v>72693</v>
      </c>
      <c r="II939" s="8" t="s">
        <v>852</v>
      </c>
      <c r="IJ939" s="8" t="s">
        <v>538</v>
      </c>
      <c r="IK939" s="8" t="s">
        <v>319</v>
      </c>
      <c r="IW939" s="8"/>
      <c r="JB939" s="8"/>
      <c r="JV939" s="7" t="s">
        <v>3512</v>
      </c>
      <c r="JX939" s="7" t="s">
        <v>355</v>
      </c>
      <c r="JY939" s="7" t="s">
        <v>354</v>
      </c>
      <c r="JZ939" s="7" t="s">
        <v>353</v>
      </c>
      <c r="KA939" s="7" t="s">
        <v>470</v>
      </c>
      <c r="KB939" s="7" t="s">
        <v>320</v>
      </c>
      <c r="KG939" s="4" t="s">
        <v>323</v>
      </c>
      <c r="KM939" s="4" t="s">
        <v>836</v>
      </c>
      <c r="KN939" s="4" t="s">
        <v>836</v>
      </c>
      <c r="KP939" s="5" t="s">
        <v>358</v>
      </c>
      <c r="KQ939" s="5" t="s">
        <v>3513</v>
      </c>
      <c r="KS939" s="5" t="s">
        <v>3513</v>
      </c>
      <c r="KT939" s="5" t="s">
        <v>718</v>
      </c>
    </row>
    <row r="940" spans="1:306" ht="120" x14ac:dyDescent="0.25">
      <c r="A940" s="5" t="s">
        <v>3518</v>
      </c>
      <c r="B940" s="4" t="s">
        <v>376</v>
      </c>
      <c r="C940" s="7" t="s">
        <v>591</v>
      </c>
      <c r="D940" s="8" t="s">
        <v>841</v>
      </c>
      <c r="E940" s="4">
        <v>334076</v>
      </c>
      <c r="G940" s="4" t="s">
        <v>530</v>
      </c>
      <c r="H940" s="6">
        <v>134.31923731949999</v>
      </c>
      <c r="I940" s="6">
        <v>-19.681075552300001</v>
      </c>
      <c r="J940" s="4" t="s">
        <v>842</v>
      </c>
      <c r="K940" s="4" t="s">
        <v>481</v>
      </c>
      <c r="L940" s="4" t="s">
        <v>843</v>
      </c>
      <c r="M940" s="4" t="s">
        <v>844</v>
      </c>
      <c r="Q940" s="8"/>
      <c r="R940" s="8"/>
      <c r="Z940" s="4" t="s">
        <v>376</v>
      </c>
      <c r="AA940" s="7" t="s">
        <v>591</v>
      </c>
      <c r="AB940" s="8" t="s">
        <v>841</v>
      </c>
      <c r="AC940" s="4" t="s">
        <v>301</v>
      </c>
      <c r="AE940" s="8">
        <v>1848</v>
      </c>
      <c r="AF940" s="8"/>
      <c r="AG940" s="9" t="s">
        <v>379</v>
      </c>
      <c r="AH940" s="9" t="s">
        <v>380</v>
      </c>
      <c r="AM940" s="8">
        <v>2</v>
      </c>
      <c r="BP940" s="7">
        <v>0.15</v>
      </c>
      <c r="BV940" s="6">
        <v>11.746666666666668</v>
      </c>
      <c r="DZ940" s="31"/>
      <c r="EL940" s="6">
        <v>1.762</v>
      </c>
      <c r="GP940" s="32"/>
      <c r="GY940" s="6" t="s">
        <v>338</v>
      </c>
      <c r="GZ940" s="6" t="s">
        <v>436</v>
      </c>
      <c r="HC940" s="6" t="s">
        <v>2128</v>
      </c>
      <c r="HD940" s="8" t="s">
        <v>847</v>
      </c>
      <c r="HE940" s="8">
        <v>30741</v>
      </c>
      <c r="HF940" s="8" t="s">
        <v>848</v>
      </c>
      <c r="HG940" s="9" t="s">
        <v>538</v>
      </c>
      <c r="IB940" s="8" t="s">
        <v>849</v>
      </c>
      <c r="IC940" s="8">
        <v>39127</v>
      </c>
      <c r="ID940" s="8" t="s">
        <v>850</v>
      </c>
      <c r="IE940" s="8" t="s">
        <v>538</v>
      </c>
      <c r="IF940" s="8" t="s">
        <v>319</v>
      </c>
      <c r="IG940" s="8" t="s">
        <v>851</v>
      </c>
      <c r="IH940" s="8">
        <v>72693</v>
      </c>
      <c r="II940" s="8" t="s">
        <v>852</v>
      </c>
      <c r="IJ940" s="8" t="s">
        <v>538</v>
      </c>
      <c r="IK940" s="8" t="s">
        <v>319</v>
      </c>
      <c r="IW940" s="8"/>
      <c r="JB940" s="8"/>
      <c r="JV940" s="7" t="s">
        <v>3519</v>
      </c>
      <c r="JX940" s="7" t="s">
        <v>353</v>
      </c>
      <c r="JY940" s="7" t="s">
        <v>448</v>
      </c>
      <c r="JZ940" s="7" t="s">
        <v>355</v>
      </c>
      <c r="KA940" s="7" t="s">
        <v>470</v>
      </c>
      <c r="KB940" s="7" t="s">
        <v>320</v>
      </c>
      <c r="KC940" s="7" t="s">
        <v>470</v>
      </c>
      <c r="KD940" s="7" t="s">
        <v>322</v>
      </c>
      <c r="KG940" s="4" t="s">
        <v>323</v>
      </c>
      <c r="KM940" s="4" t="s">
        <v>836</v>
      </c>
      <c r="KN940" s="4" t="s">
        <v>836</v>
      </c>
      <c r="KP940" s="5" t="s">
        <v>358</v>
      </c>
      <c r="KQ940" s="5" t="s">
        <v>3520</v>
      </c>
      <c r="KS940" s="5" t="s">
        <v>856</v>
      </c>
      <c r="KT940" s="5" t="s">
        <v>2983</v>
      </c>
    </row>
    <row r="941" spans="1:306" ht="120" x14ac:dyDescent="0.25">
      <c r="A941" s="5" t="s">
        <v>4230</v>
      </c>
      <c r="B941" s="4" t="s">
        <v>376</v>
      </c>
      <c r="C941" s="7" t="s">
        <v>591</v>
      </c>
      <c r="D941" s="8" t="s">
        <v>841</v>
      </c>
      <c r="E941" s="4">
        <v>335952</v>
      </c>
      <c r="G941" s="4" t="s">
        <v>530</v>
      </c>
      <c r="H941" s="6">
        <v>134.05883987569999</v>
      </c>
      <c r="I941" s="6">
        <v>-19.553478430999998</v>
      </c>
      <c r="J941" s="4" t="s">
        <v>842</v>
      </c>
      <c r="K941" s="4" t="s">
        <v>481</v>
      </c>
      <c r="L941" s="4" t="s">
        <v>843</v>
      </c>
      <c r="M941" s="4" t="s">
        <v>844</v>
      </c>
      <c r="Q941" s="8"/>
      <c r="R941" s="8"/>
      <c r="Z941" s="4" t="s">
        <v>376</v>
      </c>
      <c r="AA941" s="7" t="s">
        <v>591</v>
      </c>
      <c r="AB941" s="8" t="s">
        <v>841</v>
      </c>
      <c r="AC941" s="4" t="s">
        <v>301</v>
      </c>
      <c r="AD941" s="4" t="s">
        <v>302</v>
      </c>
      <c r="AE941" s="8">
        <v>1848</v>
      </c>
      <c r="AF941" s="8"/>
      <c r="AG941" s="9" t="s">
        <v>379</v>
      </c>
      <c r="AH941" s="9" t="s">
        <v>380</v>
      </c>
      <c r="AM941" s="8">
        <v>2</v>
      </c>
      <c r="BP941" s="7">
        <v>0.32</v>
      </c>
      <c r="BR941" s="6">
        <v>2.796875</v>
      </c>
      <c r="BU941" s="7">
        <f>1000*EK941/BP941</f>
        <v>12.1</v>
      </c>
      <c r="BV941" s="6">
        <v>2.6468750000000001</v>
      </c>
      <c r="DZ941" s="31"/>
      <c r="EH941" s="16">
        <v>8.9499999999999996E-3</v>
      </c>
      <c r="EK941" s="9">
        <v>3.872E-3</v>
      </c>
      <c r="EL941" s="9">
        <v>0.84699999999999998</v>
      </c>
      <c r="GP941" s="32"/>
      <c r="GY941" s="6" t="s">
        <v>338</v>
      </c>
      <c r="GZ941" s="6" t="s">
        <v>1361</v>
      </c>
      <c r="HB941" s="6" t="s">
        <v>462</v>
      </c>
      <c r="HC941" s="6" t="s">
        <v>846</v>
      </c>
      <c r="HD941" s="8" t="s">
        <v>847</v>
      </c>
      <c r="HE941" s="8">
        <v>30741</v>
      </c>
      <c r="HF941" s="8" t="s">
        <v>848</v>
      </c>
      <c r="HG941" s="9" t="s">
        <v>538</v>
      </c>
      <c r="IB941" s="8" t="s">
        <v>849</v>
      </c>
      <c r="IC941" s="8">
        <v>39127</v>
      </c>
      <c r="ID941" s="8" t="s">
        <v>850</v>
      </c>
      <c r="IE941" s="8" t="s">
        <v>538</v>
      </c>
      <c r="IF941" s="8" t="s">
        <v>319</v>
      </c>
      <c r="IG941" s="8" t="s">
        <v>851</v>
      </c>
      <c r="IH941" s="8">
        <v>72693</v>
      </c>
      <c r="II941" s="8" t="s">
        <v>852</v>
      </c>
      <c r="IJ941" s="8" t="s">
        <v>538</v>
      </c>
      <c r="IK941" s="8" t="s">
        <v>319</v>
      </c>
      <c r="IW941" s="8"/>
      <c r="JB941" s="8"/>
      <c r="JV941" s="7" t="s">
        <v>4231</v>
      </c>
      <c r="JX941" s="7" t="s">
        <v>353</v>
      </c>
      <c r="JY941" s="7" t="s">
        <v>4232</v>
      </c>
      <c r="JZ941" s="7" t="s">
        <v>355</v>
      </c>
      <c r="KA941" s="7" t="s">
        <v>354</v>
      </c>
      <c r="KB941" s="7" t="s">
        <v>320</v>
      </c>
      <c r="KC941" s="7" t="s">
        <v>354</v>
      </c>
      <c r="KD941" s="7" t="s">
        <v>322</v>
      </c>
      <c r="KG941" s="4" t="s">
        <v>323</v>
      </c>
      <c r="KM941" s="4" t="s">
        <v>836</v>
      </c>
      <c r="KN941" s="4" t="s">
        <v>836</v>
      </c>
      <c r="KP941" s="5" t="s">
        <v>358</v>
      </c>
      <c r="KQ941" s="5" t="s">
        <v>4233</v>
      </c>
      <c r="KS941" s="5" t="s">
        <v>856</v>
      </c>
      <c r="KT941" s="5" t="s">
        <v>2983</v>
      </c>
    </row>
    <row r="942" spans="1:306" ht="36" x14ac:dyDescent="0.25">
      <c r="A942" s="5" t="s">
        <v>4321</v>
      </c>
      <c r="B942" s="4" t="s">
        <v>376</v>
      </c>
      <c r="C942" s="7" t="s">
        <v>591</v>
      </c>
      <c r="D942" s="8" t="s">
        <v>841</v>
      </c>
      <c r="E942" s="4">
        <v>803968</v>
      </c>
      <c r="G942" s="4" t="s">
        <v>530</v>
      </c>
      <c r="H942" s="6">
        <v>134.21600000000001</v>
      </c>
      <c r="I942" s="6">
        <v>-23.141999999999999</v>
      </c>
      <c r="J942" s="4" t="s">
        <v>4321</v>
      </c>
      <c r="K942" s="4" t="s">
        <v>481</v>
      </c>
      <c r="L942" s="4" t="s">
        <v>1498</v>
      </c>
      <c r="Q942" s="8"/>
      <c r="R942" s="8"/>
      <c r="S942" s="4"/>
      <c r="T942" s="4"/>
      <c r="U942" s="4"/>
      <c r="V942" s="4"/>
      <c r="W942" s="4"/>
      <c r="Z942" s="4" t="s">
        <v>376</v>
      </c>
      <c r="AA942" s="7" t="s">
        <v>591</v>
      </c>
      <c r="AB942" s="8" t="s">
        <v>841</v>
      </c>
      <c r="AC942" s="4" t="s">
        <v>301</v>
      </c>
      <c r="AD942" s="4" t="s">
        <v>375</v>
      </c>
      <c r="AE942" s="8">
        <v>1795</v>
      </c>
      <c r="AF942" s="8"/>
      <c r="AG942" s="4" t="s">
        <v>303</v>
      </c>
      <c r="AH942" s="4" t="s">
        <v>304</v>
      </c>
      <c r="AI942" s="4" t="s">
        <v>1118</v>
      </c>
      <c r="AJ942" s="4" t="s">
        <v>1080</v>
      </c>
      <c r="AK942" s="4" t="s">
        <v>600</v>
      </c>
      <c r="AM942" s="8">
        <v>3</v>
      </c>
      <c r="AN942" s="4" t="s">
        <v>381</v>
      </c>
      <c r="AO942" s="4" t="s">
        <v>402</v>
      </c>
      <c r="AP942" s="4" t="s">
        <v>383</v>
      </c>
      <c r="AQ942" s="7" t="s">
        <v>384</v>
      </c>
      <c r="AR942" s="7" t="s">
        <v>827</v>
      </c>
      <c r="AS942" s="7">
        <v>0</v>
      </c>
      <c r="AT942" s="7">
        <v>0</v>
      </c>
      <c r="AU942" s="9" t="s">
        <v>303</v>
      </c>
      <c r="AV942" s="9" t="s">
        <v>406</v>
      </c>
      <c r="BA942" s="8">
        <v>5</v>
      </c>
      <c r="BP942" s="7">
        <v>2.19</v>
      </c>
      <c r="BR942" s="7">
        <v>0.4</v>
      </c>
      <c r="BV942" s="7">
        <v>0.7</v>
      </c>
      <c r="DZ942" s="31"/>
      <c r="EH942" s="10">
        <f>BP942*BR942/100</f>
        <v>8.7600000000000004E-3</v>
      </c>
      <c r="EL942" s="6">
        <f>BP942*BV942</f>
        <v>1.5329999999999999</v>
      </c>
      <c r="EY942" s="6"/>
      <c r="FA942" s="6"/>
      <c r="GP942" s="32"/>
      <c r="GY942" s="6" t="s">
        <v>338</v>
      </c>
      <c r="GZ942" s="6" t="s">
        <v>1528</v>
      </c>
      <c r="HC942" s="6" t="s">
        <v>4322</v>
      </c>
      <c r="HD942" s="8" t="s">
        <v>4323</v>
      </c>
      <c r="HE942" s="8">
        <v>26477</v>
      </c>
      <c r="HF942" s="8" t="s">
        <v>4324</v>
      </c>
      <c r="HG942" s="9" t="s">
        <v>538</v>
      </c>
      <c r="HY942" s="9"/>
      <c r="ID942" s="8" t="s">
        <v>4325</v>
      </c>
      <c r="IE942" s="8" t="s">
        <v>538</v>
      </c>
      <c r="IF942" s="8" t="s">
        <v>329</v>
      </c>
      <c r="II942" s="8" t="s">
        <v>528</v>
      </c>
      <c r="IJ942" s="8" t="s">
        <v>329</v>
      </c>
      <c r="IK942" s="8" t="s">
        <v>329</v>
      </c>
      <c r="IW942" s="8"/>
      <c r="JB942" s="8"/>
      <c r="JV942" s="7" t="s">
        <v>4326</v>
      </c>
      <c r="JX942" s="7" t="s">
        <v>353</v>
      </c>
      <c r="JY942" s="7" t="s">
        <v>354</v>
      </c>
      <c r="JZ942" s="7" t="s">
        <v>320</v>
      </c>
      <c r="KA942" s="7" t="s">
        <v>448</v>
      </c>
      <c r="KB942" s="7" t="s">
        <v>322</v>
      </c>
      <c r="KG942" s="4" t="s">
        <v>323</v>
      </c>
      <c r="KM942" s="4" t="s">
        <v>888</v>
      </c>
      <c r="KN942" s="4" t="s">
        <v>888</v>
      </c>
      <c r="KP942" s="5" t="s">
        <v>358</v>
      </c>
      <c r="KQ942" s="5" t="s">
        <v>4327</v>
      </c>
      <c r="KR942" s="5" t="s">
        <v>2268</v>
      </c>
      <c r="KS942" s="5" t="s">
        <v>4328</v>
      </c>
      <c r="KT942" s="5" t="s">
        <v>4329</v>
      </c>
    </row>
    <row r="943" spans="1:306" ht="120" x14ac:dyDescent="0.25">
      <c r="A943" s="5" t="s">
        <v>4376</v>
      </c>
      <c r="B943" s="4" t="s">
        <v>376</v>
      </c>
      <c r="C943" s="7" t="s">
        <v>591</v>
      </c>
      <c r="D943" s="8" t="s">
        <v>841</v>
      </c>
      <c r="E943" s="4">
        <v>334173</v>
      </c>
      <c r="G943" s="4" t="s">
        <v>530</v>
      </c>
      <c r="H943" s="6">
        <v>134.2407</v>
      </c>
      <c r="I943" s="6">
        <v>-19.703299999999999</v>
      </c>
      <c r="J943" s="4" t="s">
        <v>842</v>
      </c>
      <c r="K943" s="4" t="s">
        <v>481</v>
      </c>
      <c r="L943" s="4" t="s">
        <v>843</v>
      </c>
      <c r="M943" s="4" t="s">
        <v>844</v>
      </c>
      <c r="Q943" s="8"/>
      <c r="R943" s="8"/>
      <c r="Z943" s="4" t="s">
        <v>376</v>
      </c>
      <c r="AA943" s="7" t="s">
        <v>591</v>
      </c>
      <c r="AB943" s="8" t="s">
        <v>841</v>
      </c>
      <c r="AC943" s="4" t="s">
        <v>301</v>
      </c>
      <c r="AD943" s="4" t="s">
        <v>302</v>
      </c>
      <c r="AE943" s="8">
        <v>1848.4</v>
      </c>
      <c r="AF943" s="8">
        <v>21.2</v>
      </c>
      <c r="AG943" s="9" t="s">
        <v>379</v>
      </c>
      <c r="AH943" s="9" t="s">
        <v>429</v>
      </c>
      <c r="AI943" s="9" t="s">
        <v>845</v>
      </c>
      <c r="AJ943" s="9" t="s">
        <v>431</v>
      </c>
      <c r="AK943" s="9" t="s">
        <v>432</v>
      </c>
      <c r="AM943" s="8">
        <v>3</v>
      </c>
      <c r="BP943" s="7">
        <f>0.45+1.3</f>
        <v>1.75</v>
      </c>
      <c r="BR943" s="6">
        <f>((0.45*0.317555555555556)+(1.3*0))/BP943</f>
        <v>8.165714285714297E-2</v>
      </c>
      <c r="BU943" s="6">
        <f>(0.45*6.11555555555556)+(1.3*0)/BP943</f>
        <v>2.752000000000002</v>
      </c>
      <c r="BV943" s="6">
        <f>(0.45*58.0666666666667)+(1.3*4.4)/BP943</f>
        <v>29.398571428571444</v>
      </c>
      <c r="DJ943" s="6">
        <f>FZ943*0.1/BP943</f>
        <v>0.13102857142857144</v>
      </c>
      <c r="DZ943" s="31"/>
      <c r="EH943" s="16">
        <f>BP943*BR943/100</f>
        <v>1.4290000000000019E-3</v>
      </c>
      <c r="EK943" s="16">
        <f>BU943*BP943/1000</f>
        <v>4.8160000000000034E-3</v>
      </c>
      <c r="EL943" s="7">
        <f>BV943*BP943</f>
        <v>51.447500000000026</v>
      </c>
      <c r="EY943" s="6"/>
      <c r="FA943" s="6"/>
      <c r="FZ943" s="6">
        <v>2.2930000000000001</v>
      </c>
      <c r="GP943" s="32"/>
      <c r="GY943" s="6" t="s">
        <v>338</v>
      </c>
      <c r="GZ943" s="6" t="s">
        <v>436</v>
      </c>
      <c r="HB943" s="6" t="s">
        <v>4377</v>
      </c>
      <c r="HC943" s="6" t="s">
        <v>1584</v>
      </c>
      <c r="HD943" s="8" t="s">
        <v>847</v>
      </c>
      <c r="HE943" s="8">
        <v>30741</v>
      </c>
      <c r="HF943" s="8" t="s">
        <v>848</v>
      </c>
      <c r="HG943" s="9" t="s">
        <v>538</v>
      </c>
      <c r="HY943" s="9"/>
      <c r="IB943" s="8" t="s">
        <v>849</v>
      </c>
      <c r="IC943" s="8">
        <v>39127</v>
      </c>
      <c r="ID943" s="8" t="s">
        <v>850</v>
      </c>
      <c r="IE943" s="8" t="s">
        <v>538</v>
      </c>
      <c r="IF943" s="8" t="s">
        <v>319</v>
      </c>
      <c r="IG943" s="8" t="s">
        <v>851</v>
      </c>
      <c r="IH943" s="8">
        <v>72693</v>
      </c>
      <c r="II943" s="8" t="s">
        <v>852</v>
      </c>
      <c r="IJ943" s="8" t="s">
        <v>538</v>
      </c>
      <c r="IK943" s="8" t="s">
        <v>319</v>
      </c>
      <c r="IW943" s="8"/>
      <c r="JB943" s="8"/>
      <c r="JV943" s="7" t="s">
        <v>4378</v>
      </c>
      <c r="JX943" s="7" t="s">
        <v>353</v>
      </c>
      <c r="JY943" s="7" t="s">
        <v>448</v>
      </c>
      <c r="JZ943" s="7" t="s">
        <v>320</v>
      </c>
      <c r="KG943" s="4" t="s">
        <v>323</v>
      </c>
      <c r="KM943" s="4" t="s">
        <v>836</v>
      </c>
      <c r="KN943" s="4" t="s">
        <v>836</v>
      </c>
      <c r="KP943" s="5" t="s">
        <v>358</v>
      </c>
      <c r="KQ943" s="5" t="s">
        <v>4379</v>
      </c>
      <c r="KR943" s="5" t="s">
        <v>4380</v>
      </c>
      <c r="KS943" s="5" t="s">
        <v>4381</v>
      </c>
      <c r="KT943" s="5" t="s">
        <v>4382</v>
      </c>
    </row>
    <row r="944" spans="1:306" ht="120" x14ac:dyDescent="0.2">
      <c r="A944" s="5" t="s">
        <v>5117</v>
      </c>
      <c r="B944" s="4" t="s">
        <v>376</v>
      </c>
      <c r="C944" s="7" t="s">
        <v>591</v>
      </c>
      <c r="D944" s="8" t="s">
        <v>841</v>
      </c>
      <c r="F944" s="44">
        <v>805861</v>
      </c>
      <c r="G944" s="4" t="s">
        <v>530</v>
      </c>
      <c r="H944" s="6">
        <v>134.34047000000001</v>
      </c>
      <c r="I944" s="6">
        <v>-19.595555000000001</v>
      </c>
      <c r="J944" s="4" t="s">
        <v>842</v>
      </c>
      <c r="K944" s="4" t="s">
        <v>481</v>
      </c>
      <c r="L944" s="4" t="s">
        <v>843</v>
      </c>
      <c r="M944" s="4" t="s">
        <v>844</v>
      </c>
      <c r="Q944" s="8"/>
      <c r="R944" s="8"/>
      <c r="Z944" s="4" t="s">
        <v>376</v>
      </c>
      <c r="AA944" s="7" t="s">
        <v>591</v>
      </c>
      <c r="AB944" s="8" t="s">
        <v>841</v>
      </c>
      <c r="AC944" s="4" t="s">
        <v>301</v>
      </c>
      <c r="AD944" s="4" t="s">
        <v>302</v>
      </c>
      <c r="AE944" s="8">
        <v>1848</v>
      </c>
      <c r="AF944" s="8"/>
      <c r="AG944" s="9" t="s">
        <v>379</v>
      </c>
      <c r="AH944" s="9" t="s">
        <v>380</v>
      </c>
      <c r="AM944" s="8">
        <v>2</v>
      </c>
      <c r="BP944" s="7">
        <v>0.25600000000000001</v>
      </c>
      <c r="BV944" s="6">
        <v>3.5</v>
      </c>
      <c r="DZ944" s="31"/>
      <c r="EL944" s="9">
        <f>BV944*BP944</f>
        <v>0.89600000000000002</v>
      </c>
      <c r="GP944" s="32"/>
      <c r="GY944" s="6" t="s">
        <v>338</v>
      </c>
      <c r="GZ944" s="6" t="s">
        <v>436</v>
      </c>
      <c r="HC944" s="6" t="s">
        <v>2128</v>
      </c>
      <c r="HD944" s="8" t="s">
        <v>847</v>
      </c>
      <c r="HE944" s="8">
        <v>30741</v>
      </c>
      <c r="HF944" s="8" t="s">
        <v>848</v>
      </c>
      <c r="HG944" s="9" t="s">
        <v>538</v>
      </c>
      <c r="IB944" s="8" t="s">
        <v>849</v>
      </c>
      <c r="IC944" s="8">
        <v>39127</v>
      </c>
      <c r="ID944" s="8" t="s">
        <v>850</v>
      </c>
      <c r="IE944" s="8" t="s">
        <v>538</v>
      </c>
      <c r="IF944" s="8" t="s">
        <v>319</v>
      </c>
      <c r="IG944" s="8" t="s">
        <v>851</v>
      </c>
      <c r="IH944" s="8">
        <v>72693</v>
      </c>
      <c r="II944" s="8" t="s">
        <v>852</v>
      </c>
      <c r="IJ944" s="8" t="s">
        <v>538</v>
      </c>
      <c r="IK944" s="8" t="s">
        <v>319</v>
      </c>
      <c r="JV944" s="7" t="s">
        <v>5118</v>
      </c>
      <c r="JX944" s="7" t="s">
        <v>5119</v>
      </c>
      <c r="JY944" s="7" t="s">
        <v>354</v>
      </c>
      <c r="JZ944" s="7" t="s">
        <v>353</v>
      </c>
      <c r="KM944" s="4" t="s">
        <v>836</v>
      </c>
      <c r="KN944" s="4" t="s">
        <v>836</v>
      </c>
      <c r="KP944" s="5" t="s">
        <v>5120</v>
      </c>
      <c r="KQ944" s="5" t="s">
        <v>5120</v>
      </c>
      <c r="KS944" s="5" t="s">
        <v>5120</v>
      </c>
      <c r="KT944" s="5" t="s">
        <v>5121</v>
      </c>
    </row>
    <row r="945" spans="1:306" ht="120" x14ac:dyDescent="0.25">
      <c r="A945" s="5" t="s">
        <v>6238</v>
      </c>
      <c r="B945" s="4" t="s">
        <v>383</v>
      </c>
      <c r="C945" s="7" t="s">
        <v>384</v>
      </c>
      <c r="D945" s="7" t="s">
        <v>433</v>
      </c>
      <c r="E945" s="4">
        <v>334637</v>
      </c>
      <c r="G945" s="4" t="s">
        <v>530</v>
      </c>
      <c r="H945" s="6">
        <v>134.28890999999999</v>
      </c>
      <c r="I945" s="6">
        <v>-19.712916</v>
      </c>
      <c r="J945" s="4" t="s">
        <v>842</v>
      </c>
      <c r="K945" s="4" t="s">
        <v>481</v>
      </c>
      <c r="L945" s="4" t="s">
        <v>843</v>
      </c>
      <c r="M945" s="4" t="s">
        <v>844</v>
      </c>
      <c r="Q945" s="8"/>
      <c r="R945" s="8"/>
      <c r="Z945" s="4" t="s">
        <v>376</v>
      </c>
      <c r="AA945" s="7" t="s">
        <v>591</v>
      </c>
      <c r="AB945" s="8" t="s">
        <v>841</v>
      </c>
      <c r="AC945" s="4" t="s">
        <v>301</v>
      </c>
      <c r="AD945" s="4" t="s">
        <v>402</v>
      </c>
      <c r="AE945" s="8">
        <v>1848.4</v>
      </c>
      <c r="AF945" s="8">
        <v>21.2</v>
      </c>
      <c r="AG945" s="9" t="s">
        <v>379</v>
      </c>
      <c r="AH945" s="9" t="s">
        <v>429</v>
      </c>
      <c r="AI945" s="9" t="s">
        <v>845</v>
      </c>
      <c r="AJ945" s="9" t="s">
        <v>431</v>
      </c>
      <c r="AK945" s="9" t="s">
        <v>432</v>
      </c>
      <c r="AM945" s="8">
        <v>3</v>
      </c>
      <c r="AN945" s="4" t="s">
        <v>381</v>
      </c>
      <c r="AO945" s="4" t="s">
        <v>375</v>
      </c>
      <c r="AP945" s="4" t="s">
        <v>383</v>
      </c>
      <c r="AQ945" s="7" t="s">
        <v>384</v>
      </c>
      <c r="AR945" s="7" t="s">
        <v>433</v>
      </c>
      <c r="AS945" s="7">
        <v>0</v>
      </c>
      <c r="AT945" s="7">
        <v>0</v>
      </c>
      <c r="AU945" s="9" t="s">
        <v>303</v>
      </c>
      <c r="AV945" s="9" t="s">
        <v>406</v>
      </c>
      <c r="BA945" s="8">
        <v>5</v>
      </c>
      <c r="BP945" s="7">
        <v>2.14</v>
      </c>
      <c r="BU945" s="6">
        <v>0.80841121495327095</v>
      </c>
      <c r="BV945" s="6">
        <v>16.158878504672895</v>
      </c>
      <c r="DZ945" s="31"/>
      <c r="EK945" s="16">
        <v>1.73E-3</v>
      </c>
      <c r="EL945" s="9">
        <v>34.58</v>
      </c>
      <c r="EY945" s="6"/>
      <c r="FA945" s="6"/>
      <c r="GP945" s="32"/>
      <c r="GY945" s="6" t="s">
        <v>338</v>
      </c>
      <c r="GZ945" s="6" t="s">
        <v>436</v>
      </c>
      <c r="HB945" s="6" t="s">
        <v>462</v>
      </c>
      <c r="HC945" s="6" t="s">
        <v>6239</v>
      </c>
      <c r="HD945" s="8" t="s">
        <v>847</v>
      </c>
      <c r="HE945" s="8">
        <v>30741</v>
      </c>
      <c r="HF945" s="8" t="s">
        <v>848</v>
      </c>
      <c r="HG945" s="9" t="s">
        <v>538</v>
      </c>
      <c r="HY945" s="9"/>
      <c r="IB945" s="8" t="s">
        <v>849</v>
      </c>
      <c r="IC945" s="8">
        <v>39127</v>
      </c>
      <c r="ID945" s="8" t="s">
        <v>850</v>
      </c>
      <c r="IE945" s="8" t="s">
        <v>538</v>
      </c>
      <c r="IF945" s="8" t="s">
        <v>319</v>
      </c>
      <c r="IG945" s="8" t="s">
        <v>851</v>
      </c>
      <c r="IH945" s="8">
        <v>72693</v>
      </c>
      <c r="II945" s="8" t="s">
        <v>852</v>
      </c>
      <c r="IJ945" s="8" t="s">
        <v>538</v>
      </c>
      <c r="IK945" s="8" t="s">
        <v>319</v>
      </c>
      <c r="IW945" s="8"/>
      <c r="JB945" s="8"/>
      <c r="JV945" s="7" t="s">
        <v>6240</v>
      </c>
      <c r="JX945" s="7" t="s">
        <v>355</v>
      </c>
      <c r="JY945" s="7" t="s">
        <v>448</v>
      </c>
      <c r="JZ945" s="7" t="s">
        <v>353</v>
      </c>
      <c r="KA945" s="7" t="s">
        <v>448</v>
      </c>
      <c r="KB945" s="7" t="s">
        <v>320</v>
      </c>
      <c r="KG945" s="4" t="s">
        <v>323</v>
      </c>
      <c r="KM945" s="4" t="s">
        <v>836</v>
      </c>
      <c r="KN945" s="4" t="s">
        <v>836</v>
      </c>
      <c r="KP945" s="5" t="s">
        <v>358</v>
      </c>
      <c r="KQ945" s="5" t="s">
        <v>6241</v>
      </c>
      <c r="KR945" s="5" t="s">
        <v>4380</v>
      </c>
      <c r="KS945" s="5" t="s">
        <v>856</v>
      </c>
      <c r="KT945" s="5" t="s">
        <v>857</v>
      </c>
    </row>
    <row r="946" spans="1:306" ht="120" x14ac:dyDescent="0.25">
      <c r="A946" s="5" t="s">
        <v>6296</v>
      </c>
      <c r="B946" s="4" t="s">
        <v>383</v>
      </c>
      <c r="C946" s="7" t="s">
        <v>384</v>
      </c>
      <c r="D946" s="7" t="s">
        <v>433</v>
      </c>
      <c r="E946" s="4">
        <v>333878</v>
      </c>
      <c r="G946" s="4" t="s">
        <v>530</v>
      </c>
      <c r="H946" s="6">
        <v>134.14663524029999</v>
      </c>
      <c r="I946" s="6">
        <v>-19.315578041999999</v>
      </c>
      <c r="J946" s="4" t="s">
        <v>842</v>
      </c>
      <c r="K946" s="4" t="s">
        <v>481</v>
      </c>
      <c r="L946" s="4" t="s">
        <v>843</v>
      </c>
      <c r="M946" s="4" t="s">
        <v>844</v>
      </c>
      <c r="Q946" s="8"/>
      <c r="R946" s="8"/>
      <c r="Z946" s="4" t="s">
        <v>376</v>
      </c>
      <c r="AA946" s="7" t="s">
        <v>591</v>
      </c>
      <c r="AB946" s="8" t="s">
        <v>841</v>
      </c>
      <c r="AC946" s="4" t="s">
        <v>301</v>
      </c>
      <c r="AD946" s="4" t="s">
        <v>382</v>
      </c>
      <c r="AE946" s="8">
        <v>1848</v>
      </c>
      <c r="AF946" s="8"/>
      <c r="AG946" s="9" t="s">
        <v>379</v>
      </c>
      <c r="AH946" s="9" t="s">
        <v>380</v>
      </c>
      <c r="AM946" s="8">
        <v>2</v>
      </c>
      <c r="AN946" s="4" t="s">
        <v>381</v>
      </c>
      <c r="AO946" s="4" t="s">
        <v>375</v>
      </c>
      <c r="AP946" s="4" t="s">
        <v>383</v>
      </c>
      <c r="AQ946" s="7" t="s">
        <v>384</v>
      </c>
      <c r="AR946" s="7" t="s">
        <v>433</v>
      </c>
      <c r="AS946" s="7">
        <v>0</v>
      </c>
      <c r="AT946" s="7">
        <v>0</v>
      </c>
      <c r="AU946" s="9" t="s">
        <v>303</v>
      </c>
      <c r="AV946" s="9" t="s">
        <v>406</v>
      </c>
      <c r="BA946" s="8">
        <v>5</v>
      </c>
      <c r="BP946" s="7">
        <v>0.115</v>
      </c>
      <c r="BQ946" s="9"/>
      <c r="BV946" s="6">
        <v>7.0434782608695654</v>
      </c>
      <c r="DZ946" s="31"/>
      <c r="EL946" s="9">
        <v>0.81</v>
      </c>
      <c r="GP946" s="32"/>
      <c r="GY946" s="6" t="s">
        <v>338</v>
      </c>
      <c r="GZ946" s="6" t="s">
        <v>436</v>
      </c>
      <c r="HC946" s="6" t="s">
        <v>2128</v>
      </c>
      <c r="HD946" s="8" t="s">
        <v>847</v>
      </c>
      <c r="HE946" s="8">
        <v>30741</v>
      </c>
      <c r="HF946" s="8" t="s">
        <v>848</v>
      </c>
      <c r="HG946" s="9" t="s">
        <v>538</v>
      </c>
      <c r="IB946" s="8" t="s">
        <v>849</v>
      </c>
      <c r="IC946" s="8">
        <v>39127</v>
      </c>
      <c r="ID946" s="8" t="s">
        <v>850</v>
      </c>
      <c r="IE946" s="8" t="s">
        <v>538</v>
      </c>
      <c r="IF946" s="8" t="s">
        <v>319</v>
      </c>
      <c r="IG946" s="8" t="s">
        <v>851</v>
      </c>
      <c r="IH946" s="8">
        <v>72693</v>
      </c>
      <c r="II946" s="8" t="s">
        <v>852</v>
      </c>
      <c r="IJ946" s="8" t="s">
        <v>538</v>
      </c>
      <c r="IK946" s="8" t="s">
        <v>319</v>
      </c>
      <c r="IW946" s="8"/>
      <c r="JB946" s="8"/>
      <c r="JV946" s="7" t="s">
        <v>6297</v>
      </c>
      <c r="JX946" s="7" t="s">
        <v>355</v>
      </c>
      <c r="JY946" s="7" t="s">
        <v>448</v>
      </c>
      <c r="JZ946" s="7" t="s">
        <v>320</v>
      </c>
      <c r="KA946" s="7" t="s">
        <v>354</v>
      </c>
      <c r="KB946" s="7" t="s">
        <v>353</v>
      </c>
      <c r="KG946" s="4" t="s">
        <v>323</v>
      </c>
      <c r="KM946" s="4" t="s">
        <v>836</v>
      </c>
      <c r="KN946" s="4" t="s">
        <v>836</v>
      </c>
      <c r="KP946" s="5" t="s">
        <v>358</v>
      </c>
      <c r="KQ946" s="5" t="s">
        <v>6298</v>
      </c>
      <c r="KS946" s="5" t="s">
        <v>856</v>
      </c>
      <c r="KT946" s="5" t="s">
        <v>6299</v>
      </c>
    </row>
    <row r="947" spans="1:306" ht="120" x14ac:dyDescent="0.25">
      <c r="A947" s="5" t="s">
        <v>6454</v>
      </c>
      <c r="B947" s="4" t="s">
        <v>376</v>
      </c>
      <c r="C947" s="7" t="s">
        <v>591</v>
      </c>
      <c r="D947" s="8" t="s">
        <v>841</v>
      </c>
      <c r="E947" s="4">
        <v>334931</v>
      </c>
      <c r="G947" s="4" t="s">
        <v>530</v>
      </c>
      <c r="H947" s="6">
        <v>134.02809999999999</v>
      </c>
      <c r="I947" s="6">
        <v>-19.438700000000001</v>
      </c>
      <c r="J947" s="4" t="s">
        <v>842</v>
      </c>
      <c r="K947" s="4" t="s">
        <v>481</v>
      </c>
      <c r="L947" s="4" t="s">
        <v>843</v>
      </c>
      <c r="M947" s="4" t="s">
        <v>844</v>
      </c>
      <c r="Q947" s="8"/>
      <c r="R947" s="8"/>
      <c r="Z947" s="4" t="s">
        <v>376</v>
      </c>
      <c r="AA947" s="7" t="s">
        <v>591</v>
      </c>
      <c r="AB947" s="8" t="s">
        <v>841</v>
      </c>
      <c r="AC947" s="4" t="s">
        <v>301</v>
      </c>
      <c r="AD947" s="4" t="s">
        <v>302</v>
      </c>
      <c r="AE947" s="8">
        <v>1848</v>
      </c>
      <c r="AF947" s="8"/>
      <c r="AG947" s="9" t="s">
        <v>379</v>
      </c>
      <c r="AH947" s="9" t="s">
        <v>380</v>
      </c>
      <c r="AM947" s="8">
        <v>2</v>
      </c>
      <c r="BP947" s="7">
        <f>0.32+2.88</f>
        <v>3.1999999999999997</v>
      </c>
      <c r="BR947" s="6">
        <f>(0.32*1.51625)+(2.88*1.26)/BP947</f>
        <v>1.6192000000000002</v>
      </c>
      <c r="BU947" s="6">
        <f>(0.32*3.821875)+(2.88*1.4)/BP947</f>
        <v>2.4830000000000001</v>
      </c>
      <c r="BV947" s="6">
        <f>(0.32*11.7875)+(2.88*0)/BP947</f>
        <v>3.7719999999999998</v>
      </c>
      <c r="DJ947" s="10">
        <f>(0.32*0.00146875)+(2.88*0)/BP947</f>
        <v>4.6999999999999999E-4</v>
      </c>
      <c r="DZ947" s="31"/>
      <c r="EH947" s="10">
        <f>BP947*BR947/100</f>
        <v>5.1814400000000004E-2</v>
      </c>
      <c r="EK947" s="6">
        <f>BP947*BU947/1000</f>
        <v>7.9456000000000006E-3</v>
      </c>
      <c r="EL947" s="6">
        <f>BP947*BV947</f>
        <v>12.070399999999998</v>
      </c>
      <c r="FZ947" s="10">
        <v>4.7000000000000002E-3</v>
      </c>
      <c r="GP947" s="32"/>
      <c r="GY947" s="6" t="s">
        <v>338</v>
      </c>
      <c r="GZ947" s="6" t="s">
        <v>1528</v>
      </c>
      <c r="HB947" s="6" t="s">
        <v>6455</v>
      </c>
      <c r="HC947" s="6" t="s">
        <v>1584</v>
      </c>
      <c r="HD947" s="8" t="s">
        <v>847</v>
      </c>
      <c r="HE947" s="8">
        <v>30741</v>
      </c>
      <c r="HF947" s="8" t="s">
        <v>848</v>
      </c>
      <c r="HG947" s="9" t="s">
        <v>538</v>
      </c>
      <c r="IB947" s="8" t="s">
        <v>849</v>
      </c>
      <c r="IC947" s="8">
        <v>39127</v>
      </c>
      <c r="ID947" s="8" t="s">
        <v>850</v>
      </c>
      <c r="IE947" s="8" t="s">
        <v>538</v>
      </c>
      <c r="IF947" s="8" t="s">
        <v>319</v>
      </c>
      <c r="IG947" s="8" t="s">
        <v>851</v>
      </c>
      <c r="IH947" s="8">
        <v>72693</v>
      </c>
      <c r="II947" s="8" t="s">
        <v>852</v>
      </c>
      <c r="IJ947" s="8" t="s">
        <v>538</v>
      </c>
      <c r="IK947" s="8" t="s">
        <v>319</v>
      </c>
      <c r="IW947" s="8"/>
      <c r="JB947" s="8"/>
      <c r="JV947" s="7" t="s">
        <v>6456</v>
      </c>
      <c r="JX947" s="7" t="s">
        <v>353</v>
      </c>
      <c r="JY947" s="7" t="s">
        <v>354</v>
      </c>
      <c r="JZ947" s="7" t="s">
        <v>320</v>
      </c>
      <c r="KA947" s="7" t="s">
        <v>448</v>
      </c>
      <c r="KB947" s="7" t="s">
        <v>355</v>
      </c>
      <c r="KG947" s="4" t="s">
        <v>323</v>
      </c>
      <c r="KM947" s="4" t="s">
        <v>836</v>
      </c>
      <c r="KN947" s="4" t="s">
        <v>836</v>
      </c>
      <c r="KP947" s="5" t="s">
        <v>358</v>
      </c>
      <c r="KQ947" s="5" t="s">
        <v>4233</v>
      </c>
      <c r="KS947" s="5" t="s">
        <v>6457</v>
      </c>
      <c r="KT947" s="5" t="s">
        <v>6458</v>
      </c>
    </row>
    <row r="948" spans="1:306" ht="108" x14ac:dyDescent="0.25">
      <c r="A948" s="5" t="s">
        <v>6469</v>
      </c>
      <c r="B948" s="4" t="s">
        <v>376</v>
      </c>
      <c r="C948" s="7" t="s">
        <v>591</v>
      </c>
      <c r="D948" s="8" t="s">
        <v>841</v>
      </c>
      <c r="E948" s="4">
        <v>333785</v>
      </c>
      <c r="G948" s="4" t="s">
        <v>479</v>
      </c>
      <c r="H948" s="6">
        <v>140.5736</v>
      </c>
      <c r="I948" s="6">
        <v>-22.093900000000001</v>
      </c>
      <c r="J948" s="4" t="s">
        <v>4706</v>
      </c>
      <c r="K948" s="4" t="s">
        <v>481</v>
      </c>
      <c r="L948" s="4" t="s">
        <v>651</v>
      </c>
      <c r="M948" s="4" t="s">
        <v>1950</v>
      </c>
      <c r="Q948" s="8"/>
      <c r="R948" s="8"/>
      <c r="S948" s="4"/>
      <c r="Z948" s="4" t="s">
        <v>376</v>
      </c>
      <c r="AA948" s="7" t="s">
        <v>591</v>
      </c>
      <c r="AB948" s="8" t="s">
        <v>841</v>
      </c>
      <c r="AC948" s="4" t="s">
        <v>301</v>
      </c>
      <c r="AD948" s="4" t="s">
        <v>302</v>
      </c>
      <c r="AE948" s="8">
        <v>1595</v>
      </c>
      <c r="AF948" s="8">
        <v>5</v>
      </c>
      <c r="AG948" s="4" t="s">
        <v>303</v>
      </c>
      <c r="AH948" s="9" t="s">
        <v>304</v>
      </c>
      <c r="AI948" s="9" t="s">
        <v>598</v>
      </c>
      <c r="AJ948" s="9" t="s">
        <v>599</v>
      </c>
      <c r="AK948" s="9" t="s">
        <v>600</v>
      </c>
      <c r="AM948" s="8">
        <v>5</v>
      </c>
      <c r="AN948" s="4" t="s">
        <v>381</v>
      </c>
      <c r="AO948" s="4" t="s">
        <v>402</v>
      </c>
      <c r="AP948" s="4" t="s">
        <v>383</v>
      </c>
      <c r="AQ948" s="7" t="s">
        <v>384</v>
      </c>
      <c r="AR948" s="8" t="s">
        <v>827</v>
      </c>
      <c r="AS948" s="7"/>
      <c r="AT948" s="7"/>
      <c r="BP948" s="7">
        <v>29.5</v>
      </c>
      <c r="BR948" s="7">
        <v>2.31</v>
      </c>
      <c r="BS948" s="7"/>
      <c r="BT948" s="7"/>
      <c r="BU948" s="7"/>
      <c r="BV948" s="7">
        <v>0.91</v>
      </c>
      <c r="DZ948" s="31"/>
      <c r="EH948" s="10">
        <f>BP948*BR948/100</f>
        <v>0.68145</v>
      </c>
      <c r="EL948" s="6">
        <f>BP948*BV948</f>
        <v>26.845000000000002</v>
      </c>
      <c r="EY948" s="6"/>
      <c r="FA948" s="6"/>
      <c r="GP948" s="32"/>
      <c r="GY948" s="6" t="s">
        <v>338</v>
      </c>
      <c r="GZ948" s="6" t="s">
        <v>1361</v>
      </c>
      <c r="HC948" s="6" t="s">
        <v>2128</v>
      </c>
      <c r="HD948" s="8" t="s">
        <v>4707</v>
      </c>
      <c r="HE948" s="8">
        <v>74793</v>
      </c>
      <c r="HF948" s="8" t="s">
        <v>6470</v>
      </c>
      <c r="HG948" s="4" t="s">
        <v>490</v>
      </c>
      <c r="HY948" s="9"/>
      <c r="ID948" s="8" t="s">
        <v>6471</v>
      </c>
      <c r="IE948" s="8" t="s">
        <v>538</v>
      </c>
      <c r="IF948" s="8" t="s">
        <v>445</v>
      </c>
      <c r="II948" s="8" t="s">
        <v>6472</v>
      </c>
      <c r="IJ948" s="8" t="s">
        <v>487</v>
      </c>
      <c r="IK948" s="8" t="s">
        <v>445</v>
      </c>
      <c r="IL948" s="8" t="s">
        <v>2895</v>
      </c>
      <c r="IM948" s="8">
        <v>30680</v>
      </c>
      <c r="IN948" s="8" t="s">
        <v>4709</v>
      </c>
      <c r="IO948" s="8" t="s">
        <v>487</v>
      </c>
      <c r="IP948" s="8" t="s">
        <v>329</v>
      </c>
      <c r="IR948" s="9"/>
      <c r="JU948" s="7" t="s">
        <v>4003</v>
      </c>
      <c r="JV948" s="7" t="s">
        <v>6473</v>
      </c>
      <c r="JX948" s="7" t="s">
        <v>320</v>
      </c>
      <c r="JY948" s="7" t="s">
        <v>470</v>
      </c>
      <c r="JZ948" s="7" t="s">
        <v>322</v>
      </c>
      <c r="KA948" s="7" t="s">
        <v>354</v>
      </c>
      <c r="KB948" s="7" t="s">
        <v>353</v>
      </c>
      <c r="KC948" s="7" t="s">
        <v>354</v>
      </c>
      <c r="KD948" s="7" t="s">
        <v>355</v>
      </c>
      <c r="KG948" s="4" t="s">
        <v>323</v>
      </c>
      <c r="KM948" s="4" t="s">
        <v>1192</v>
      </c>
      <c r="KN948" s="4" t="s">
        <v>1192</v>
      </c>
      <c r="KP948" s="5" t="s">
        <v>358</v>
      </c>
      <c r="KQ948" s="5" t="s">
        <v>6474</v>
      </c>
      <c r="KR948" s="5" t="s">
        <v>6475</v>
      </c>
      <c r="KS948" s="5" t="s">
        <v>6476</v>
      </c>
      <c r="KT948" s="5" t="s">
        <v>6477</v>
      </c>
    </row>
    <row r="949" spans="1:306" ht="120" x14ac:dyDescent="0.25">
      <c r="A949" s="5" t="s">
        <v>6601</v>
      </c>
      <c r="B949" s="4" t="s">
        <v>376</v>
      </c>
      <c r="C949" s="7" t="s">
        <v>591</v>
      </c>
      <c r="D949" s="8" t="s">
        <v>841</v>
      </c>
      <c r="E949" s="4">
        <v>334073</v>
      </c>
      <c r="G949" s="4" t="s">
        <v>530</v>
      </c>
      <c r="H949" s="6">
        <v>134.2835096222</v>
      </c>
      <c r="I949" s="6">
        <v>-19.675107801300001</v>
      </c>
      <c r="J949" s="4" t="s">
        <v>842</v>
      </c>
      <c r="K949" s="4" t="s">
        <v>481</v>
      </c>
      <c r="L949" s="4" t="s">
        <v>843</v>
      </c>
      <c r="M949" s="4" t="s">
        <v>844</v>
      </c>
      <c r="Q949" s="8"/>
      <c r="R949" s="8"/>
      <c r="Z949" s="4" t="s">
        <v>376</v>
      </c>
      <c r="AA949" s="7" t="s">
        <v>591</v>
      </c>
      <c r="AB949" s="8" t="s">
        <v>841</v>
      </c>
      <c r="AC949" s="4" t="s">
        <v>301</v>
      </c>
      <c r="AD949" s="4" t="s">
        <v>302</v>
      </c>
      <c r="AE949" s="8">
        <v>1848</v>
      </c>
      <c r="AF949" s="8"/>
      <c r="AG949" s="9" t="s">
        <v>379</v>
      </c>
      <c r="AH949" s="9" t="s">
        <v>380</v>
      </c>
      <c r="AM949" s="8">
        <v>2</v>
      </c>
      <c r="BP949" s="7">
        <v>3.16</v>
      </c>
      <c r="BR949" s="6">
        <v>3.7621518987341771</v>
      </c>
      <c r="BU949" s="6">
        <v>13.975632911392406</v>
      </c>
      <c r="BV949" s="6">
        <v>2.3674050632911392</v>
      </c>
      <c r="DJ949" s="6">
        <v>0.23259493670886075</v>
      </c>
      <c r="DZ949" s="31"/>
      <c r="EH949" s="10">
        <v>0.118884</v>
      </c>
      <c r="EK949" s="9">
        <v>4.4163000000000001E-2</v>
      </c>
      <c r="EL949" s="6">
        <v>7.4809999999999999</v>
      </c>
      <c r="EY949" s="6"/>
      <c r="FA949" s="6"/>
      <c r="FZ949" s="6">
        <v>7.35</v>
      </c>
      <c r="GP949" s="32"/>
      <c r="GY949" s="6" t="s">
        <v>338</v>
      </c>
      <c r="GZ949" s="6" t="s">
        <v>1361</v>
      </c>
      <c r="HB949" s="6" t="s">
        <v>6602</v>
      </c>
      <c r="HC949" s="6" t="s">
        <v>1584</v>
      </c>
      <c r="HD949" s="8" t="s">
        <v>847</v>
      </c>
      <c r="HE949" s="8">
        <v>30741</v>
      </c>
      <c r="HF949" s="8" t="s">
        <v>848</v>
      </c>
      <c r="HG949" s="9" t="s">
        <v>538</v>
      </c>
      <c r="HY949" s="9"/>
      <c r="IB949" s="8" t="s">
        <v>849</v>
      </c>
      <c r="IC949" s="8">
        <v>39127</v>
      </c>
      <c r="ID949" s="8" t="s">
        <v>850</v>
      </c>
      <c r="IE949" s="8" t="s">
        <v>538</v>
      </c>
      <c r="IF949" s="8" t="s">
        <v>319</v>
      </c>
      <c r="IG949" s="8" t="s">
        <v>851</v>
      </c>
      <c r="IH949" s="8">
        <v>72693</v>
      </c>
      <c r="II949" s="8" t="s">
        <v>852</v>
      </c>
      <c r="IJ949" s="8" t="s">
        <v>538</v>
      </c>
      <c r="IK949" s="8" t="s">
        <v>319</v>
      </c>
      <c r="IW949" s="8"/>
      <c r="JB949" s="8"/>
      <c r="JV949" s="7" t="s">
        <v>6603</v>
      </c>
      <c r="JX949" s="7" t="s">
        <v>353</v>
      </c>
      <c r="JY949" s="7" t="s">
        <v>448</v>
      </c>
      <c r="JZ949" s="7" t="s">
        <v>320</v>
      </c>
      <c r="KA949" s="7" t="s">
        <v>354</v>
      </c>
      <c r="KB949" s="7" t="s">
        <v>322</v>
      </c>
      <c r="KG949" s="4" t="s">
        <v>323</v>
      </c>
      <c r="KM949" s="4" t="s">
        <v>836</v>
      </c>
      <c r="KN949" s="4" t="s">
        <v>836</v>
      </c>
      <c r="KP949" s="5" t="s">
        <v>358</v>
      </c>
      <c r="KQ949" s="5" t="s">
        <v>4233</v>
      </c>
      <c r="KS949" s="5" t="s">
        <v>856</v>
      </c>
      <c r="KT949" s="5" t="s">
        <v>2983</v>
      </c>
    </row>
    <row r="950" spans="1:306" ht="120" x14ac:dyDescent="0.25">
      <c r="A950" s="5" t="s">
        <v>7012</v>
      </c>
      <c r="B950" s="4" t="s">
        <v>376</v>
      </c>
      <c r="C950" s="7" t="s">
        <v>591</v>
      </c>
      <c r="D950" s="8" t="s">
        <v>841</v>
      </c>
      <c r="E950" s="4">
        <v>525845</v>
      </c>
      <c r="G950" s="4" t="s">
        <v>530</v>
      </c>
      <c r="H950" s="6">
        <v>133.6567</v>
      </c>
      <c r="I950" s="6">
        <v>-20.002099999999999</v>
      </c>
      <c r="J950" s="4" t="s">
        <v>3239</v>
      </c>
      <c r="K950" s="4" t="s">
        <v>481</v>
      </c>
      <c r="L950" s="4" t="s">
        <v>843</v>
      </c>
      <c r="Q950" s="8"/>
      <c r="R950" s="8"/>
      <c r="Z950" s="4" t="s">
        <v>376</v>
      </c>
      <c r="AA950" s="7" t="s">
        <v>591</v>
      </c>
      <c r="AB950" s="8" t="s">
        <v>841</v>
      </c>
      <c r="AC950" s="4" t="s">
        <v>301</v>
      </c>
      <c r="AD950" s="4" t="s">
        <v>302</v>
      </c>
      <c r="AE950" s="8">
        <v>1828</v>
      </c>
      <c r="AF950" s="8">
        <v>147</v>
      </c>
      <c r="AG950" s="9" t="s">
        <v>379</v>
      </c>
      <c r="AH950" s="9" t="s">
        <v>335</v>
      </c>
      <c r="AI950" s="9" t="s">
        <v>3240</v>
      </c>
      <c r="AJ950" s="9" t="s">
        <v>7013</v>
      </c>
      <c r="AK950" s="9" t="s">
        <v>1081</v>
      </c>
      <c r="AL950" s="9" t="s">
        <v>308</v>
      </c>
      <c r="AM950" s="8">
        <v>2</v>
      </c>
      <c r="BP950" s="7">
        <v>6.9</v>
      </c>
      <c r="BR950" s="6">
        <v>1.2</v>
      </c>
      <c r="BU950" s="6">
        <v>2.0699999999999998</v>
      </c>
      <c r="BV950" s="6">
        <v>1.74</v>
      </c>
      <c r="CK950" s="6">
        <v>0.06</v>
      </c>
      <c r="DJ950" s="6">
        <v>0.14000000000000001</v>
      </c>
      <c r="DZ950" s="31"/>
      <c r="EH950" s="10">
        <v>8.2799999999999999E-2</v>
      </c>
      <c r="EK950" s="10">
        <v>1.4282999999999999E-2</v>
      </c>
      <c r="EL950" s="6">
        <v>12.006</v>
      </c>
      <c r="EZ950" s="6">
        <v>4.0999999999999996</v>
      </c>
      <c r="FZ950" s="6">
        <v>9.6600000000000019</v>
      </c>
      <c r="GP950" s="32"/>
      <c r="GY950" s="6" t="s">
        <v>338</v>
      </c>
      <c r="GZ950" s="6" t="s">
        <v>1528</v>
      </c>
      <c r="HB950" s="6" t="s">
        <v>7014</v>
      </c>
      <c r="HC950" s="6" t="s">
        <v>1584</v>
      </c>
      <c r="HD950" s="8" t="s">
        <v>847</v>
      </c>
      <c r="HE950" s="8">
        <v>30741</v>
      </c>
      <c r="HF950" s="8" t="s">
        <v>848</v>
      </c>
      <c r="HG950" s="9" t="s">
        <v>538</v>
      </c>
      <c r="IB950" s="8" t="s">
        <v>849</v>
      </c>
      <c r="IC950" s="8">
        <v>39127</v>
      </c>
      <c r="ID950" s="8" t="s">
        <v>850</v>
      </c>
      <c r="IE950" s="8" t="s">
        <v>538</v>
      </c>
      <c r="IF950" s="8" t="s">
        <v>319</v>
      </c>
      <c r="IG950" s="8" t="s">
        <v>851</v>
      </c>
      <c r="IH950" s="8">
        <v>72693</v>
      </c>
      <c r="II950" s="8" t="s">
        <v>852</v>
      </c>
      <c r="IJ950" s="8" t="s">
        <v>538</v>
      </c>
      <c r="IK950" s="8" t="s">
        <v>319</v>
      </c>
      <c r="IW950" s="8"/>
      <c r="JB950" s="8"/>
      <c r="JV950" s="7" t="s">
        <v>7015</v>
      </c>
      <c r="JX950" s="7" t="s">
        <v>353</v>
      </c>
      <c r="JY950" s="7" t="s">
        <v>448</v>
      </c>
      <c r="JZ950" s="7" t="s">
        <v>355</v>
      </c>
      <c r="KA950" s="7" t="s">
        <v>354</v>
      </c>
      <c r="KB950" s="7" t="s">
        <v>320</v>
      </c>
      <c r="KG950" s="4" t="s">
        <v>323</v>
      </c>
      <c r="KM950" s="4" t="s">
        <v>836</v>
      </c>
      <c r="KN950" s="4" t="s">
        <v>836</v>
      </c>
      <c r="KP950" s="5" t="s">
        <v>358</v>
      </c>
      <c r="KQ950" s="5" t="s">
        <v>7016</v>
      </c>
      <c r="KR950" s="5" t="s">
        <v>7017</v>
      </c>
      <c r="KS950" s="5" t="s">
        <v>3251</v>
      </c>
      <c r="KT950" s="5" t="s">
        <v>7018</v>
      </c>
    </row>
    <row r="951" spans="1:306" ht="84" x14ac:dyDescent="0.25">
      <c r="A951" s="5" t="s">
        <v>7292</v>
      </c>
      <c r="B951" s="4" t="s">
        <v>376</v>
      </c>
      <c r="C951" s="7" t="s">
        <v>591</v>
      </c>
      <c r="D951" s="8" t="s">
        <v>841</v>
      </c>
      <c r="E951" s="4">
        <v>335458</v>
      </c>
      <c r="G951" s="4" t="s">
        <v>479</v>
      </c>
      <c r="H951" s="6">
        <v>140.48213799999999</v>
      </c>
      <c r="I951" s="6">
        <v>-21.681812999999998</v>
      </c>
      <c r="J951" s="4" t="s">
        <v>4767</v>
      </c>
      <c r="K951" s="4" t="s">
        <v>481</v>
      </c>
      <c r="L951" s="4" t="s">
        <v>651</v>
      </c>
      <c r="M951" s="4" t="s">
        <v>1950</v>
      </c>
      <c r="Q951" s="8"/>
      <c r="R951" s="8"/>
      <c r="S951" s="4"/>
      <c r="Z951" s="4" t="s">
        <v>376</v>
      </c>
      <c r="AA951" s="7" t="s">
        <v>591</v>
      </c>
      <c r="AB951" s="8" t="s">
        <v>841</v>
      </c>
      <c r="AC951" s="4" t="s">
        <v>301</v>
      </c>
      <c r="AD951" s="4" t="s">
        <v>375</v>
      </c>
      <c r="AE951" s="8">
        <v>1586</v>
      </c>
      <c r="AF951" s="8">
        <v>8</v>
      </c>
      <c r="AG951" s="4" t="s">
        <v>303</v>
      </c>
      <c r="AH951" s="9" t="s">
        <v>304</v>
      </c>
      <c r="AI951" s="9" t="s">
        <v>598</v>
      </c>
      <c r="AJ951" s="9" t="s">
        <v>599</v>
      </c>
      <c r="AK951" s="9" t="s">
        <v>600</v>
      </c>
      <c r="AM951" s="8">
        <v>5</v>
      </c>
      <c r="AN951" s="4" t="s">
        <v>381</v>
      </c>
      <c r="AO951" s="4" t="s">
        <v>402</v>
      </c>
      <c r="AP951" s="4" t="s">
        <v>383</v>
      </c>
      <c r="AQ951" s="7" t="s">
        <v>384</v>
      </c>
      <c r="AR951" s="8" t="s">
        <v>827</v>
      </c>
      <c r="AS951" s="7">
        <v>0</v>
      </c>
      <c r="AT951" s="7">
        <v>0</v>
      </c>
      <c r="AU951" s="9" t="s">
        <v>303</v>
      </c>
      <c r="AV951" s="9" t="s">
        <v>406</v>
      </c>
      <c r="BA951" s="8">
        <v>5</v>
      </c>
      <c r="BP951" s="7">
        <f>11.4+6.11+6.96</f>
        <v>24.470000000000002</v>
      </c>
      <c r="BR951" s="6">
        <f>(2.1*11.4+1.14*6.11+0.86*6.96)/(11.4+6.11+6.96)</f>
        <v>1.5076011442582753</v>
      </c>
      <c r="BS951" s="7"/>
      <c r="BT951" s="7"/>
      <c r="BU951" s="7"/>
      <c r="BV951" s="6">
        <f>(3.2*11.4+0.18*6.11+1.19*6.96)/(11.4+6.11+6.96)</f>
        <v>1.8742214957090313</v>
      </c>
      <c r="DZ951" s="31"/>
      <c r="EH951" s="10">
        <f>BP951*BR951/100</f>
        <v>0.36890999999999996</v>
      </c>
      <c r="EL951" s="6">
        <f>BP951*BV951</f>
        <v>45.862200000000001</v>
      </c>
      <c r="EY951" s="6"/>
      <c r="FA951" s="6"/>
      <c r="GP951" s="32"/>
      <c r="GY951" s="6" t="s">
        <v>338</v>
      </c>
      <c r="GZ951" s="6" t="s">
        <v>1361</v>
      </c>
      <c r="HC951" s="6" t="s">
        <v>2128</v>
      </c>
      <c r="HD951" s="8" t="s">
        <v>4911</v>
      </c>
      <c r="HE951" s="8">
        <v>17306</v>
      </c>
      <c r="HF951" s="8" t="s">
        <v>7293</v>
      </c>
      <c r="HG951" s="9" t="s">
        <v>490</v>
      </c>
      <c r="HY951" s="9"/>
      <c r="IB951" s="8" t="s">
        <v>7294</v>
      </c>
      <c r="IC951" s="8">
        <v>7245</v>
      </c>
      <c r="ID951" s="8" t="s">
        <v>7295</v>
      </c>
      <c r="IE951" s="8" t="s">
        <v>538</v>
      </c>
      <c r="IF951" s="8" t="s">
        <v>445</v>
      </c>
      <c r="II951" s="8" t="s">
        <v>7296</v>
      </c>
      <c r="IK951" s="8" t="s">
        <v>329</v>
      </c>
      <c r="IL951" s="9" t="s">
        <v>5193</v>
      </c>
      <c r="IM951" s="8">
        <v>24396</v>
      </c>
      <c r="IN951" s="9" t="s">
        <v>5194</v>
      </c>
      <c r="IO951" s="9" t="s">
        <v>487</v>
      </c>
      <c r="IP951" s="9" t="s">
        <v>350</v>
      </c>
      <c r="IR951" s="9"/>
      <c r="JU951" s="7" t="s">
        <v>7297</v>
      </c>
      <c r="JV951" s="7" t="s">
        <v>7298</v>
      </c>
      <c r="JW951" s="7" t="s">
        <v>910</v>
      </c>
      <c r="JX951" s="7" t="s">
        <v>353</v>
      </c>
      <c r="JY951" s="7" t="s">
        <v>354</v>
      </c>
      <c r="JZ951" s="7" t="s">
        <v>355</v>
      </c>
      <c r="KA951" s="7" t="s">
        <v>470</v>
      </c>
      <c r="KB951" s="7" t="s">
        <v>320</v>
      </c>
      <c r="KG951" s="4" t="s">
        <v>1893</v>
      </c>
      <c r="KH951" s="4" t="s">
        <v>1317</v>
      </c>
      <c r="KM951" s="4" t="s">
        <v>702</v>
      </c>
      <c r="KN951" s="4" t="s">
        <v>702</v>
      </c>
      <c r="KP951" s="5" t="s">
        <v>358</v>
      </c>
      <c r="KQ951" s="5" t="s">
        <v>7299</v>
      </c>
      <c r="KR951" s="5" t="s">
        <v>4775</v>
      </c>
      <c r="KS951" s="5" t="s">
        <v>5197</v>
      </c>
      <c r="KT951" s="5" t="s">
        <v>7300</v>
      </c>
    </row>
    <row r="952" spans="1:306" ht="120" x14ac:dyDescent="0.25">
      <c r="A952" s="5" t="s">
        <v>7499</v>
      </c>
      <c r="B952" s="4" t="s">
        <v>376</v>
      </c>
      <c r="C952" s="7" t="s">
        <v>591</v>
      </c>
      <c r="D952" s="8" t="s">
        <v>841</v>
      </c>
      <c r="E952" s="4">
        <v>333391</v>
      </c>
      <c r="G952" s="4" t="s">
        <v>530</v>
      </c>
      <c r="H952" s="6">
        <v>134.15001055330001</v>
      </c>
      <c r="I952" s="6">
        <v>-19.627108751400002</v>
      </c>
      <c r="J952" s="4" t="s">
        <v>842</v>
      </c>
      <c r="K952" s="4" t="s">
        <v>481</v>
      </c>
      <c r="L952" s="4" t="s">
        <v>843</v>
      </c>
      <c r="M952" s="4" t="s">
        <v>844</v>
      </c>
      <c r="Q952" s="8"/>
      <c r="R952" s="8"/>
      <c r="Z952" s="4" t="s">
        <v>376</v>
      </c>
      <c r="AA952" s="7" t="s">
        <v>591</v>
      </c>
      <c r="AB952" s="8" t="s">
        <v>841</v>
      </c>
      <c r="AC952" s="4" t="s">
        <v>301</v>
      </c>
      <c r="AD952" s="4" t="s">
        <v>302</v>
      </c>
      <c r="AE952" s="8">
        <v>1848</v>
      </c>
      <c r="AF952" s="8"/>
      <c r="AG952" s="9" t="s">
        <v>379</v>
      </c>
      <c r="AH952" s="9" t="s">
        <v>380</v>
      </c>
      <c r="AM952" s="8">
        <v>2</v>
      </c>
      <c r="BP952" s="7">
        <v>0.08</v>
      </c>
      <c r="BV952" s="6">
        <v>17.75</v>
      </c>
      <c r="DZ952" s="31"/>
      <c r="EL952" s="9">
        <v>1.42</v>
      </c>
      <c r="GP952" s="32"/>
      <c r="GY952" s="6" t="s">
        <v>338</v>
      </c>
      <c r="GZ952" s="6" t="s">
        <v>436</v>
      </c>
      <c r="HC952" s="6" t="s">
        <v>2128</v>
      </c>
      <c r="HD952" s="8" t="s">
        <v>847</v>
      </c>
      <c r="HE952" s="8">
        <v>30741</v>
      </c>
      <c r="HF952" s="8" t="s">
        <v>848</v>
      </c>
      <c r="HG952" s="9" t="s">
        <v>538</v>
      </c>
      <c r="IB952" s="8" t="s">
        <v>849</v>
      </c>
      <c r="IC952" s="8">
        <v>39127</v>
      </c>
      <c r="ID952" s="8" t="s">
        <v>850</v>
      </c>
      <c r="IE952" s="8" t="s">
        <v>538</v>
      </c>
      <c r="IF952" s="8" t="s">
        <v>319</v>
      </c>
      <c r="IG952" s="8" t="s">
        <v>851</v>
      </c>
      <c r="IH952" s="8">
        <v>72693</v>
      </c>
      <c r="II952" s="8" t="s">
        <v>852</v>
      </c>
      <c r="IJ952" s="8" t="s">
        <v>538</v>
      </c>
      <c r="IK952" s="8" t="s">
        <v>319</v>
      </c>
      <c r="IW952" s="8"/>
      <c r="JB952" s="8"/>
      <c r="JV952" s="7" t="s">
        <v>3412</v>
      </c>
      <c r="JX952" s="7" t="s">
        <v>353</v>
      </c>
      <c r="JY952" s="7" t="s">
        <v>448</v>
      </c>
      <c r="JZ952" s="7" t="s">
        <v>320</v>
      </c>
      <c r="KG952" s="4" t="s">
        <v>323</v>
      </c>
      <c r="KM952" s="4" t="s">
        <v>836</v>
      </c>
      <c r="KN952" s="4" t="s">
        <v>836</v>
      </c>
      <c r="KP952" s="5" t="s">
        <v>358</v>
      </c>
      <c r="KQ952" s="5" t="s">
        <v>7500</v>
      </c>
      <c r="KS952" s="5" t="s">
        <v>856</v>
      </c>
      <c r="KT952" s="5" t="s">
        <v>2983</v>
      </c>
    </row>
    <row r="953" spans="1:306" ht="120" x14ac:dyDescent="0.25">
      <c r="A953" s="5" t="s">
        <v>7897</v>
      </c>
      <c r="B953" s="4" t="s">
        <v>376</v>
      </c>
      <c r="C953" s="7" t="s">
        <v>591</v>
      </c>
      <c r="D953" s="8" t="s">
        <v>841</v>
      </c>
      <c r="E953" s="4">
        <v>333784</v>
      </c>
      <c r="G953" s="4" t="s">
        <v>530</v>
      </c>
      <c r="H953" s="6">
        <v>133.82371231159999</v>
      </c>
      <c r="I953" s="6">
        <v>-19.444811112699998</v>
      </c>
      <c r="J953" s="4" t="s">
        <v>842</v>
      </c>
      <c r="K953" s="4" t="s">
        <v>481</v>
      </c>
      <c r="L953" s="4" t="s">
        <v>843</v>
      </c>
      <c r="M953" s="4" t="s">
        <v>844</v>
      </c>
      <c r="Q953" s="8"/>
      <c r="R953" s="8"/>
      <c r="Z953" s="4" t="s">
        <v>376</v>
      </c>
      <c r="AA953" s="7" t="s">
        <v>591</v>
      </c>
      <c r="AB953" s="8" t="s">
        <v>841</v>
      </c>
      <c r="AC953" s="4" t="s">
        <v>301</v>
      </c>
      <c r="AD953" s="4" t="s">
        <v>302</v>
      </c>
      <c r="AE953" s="8">
        <v>1848</v>
      </c>
      <c r="AF953" s="8"/>
      <c r="AG953" s="9" t="s">
        <v>379</v>
      </c>
      <c r="AH953" s="9" t="s">
        <v>380</v>
      </c>
      <c r="AM953" s="8">
        <v>2</v>
      </c>
      <c r="BP953" s="7">
        <v>4.75</v>
      </c>
      <c r="BR953" s="6">
        <v>1.9263157894736842</v>
      </c>
      <c r="BU953" s="6">
        <v>1.1578947368421053</v>
      </c>
      <c r="BV953" s="6">
        <v>8.6905263157894748</v>
      </c>
      <c r="DJ953" s="6">
        <v>0.25263157894736843</v>
      </c>
      <c r="DZ953" s="31"/>
      <c r="EH953" s="10">
        <f>BP953*BR953/100</f>
        <v>9.1499999999999998E-2</v>
      </c>
      <c r="EK953" s="10">
        <v>5.4999999999999997E-3</v>
      </c>
      <c r="EL953" s="9">
        <v>41.28</v>
      </c>
      <c r="EY953" s="6"/>
      <c r="FA953" s="6"/>
      <c r="FZ953" s="7">
        <v>12</v>
      </c>
      <c r="GP953" s="32"/>
      <c r="GY953" s="6" t="s">
        <v>338</v>
      </c>
      <c r="GZ953" s="6" t="s">
        <v>1528</v>
      </c>
      <c r="HB953" s="6" t="s">
        <v>6602</v>
      </c>
      <c r="HC953" s="6" t="s">
        <v>1584</v>
      </c>
      <c r="HD953" s="8" t="s">
        <v>847</v>
      </c>
      <c r="HE953" s="8">
        <v>30741</v>
      </c>
      <c r="HF953" s="8" t="s">
        <v>848</v>
      </c>
      <c r="HG953" s="9" t="s">
        <v>538</v>
      </c>
      <c r="HY953" s="9"/>
      <c r="IB953" s="8" t="s">
        <v>849</v>
      </c>
      <c r="IC953" s="8">
        <v>39127</v>
      </c>
      <c r="ID953" s="8" t="s">
        <v>850</v>
      </c>
      <c r="IE953" s="8" t="s">
        <v>538</v>
      </c>
      <c r="IF953" s="8" t="s">
        <v>319</v>
      </c>
      <c r="IG953" s="8" t="s">
        <v>851</v>
      </c>
      <c r="IH953" s="8">
        <v>72693</v>
      </c>
      <c r="II953" s="8" t="s">
        <v>852</v>
      </c>
      <c r="IJ953" s="8" t="s">
        <v>538</v>
      </c>
      <c r="IK953" s="8" t="s">
        <v>319</v>
      </c>
      <c r="IW953" s="8"/>
      <c r="JB953" s="8"/>
      <c r="JV953" s="7" t="s">
        <v>7898</v>
      </c>
      <c r="JX953" s="7" t="s">
        <v>353</v>
      </c>
      <c r="JY953" s="7" t="s">
        <v>448</v>
      </c>
      <c r="JZ953" s="7" t="s">
        <v>320</v>
      </c>
      <c r="KA953" s="7" t="s">
        <v>354</v>
      </c>
      <c r="KB953" s="7" t="s">
        <v>355</v>
      </c>
      <c r="KG953" s="4" t="s">
        <v>323</v>
      </c>
      <c r="KM953" s="4" t="s">
        <v>5513</v>
      </c>
      <c r="KN953" s="4" t="s">
        <v>7899</v>
      </c>
      <c r="KP953" s="5" t="s">
        <v>358</v>
      </c>
      <c r="KQ953" s="5" t="s">
        <v>7900</v>
      </c>
      <c r="KS953" s="5" t="s">
        <v>856</v>
      </c>
      <c r="KT953" s="5" t="s">
        <v>2983</v>
      </c>
    </row>
    <row r="954" spans="1:306" ht="120" x14ac:dyDescent="0.2">
      <c r="A954" s="5" t="s">
        <v>7957</v>
      </c>
      <c r="B954" s="4" t="s">
        <v>376</v>
      </c>
      <c r="C954" s="7" t="s">
        <v>591</v>
      </c>
      <c r="D954" s="8" t="s">
        <v>841</v>
      </c>
      <c r="E954" s="44">
        <v>859660</v>
      </c>
      <c r="G954" s="4" t="s">
        <v>530</v>
      </c>
      <c r="H954" s="6">
        <v>134.266628</v>
      </c>
      <c r="I954" s="6">
        <v>-19.673625000000001</v>
      </c>
      <c r="J954" s="4" t="s">
        <v>842</v>
      </c>
      <c r="K954" s="4" t="s">
        <v>481</v>
      </c>
      <c r="L954" s="4" t="s">
        <v>843</v>
      </c>
      <c r="M954" s="4" t="s">
        <v>844</v>
      </c>
      <c r="Q954" s="8"/>
      <c r="R954" s="8"/>
      <c r="Z954" s="4" t="s">
        <v>376</v>
      </c>
      <c r="AA954" s="7" t="s">
        <v>591</v>
      </c>
      <c r="AB954" s="8" t="s">
        <v>841</v>
      </c>
      <c r="AC954" s="4" t="s">
        <v>301</v>
      </c>
      <c r="AD954" s="4" t="s">
        <v>302</v>
      </c>
      <c r="AE954" s="8">
        <v>1848</v>
      </c>
      <c r="AF954" s="8"/>
      <c r="AG954" s="9" t="s">
        <v>379</v>
      </c>
      <c r="AH954" s="9" t="s">
        <v>380</v>
      </c>
      <c r="AM954" s="8">
        <v>2</v>
      </c>
      <c r="DZ954" s="31"/>
      <c r="GP954" s="32"/>
      <c r="GY954" s="6" t="s">
        <v>338</v>
      </c>
      <c r="HD954" s="8" t="s">
        <v>847</v>
      </c>
      <c r="HE954" s="8">
        <v>30741</v>
      </c>
      <c r="HF954" s="8" t="s">
        <v>848</v>
      </c>
      <c r="HG954" s="9" t="s">
        <v>538</v>
      </c>
      <c r="IB954" s="8" t="s">
        <v>849</v>
      </c>
      <c r="IC954" s="8">
        <v>39127</v>
      </c>
      <c r="ID954" s="8" t="s">
        <v>850</v>
      </c>
      <c r="IE954" s="8" t="s">
        <v>538</v>
      </c>
      <c r="IF954" s="8" t="s">
        <v>319</v>
      </c>
      <c r="IG954" s="8" t="s">
        <v>851</v>
      </c>
      <c r="IH954" s="8">
        <v>72693</v>
      </c>
      <c r="II954" s="8" t="s">
        <v>852</v>
      </c>
      <c r="IJ954" s="8" t="s">
        <v>538</v>
      </c>
      <c r="IK954" s="8" t="s">
        <v>319</v>
      </c>
      <c r="IW954" s="8"/>
      <c r="JB954" s="8"/>
      <c r="JV954" s="7" t="s">
        <v>783</v>
      </c>
      <c r="JX954" s="7" t="s">
        <v>353</v>
      </c>
      <c r="JY954" s="7" t="s">
        <v>448</v>
      </c>
      <c r="JZ954" s="7" t="s">
        <v>322</v>
      </c>
      <c r="KA954" s="7" t="s">
        <v>354</v>
      </c>
      <c r="KB954" s="7" t="s">
        <v>320</v>
      </c>
      <c r="KG954" s="4" t="s">
        <v>323</v>
      </c>
      <c r="KM954" s="4" t="s">
        <v>836</v>
      </c>
      <c r="KN954" s="4" t="s">
        <v>836</v>
      </c>
      <c r="KP954" s="5" t="s">
        <v>7958</v>
      </c>
      <c r="KQ954" s="5" t="s">
        <v>2982</v>
      </c>
    </row>
    <row r="955" spans="1:306" ht="120" x14ac:dyDescent="0.25">
      <c r="A955" s="5" t="s">
        <v>8018</v>
      </c>
      <c r="B955" s="4" t="s">
        <v>376</v>
      </c>
      <c r="C955" s="7" t="s">
        <v>591</v>
      </c>
      <c r="D955" s="8" t="s">
        <v>841</v>
      </c>
      <c r="E955" s="4">
        <v>335010</v>
      </c>
      <c r="G955" s="4" t="s">
        <v>530</v>
      </c>
      <c r="H955" s="6">
        <v>133.931782</v>
      </c>
      <c r="I955" s="6">
        <v>-19.476548000000001</v>
      </c>
      <c r="J955" s="4" t="s">
        <v>842</v>
      </c>
      <c r="K955" s="4" t="s">
        <v>481</v>
      </c>
      <c r="L955" s="4" t="s">
        <v>843</v>
      </c>
      <c r="M955" s="4" t="s">
        <v>844</v>
      </c>
      <c r="Q955" s="8"/>
      <c r="R955" s="8"/>
      <c r="Z955" s="4" t="s">
        <v>376</v>
      </c>
      <c r="AA955" s="7" t="s">
        <v>591</v>
      </c>
      <c r="AB955" s="8" t="s">
        <v>841</v>
      </c>
      <c r="AC955" s="4" t="s">
        <v>301</v>
      </c>
      <c r="AD955" s="4" t="s">
        <v>302</v>
      </c>
      <c r="AE955" s="8">
        <v>1847.4</v>
      </c>
      <c r="AF955" s="8">
        <v>2.8</v>
      </c>
      <c r="AG955" s="9" t="s">
        <v>379</v>
      </c>
      <c r="AH955" s="9" t="s">
        <v>460</v>
      </c>
      <c r="AM955" s="8">
        <v>4</v>
      </c>
      <c r="BP955" s="7">
        <v>1.3</v>
      </c>
      <c r="BU955" s="6"/>
      <c r="BV955" s="6">
        <v>15.23076923076923</v>
      </c>
      <c r="DZ955" s="31"/>
      <c r="EL955" s="7">
        <v>19.8</v>
      </c>
      <c r="EY955" s="6"/>
      <c r="FA955" s="6"/>
      <c r="FZ955" s="9"/>
      <c r="GP955" s="32"/>
      <c r="GY955" s="6" t="s">
        <v>338</v>
      </c>
      <c r="GZ955" s="6" t="s">
        <v>436</v>
      </c>
      <c r="HC955" s="6" t="s">
        <v>2128</v>
      </c>
      <c r="HD955" s="8" t="s">
        <v>847</v>
      </c>
      <c r="HE955" s="8">
        <v>30741</v>
      </c>
      <c r="HF955" s="8" t="s">
        <v>848</v>
      </c>
      <c r="HG955" s="9" t="s">
        <v>538</v>
      </c>
      <c r="HY955" s="9"/>
      <c r="IB955" s="8" t="s">
        <v>849</v>
      </c>
      <c r="IC955" s="8">
        <v>39127</v>
      </c>
      <c r="ID955" s="8" t="s">
        <v>850</v>
      </c>
      <c r="IE955" s="8" t="s">
        <v>538</v>
      </c>
      <c r="IF955" s="8" t="s">
        <v>319</v>
      </c>
      <c r="IG955" s="8" t="s">
        <v>851</v>
      </c>
      <c r="IH955" s="8">
        <v>72693</v>
      </c>
      <c r="II955" s="8" t="s">
        <v>852</v>
      </c>
      <c r="IJ955" s="8" t="s">
        <v>538</v>
      </c>
      <c r="IK955" s="8" t="s">
        <v>319</v>
      </c>
      <c r="IW955" s="8"/>
      <c r="JB955" s="8"/>
      <c r="JV955" s="7" t="s">
        <v>3412</v>
      </c>
      <c r="JX955" s="7" t="s">
        <v>353</v>
      </c>
      <c r="JY955" s="7" t="s">
        <v>354</v>
      </c>
      <c r="JZ955" s="7" t="s">
        <v>355</v>
      </c>
      <c r="KA955" s="7" t="s">
        <v>448</v>
      </c>
      <c r="KB955" s="7" t="s">
        <v>320</v>
      </c>
      <c r="KC955" s="7" t="s">
        <v>354</v>
      </c>
      <c r="KD955" s="7" t="s">
        <v>738</v>
      </c>
      <c r="KG955" s="4" t="s">
        <v>356</v>
      </c>
      <c r="KH955" s="4" t="s">
        <v>5437</v>
      </c>
      <c r="KM955" s="4" t="s">
        <v>836</v>
      </c>
      <c r="KN955" s="4" t="s">
        <v>836</v>
      </c>
      <c r="KP955" s="5" t="s">
        <v>358</v>
      </c>
      <c r="KQ955" s="5" t="s">
        <v>8019</v>
      </c>
      <c r="KR955" s="5" t="s">
        <v>8020</v>
      </c>
      <c r="KS955" s="5" t="s">
        <v>856</v>
      </c>
      <c r="KT955" s="5" t="s">
        <v>8021</v>
      </c>
    </row>
    <row r="956" spans="1:306" ht="204" x14ac:dyDescent="0.25">
      <c r="A956" s="12" t="s">
        <v>328</v>
      </c>
      <c r="B956" s="30" t="s">
        <v>3797</v>
      </c>
      <c r="C956" s="30" t="s">
        <v>3797</v>
      </c>
      <c r="D956" s="30" t="s">
        <v>3797</v>
      </c>
      <c r="E956" s="8">
        <v>334629</v>
      </c>
      <c r="F956" s="8"/>
      <c r="G956" s="8" t="s">
        <v>330</v>
      </c>
      <c r="H956" s="6">
        <v>118.5873</v>
      </c>
      <c r="I956" s="31">
        <v>-24.6431</v>
      </c>
      <c r="J956" s="8"/>
      <c r="K956" s="4" t="s">
        <v>331</v>
      </c>
      <c r="L956" s="4" t="s">
        <v>332</v>
      </c>
      <c r="M956" s="4" t="s">
        <v>333</v>
      </c>
      <c r="O956" s="30"/>
      <c r="Q956" s="8"/>
      <c r="R956" s="8"/>
      <c r="S956" s="4"/>
      <c r="T956" s="4"/>
      <c r="U956" s="4"/>
      <c r="V956" s="4"/>
      <c r="W956" s="4"/>
      <c r="X956" s="4"/>
      <c r="Z956" s="30" t="s">
        <v>3797</v>
      </c>
      <c r="AA956" s="30" t="s">
        <v>3797</v>
      </c>
      <c r="AB956" s="30" t="s">
        <v>3797</v>
      </c>
      <c r="AC956" s="4" t="s">
        <v>301</v>
      </c>
      <c r="AD956" s="4" t="s">
        <v>302</v>
      </c>
      <c r="AE956" s="8">
        <v>1594</v>
      </c>
      <c r="AF956" s="8">
        <v>10</v>
      </c>
      <c r="AG956" s="4" t="s">
        <v>334</v>
      </c>
      <c r="AH956" s="4" t="s">
        <v>335</v>
      </c>
      <c r="AI956" s="4" t="s">
        <v>336</v>
      </c>
      <c r="AJ956" s="4" t="s">
        <v>306</v>
      </c>
      <c r="AK956" s="4" t="s">
        <v>307</v>
      </c>
      <c r="AL956" s="4" t="s">
        <v>337</v>
      </c>
      <c r="AM956" s="8">
        <v>4</v>
      </c>
      <c r="AP956" s="6"/>
      <c r="AQ956" s="6"/>
      <c r="AR956" s="7"/>
      <c r="AS956" s="8"/>
      <c r="AT956" s="8"/>
      <c r="AU956" s="4"/>
      <c r="AV956" s="4"/>
      <c r="AW956" s="4"/>
      <c r="AX956" s="4"/>
      <c r="AY956" s="4"/>
      <c r="AZ956" s="4"/>
      <c r="BE956" s="6"/>
      <c r="BF956" s="7"/>
      <c r="BG956" s="8"/>
      <c r="BH956" s="8"/>
      <c r="BI956" s="4"/>
      <c r="BJ956" s="4"/>
      <c r="BK956" s="4"/>
      <c r="BL956" s="4"/>
      <c r="BM956" s="4"/>
      <c r="BN956" s="4"/>
      <c r="BP956" s="7">
        <f>14+33.4</f>
        <v>47.4</v>
      </c>
      <c r="BQ956" s="8"/>
      <c r="BR956" s="6">
        <f>(14*0.62+0*33.4)/(14+33.4)</f>
        <v>0.18312236286919831</v>
      </c>
      <c r="BS956" s="7"/>
      <c r="BT956" s="7">
        <f>(14*0+33.4*7.1)/(14+33.4)</f>
        <v>5.00295358649789</v>
      </c>
      <c r="BU956" s="8">
        <f>(0*14+17*33.4)/(14+33.4)</f>
        <v>11.978902953586497</v>
      </c>
      <c r="BV956" s="6">
        <f>(14*0.5+0*33.4)/(14+33.4)</f>
        <v>0.14767932489451477</v>
      </c>
      <c r="DZ956" s="31"/>
      <c r="EH956" s="9">
        <f>BP956*BR956/100</f>
        <v>8.6800000000000002E-2</v>
      </c>
      <c r="EJ956" s="6">
        <f>BP956*BT956/100</f>
        <v>2.3714</v>
      </c>
      <c r="EK956" s="6">
        <f>BP956*BU956/1000</f>
        <v>0.56779999999999997</v>
      </c>
      <c r="EL956" s="6">
        <f>BP956*BV956</f>
        <v>7</v>
      </c>
      <c r="FA956" s="6"/>
      <c r="GP956" s="32"/>
      <c r="GY956" s="6" t="s">
        <v>338</v>
      </c>
      <c r="GZ956" s="6" t="s">
        <v>339</v>
      </c>
      <c r="HB956" s="6" t="s">
        <v>340</v>
      </c>
      <c r="HD956" s="4" t="s">
        <v>341</v>
      </c>
      <c r="HE956" s="8">
        <v>8786</v>
      </c>
      <c r="HF956" s="4" t="s">
        <v>342</v>
      </c>
      <c r="HG956" s="4" t="s">
        <v>343</v>
      </c>
      <c r="HH956" s="4" t="s">
        <v>344</v>
      </c>
      <c r="HI956" s="8">
        <v>27174</v>
      </c>
      <c r="HJ956" s="4" t="s">
        <v>345</v>
      </c>
      <c r="HK956" s="4" t="s">
        <v>343</v>
      </c>
      <c r="HL956" s="4"/>
      <c r="HN956" s="4"/>
      <c r="HO956" s="4"/>
      <c r="HP956" s="4"/>
      <c r="HR956" s="4"/>
      <c r="HS956" s="4"/>
      <c r="HT956" s="4"/>
      <c r="HU956" s="4"/>
      <c r="HV956" s="4"/>
      <c r="HW956" s="4"/>
      <c r="HX956" s="4"/>
      <c r="HZ956" s="4"/>
      <c r="IA956" s="4"/>
      <c r="IB956" s="4" t="s">
        <v>346</v>
      </c>
      <c r="IC956" s="8">
        <v>37095</v>
      </c>
      <c r="ID956" s="4" t="s">
        <v>347</v>
      </c>
      <c r="IE956" s="4" t="s">
        <v>343</v>
      </c>
      <c r="IF956" s="4"/>
      <c r="IG956" s="4"/>
      <c r="IH956" s="4"/>
      <c r="II956" s="4" t="s">
        <v>348</v>
      </c>
      <c r="IJ956" s="4" t="s">
        <v>349</v>
      </c>
      <c r="IK956" s="4" t="s">
        <v>350</v>
      </c>
      <c r="IL956" s="4"/>
      <c r="IM956" s="4"/>
      <c r="IN956" s="4"/>
      <c r="IO956" s="4"/>
      <c r="IP956" s="4"/>
      <c r="IQ956" s="4"/>
      <c r="IR956" s="4"/>
      <c r="IS956" s="4"/>
      <c r="IT956" s="4"/>
      <c r="IU956" s="4"/>
      <c r="IV956" s="4"/>
      <c r="IW956" s="4"/>
      <c r="IX956" s="4"/>
      <c r="IY956" s="4"/>
      <c r="IZ956" s="4"/>
      <c r="JA956" s="4"/>
      <c r="JB956" s="4"/>
      <c r="JC956" s="4"/>
      <c r="JD956" s="4"/>
      <c r="JE956" s="4"/>
      <c r="JF956" s="4"/>
      <c r="JG956" s="4"/>
      <c r="JH956" s="4"/>
      <c r="JI956" s="4"/>
      <c r="JJ956" s="4"/>
      <c r="JK956" s="4"/>
      <c r="JL956" s="4"/>
      <c r="JM956" s="4"/>
      <c r="JN956" s="4"/>
      <c r="JO956" s="4"/>
      <c r="JP956" s="4"/>
      <c r="JQ956" s="4"/>
      <c r="JR956" s="4"/>
      <c r="JS956" s="4"/>
      <c r="JT956" s="4"/>
      <c r="JU956" s="4"/>
      <c r="JV956" s="4" t="s">
        <v>351</v>
      </c>
      <c r="JW956" s="4" t="s">
        <v>352</v>
      </c>
      <c r="JX956" s="4" t="s">
        <v>320</v>
      </c>
      <c r="JY956" s="4" t="s">
        <v>321</v>
      </c>
      <c r="JZ956" s="4" t="s">
        <v>353</v>
      </c>
      <c r="KA956" s="4" t="s">
        <v>354</v>
      </c>
      <c r="KB956" s="4" t="s">
        <v>355</v>
      </c>
      <c r="KC956" s="4"/>
      <c r="KD956" s="4"/>
      <c r="KE956" s="4"/>
      <c r="KF956" s="4"/>
      <c r="KG956" s="4" t="s">
        <v>356</v>
      </c>
      <c r="KH956" s="4" t="s">
        <v>357</v>
      </c>
      <c r="KP956" s="5" t="s">
        <v>358</v>
      </c>
      <c r="KQ956" s="5" t="s">
        <v>359</v>
      </c>
      <c r="KR956" s="5" t="s">
        <v>360</v>
      </c>
      <c r="KS956" s="47" t="s">
        <v>361</v>
      </c>
      <c r="KT956" s="5" t="s">
        <v>362</v>
      </c>
    </row>
    <row r="957" spans="1:306" ht="108" x14ac:dyDescent="0.25">
      <c r="A957" s="5" t="s">
        <v>2200</v>
      </c>
      <c r="B957" s="30" t="s">
        <v>3797</v>
      </c>
      <c r="C957" s="30" t="s">
        <v>3797</v>
      </c>
      <c r="D957" s="30" t="s">
        <v>3797</v>
      </c>
      <c r="E957" s="4">
        <v>546027</v>
      </c>
      <c r="G957" s="4" t="s">
        <v>530</v>
      </c>
      <c r="H957" s="6">
        <v>132.02099999999999</v>
      </c>
      <c r="I957" s="6">
        <v>-13.5655</v>
      </c>
      <c r="J957" s="4" t="s">
        <v>532</v>
      </c>
      <c r="K957" s="4" t="s">
        <v>481</v>
      </c>
      <c r="L957" s="4" t="s">
        <v>532</v>
      </c>
      <c r="O957" s="30"/>
      <c r="Q957" s="8"/>
      <c r="R957" s="8"/>
      <c r="Z957" s="30" t="s">
        <v>3797</v>
      </c>
      <c r="AA957" s="30" t="s">
        <v>3797</v>
      </c>
      <c r="AB957" s="30" t="s">
        <v>3797</v>
      </c>
      <c r="AC957" s="4" t="s">
        <v>301</v>
      </c>
      <c r="AD957" s="4" t="s">
        <v>302</v>
      </c>
      <c r="AE957" s="8"/>
      <c r="AF957" s="8"/>
      <c r="BP957" s="7">
        <v>6.8</v>
      </c>
      <c r="BQ957" s="8"/>
      <c r="BY957" s="8"/>
      <c r="CD957" s="8"/>
      <c r="DZ957" s="31"/>
      <c r="EB957" s="10">
        <v>3.4500000000000003E-2</v>
      </c>
      <c r="ED957" s="8"/>
      <c r="EO957" s="8"/>
      <c r="EZ957" s="4"/>
      <c r="FA957" s="4"/>
      <c r="FY957" s="4"/>
      <c r="GP957" s="32"/>
      <c r="GR957" s="6">
        <f>1000*BP957*EB957/100</f>
        <v>2.3460000000000001</v>
      </c>
      <c r="GT957" s="8"/>
      <c r="GW957" s="8"/>
      <c r="GY957" s="8" t="s">
        <v>338</v>
      </c>
      <c r="GZ957" s="8" t="s">
        <v>654</v>
      </c>
      <c r="HA957" s="8"/>
      <c r="HB957" s="8"/>
      <c r="HC957" s="8"/>
      <c r="HD957" s="4" t="s">
        <v>2201</v>
      </c>
      <c r="HE957" s="4">
        <v>11438</v>
      </c>
      <c r="HF957" s="4" t="s">
        <v>2202</v>
      </c>
      <c r="HG957" s="4" t="s">
        <v>538</v>
      </c>
      <c r="IB957" s="4" t="s">
        <v>1576</v>
      </c>
      <c r="IC957" s="4">
        <v>30778</v>
      </c>
      <c r="ID957" s="4" t="s">
        <v>2203</v>
      </c>
      <c r="IE957" s="4" t="s">
        <v>538</v>
      </c>
      <c r="IF957" s="4" t="s">
        <v>329</v>
      </c>
      <c r="KP957" s="5" t="s">
        <v>2204</v>
      </c>
      <c r="KQ957" s="5" t="s">
        <v>2204</v>
      </c>
      <c r="KS957" s="5" t="s">
        <v>2204</v>
      </c>
      <c r="KT957" s="5" t="s">
        <v>2205</v>
      </c>
    </row>
    <row r="958" spans="1:306" ht="120" x14ac:dyDescent="0.25">
      <c r="A958" s="5" t="s">
        <v>3652</v>
      </c>
      <c r="B958" s="30" t="s">
        <v>3797</v>
      </c>
      <c r="C958" s="30" t="s">
        <v>3797</v>
      </c>
      <c r="D958" s="30" t="s">
        <v>3797</v>
      </c>
      <c r="E958" s="4">
        <v>672376</v>
      </c>
      <c r="G958" s="4" t="s">
        <v>427</v>
      </c>
      <c r="H958" s="6">
        <v>142.7157</v>
      </c>
      <c r="I958" s="6">
        <v>-31.301500000000001</v>
      </c>
      <c r="K958" s="4" t="s">
        <v>298</v>
      </c>
      <c r="L958" s="4" t="s">
        <v>400</v>
      </c>
      <c r="M958" s="4" t="s">
        <v>2597</v>
      </c>
      <c r="O958" s="30"/>
      <c r="Q958" s="7"/>
      <c r="R958" s="7"/>
      <c r="Z958" s="30" t="s">
        <v>3797</v>
      </c>
      <c r="AA958" s="30" t="s">
        <v>3797</v>
      </c>
      <c r="AB958" s="30" t="s">
        <v>3797</v>
      </c>
      <c r="AC958" s="4" t="s">
        <v>301</v>
      </c>
      <c r="AD958" s="4" t="s">
        <v>302</v>
      </c>
      <c r="AE958" s="7"/>
      <c r="AF958" s="7"/>
      <c r="AN958" s="4" t="s">
        <v>381</v>
      </c>
      <c r="AO958" s="4" t="s">
        <v>375</v>
      </c>
      <c r="AP958" s="4" t="s">
        <v>383</v>
      </c>
      <c r="AQ958" s="7" t="s">
        <v>384</v>
      </c>
      <c r="AR958" s="8" t="s">
        <v>827</v>
      </c>
      <c r="AS958" s="7">
        <v>0</v>
      </c>
      <c r="AT958" s="7">
        <v>0</v>
      </c>
      <c r="AU958" s="9" t="s">
        <v>303</v>
      </c>
      <c r="AV958" s="9" t="s">
        <v>406</v>
      </c>
      <c r="BA958" s="8">
        <v>5</v>
      </c>
      <c r="BP958" s="7">
        <v>5.75</v>
      </c>
      <c r="BR958" s="6">
        <v>1.03</v>
      </c>
      <c r="BS958" s="6">
        <v>0.35</v>
      </c>
      <c r="BU958" s="7">
        <v>2.2999999999999998</v>
      </c>
      <c r="BV958" s="6">
        <v>0.05</v>
      </c>
      <c r="DZ958" s="31"/>
      <c r="EH958" s="10">
        <f>BP958*BR958/100</f>
        <v>5.9225E-2</v>
      </c>
      <c r="EI958" s="10">
        <f>BP958*BS958/100</f>
        <v>2.0124999999999997E-2</v>
      </c>
      <c r="EK958" s="10">
        <f>BP958*BU958/1000</f>
        <v>1.3224999999999999E-2</v>
      </c>
      <c r="EL958" s="6">
        <f>BP958*BV958</f>
        <v>0.28750000000000003</v>
      </c>
      <c r="EY958" s="6"/>
      <c r="FA958" s="6"/>
      <c r="GP958" s="32"/>
      <c r="GY958" s="6" t="s">
        <v>338</v>
      </c>
      <c r="GZ958" s="6" t="s">
        <v>994</v>
      </c>
      <c r="HB958" s="6" t="s">
        <v>2598</v>
      </c>
      <c r="HC958" s="6" t="s">
        <v>1021</v>
      </c>
      <c r="HD958" s="8" t="s">
        <v>3653</v>
      </c>
      <c r="HE958" s="8">
        <v>96021</v>
      </c>
      <c r="HF958" s="8" t="s">
        <v>3654</v>
      </c>
      <c r="HG958" s="8" t="s">
        <v>698</v>
      </c>
      <c r="HY958" s="9"/>
      <c r="IB958" s="8" t="s">
        <v>3653</v>
      </c>
      <c r="IC958" s="8">
        <v>96021</v>
      </c>
      <c r="ID958" s="8" t="s">
        <v>3655</v>
      </c>
      <c r="IE958" s="8" t="s">
        <v>698</v>
      </c>
      <c r="IG958" s="8" t="s">
        <v>3656</v>
      </c>
      <c r="IH958" s="8">
        <v>73421</v>
      </c>
      <c r="II958" s="8" t="s">
        <v>3657</v>
      </c>
      <c r="IJ958" s="8" t="s">
        <v>698</v>
      </c>
      <c r="IW958" s="8"/>
      <c r="JB958" s="8"/>
      <c r="JV958" s="7" t="s">
        <v>3658</v>
      </c>
      <c r="JX958" s="7" t="s">
        <v>320</v>
      </c>
      <c r="JY958" s="7" t="s">
        <v>354</v>
      </c>
      <c r="JZ958" s="7" t="s">
        <v>353</v>
      </c>
      <c r="KG958" s="4" t="s">
        <v>323</v>
      </c>
      <c r="KM958" s="4" t="s">
        <v>542</v>
      </c>
      <c r="KN958" s="4" t="s">
        <v>521</v>
      </c>
      <c r="KP958" s="5" t="s">
        <v>358</v>
      </c>
      <c r="KQ958" s="5" t="s">
        <v>3659</v>
      </c>
      <c r="KS958" s="5" t="s">
        <v>3660</v>
      </c>
      <c r="KT958" s="5" t="s">
        <v>3661</v>
      </c>
    </row>
    <row r="959" spans="1:306" ht="72" x14ac:dyDescent="0.25">
      <c r="A959" s="5" t="s">
        <v>4014</v>
      </c>
      <c r="B959" s="30" t="s">
        <v>3797</v>
      </c>
      <c r="C959" s="30" t="s">
        <v>3797</v>
      </c>
      <c r="D959" s="30" t="s">
        <v>3797</v>
      </c>
      <c r="E959" s="4">
        <v>528092</v>
      </c>
      <c r="G959" s="4" t="s">
        <v>773</v>
      </c>
      <c r="H959" s="6">
        <f>146+22/60+31/3600</f>
        <v>146.3752777777778</v>
      </c>
      <c r="I959" s="6">
        <f>-(37+19/60+34/3600)</f>
        <v>-37.326111111111118</v>
      </c>
      <c r="K959" s="4" t="s">
        <v>298</v>
      </c>
      <c r="L959" s="4" t="s">
        <v>299</v>
      </c>
      <c r="M959" s="4" t="s">
        <v>775</v>
      </c>
      <c r="N959" s="4" t="s">
        <v>2417</v>
      </c>
      <c r="O959" s="30"/>
      <c r="Z959" s="30" t="s">
        <v>3797</v>
      </c>
      <c r="AA959" s="30" t="s">
        <v>3797</v>
      </c>
      <c r="AB959" s="30" t="s">
        <v>3797</v>
      </c>
      <c r="AC959" s="4" t="s">
        <v>301</v>
      </c>
      <c r="AD959" s="4" t="s">
        <v>375</v>
      </c>
      <c r="AN959" s="4" t="s">
        <v>381</v>
      </c>
      <c r="AO959" s="4" t="s">
        <v>402</v>
      </c>
      <c r="AP959" s="4" t="s">
        <v>383</v>
      </c>
      <c r="AQ959" s="7" t="s">
        <v>384</v>
      </c>
      <c r="AR959" s="8" t="s">
        <v>433</v>
      </c>
      <c r="AS959" s="7">
        <v>0</v>
      </c>
      <c r="AT959" s="7">
        <v>0</v>
      </c>
      <c r="AU959" s="9" t="s">
        <v>303</v>
      </c>
      <c r="AV959" s="9" t="s">
        <v>406</v>
      </c>
      <c r="BA959" s="8">
        <v>5</v>
      </c>
      <c r="DZ959" s="31"/>
      <c r="GP959" s="32"/>
      <c r="GY959" s="6" t="s">
        <v>407</v>
      </c>
      <c r="HD959" s="8" t="s">
        <v>4015</v>
      </c>
      <c r="HE959" s="8">
        <v>73609</v>
      </c>
      <c r="HF959" s="8" t="s">
        <v>4016</v>
      </c>
      <c r="HG959" s="9" t="s">
        <v>2870</v>
      </c>
      <c r="IB959" s="8" t="s">
        <v>4015</v>
      </c>
      <c r="IC959" s="8">
        <v>73609</v>
      </c>
      <c r="ID959" s="8" t="s">
        <v>4016</v>
      </c>
      <c r="IE959" s="9" t="s">
        <v>2870</v>
      </c>
      <c r="IF959" s="8" t="s">
        <v>319</v>
      </c>
      <c r="JV959" s="7" t="s">
        <v>4017</v>
      </c>
      <c r="JX959" s="7" t="s">
        <v>320</v>
      </c>
      <c r="KG959" s="4" t="s">
        <v>323</v>
      </c>
      <c r="KP959" s="5" t="s">
        <v>4018</v>
      </c>
      <c r="KQ959" s="5" t="s">
        <v>4019</v>
      </c>
      <c r="KT959" s="5" t="s">
        <v>4020</v>
      </c>
    </row>
    <row r="960" spans="1:306" ht="108" x14ac:dyDescent="0.25">
      <c r="A960" s="5" t="s">
        <v>5591</v>
      </c>
      <c r="B960" s="30" t="s">
        <v>3797</v>
      </c>
      <c r="C960" s="30" t="s">
        <v>3797</v>
      </c>
      <c r="D960" s="30" t="s">
        <v>3797</v>
      </c>
      <c r="E960" s="4">
        <v>429177</v>
      </c>
      <c r="G960" s="4" t="s">
        <v>593</v>
      </c>
      <c r="H960" s="6">
        <v>139.34</v>
      </c>
      <c r="I960" s="6">
        <v>-30.22</v>
      </c>
      <c r="J960" s="4" t="s">
        <v>5592</v>
      </c>
      <c r="K960" s="4" t="s">
        <v>595</v>
      </c>
      <c r="L960" s="4" t="s">
        <v>1422</v>
      </c>
      <c r="O960" s="30"/>
      <c r="Q960" s="7"/>
      <c r="R960" s="7"/>
      <c r="S960" s="4"/>
      <c r="Z960" s="30" t="s">
        <v>3797</v>
      </c>
      <c r="AA960" s="30" t="s">
        <v>3797</v>
      </c>
      <c r="AB960" s="30" t="s">
        <v>3797</v>
      </c>
      <c r="AC960" s="4" t="s">
        <v>301</v>
      </c>
      <c r="AD960" s="4" t="s">
        <v>375</v>
      </c>
      <c r="AE960" s="7">
        <v>361.6</v>
      </c>
      <c r="AF960" s="7">
        <v>1.5</v>
      </c>
      <c r="AG960" s="4" t="s">
        <v>303</v>
      </c>
      <c r="AH960" s="9" t="s">
        <v>304</v>
      </c>
      <c r="AI960" s="9" t="s">
        <v>598</v>
      </c>
      <c r="AJ960" s="9" t="s">
        <v>599</v>
      </c>
      <c r="AK960" s="9" t="s">
        <v>600</v>
      </c>
      <c r="AM960" s="8">
        <v>5</v>
      </c>
      <c r="AN960" s="4" t="s">
        <v>381</v>
      </c>
      <c r="AO960" s="4" t="s">
        <v>402</v>
      </c>
      <c r="AP960" s="4" t="s">
        <v>383</v>
      </c>
      <c r="AQ960" s="7" t="s">
        <v>384</v>
      </c>
      <c r="AR960" s="8" t="s">
        <v>827</v>
      </c>
      <c r="AS960" s="7">
        <v>0</v>
      </c>
      <c r="AT960" s="7">
        <v>0</v>
      </c>
      <c r="AU960" s="9" t="s">
        <v>379</v>
      </c>
      <c r="AV960" s="9" t="s">
        <v>406</v>
      </c>
      <c r="BA960" s="8">
        <v>5</v>
      </c>
      <c r="DZ960" s="31"/>
      <c r="EB960" s="10"/>
      <c r="EY960" s="6"/>
      <c r="FA960" s="6"/>
      <c r="GP960" s="32"/>
      <c r="GR960" s="6">
        <v>32.049999999999997</v>
      </c>
      <c r="GY960" s="6" t="s">
        <v>309</v>
      </c>
      <c r="GZ960" s="6" t="s">
        <v>654</v>
      </c>
      <c r="HC960" s="6" t="s">
        <v>583</v>
      </c>
      <c r="HD960" s="8" t="s">
        <v>5593</v>
      </c>
      <c r="HE960" s="8">
        <v>75704</v>
      </c>
      <c r="HF960" s="8" t="s">
        <v>5594</v>
      </c>
      <c r="HG960" s="9" t="s">
        <v>349</v>
      </c>
      <c r="HH960" s="9" t="s">
        <v>5595</v>
      </c>
      <c r="HI960" s="8">
        <v>15792</v>
      </c>
      <c r="HJ960" s="9" t="s">
        <v>5596</v>
      </c>
      <c r="HK960" s="9" t="s">
        <v>1507</v>
      </c>
      <c r="HL960" s="9" t="s">
        <v>5597</v>
      </c>
      <c r="HN960" s="9" t="s">
        <v>5598</v>
      </c>
      <c r="HO960" s="9" t="s">
        <v>1507</v>
      </c>
      <c r="HY960" s="9"/>
      <c r="IB960" s="8" t="s">
        <v>5599</v>
      </c>
      <c r="IC960" s="8">
        <v>75706</v>
      </c>
      <c r="ID960" s="8" t="s">
        <v>5600</v>
      </c>
      <c r="IE960" s="8" t="s">
        <v>349</v>
      </c>
      <c r="IF960" s="8" t="s">
        <v>445</v>
      </c>
      <c r="IG960" s="8" t="s">
        <v>5601</v>
      </c>
      <c r="IH960" s="8">
        <v>2585</v>
      </c>
      <c r="II960" s="8" t="s">
        <v>5602</v>
      </c>
      <c r="IJ960" s="8" t="s">
        <v>466</v>
      </c>
      <c r="IK960" s="8" t="s">
        <v>445</v>
      </c>
      <c r="IM960" s="9"/>
      <c r="JV960" s="7" t="s">
        <v>5603</v>
      </c>
      <c r="JX960" s="7" t="s">
        <v>355</v>
      </c>
      <c r="JY960" s="7" t="s">
        <v>448</v>
      </c>
      <c r="JZ960" s="7" t="s">
        <v>320</v>
      </c>
      <c r="KA960" s="7" t="s">
        <v>354</v>
      </c>
      <c r="KB960" s="7" t="s">
        <v>353</v>
      </c>
      <c r="KG960" s="4" t="s">
        <v>323</v>
      </c>
      <c r="KP960" s="5" t="s">
        <v>5604</v>
      </c>
      <c r="KQ960" s="5" t="s">
        <v>5604</v>
      </c>
      <c r="KR960" s="5" t="s">
        <v>5604</v>
      </c>
      <c r="KS960" s="5" t="s">
        <v>5604</v>
      </c>
      <c r="KT960" s="5" t="s">
        <v>5605</v>
      </c>
    </row>
    <row r="961" spans="1:306" ht="60" x14ac:dyDescent="0.25">
      <c r="A961" s="14" t="s">
        <v>6164</v>
      </c>
      <c r="B961" s="30" t="s">
        <v>3797</v>
      </c>
      <c r="C961" s="30" t="s">
        <v>3797</v>
      </c>
      <c r="D961" s="30" t="s">
        <v>3797</v>
      </c>
      <c r="E961" s="29">
        <v>364398</v>
      </c>
      <c r="F961" s="29"/>
      <c r="G961" s="29" t="s">
        <v>296</v>
      </c>
      <c r="H961" s="31">
        <v>144.74398627900001</v>
      </c>
      <c r="I961" s="31">
        <v>-41.153495726000003</v>
      </c>
      <c r="J961" s="29"/>
      <c r="K961" s="29" t="s">
        <v>298</v>
      </c>
      <c r="L961" s="29" t="s">
        <v>400</v>
      </c>
      <c r="M961" s="29" t="s">
        <v>401</v>
      </c>
      <c r="N961" s="29"/>
      <c r="O961" s="30"/>
      <c r="P961" s="29"/>
      <c r="Q961" s="30"/>
      <c r="R961" s="30"/>
      <c r="S961" s="29"/>
      <c r="T961" s="27"/>
      <c r="U961" s="29"/>
      <c r="V961" s="29"/>
      <c r="W961" s="29"/>
      <c r="X961" s="29"/>
      <c r="Y961" s="26"/>
      <c r="Z961" s="30" t="s">
        <v>3797</v>
      </c>
      <c r="AA961" s="30" t="s">
        <v>3797</v>
      </c>
      <c r="AB961" s="30" t="s">
        <v>3797</v>
      </c>
      <c r="AC961" s="29" t="s">
        <v>301</v>
      </c>
      <c r="AD961" s="29" t="s">
        <v>375</v>
      </c>
      <c r="AE961" s="30"/>
      <c r="AF961" s="30"/>
      <c r="AG961" s="29"/>
      <c r="AH961" s="27"/>
      <c r="AI961" s="29"/>
      <c r="AJ961" s="29"/>
      <c r="AK961" s="29"/>
      <c r="AL961" s="29"/>
      <c r="AM961" s="26"/>
      <c r="AN961" s="29" t="s">
        <v>381</v>
      </c>
      <c r="AO961" s="29" t="s">
        <v>375</v>
      </c>
      <c r="AP961" s="29" t="s">
        <v>383</v>
      </c>
      <c r="AQ961" s="30" t="s">
        <v>384</v>
      </c>
      <c r="AR961" s="26" t="s">
        <v>385</v>
      </c>
      <c r="AS961" s="30">
        <v>0</v>
      </c>
      <c r="AT961" s="30">
        <v>0</v>
      </c>
      <c r="AU961" s="27" t="s">
        <v>303</v>
      </c>
      <c r="AV961" s="27" t="s">
        <v>406</v>
      </c>
      <c r="AW961" s="27"/>
      <c r="AX961" s="27"/>
      <c r="AY961" s="27"/>
      <c r="AZ961" s="27"/>
      <c r="BA961" s="26">
        <v>5</v>
      </c>
      <c r="BB961" s="29"/>
      <c r="BC961" s="29"/>
      <c r="BD961" s="29"/>
      <c r="BE961" s="30"/>
      <c r="BF961" s="26"/>
      <c r="BG961" s="27"/>
      <c r="BH961" s="27"/>
      <c r="BI961" s="27"/>
      <c r="BJ961" s="27"/>
      <c r="BK961" s="27"/>
      <c r="BL961" s="27"/>
      <c r="BM961" s="27"/>
      <c r="BN961" s="27"/>
      <c r="BO961" s="26"/>
      <c r="BP961" s="30">
        <f>0.181+11.3</f>
        <v>11.481</v>
      </c>
      <c r="BQ961" s="30"/>
      <c r="BR961" s="31"/>
      <c r="BS961" s="30"/>
      <c r="BT961" s="30"/>
      <c r="BU961" s="26"/>
      <c r="BV961" s="30"/>
      <c r="BW961" s="30"/>
      <c r="BX961" s="30"/>
      <c r="BY961" s="30"/>
      <c r="BZ961" s="30"/>
      <c r="CA961" s="30"/>
      <c r="CB961" s="30"/>
      <c r="CC961" s="30"/>
      <c r="CD961" s="30"/>
      <c r="CE961" s="30"/>
      <c r="CF961" s="30"/>
      <c r="CG961" s="30"/>
      <c r="CH961" s="30"/>
      <c r="CI961" s="30"/>
      <c r="CJ961" s="30">
        <f>(57.5*0.181+36.3*11.3)/(0.181+11.3)</f>
        <v>36.63422175768661</v>
      </c>
      <c r="CK961" s="30"/>
      <c r="CL961" s="30"/>
      <c r="CM961" s="30"/>
      <c r="CN961" s="30"/>
      <c r="CO961" s="30"/>
      <c r="CP961" s="30"/>
      <c r="CQ961" s="30"/>
      <c r="CR961" s="30"/>
      <c r="CS961" s="30"/>
      <c r="CT961" s="30"/>
      <c r="CU961" s="30"/>
      <c r="CV961" s="30"/>
      <c r="CW961" s="30"/>
      <c r="CX961" s="30"/>
      <c r="CY961" s="30"/>
      <c r="CZ961" s="30"/>
      <c r="DA961" s="30"/>
      <c r="DB961" s="30"/>
      <c r="DC961" s="30"/>
      <c r="DD961" s="30"/>
      <c r="DE961" s="30"/>
      <c r="DF961" s="30"/>
      <c r="DG961" s="30"/>
      <c r="DH961" s="30"/>
      <c r="DI961" s="30"/>
      <c r="DJ961" s="30"/>
      <c r="DK961" s="30"/>
      <c r="DL961" s="30"/>
      <c r="DM961" s="30"/>
      <c r="DN961" s="30"/>
      <c r="DO961" s="30"/>
      <c r="DP961" s="30"/>
      <c r="DQ961" s="30"/>
      <c r="DR961" s="30"/>
      <c r="DS961" s="30"/>
      <c r="DT961" s="30"/>
      <c r="DU961" s="30"/>
      <c r="DV961" s="30"/>
      <c r="DW961" s="30"/>
      <c r="DX961" s="30"/>
      <c r="DY961" s="30"/>
      <c r="DZ961" s="31"/>
      <c r="EA961" s="30"/>
      <c r="EB961" s="30"/>
      <c r="EC961" s="30"/>
      <c r="ED961" s="30"/>
      <c r="EE961" s="30"/>
      <c r="EF961" s="30"/>
      <c r="EG961" s="30"/>
      <c r="EH961" s="32"/>
      <c r="EI961" s="32"/>
      <c r="EJ961" s="32"/>
      <c r="EK961" s="31"/>
      <c r="EL961" s="31"/>
      <c r="EM961" s="31"/>
      <c r="EN961" s="31"/>
      <c r="EO961" s="31"/>
      <c r="EP961" s="31"/>
      <c r="EQ961" s="31"/>
      <c r="ER961" s="31"/>
      <c r="ES961" s="31"/>
      <c r="ET961" s="31"/>
      <c r="EU961" s="31"/>
      <c r="EV961" s="31"/>
      <c r="EW961" s="31"/>
      <c r="EX961" s="31"/>
      <c r="EY961" s="31">
        <f>BP961*CJ961/100</f>
        <v>4.2059749999999996</v>
      </c>
      <c r="EZ961" s="31"/>
      <c r="FA961" s="31"/>
      <c r="FB961" s="31"/>
      <c r="FC961" s="31"/>
      <c r="FD961" s="31"/>
      <c r="FE961" s="31"/>
      <c r="FF961" s="31"/>
      <c r="FG961" s="31"/>
      <c r="FH961" s="31"/>
      <c r="FI961" s="31"/>
      <c r="FJ961" s="31"/>
      <c r="FK961" s="31"/>
      <c r="FL961" s="31"/>
      <c r="FM961" s="31"/>
      <c r="FN961" s="31"/>
      <c r="FO961" s="31"/>
      <c r="FP961" s="31"/>
      <c r="FQ961" s="31"/>
      <c r="FR961" s="31"/>
      <c r="FS961" s="31"/>
      <c r="FT961" s="31"/>
      <c r="FU961" s="31"/>
      <c r="FV961" s="31"/>
      <c r="FW961" s="31"/>
      <c r="FX961" s="31"/>
      <c r="FY961" s="31"/>
      <c r="FZ961" s="31"/>
      <c r="GA961" s="31"/>
      <c r="GB961" s="31"/>
      <c r="GC961" s="31"/>
      <c r="GD961" s="31"/>
      <c r="GE961" s="31"/>
      <c r="GF961" s="31"/>
      <c r="GG961" s="31"/>
      <c r="GH961" s="31"/>
      <c r="GI961" s="31"/>
      <c r="GJ961" s="31"/>
      <c r="GK961" s="31"/>
      <c r="GL961" s="31"/>
      <c r="GM961" s="31"/>
      <c r="GN961" s="31"/>
      <c r="GO961" s="31"/>
      <c r="GP961" s="32"/>
      <c r="GQ961" s="31"/>
      <c r="GR961" s="31"/>
      <c r="GS961" s="31"/>
      <c r="GT961" s="31"/>
      <c r="GU961" s="31"/>
      <c r="GV961" s="31"/>
      <c r="GW961" s="31"/>
      <c r="GX961" s="31"/>
      <c r="GY961" s="31" t="s">
        <v>435</v>
      </c>
      <c r="GZ961" s="31" t="s">
        <v>386</v>
      </c>
      <c r="HA961" s="31"/>
      <c r="HB961" s="31"/>
      <c r="HC961" s="31"/>
      <c r="HD961" s="30" t="s">
        <v>6165</v>
      </c>
      <c r="HE961" s="26">
        <v>24889</v>
      </c>
      <c r="HF961" s="30" t="s">
        <v>6166</v>
      </c>
      <c r="HG961" s="30" t="s">
        <v>876</v>
      </c>
      <c r="HH961" s="30" t="s">
        <v>6167</v>
      </c>
      <c r="HI961" s="26"/>
      <c r="HJ961" s="30" t="s">
        <v>6168</v>
      </c>
      <c r="HK961" s="30" t="s">
        <v>3797</v>
      </c>
      <c r="HL961" s="30"/>
      <c r="HM961" s="26"/>
      <c r="HN961" s="30"/>
      <c r="HO961" s="30"/>
      <c r="HP961" s="30"/>
      <c r="HQ961" s="30"/>
      <c r="HR961" s="30"/>
      <c r="HS961" s="30"/>
      <c r="HT961" s="30"/>
      <c r="HU961" s="30"/>
      <c r="HV961" s="30"/>
      <c r="HW961" s="30"/>
      <c r="HX961" s="30"/>
      <c r="HY961" s="30"/>
      <c r="HZ961" s="30"/>
      <c r="IA961" s="30"/>
      <c r="IB961" s="30" t="s">
        <v>6167</v>
      </c>
      <c r="IC961" s="26"/>
      <c r="ID961" s="30" t="s">
        <v>6168</v>
      </c>
      <c r="IE961" s="30" t="s">
        <v>3797</v>
      </c>
      <c r="IF961" s="30" t="s">
        <v>3797</v>
      </c>
      <c r="IG961" s="30"/>
      <c r="IH961" s="30"/>
      <c r="II961" s="30"/>
      <c r="IJ961" s="30"/>
      <c r="IK961" s="30"/>
      <c r="IL961" s="30"/>
      <c r="IM961" s="30"/>
      <c r="IN961" s="30"/>
      <c r="IO961" s="30"/>
      <c r="IP961" s="30"/>
      <c r="IQ961" s="30"/>
      <c r="IR961" s="30"/>
      <c r="IS961" s="30"/>
      <c r="IT961" s="30"/>
      <c r="IU961" s="30"/>
      <c r="IV961" s="30"/>
      <c r="IW961" s="30"/>
      <c r="IX961" s="30"/>
      <c r="IY961" s="30"/>
      <c r="IZ961" s="30"/>
      <c r="JA961" s="30"/>
      <c r="JB961" s="30"/>
      <c r="JC961" s="30"/>
      <c r="JD961" s="30"/>
      <c r="JE961" s="30"/>
      <c r="JF961" s="30"/>
      <c r="JG961" s="30"/>
      <c r="JH961" s="30"/>
      <c r="JI961" s="30"/>
      <c r="JJ961" s="30"/>
      <c r="JK961" s="30"/>
      <c r="JL961" s="30"/>
      <c r="JM961" s="30"/>
      <c r="JN961" s="30"/>
      <c r="JO961" s="30"/>
      <c r="JP961" s="30"/>
      <c r="JQ961" s="30"/>
      <c r="JR961" s="30"/>
      <c r="JS961" s="30"/>
      <c r="JT961" s="30"/>
      <c r="JU961" s="30"/>
      <c r="JV961" s="29" t="s">
        <v>6169</v>
      </c>
      <c r="JW961" s="29" t="s">
        <v>910</v>
      </c>
      <c r="JX961" s="30" t="s">
        <v>353</v>
      </c>
      <c r="JY961" s="30" t="s">
        <v>448</v>
      </c>
      <c r="JZ961" s="30" t="s">
        <v>320</v>
      </c>
      <c r="KA961" s="29"/>
      <c r="KB961" s="29"/>
      <c r="KC961" s="29"/>
      <c r="KD961" s="29"/>
      <c r="KE961" s="29"/>
      <c r="KF961" s="29"/>
      <c r="KG961" s="29" t="s">
        <v>323</v>
      </c>
      <c r="KH961" s="30"/>
      <c r="KI961" s="30"/>
      <c r="KJ961" s="30"/>
      <c r="KK961" s="30"/>
      <c r="KL961" s="30"/>
      <c r="KM961" s="27"/>
      <c r="KN961" s="27"/>
      <c r="KO961" s="27"/>
      <c r="KP961" s="14" t="s">
        <v>6170</v>
      </c>
      <c r="KQ961" s="28" t="s">
        <v>6171</v>
      </c>
      <c r="KR961" s="28"/>
      <c r="KS961" s="14" t="s">
        <v>6170</v>
      </c>
      <c r="KT961" s="28" t="s">
        <v>6172</v>
      </c>
    </row>
    <row r="962" spans="1:306" ht="48" x14ac:dyDescent="0.25">
      <c r="A962" s="5" t="s">
        <v>6362</v>
      </c>
      <c r="B962" s="30" t="s">
        <v>3797</v>
      </c>
      <c r="C962" s="30" t="s">
        <v>3797</v>
      </c>
      <c r="D962" s="30" t="s">
        <v>3797</v>
      </c>
      <c r="E962" s="4">
        <v>429275</v>
      </c>
      <c r="G962" s="4" t="s">
        <v>479</v>
      </c>
      <c r="H962" s="6">
        <v>144.44608299999999</v>
      </c>
      <c r="I962" s="6">
        <v>-18.803519999999999</v>
      </c>
      <c r="J962" s="4" t="s">
        <v>6362</v>
      </c>
      <c r="K962" s="4" t="s">
        <v>481</v>
      </c>
      <c r="L962" s="4" t="s">
        <v>482</v>
      </c>
      <c r="O962" s="30"/>
      <c r="Q962" s="8"/>
      <c r="R962" s="8"/>
      <c r="S962" s="4"/>
      <c r="Z962" s="30" t="s">
        <v>3797</v>
      </c>
      <c r="AA962" s="30" t="s">
        <v>3797</v>
      </c>
      <c r="AB962" s="30" t="s">
        <v>3797</v>
      </c>
      <c r="AC962" s="4" t="s">
        <v>301</v>
      </c>
      <c r="AD962" s="4" t="s">
        <v>302</v>
      </c>
      <c r="AE962" s="8">
        <v>434</v>
      </c>
      <c r="AF962" s="8">
        <v>4</v>
      </c>
      <c r="AG962" s="4" t="s">
        <v>303</v>
      </c>
      <c r="AH962" s="9" t="s">
        <v>304</v>
      </c>
      <c r="AI962" s="9" t="s">
        <v>723</v>
      </c>
      <c r="AJ962" s="9" t="s">
        <v>306</v>
      </c>
      <c r="AK962" s="9" t="s">
        <v>307</v>
      </c>
      <c r="AL962" s="9" t="s">
        <v>4651</v>
      </c>
      <c r="AM962" s="8">
        <v>5</v>
      </c>
      <c r="DZ962" s="31"/>
      <c r="EY962" s="6"/>
      <c r="FA962" s="6"/>
      <c r="GP962" s="32"/>
      <c r="GY962" s="6" t="s">
        <v>407</v>
      </c>
      <c r="HD962" s="8" t="s">
        <v>6363</v>
      </c>
      <c r="HE962" s="8">
        <v>24416</v>
      </c>
      <c r="HF962" s="8" t="s">
        <v>6364</v>
      </c>
      <c r="HG962" s="8" t="s">
        <v>487</v>
      </c>
      <c r="HY962" s="9"/>
      <c r="IB962" s="8" t="s">
        <v>6363</v>
      </c>
      <c r="IC962" s="8">
        <v>24416</v>
      </c>
      <c r="ID962" s="8" t="s">
        <v>6364</v>
      </c>
      <c r="IE962" s="8" t="s">
        <v>487</v>
      </c>
      <c r="IF962" s="8" t="s">
        <v>445</v>
      </c>
      <c r="IR962" s="9"/>
      <c r="JV962" s="7" t="s">
        <v>6365</v>
      </c>
      <c r="JX962" s="7" t="s">
        <v>320</v>
      </c>
      <c r="JY962" s="7" t="s">
        <v>354</v>
      </c>
      <c r="JZ962" s="7" t="s">
        <v>355</v>
      </c>
      <c r="KG962" s="4" t="s">
        <v>323</v>
      </c>
      <c r="KP962" s="5" t="s">
        <v>6366</v>
      </c>
      <c r="KQ962" s="5" t="s">
        <v>6366</v>
      </c>
      <c r="KR962" s="5" t="s">
        <v>6366</v>
      </c>
      <c r="KS962" s="5" t="s">
        <v>6366</v>
      </c>
      <c r="KT962" s="5" t="s">
        <v>6367</v>
      </c>
    </row>
    <row r="963" spans="1:306" ht="108" x14ac:dyDescent="0.25">
      <c r="A963" s="5" t="s">
        <v>7357</v>
      </c>
      <c r="B963" s="4" t="s">
        <v>383</v>
      </c>
      <c r="C963" s="7" t="s">
        <v>384</v>
      </c>
      <c r="D963" s="7" t="s">
        <v>433</v>
      </c>
      <c r="E963" s="4">
        <v>335639</v>
      </c>
      <c r="G963" s="4" t="s">
        <v>530</v>
      </c>
      <c r="H963" s="6">
        <v>131.05449999999999</v>
      </c>
      <c r="I963" s="6">
        <v>-13.052199999999999</v>
      </c>
      <c r="K963" s="4" t="s">
        <v>481</v>
      </c>
      <c r="L963" s="4" t="s">
        <v>532</v>
      </c>
      <c r="O963" s="30"/>
      <c r="Q963" s="8"/>
      <c r="R963" s="8"/>
      <c r="Z963" s="30" t="s">
        <v>3797</v>
      </c>
      <c r="AA963" s="30" t="s">
        <v>3797</v>
      </c>
      <c r="AB963" s="30" t="s">
        <v>3797</v>
      </c>
      <c r="AC963" s="4" t="s">
        <v>301</v>
      </c>
      <c r="AD963" s="4" t="s">
        <v>402</v>
      </c>
      <c r="AE963" s="8"/>
      <c r="AF963" s="8"/>
      <c r="AN963" s="4" t="s">
        <v>381</v>
      </c>
      <c r="AO963" s="4" t="s">
        <v>375</v>
      </c>
      <c r="AP963" s="4" t="s">
        <v>383</v>
      </c>
      <c r="AQ963" s="7" t="s">
        <v>384</v>
      </c>
      <c r="AR963" s="7" t="s">
        <v>433</v>
      </c>
      <c r="AS963" s="7">
        <v>0</v>
      </c>
      <c r="AT963" s="7">
        <v>0</v>
      </c>
      <c r="AU963" s="9" t="s">
        <v>303</v>
      </c>
      <c r="AV963" s="9" t="s">
        <v>406</v>
      </c>
      <c r="BA963" s="8">
        <v>5</v>
      </c>
      <c r="BP963" s="6">
        <v>0.03</v>
      </c>
      <c r="BV963" s="6">
        <v>6.59</v>
      </c>
      <c r="DZ963" s="31"/>
      <c r="EL963" s="6">
        <f>BP963*BV963</f>
        <v>0.19769999999999999</v>
      </c>
      <c r="GP963" s="32"/>
      <c r="GY963" s="6" t="s">
        <v>309</v>
      </c>
      <c r="GZ963" s="6" t="s">
        <v>436</v>
      </c>
      <c r="HD963" s="8" t="s">
        <v>7358</v>
      </c>
      <c r="HE963" s="8">
        <v>42256</v>
      </c>
      <c r="HF963" s="8" t="s">
        <v>7359</v>
      </c>
      <c r="HG963" s="9" t="s">
        <v>538</v>
      </c>
      <c r="IB963" s="8" t="s">
        <v>1576</v>
      </c>
      <c r="IC963" s="8">
        <v>30778</v>
      </c>
      <c r="ID963" s="8" t="s">
        <v>2203</v>
      </c>
      <c r="IE963" s="8" t="s">
        <v>538</v>
      </c>
      <c r="IF963" s="8" t="s">
        <v>1578</v>
      </c>
      <c r="IW963" s="8"/>
      <c r="JB963" s="8"/>
      <c r="JV963" s="7" t="s">
        <v>3932</v>
      </c>
      <c r="JW963" s="7" t="s">
        <v>3932</v>
      </c>
      <c r="JX963" s="7" t="s">
        <v>355</v>
      </c>
      <c r="JY963" s="7" t="s">
        <v>354</v>
      </c>
      <c r="JZ963" s="7" t="s">
        <v>320</v>
      </c>
      <c r="KG963" s="4" t="s">
        <v>323</v>
      </c>
      <c r="KM963" s="4" t="s">
        <v>836</v>
      </c>
      <c r="KN963" s="4" t="s">
        <v>836</v>
      </c>
      <c r="KP963" s="5" t="s">
        <v>358</v>
      </c>
      <c r="KQ963" s="5" t="s">
        <v>1643</v>
      </c>
      <c r="KS963" s="5" t="s">
        <v>7360</v>
      </c>
      <c r="KT963" s="5" t="s">
        <v>7361</v>
      </c>
    </row>
    <row r="964" spans="1:306" ht="132" x14ac:dyDescent="0.25">
      <c r="A964" s="5" t="s">
        <v>548</v>
      </c>
      <c r="B964" s="4" t="s">
        <v>364</v>
      </c>
      <c r="C964" s="7" t="s">
        <v>549</v>
      </c>
      <c r="D964" s="8" t="s">
        <v>550</v>
      </c>
      <c r="E964" s="38">
        <v>859575</v>
      </c>
      <c r="F964" s="4">
        <v>1165540</v>
      </c>
      <c r="G964" s="4" t="s">
        <v>479</v>
      </c>
      <c r="H964" s="6">
        <f>150+34/60</f>
        <v>150.56666666666666</v>
      </c>
      <c r="I964" s="6">
        <f>-(23+45/60)</f>
        <v>-23.75</v>
      </c>
      <c r="J964" s="4" t="s">
        <v>551</v>
      </c>
      <c r="K964" s="4" t="s">
        <v>298</v>
      </c>
      <c r="L964" s="4" t="s">
        <v>552</v>
      </c>
      <c r="M964" s="4" t="s">
        <v>553</v>
      </c>
      <c r="N964" s="4" t="s">
        <v>554</v>
      </c>
      <c r="Q964" s="7"/>
      <c r="R964" s="7"/>
      <c r="Z964" s="4" t="s">
        <v>364</v>
      </c>
      <c r="AA964" s="7" t="s">
        <v>549</v>
      </c>
      <c r="AB964" s="8" t="s">
        <v>550</v>
      </c>
      <c r="AC964" s="4" t="s">
        <v>301</v>
      </c>
      <c r="AD964" s="4" t="s">
        <v>375</v>
      </c>
      <c r="AE964" s="7">
        <f>(393.3+387.7)/2</f>
        <v>390.5</v>
      </c>
      <c r="AF964" s="7">
        <f>(393.3-387.7)/2</f>
        <v>2.8000000000000114</v>
      </c>
      <c r="AG964" s="9" t="s">
        <v>379</v>
      </c>
      <c r="AH964" s="9" t="s">
        <v>372</v>
      </c>
      <c r="AJ964" s="9" t="s">
        <v>555</v>
      </c>
      <c r="AM964" s="8">
        <v>4</v>
      </c>
      <c r="AN964" s="4" t="s">
        <v>381</v>
      </c>
      <c r="AO964" s="4" t="s">
        <v>402</v>
      </c>
      <c r="AP964" s="4" t="s">
        <v>383</v>
      </c>
      <c r="AQ964" s="7" t="s">
        <v>384</v>
      </c>
      <c r="AR964" s="8" t="s">
        <v>556</v>
      </c>
      <c r="AS964" s="7">
        <v>0</v>
      </c>
      <c r="AT964" s="7">
        <v>0</v>
      </c>
      <c r="AU964" s="9" t="s">
        <v>303</v>
      </c>
      <c r="AV964" s="9" t="s">
        <v>406</v>
      </c>
      <c r="BA964" s="8">
        <v>5</v>
      </c>
      <c r="BR964" s="7">
        <v>0.5</v>
      </c>
      <c r="BS964" s="7">
        <v>2.5</v>
      </c>
      <c r="BT964" s="6">
        <v>0.03</v>
      </c>
      <c r="BU964" s="8">
        <v>10</v>
      </c>
      <c r="BV964" s="7">
        <v>0.5</v>
      </c>
      <c r="DZ964" s="31"/>
      <c r="EY964" s="6"/>
      <c r="FA964" s="6"/>
      <c r="GP964" s="32"/>
      <c r="GY964" s="6" t="s">
        <v>309</v>
      </c>
      <c r="HD964" s="8" t="s">
        <v>557</v>
      </c>
      <c r="HE964" s="8">
        <v>13183</v>
      </c>
      <c r="HF964" s="8" t="s">
        <v>558</v>
      </c>
      <c r="HG964" s="9" t="s">
        <v>559</v>
      </c>
      <c r="HY964" s="9"/>
      <c r="IB964" s="8" t="s">
        <v>557</v>
      </c>
      <c r="IC964" s="8">
        <v>13183</v>
      </c>
      <c r="ID964" s="8" t="s">
        <v>558</v>
      </c>
      <c r="IE964" s="8" t="s">
        <v>559</v>
      </c>
      <c r="IF964" s="8" t="s">
        <v>319</v>
      </c>
      <c r="IG964" s="8" t="s">
        <v>560</v>
      </c>
      <c r="IH964" s="8">
        <v>34637</v>
      </c>
      <c r="II964" s="8" t="s">
        <v>561</v>
      </c>
      <c r="IJ964" s="8" t="s">
        <v>562</v>
      </c>
      <c r="IK964" s="8" t="s">
        <v>350</v>
      </c>
      <c r="IR964" s="9"/>
      <c r="JV964" s="7" t="s">
        <v>563</v>
      </c>
      <c r="JX964" s="7" t="s">
        <v>320</v>
      </c>
      <c r="KG964" s="4" t="s">
        <v>323</v>
      </c>
      <c r="KP964" s="5" t="s">
        <v>564</v>
      </c>
      <c r="KQ964" s="5" t="s">
        <v>565</v>
      </c>
      <c r="KR964" s="5" t="s">
        <v>566</v>
      </c>
      <c r="KS964" s="5" t="s">
        <v>564</v>
      </c>
      <c r="KT964" s="5" t="s">
        <v>567</v>
      </c>
    </row>
    <row r="965" spans="1:306" ht="36" x14ac:dyDescent="0.25">
      <c r="A965" s="5" t="s">
        <v>623</v>
      </c>
      <c r="B965" s="4" t="s">
        <v>364</v>
      </c>
      <c r="C965" s="7" t="s">
        <v>549</v>
      </c>
      <c r="D965" s="7" t="s">
        <v>550</v>
      </c>
      <c r="E965" s="4">
        <v>701945</v>
      </c>
      <c r="G965" s="4" t="s">
        <v>330</v>
      </c>
      <c r="H965" s="6">
        <v>121.77130099999999</v>
      </c>
      <c r="I965" s="6">
        <v>-28.968699999999998</v>
      </c>
      <c r="J965" s="4" t="s">
        <v>624</v>
      </c>
      <c r="K965" s="4" t="s">
        <v>331</v>
      </c>
      <c r="L965" s="4" t="s">
        <v>500</v>
      </c>
      <c r="M965" s="4" t="s">
        <v>501</v>
      </c>
      <c r="N965" s="4" t="s">
        <v>625</v>
      </c>
      <c r="O965" s="7"/>
      <c r="Q965" s="8"/>
      <c r="R965" s="8"/>
      <c r="Z965" s="4" t="s">
        <v>364</v>
      </c>
      <c r="AA965" s="7" t="s">
        <v>549</v>
      </c>
      <c r="AB965" s="7" t="s">
        <v>550</v>
      </c>
      <c r="AC965" s="4" t="s">
        <v>301</v>
      </c>
      <c r="AD965" s="4" t="s">
        <v>302</v>
      </c>
      <c r="AE965" s="8">
        <v>2698</v>
      </c>
      <c r="AF965" s="8">
        <v>5</v>
      </c>
      <c r="AG965" s="9" t="s">
        <v>379</v>
      </c>
      <c r="AH965" s="9" t="s">
        <v>372</v>
      </c>
      <c r="AI965" s="9" t="s">
        <v>373</v>
      </c>
      <c r="AJ965" s="9" t="s">
        <v>306</v>
      </c>
      <c r="AK965" s="9" t="s">
        <v>307</v>
      </c>
      <c r="AL965" s="9" t="s">
        <v>337</v>
      </c>
      <c r="AM965" s="8">
        <v>4</v>
      </c>
      <c r="AR965" s="7"/>
      <c r="AS965" s="8"/>
      <c r="AT965" s="8"/>
      <c r="BF965" s="7"/>
      <c r="BG965" s="8"/>
      <c r="BH965" s="8"/>
      <c r="BP965" s="7">
        <v>0.877</v>
      </c>
      <c r="BR965" s="6">
        <v>0.96</v>
      </c>
      <c r="BS965" s="6">
        <v>1.97</v>
      </c>
      <c r="BU965" s="8">
        <v>6.32</v>
      </c>
      <c r="DZ965" s="31"/>
      <c r="EH965" s="10">
        <f>BP965*BR965/100</f>
        <v>8.4191999999999999E-3</v>
      </c>
      <c r="EI965" s="10">
        <f>BP965*BS965/100</f>
        <v>1.7276899999999998E-2</v>
      </c>
      <c r="EK965" s="10">
        <f>BP965*BU965/1000</f>
        <v>5.5426400000000006E-3</v>
      </c>
      <c r="FA965" s="6"/>
      <c r="GP965" s="32"/>
      <c r="GY965" s="6" t="s">
        <v>309</v>
      </c>
      <c r="GZ965" s="6" t="s">
        <v>626</v>
      </c>
      <c r="HB965" s="6" t="s">
        <v>462</v>
      </c>
      <c r="HC965" s="6" t="s">
        <v>627</v>
      </c>
      <c r="HF965" s="8" t="s">
        <v>628</v>
      </c>
      <c r="HG965" s="9" t="s">
        <v>507</v>
      </c>
      <c r="ID965" s="8" t="s">
        <v>629</v>
      </c>
      <c r="IE965" s="8" t="s">
        <v>507</v>
      </c>
      <c r="IF965" s="8" t="s">
        <v>350</v>
      </c>
      <c r="IG965" s="8" t="s">
        <v>630</v>
      </c>
      <c r="IH965" s="8">
        <v>80420</v>
      </c>
      <c r="II965" s="8" t="s">
        <v>631</v>
      </c>
      <c r="IJ965" s="8" t="s">
        <v>507</v>
      </c>
      <c r="IK965" s="8" t="s">
        <v>350</v>
      </c>
      <c r="IM965" s="9"/>
      <c r="IR965" s="9"/>
      <c r="JV965" s="7" t="s">
        <v>632</v>
      </c>
      <c r="JW965" s="7" t="s">
        <v>352</v>
      </c>
      <c r="JX965" s="7" t="s">
        <v>320</v>
      </c>
      <c r="KG965" s="4" t="s">
        <v>323</v>
      </c>
      <c r="KM965" s="4" t="s">
        <v>391</v>
      </c>
      <c r="KN965" s="4" t="s">
        <v>391</v>
      </c>
      <c r="KP965" s="5" t="s">
        <v>633</v>
      </c>
      <c r="KQ965" s="5" t="s">
        <v>634</v>
      </c>
      <c r="KR965" s="5" t="s">
        <v>635</v>
      </c>
      <c r="KS965" s="5" t="s">
        <v>633</v>
      </c>
      <c r="KT965" s="5" t="s">
        <v>636</v>
      </c>
    </row>
    <row r="966" spans="1:306" ht="60" x14ac:dyDescent="0.25">
      <c r="A966" s="5" t="s">
        <v>732</v>
      </c>
      <c r="B966" s="4" t="s">
        <v>364</v>
      </c>
      <c r="C966" s="7" t="s">
        <v>549</v>
      </c>
      <c r="D966" s="8" t="s">
        <v>550</v>
      </c>
      <c r="E966" s="4">
        <v>803780</v>
      </c>
      <c r="G966" s="4" t="s">
        <v>530</v>
      </c>
      <c r="H966" s="6">
        <v>132.05000000000001</v>
      </c>
      <c r="I966" s="6">
        <v>-13.3</v>
      </c>
      <c r="J966" s="4" t="s">
        <v>733</v>
      </c>
      <c r="K966" s="4" t="s">
        <v>481</v>
      </c>
      <c r="L966" s="4" t="s">
        <v>532</v>
      </c>
      <c r="M966" s="4" t="s">
        <v>533</v>
      </c>
      <c r="Q966" s="8"/>
      <c r="R966" s="8"/>
      <c r="Z966" s="4" t="s">
        <v>364</v>
      </c>
      <c r="AA966" s="7" t="s">
        <v>549</v>
      </c>
      <c r="AB966" s="8" t="s">
        <v>550</v>
      </c>
      <c r="AC966" s="4" t="s">
        <v>301</v>
      </c>
      <c r="AD966" s="4" t="s">
        <v>375</v>
      </c>
      <c r="AE966" s="8">
        <v>1862</v>
      </c>
      <c r="AF966" s="8"/>
      <c r="AG966" s="9" t="s">
        <v>379</v>
      </c>
      <c r="AH966" s="9" t="s">
        <v>372</v>
      </c>
      <c r="AI966" s="9" t="s">
        <v>373</v>
      </c>
      <c r="AJ966" s="9" t="s">
        <v>306</v>
      </c>
      <c r="AK966" s="9" t="s">
        <v>307</v>
      </c>
      <c r="AL966" s="9" t="s">
        <v>337</v>
      </c>
      <c r="AM966" s="8">
        <v>4</v>
      </c>
      <c r="BP966" s="7">
        <f>0.213+0.55</f>
        <v>0.76300000000000001</v>
      </c>
      <c r="BQ966" s="9"/>
      <c r="BR966" s="7">
        <f>(0.65*0.213+2.2*0.55)/(0.213+0.55)</f>
        <v>1.7673001310615992</v>
      </c>
      <c r="BS966" s="7">
        <f>(18*0.213+6.6*0.55)/(0.213+0.55)</f>
        <v>9.7824377457404985</v>
      </c>
      <c r="BU966" s="8">
        <f>(0*0.213+19*0.55)/(0.213+0.55)</f>
        <v>13.695937090432505</v>
      </c>
      <c r="DZ966" s="31"/>
      <c r="EH966" s="10">
        <f>BP966*BR966/100</f>
        <v>1.3484500000000002E-2</v>
      </c>
      <c r="EI966" s="10">
        <f>BP966*BS966/100</f>
        <v>7.4639999999999998E-2</v>
      </c>
      <c r="EJ966" s="10">
        <f>BP966*BT966/100</f>
        <v>0</v>
      </c>
      <c r="EK966" s="10">
        <f>BP966*BU966/1000</f>
        <v>1.0450000000000001E-2</v>
      </c>
      <c r="EY966" s="6"/>
      <c r="FA966" s="6"/>
      <c r="GP966" s="32"/>
      <c r="GY966" s="6" t="s">
        <v>309</v>
      </c>
      <c r="GZ966" s="6" t="s">
        <v>734</v>
      </c>
      <c r="HB966" s="6" t="s">
        <v>462</v>
      </c>
      <c r="HC966" s="6" t="s">
        <v>627</v>
      </c>
      <c r="HD966" s="8" t="s">
        <v>735</v>
      </c>
      <c r="HE966" s="8">
        <v>24631</v>
      </c>
      <c r="HF966" s="8" t="s">
        <v>736</v>
      </c>
      <c r="HG966" s="8" t="s">
        <v>538</v>
      </c>
      <c r="HY966" s="9"/>
      <c r="IB966" s="8" t="s">
        <v>735</v>
      </c>
      <c r="IC966" s="8">
        <v>24631</v>
      </c>
      <c r="ID966" s="8" t="s">
        <v>736</v>
      </c>
      <c r="IE966" s="8" t="s">
        <v>538</v>
      </c>
      <c r="IF966" s="8" t="s">
        <v>319</v>
      </c>
      <c r="IW966" s="8"/>
      <c r="JB966" s="8"/>
      <c r="JV966" s="7" t="s">
        <v>737</v>
      </c>
      <c r="JW966" s="7" t="s">
        <v>352</v>
      </c>
      <c r="JX966" s="7" t="s">
        <v>320</v>
      </c>
      <c r="JY966" s="7" t="s">
        <v>354</v>
      </c>
      <c r="JZ966" s="7" t="s">
        <v>322</v>
      </c>
      <c r="KA966" s="7" t="s">
        <v>470</v>
      </c>
      <c r="KB966" s="7" t="s">
        <v>353</v>
      </c>
      <c r="KC966" s="7" t="s">
        <v>354</v>
      </c>
      <c r="KD966" s="7" t="s">
        <v>738</v>
      </c>
      <c r="KG966" s="4" t="s">
        <v>323</v>
      </c>
      <c r="KM966" s="4" t="s">
        <v>391</v>
      </c>
      <c r="KN966" s="4" t="s">
        <v>391</v>
      </c>
      <c r="KP966" s="5" t="s">
        <v>739</v>
      </c>
      <c r="KQ966" s="5" t="s">
        <v>740</v>
      </c>
      <c r="KR966" s="5" t="s">
        <v>741</v>
      </c>
      <c r="KS966" s="5" t="s">
        <v>742</v>
      </c>
      <c r="KT966" s="5" t="s">
        <v>743</v>
      </c>
    </row>
    <row r="967" spans="1:306" ht="60" x14ac:dyDescent="0.25">
      <c r="A967" s="5" t="s">
        <v>1046</v>
      </c>
      <c r="B967" s="4" t="s">
        <v>364</v>
      </c>
      <c r="C967" s="7" t="s">
        <v>549</v>
      </c>
      <c r="D967" s="8" t="s">
        <v>550</v>
      </c>
      <c r="E967" s="4">
        <v>335735</v>
      </c>
      <c r="G967" s="4" t="s">
        <v>479</v>
      </c>
      <c r="H967" s="6">
        <v>144.71299999999999</v>
      </c>
      <c r="I967" s="6">
        <v>-18.771799999999999</v>
      </c>
      <c r="J967" s="4" t="s">
        <v>1046</v>
      </c>
      <c r="K967" s="4" t="s">
        <v>298</v>
      </c>
      <c r="L967" s="4" t="s">
        <v>760</v>
      </c>
      <c r="M967" s="4" t="s">
        <v>1047</v>
      </c>
      <c r="Q967" s="8"/>
      <c r="R967" s="8"/>
      <c r="Z967" s="4" t="s">
        <v>364</v>
      </c>
      <c r="AA967" s="7" t="s">
        <v>549</v>
      </c>
      <c r="AB967" s="8" t="s">
        <v>550</v>
      </c>
      <c r="AC967" s="4" t="s">
        <v>301</v>
      </c>
      <c r="AD967" s="4" t="s">
        <v>375</v>
      </c>
      <c r="AE967" s="8">
        <v>480</v>
      </c>
      <c r="AF967" s="8">
        <v>4</v>
      </c>
      <c r="AG967" s="9" t="s">
        <v>379</v>
      </c>
      <c r="AH967" s="9" t="s">
        <v>690</v>
      </c>
      <c r="AI967" s="9" t="s">
        <v>373</v>
      </c>
      <c r="AJ967" s="9" t="s">
        <v>306</v>
      </c>
      <c r="AK967" s="9" t="s">
        <v>307</v>
      </c>
      <c r="AL967" s="9" t="s">
        <v>337</v>
      </c>
      <c r="AM967" s="8">
        <v>4</v>
      </c>
      <c r="AN967" s="4" t="s">
        <v>381</v>
      </c>
      <c r="AO967" s="4" t="s">
        <v>402</v>
      </c>
      <c r="AP967" s="4" t="s">
        <v>383</v>
      </c>
      <c r="AQ967" s="7" t="s">
        <v>384</v>
      </c>
      <c r="AR967" s="8" t="s">
        <v>1048</v>
      </c>
      <c r="AS967" s="7">
        <v>0</v>
      </c>
      <c r="AT967" s="7">
        <v>0</v>
      </c>
      <c r="AU967" s="9" t="s">
        <v>303</v>
      </c>
      <c r="AV967" s="9" t="s">
        <v>406</v>
      </c>
      <c r="BA967" s="8">
        <v>5</v>
      </c>
      <c r="BB967" s="4" t="s">
        <v>381</v>
      </c>
      <c r="BC967" s="4" t="s">
        <v>402</v>
      </c>
      <c r="BD967" s="4" t="s">
        <v>383</v>
      </c>
      <c r="BE967" s="7" t="s">
        <v>384</v>
      </c>
      <c r="BF967" s="8" t="s">
        <v>827</v>
      </c>
      <c r="BG967" s="7">
        <v>0</v>
      </c>
      <c r="BH967" s="7">
        <v>0</v>
      </c>
      <c r="BI967" s="9" t="s">
        <v>303</v>
      </c>
      <c r="BJ967" s="9" t="s">
        <v>406</v>
      </c>
      <c r="BO967" s="8">
        <v>5</v>
      </c>
      <c r="BP967" s="7">
        <f>3.92+1.231</f>
        <v>5.1509999999999998</v>
      </c>
      <c r="BR967" s="6">
        <f>(3.53*3.92+1.49*1.231)/(3.92+1.231)</f>
        <v>3.0424752475247523</v>
      </c>
      <c r="BS967" s="6">
        <f>(0*3.92+7.98*1.231)/(3.92+1.231)</f>
        <v>1.9070821199767041</v>
      </c>
      <c r="BT967" s="6">
        <f>(0*3.92+3.53*1.231)/(3.92+1.231)</f>
        <v>0.84360900795961957</v>
      </c>
      <c r="BU967" s="8">
        <f>(16*3.92+39*1.231)/(3.92+1.231)</f>
        <v>21.496602601436614</v>
      </c>
      <c r="BV967" s="6">
        <f>(0.36*3.92+0.41*1.231)/(3.92+1.231)</f>
        <v>0.37194913609007962</v>
      </c>
      <c r="DZ967" s="31"/>
      <c r="EH967" s="10">
        <f>BP967*BR967/100</f>
        <v>0.15671789999999997</v>
      </c>
      <c r="EI967" s="10">
        <f>BP967*BS967/100</f>
        <v>9.8233800000000024E-2</v>
      </c>
      <c r="EJ967" s="10">
        <f>BP967*BT967/100</f>
        <v>4.3454300000000001E-2</v>
      </c>
      <c r="EK967" s="10">
        <f>BP967*BU967/1000</f>
        <v>0.11072899999999999</v>
      </c>
      <c r="EL967" s="6">
        <f>BP967*BV967</f>
        <v>1.91591</v>
      </c>
      <c r="EY967" s="6"/>
      <c r="FA967" s="6"/>
      <c r="GP967" s="32"/>
      <c r="GY967" s="6" t="s">
        <v>338</v>
      </c>
      <c r="GZ967" s="6" t="s">
        <v>994</v>
      </c>
      <c r="HA967" s="6" t="s">
        <v>1049</v>
      </c>
      <c r="HB967" s="6" t="s">
        <v>1050</v>
      </c>
      <c r="HC967" s="6" t="s">
        <v>627</v>
      </c>
      <c r="HD967" s="8" t="s">
        <v>1051</v>
      </c>
      <c r="HE967" s="8">
        <v>40870</v>
      </c>
      <c r="HF967" s="8" t="s">
        <v>1052</v>
      </c>
      <c r="HG967" s="9" t="s">
        <v>466</v>
      </c>
      <c r="HY967" s="9"/>
      <c r="IB967" s="8" t="s">
        <v>1051</v>
      </c>
      <c r="IC967" s="8">
        <v>40870</v>
      </c>
      <c r="ID967" s="8" t="s">
        <v>1053</v>
      </c>
      <c r="IE967" s="9" t="s">
        <v>466</v>
      </c>
      <c r="IF967" s="8" t="s">
        <v>445</v>
      </c>
      <c r="IG967" s="8" t="s">
        <v>1051</v>
      </c>
      <c r="IH967" s="8">
        <v>40870</v>
      </c>
      <c r="II967" s="8" t="s">
        <v>1054</v>
      </c>
      <c r="IJ967" s="9" t="s">
        <v>466</v>
      </c>
      <c r="IK967" s="8" t="s">
        <v>350</v>
      </c>
      <c r="IR967" s="9"/>
      <c r="JV967" s="7" t="s">
        <v>1055</v>
      </c>
      <c r="JW967" s="7" t="s">
        <v>352</v>
      </c>
      <c r="JX967" s="7" t="s">
        <v>320</v>
      </c>
      <c r="JY967" s="7" t="s">
        <v>470</v>
      </c>
      <c r="JZ967" s="7" t="s">
        <v>322</v>
      </c>
      <c r="KA967" s="7" t="s">
        <v>354</v>
      </c>
      <c r="KB967" s="7" t="s">
        <v>353</v>
      </c>
      <c r="KG967" s="4" t="s">
        <v>323</v>
      </c>
      <c r="KM967" s="4" t="s">
        <v>522</v>
      </c>
      <c r="KN967" s="4" t="s">
        <v>522</v>
      </c>
      <c r="KO967" s="4" t="s">
        <v>350</v>
      </c>
      <c r="KP967" s="5" t="s">
        <v>358</v>
      </c>
      <c r="KQ967" s="5" t="s">
        <v>1056</v>
      </c>
      <c r="KR967" s="5" t="s">
        <v>1057</v>
      </c>
      <c r="KS967" s="5" t="s">
        <v>1058</v>
      </c>
      <c r="KT967" s="5" t="s">
        <v>1059</v>
      </c>
    </row>
    <row r="968" spans="1:306" ht="48" x14ac:dyDescent="0.25">
      <c r="A968" s="5" t="s">
        <v>1293</v>
      </c>
      <c r="B968" s="4" t="s">
        <v>364</v>
      </c>
      <c r="C968" s="7" t="s">
        <v>549</v>
      </c>
      <c r="D968" s="7" t="s">
        <v>550</v>
      </c>
      <c r="E968" s="4">
        <v>515725</v>
      </c>
      <c r="G968" s="4" t="s">
        <v>330</v>
      </c>
      <c r="H968" s="6">
        <v>121.17419192200001</v>
      </c>
      <c r="I968" s="6">
        <v>-28.48469652</v>
      </c>
      <c r="J968" s="4" t="s">
        <v>1294</v>
      </c>
      <c r="K968" s="4" t="s">
        <v>331</v>
      </c>
      <c r="L968" s="4" t="s">
        <v>500</v>
      </c>
      <c r="M968" s="4" t="s">
        <v>501</v>
      </c>
      <c r="N968" s="4" t="s">
        <v>625</v>
      </c>
      <c r="O968" s="7"/>
      <c r="Q968" s="7"/>
      <c r="R968" s="7"/>
      <c r="Z968" s="4" t="s">
        <v>364</v>
      </c>
      <c r="AA968" s="7" t="s">
        <v>549</v>
      </c>
      <c r="AB968" s="7" t="s">
        <v>550</v>
      </c>
      <c r="AC968" s="4" t="s">
        <v>301</v>
      </c>
      <c r="AD968" s="4" t="s">
        <v>302</v>
      </c>
      <c r="AE968" s="7">
        <v>2694.2</v>
      </c>
      <c r="AF968" s="7">
        <v>0.6</v>
      </c>
      <c r="AG968" s="9" t="s">
        <v>379</v>
      </c>
      <c r="AH968" s="9" t="s">
        <v>372</v>
      </c>
      <c r="AI968" s="9" t="s">
        <v>373</v>
      </c>
      <c r="AJ968" s="9" t="s">
        <v>306</v>
      </c>
      <c r="AK968" s="9" t="s">
        <v>307</v>
      </c>
      <c r="AL968" s="9" t="s">
        <v>1295</v>
      </c>
      <c r="AM968" s="8">
        <v>4</v>
      </c>
      <c r="AR968" s="7"/>
      <c r="AS968" s="7"/>
      <c r="AT968" s="7"/>
      <c r="BF968" s="7"/>
      <c r="BG968" s="7"/>
      <c r="BH968" s="7"/>
      <c r="BP968" s="7">
        <f>1.892559+2.107</f>
        <v>3.9995590000000005</v>
      </c>
      <c r="BQ968" s="9"/>
      <c r="BR968" s="7">
        <f>(1.7*1.892559+1.6*2.107)/(1.892559+2.107)</f>
        <v>1.6473191919409114</v>
      </c>
      <c r="BS968" s="7">
        <f>(10.5*1.892559+8.6*2.107)/(1.892559+2.107)</f>
        <v>9.4990646468773168</v>
      </c>
      <c r="BT968" s="7"/>
      <c r="BU968" s="7">
        <f>(149*1.892559+138*2.107)/(1.892559+2.107)</f>
        <v>143.20511111350024</v>
      </c>
      <c r="BV968" s="7">
        <f>(0.7*1.892559+1*2.107)/(1.892559+2.107)</f>
        <v>0.85804242417726551</v>
      </c>
      <c r="BW968" s="7"/>
      <c r="BX968" s="7"/>
      <c r="BY968" s="7"/>
      <c r="BZ968" s="7"/>
      <c r="CA968" s="7"/>
      <c r="CB968" s="7"/>
      <c r="CC968" s="7"/>
      <c r="CD968" s="7"/>
      <c r="CE968" s="7"/>
      <c r="CF968" s="7"/>
      <c r="CG968" s="7"/>
      <c r="CH968" s="7"/>
      <c r="CI968" s="7"/>
      <c r="CJ968" s="7"/>
      <c r="CK968" s="7"/>
      <c r="CL968" s="7"/>
      <c r="CM968" s="7"/>
      <c r="CN968" s="7"/>
      <c r="CO968" s="7"/>
      <c r="CP968" s="7"/>
      <c r="CQ968" s="7"/>
      <c r="CR968" s="7"/>
      <c r="CS968" s="7"/>
      <c r="CT968" s="7"/>
      <c r="CU968" s="7"/>
      <c r="CV968" s="7"/>
      <c r="CW968" s="7"/>
      <c r="CX968" s="7"/>
      <c r="CY968" s="7"/>
      <c r="CZ968" s="7"/>
      <c r="DA968" s="7"/>
      <c r="DB968" s="7"/>
      <c r="DC968" s="7"/>
      <c r="DD968" s="7"/>
      <c r="DE968" s="7"/>
      <c r="DF968" s="7"/>
      <c r="DG968" s="7"/>
      <c r="DH968" s="7"/>
      <c r="DI968" s="7"/>
      <c r="DJ968" s="7"/>
      <c r="DK968" s="7"/>
      <c r="DL968" s="7"/>
      <c r="DM968" s="7"/>
      <c r="DN968" s="7"/>
      <c r="DO968" s="7"/>
      <c r="DP968" s="7"/>
      <c r="DQ968" s="7"/>
      <c r="DR968" s="7"/>
      <c r="DS968" s="7"/>
      <c r="DT968" s="7"/>
      <c r="DU968" s="7"/>
      <c r="DV968" s="7"/>
      <c r="DW968" s="7"/>
      <c r="DX968" s="7"/>
      <c r="DY968" s="7"/>
      <c r="DZ968" s="31"/>
      <c r="EA968" s="7"/>
      <c r="EB968" s="7"/>
      <c r="EC968" s="7"/>
      <c r="ED968" s="7"/>
      <c r="EE968" s="7"/>
      <c r="EF968" s="7"/>
      <c r="EG968" s="7"/>
      <c r="EH968" s="10">
        <f>BP968*BR968/100</f>
        <v>6.5885503000000012E-2</v>
      </c>
      <c r="EI968" s="10">
        <f>BP968*BS968/100</f>
        <v>0.37992069499999997</v>
      </c>
      <c r="EK968" s="10">
        <f>BP968*BU968/1000</f>
        <v>0.57275729100000006</v>
      </c>
      <c r="EL968" s="6">
        <f>BP968*BV968</f>
        <v>3.4317913000000004</v>
      </c>
      <c r="FA968" s="6"/>
      <c r="GP968" s="32"/>
      <c r="GY968" s="31" t="s">
        <v>407</v>
      </c>
      <c r="GZ968" s="6" t="s">
        <v>734</v>
      </c>
      <c r="HA968" s="6" t="s">
        <v>462</v>
      </c>
      <c r="HB968" s="6" t="s">
        <v>1050</v>
      </c>
      <c r="HC968" s="6" t="s">
        <v>627</v>
      </c>
      <c r="HD968" s="8" t="s">
        <v>1296</v>
      </c>
      <c r="HE968" s="8">
        <v>40778</v>
      </c>
      <c r="HF968" s="8" t="s">
        <v>1297</v>
      </c>
      <c r="HG968" s="9" t="s">
        <v>507</v>
      </c>
      <c r="IB968" s="8" t="s">
        <v>1296</v>
      </c>
      <c r="IC968" s="8">
        <v>40778</v>
      </c>
      <c r="ID968" s="8" t="s">
        <v>1298</v>
      </c>
      <c r="IE968" s="8" t="s">
        <v>507</v>
      </c>
      <c r="IF968" s="8" t="s">
        <v>445</v>
      </c>
      <c r="IG968" s="8" t="s">
        <v>1296</v>
      </c>
      <c r="IH968" s="8">
        <v>40778</v>
      </c>
      <c r="II968" s="8" t="s">
        <v>1299</v>
      </c>
      <c r="IJ968" s="8" t="s">
        <v>507</v>
      </c>
      <c r="IK968" s="8" t="s">
        <v>445</v>
      </c>
      <c r="IL968" s="8" t="s">
        <v>1296</v>
      </c>
      <c r="IM968" s="8">
        <v>40778</v>
      </c>
      <c r="IN968" s="8" t="s">
        <v>1300</v>
      </c>
      <c r="IO968" s="8" t="s">
        <v>507</v>
      </c>
      <c r="IP968" s="8" t="s">
        <v>350</v>
      </c>
      <c r="IQ968" s="8" t="s">
        <v>1296</v>
      </c>
      <c r="IR968" s="8">
        <v>40778</v>
      </c>
      <c r="IS968" s="8" t="s">
        <v>1301</v>
      </c>
      <c r="IT968" s="8" t="s">
        <v>507</v>
      </c>
      <c r="IU968" s="8" t="s">
        <v>350</v>
      </c>
      <c r="IV968" s="8" t="s">
        <v>1296</v>
      </c>
      <c r="IW968" s="8">
        <v>40778</v>
      </c>
      <c r="IX968" s="8" t="s">
        <v>1302</v>
      </c>
      <c r="IY968" s="8" t="s">
        <v>507</v>
      </c>
      <c r="IZ968" s="8" t="s">
        <v>350</v>
      </c>
      <c r="JC968" s="9" t="s">
        <v>658</v>
      </c>
      <c r="JD968" s="9" t="s">
        <v>1303</v>
      </c>
      <c r="JE968" s="9" t="s">
        <v>350</v>
      </c>
      <c r="JV968" s="7" t="s">
        <v>1304</v>
      </c>
      <c r="JW968" s="7" t="s">
        <v>1305</v>
      </c>
      <c r="JX968" s="7" t="s">
        <v>320</v>
      </c>
      <c r="JY968" s="7" t="s">
        <v>354</v>
      </c>
      <c r="JZ968" s="7" t="s">
        <v>322</v>
      </c>
      <c r="KA968" s="7" t="s">
        <v>448</v>
      </c>
      <c r="KB968" s="7" t="s">
        <v>353</v>
      </c>
      <c r="KG968" s="4" t="s">
        <v>323</v>
      </c>
      <c r="KM968" s="4" t="s">
        <v>391</v>
      </c>
      <c r="KN968" s="4" t="s">
        <v>391</v>
      </c>
      <c r="KP968" s="5" t="s">
        <v>1306</v>
      </c>
      <c r="KQ968" s="5" t="s">
        <v>1307</v>
      </c>
      <c r="KR968" s="5" t="s">
        <v>1306</v>
      </c>
      <c r="KS968" s="5" t="s">
        <v>1306</v>
      </c>
      <c r="KT968" s="5" t="s">
        <v>1308</v>
      </c>
    </row>
    <row r="969" spans="1:306" ht="60" x14ac:dyDescent="0.25">
      <c r="A969" s="5" t="s">
        <v>1985</v>
      </c>
      <c r="B969" s="4" t="s">
        <v>364</v>
      </c>
      <c r="C969" s="7" t="s">
        <v>549</v>
      </c>
      <c r="D969" s="8" t="s">
        <v>550</v>
      </c>
      <c r="E969" s="4">
        <v>333684</v>
      </c>
      <c r="G969" s="4" t="s">
        <v>427</v>
      </c>
      <c r="H969" s="6">
        <v>149.43459999999999</v>
      </c>
      <c r="I969" s="6">
        <v>-35.586199999999998</v>
      </c>
      <c r="J969" s="4" t="s">
        <v>1986</v>
      </c>
      <c r="K969" s="4" t="s">
        <v>298</v>
      </c>
      <c r="L969" s="4" t="s">
        <v>299</v>
      </c>
      <c r="M969" s="4" t="s">
        <v>1359</v>
      </c>
      <c r="N969" s="4" t="s">
        <v>1987</v>
      </c>
      <c r="Q969" s="8"/>
      <c r="R969" s="8"/>
      <c r="Z969" s="4" t="s">
        <v>364</v>
      </c>
      <c r="AA969" s="7" t="s">
        <v>549</v>
      </c>
      <c r="AB969" s="8" t="s">
        <v>550</v>
      </c>
      <c r="AC969" s="4" t="s">
        <v>301</v>
      </c>
      <c r="AD969" s="4" t="s">
        <v>375</v>
      </c>
      <c r="AE969" s="8">
        <v>424</v>
      </c>
      <c r="AF969" s="8">
        <v>3</v>
      </c>
      <c r="AG969" s="9" t="s">
        <v>379</v>
      </c>
      <c r="AH969" s="9" t="s">
        <v>372</v>
      </c>
      <c r="AI969" s="9" t="s">
        <v>373</v>
      </c>
      <c r="AJ969" s="9" t="s">
        <v>306</v>
      </c>
      <c r="AK969" s="9" t="s">
        <v>307</v>
      </c>
      <c r="AL969" s="9" t="s">
        <v>337</v>
      </c>
      <c r="AM969" s="8">
        <v>4</v>
      </c>
      <c r="AN969" s="4" t="s">
        <v>381</v>
      </c>
      <c r="AO969" s="4" t="s">
        <v>402</v>
      </c>
      <c r="AP969" s="4" t="s">
        <v>383</v>
      </c>
      <c r="AQ969" s="7" t="s">
        <v>384</v>
      </c>
      <c r="AR969" s="8" t="s">
        <v>1048</v>
      </c>
      <c r="AS969" s="7">
        <v>0</v>
      </c>
      <c r="AT969" s="7">
        <v>0</v>
      </c>
      <c r="AU969" s="9" t="s">
        <v>303</v>
      </c>
      <c r="AV969" s="9" t="s">
        <v>406</v>
      </c>
      <c r="BA969" s="8">
        <v>5</v>
      </c>
      <c r="BP969" s="7">
        <v>4</v>
      </c>
      <c r="BQ969" s="7"/>
      <c r="BR969" s="7">
        <v>0.7</v>
      </c>
      <c r="BS969" s="7">
        <v>10</v>
      </c>
      <c r="BT969" s="7">
        <v>6</v>
      </c>
      <c r="BU969" s="8">
        <v>56</v>
      </c>
      <c r="BV969" s="7">
        <v>1.7</v>
      </c>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s="7"/>
      <c r="CW969" s="7"/>
      <c r="CX969" s="7"/>
      <c r="CY969" s="7"/>
      <c r="CZ969" s="7"/>
      <c r="DA969" s="7"/>
      <c r="DB969" s="7"/>
      <c r="DC969" s="7"/>
      <c r="DD969" s="7"/>
      <c r="DE969" s="7"/>
      <c r="DF969" s="7"/>
      <c r="DG969" s="7"/>
      <c r="DH969" s="7"/>
      <c r="DI969" s="7"/>
      <c r="DJ969" s="7"/>
      <c r="DK969" s="7"/>
      <c r="DL969" s="7"/>
      <c r="DM969" s="7"/>
      <c r="DN969" s="7"/>
      <c r="DO969" s="7"/>
      <c r="DP969" s="7"/>
      <c r="DQ969" s="7"/>
      <c r="DR969" s="7"/>
      <c r="DS969" s="7"/>
      <c r="DT969" s="7"/>
      <c r="DU969" s="7"/>
      <c r="DV969" s="7"/>
      <c r="DW969" s="7"/>
      <c r="DX969" s="7"/>
      <c r="DY969" s="7"/>
      <c r="DZ969" s="31"/>
      <c r="EA969" s="7"/>
      <c r="EB969" s="7"/>
      <c r="EC969" s="7"/>
      <c r="ED969" s="7"/>
      <c r="EE969" s="7"/>
      <c r="EF969" s="7"/>
      <c r="EG969" s="7"/>
      <c r="EH969" s="10">
        <f>BP969*BR969/100</f>
        <v>2.7999999999999997E-2</v>
      </c>
      <c r="EI969" s="10">
        <f>BP969*BS969/100</f>
        <v>0.4</v>
      </c>
      <c r="EJ969" s="10">
        <f>BP969*BT969/100</f>
        <v>0.24</v>
      </c>
      <c r="EK969" s="10">
        <f>BP969*BU969/1000</f>
        <v>0.224</v>
      </c>
      <c r="EL969" s="6">
        <f>BP969*BV969</f>
        <v>6.8</v>
      </c>
      <c r="EY969" s="6"/>
      <c r="FA969" s="6"/>
      <c r="GP969" s="32"/>
      <c r="GY969" s="6" t="s">
        <v>309</v>
      </c>
      <c r="GZ969" s="6" t="s">
        <v>461</v>
      </c>
      <c r="HA969" s="6" t="s">
        <v>436</v>
      </c>
      <c r="HB969" s="6" t="s">
        <v>1988</v>
      </c>
      <c r="HC969" s="6" t="s">
        <v>627</v>
      </c>
      <c r="HD969" s="8" t="s">
        <v>1989</v>
      </c>
      <c r="HE969" s="8">
        <v>27175</v>
      </c>
      <c r="HF969" s="8" t="s">
        <v>1990</v>
      </c>
      <c r="HG969" s="8" t="s">
        <v>1991</v>
      </c>
      <c r="HH969" s="8"/>
      <c r="HY969" s="9"/>
      <c r="IB969" s="8" t="s">
        <v>1989</v>
      </c>
      <c r="IC969" s="8">
        <v>27175</v>
      </c>
      <c r="ID969" s="8" t="s">
        <v>1990</v>
      </c>
      <c r="IE969" s="8" t="s">
        <v>1991</v>
      </c>
      <c r="IF969" s="8" t="s">
        <v>319</v>
      </c>
      <c r="IW969" s="8"/>
      <c r="JB969" s="8"/>
      <c r="JV969" s="7" t="s">
        <v>1992</v>
      </c>
      <c r="JW969" s="7" t="s">
        <v>352</v>
      </c>
      <c r="JX969" s="7" t="s">
        <v>320</v>
      </c>
      <c r="JY969" s="7" t="s">
        <v>448</v>
      </c>
      <c r="JZ969" s="7" t="s">
        <v>322</v>
      </c>
      <c r="KG969" s="4" t="s">
        <v>356</v>
      </c>
      <c r="KH969" s="4" t="s">
        <v>357</v>
      </c>
      <c r="KM969" s="4" t="s">
        <v>391</v>
      </c>
      <c r="KN969" s="4" t="s">
        <v>391</v>
      </c>
      <c r="KO969" s="4" t="s">
        <v>350</v>
      </c>
      <c r="KP969" s="5" t="s">
        <v>358</v>
      </c>
      <c r="KQ969" s="5" t="s">
        <v>1993</v>
      </c>
      <c r="KR969" s="5" t="s">
        <v>1994</v>
      </c>
      <c r="KS969" s="5" t="s">
        <v>1995</v>
      </c>
      <c r="KT969" s="5" t="s">
        <v>1517</v>
      </c>
    </row>
    <row r="970" spans="1:306" ht="60" x14ac:dyDescent="0.25">
      <c r="A970" s="5" t="s">
        <v>2261</v>
      </c>
      <c r="B970" s="4" t="s">
        <v>364</v>
      </c>
      <c r="C970" s="7" t="s">
        <v>549</v>
      </c>
      <c r="D970" s="8" t="s">
        <v>550</v>
      </c>
      <c r="E970" s="4">
        <v>804973</v>
      </c>
      <c r="G970" s="4" t="s">
        <v>530</v>
      </c>
      <c r="H970" s="6">
        <v>133.77510000000001</v>
      </c>
      <c r="I970" s="6">
        <v>-23.057700000000001</v>
      </c>
      <c r="J970" s="4" t="s">
        <v>2262</v>
      </c>
      <c r="K970" s="4" t="s">
        <v>481</v>
      </c>
      <c r="L970" s="4" t="s">
        <v>1498</v>
      </c>
      <c r="M970" s="4" t="s">
        <v>2263</v>
      </c>
      <c r="Q970" s="8"/>
      <c r="R970" s="8"/>
      <c r="Z970" s="4" t="s">
        <v>364</v>
      </c>
      <c r="AA970" s="7" t="s">
        <v>549</v>
      </c>
      <c r="AB970" s="8" t="s">
        <v>550</v>
      </c>
      <c r="AC970" s="4" t="s">
        <v>301</v>
      </c>
      <c r="AD970" s="4" t="s">
        <v>302</v>
      </c>
      <c r="AE970" s="8">
        <v>1809</v>
      </c>
      <c r="AF970" s="8"/>
      <c r="AG970" s="9" t="s">
        <v>303</v>
      </c>
      <c r="AH970" s="9" t="s">
        <v>304</v>
      </c>
      <c r="AI970" s="9" t="s">
        <v>1118</v>
      </c>
      <c r="AJ970" s="9" t="s">
        <v>1080</v>
      </c>
      <c r="AK970" s="9" t="s">
        <v>600</v>
      </c>
      <c r="AM970" s="8">
        <v>2</v>
      </c>
      <c r="BQ970" s="7"/>
      <c r="BR970" s="7"/>
      <c r="BS970" s="7"/>
      <c r="DZ970" s="31"/>
      <c r="EY970" s="6"/>
      <c r="FA970" s="6"/>
      <c r="GP970" s="32"/>
      <c r="GY970" s="6" t="s">
        <v>407</v>
      </c>
      <c r="HF970" s="8" t="s">
        <v>2264</v>
      </c>
      <c r="HG970" s="9" t="s">
        <v>538</v>
      </c>
      <c r="HY970" s="9"/>
      <c r="ID970" s="8" t="s">
        <v>2265</v>
      </c>
      <c r="IE970" s="8" t="s">
        <v>538</v>
      </c>
      <c r="IF970" s="8" t="s">
        <v>329</v>
      </c>
      <c r="IW970" s="8"/>
      <c r="JB970" s="8"/>
      <c r="JU970" s="7" t="s">
        <v>2266</v>
      </c>
      <c r="JV970" s="7" t="s">
        <v>2267</v>
      </c>
      <c r="JW970" s="7" t="s">
        <v>352</v>
      </c>
      <c r="JX970" s="7" t="s">
        <v>320</v>
      </c>
      <c r="KG970" s="4" t="s">
        <v>323</v>
      </c>
      <c r="KM970" s="4" t="s">
        <v>888</v>
      </c>
      <c r="KN970" s="4" t="s">
        <v>888</v>
      </c>
      <c r="KP970" s="5" t="s">
        <v>2268</v>
      </c>
      <c r="KQ970" s="5" t="s">
        <v>2268</v>
      </c>
      <c r="KR970" s="5" t="s">
        <v>2268</v>
      </c>
      <c r="KT970" s="5" t="s">
        <v>2269</v>
      </c>
    </row>
    <row r="971" spans="1:306" ht="60" x14ac:dyDescent="0.25">
      <c r="A971" s="5" t="s">
        <v>2285</v>
      </c>
      <c r="B971" s="4" t="s">
        <v>364</v>
      </c>
      <c r="C971" s="7" t="s">
        <v>549</v>
      </c>
      <c r="D971" s="8" t="s">
        <v>550</v>
      </c>
      <c r="E971" s="4">
        <v>333987</v>
      </c>
      <c r="G971" s="4" t="s">
        <v>427</v>
      </c>
      <c r="H971" s="6">
        <v>149.0488</v>
      </c>
      <c r="I971" s="6">
        <v>-32.583300000000001</v>
      </c>
      <c r="J971" s="4" t="s">
        <v>2286</v>
      </c>
      <c r="K971" s="4" t="s">
        <v>298</v>
      </c>
      <c r="L971" s="4" t="s">
        <v>299</v>
      </c>
      <c r="M971" s="4" t="s">
        <v>1359</v>
      </c>
      <c r="N971" s="4" t="s">
        <v>1545</v>
      </c>
      <c r="Q971" s="8"/>
      <c r="R971" s="8"/>
      <c r="S971" s="7"/>
      <c r="T971" s="7"/>
      <c r="Z971" s="4" t="s">
        <v>364</v>
      </c>
      <c r="AA971" s="7" t="s">
        <v>549</v>
      </c>
      <c r="AB971" s="8" t="s">
        <v>550</v>
      </c>
      <c r="AC971" s="4" t="s">
        <v>301</v>
      </c>
      <c r="AD971" s="4" t="s">
        <v>302</v>
      </c>
      <c r="AE971" s="8">
        <v>420</v>
      </c>
      <c r="AF971" s="8"/>
      <c r="AG971" s="7" t="s">
        <v>379</v>
      </c>
      <c r="AH971" s="7" t="s">
        <v>380</v>
      </c>
      <c r="AM971" s="8">
        <v>3</v>
      </c>
      <c r="AS971" s="7"/>
      <c r="AT971" s="7"/>
      <c r="BP971" s="7">
        <f>0.006476+0.912+0.71</f>
        <v>1.628476</v>
      </c>
      <c r="BR971" s="6">
        <f>(2*0.006476+0*0.912+0*0.71)/(0.006476+0.912+0.71)</f>
        <v>7.9534485003156328E-3</v>
      </c>
      <c r="BS971" s="6">
        <f>(15*0.006476+1.2*0.912+0*0.71)/(0.006476+0.912+0.71)</f>
        <v>0.7316902429019525</v>
      </c>
      <c r="BT971" s="6">
        <f>(7*0.006476+0.5*0.912+0*0.71)/(0.006476+0.912+0.71)</f>
        <v>0.30785347773009858</v>
      </c>
      <c r="BU971" s="8">
        <f>(150*0.006476+44*0.912+88*0.71)/(0.006476+0.912+0.71)</f>
        <v>63.605113001358319</v>
      </c>
      <c r="BV971" s="7">
        <f>(6*0.006476+2.4*0.912+0.8*0.71)/(0.006476+0.912+0.71)</f>
        <v>1.7167314716336011</v>
      </c>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s="7"/>
      <c r="CW971" s="7"/>
      <c r="CX971" s="7"/>
      <c r="CY971" s="7"/>
      <c r="CZ971" s="7"/>
      <c r="DA971" s="7"/>
      <c r="DB971" s="7"/>
      <c r="DC971" s="7"/>
      <c r="DD971" s="7"/>
      <c r="DE971" s="7"/>
      <c r="DF971" s="7"/>
      <c r="DG971" s="7"/>
      <c r="DH971" s="7"/>
      <c r="DI971" s="7"/>
      <c r="DJ971" s="7"/>
      <c r="DK971" s="7"/>
      <c r="DL971" s="7"/>
      <c r="DM971" s="7"/>
      <c r="DN971" s="7"/>
      <c r="DO971" s="7"/>
      <c r="DP971" s="7"/>
      <c r="DQ971" s="7"/>
      <c r="DR971" s="7"/>
      <c r="DS971" s="7"/>
      <c r="DT971" s="7"/>
      <c r="DU971" s="7"/>
      <c r="DV971" s="7"/>
      <c r="DW971" s="7"/>
      <c r="DX971" s="7"/>
      <c r="DY971" s="7"/>
      <c r="DZ971" s="31"/>
      <c r="EA971" s="7"/>
      <c r="EB971" s="7"/>
      <c r="EC971" s="7"/>
      <c r="ED971" s="7"/>
      <c r="EE971" s="7"/>
      <c r="EF971" s="7"/>
      <c r="EG971" s="7"/>
      <c r="EH971" s="10">
        <f t="shared" ref="EH971:EH976" si="32">BP971*BR971/100</f>
        <v>1.2951999999999999E-4</v>
      </c>
      <c r="EI971" s="10">
        <f t="shared" ref="EI971:EI976" si="33">BP971*BS971/100</f>
        <v>1.19154E-2</v>
      </c>
      <c r="EJ971" s="10">
        <f>BP971*BT971/100</f>
        <v>5.0133199999999999E-3</v>
      </c>
      <c r="EK971" s="10">
        <f>BP971*BU971/1000</f>
        <v>0.10357939999999999</v>
      </c>
      <c r="EL971" s="6">
        <f>BP971*BV971</f>
        <v>2.7956560000000001</v>
      </c>
      <c r="EY971" s="6"/>
      <c r="FA971" s="6"/>
      <c r="GP971" s="32"/>
      <c r="GY971" s="6" t="s">
        <v>435</v>
      </c>
      <c r="GZ971" s="6" t="s">
        <v>1432</v>
      </c>
      <c r="HA971" s="6" t="s">
        <v>1049</v>
      </c>
      <c r="HB971" s="6" t="s">
        <v>1728</v>
      </c>
      <c r="HC971" s="6" t="s">
        <v>627</v>
      </c>
      <c r="HD971" s="8" t="s">
        <v>2287</v>
      </c>
      <c r="HE971" s="8">
        <v>7410</v>
      </c>
      <c r="HF971" s="8" t="s">
        <v>2288</v>
      </c>
      <c r="HG971" s="9" t="s">
        <v>1025</v>
      </c>
      <c r="HY971" s="9"/>
      <c r="IB971" s="8" t="s">
        <v>2287</v>
      </c>
      <c r="IC971" s="8">
        <v>7410</v>
      </c>
      <c r="ID971" s="8" t="s">
        <v>2288</v>
      </c>
      <c r="IE971" s="9" t="s">
        <v>1025</v>
      </c>
      <c r="IF971" s="8" t="s">
        <v>319</v>
      </c>
      <c r="IW971" s="8"/>
      <c r="JB971" s="8"/>
      <c r="JV971" s="7" t="s">
        <v>2289</v>
      </c>
      <c r="JX971" s="7" t="s">
        <v>320</v>
      </c>
      <c r="KG971" s="4" t="s">
        <v>356</v>
      </c>
      <c r="KH971" s="4" t="s">
        <v>357</v>
      </c>
      <c r="KM971" s="4" t="s">
        <v>391</v>
      </c>
      <c r="KN971" s="4" t="s">
        <v>391</v>
      </c>
      <c r="KO971" s="4" t="s">
        <v>350</v>
      </c>
      <c r="KP971" s="5" t="s">
        <v>358</v>
      </c>
      <c r="KQ971" s="5" t="s">
        <v>2290</v>
      </c>
      <c r="KS971" s="5" t="s">
        <v>2291</v>
      </c>
      <c r="KT971" s="5" t="s">
        <v>2292</v>
      </c>
    </row>
    <row r="972" spans="1:306" ht="60" x14ac:dyDescent="0.2">
      <c r="A972" s="5" t="s">
        <v>2432</v>
      </c>
      <c r="B972" s="4" t="s">
        <v>364</v>
      </c>
      <c r="C972" s="7" t="s">
        <v>549</v>
      </c>
      <c r="D972" s="8" t="s">
        <v>550</v>
      </c>
      <c r="E972" s="44">
        <v>859585</v>
      </c>
      <c r="F972" s="4">
        <v>1126243</v>
      </c>
      <c r="G972" s="4" t="s">
        <v>427</v>
      </c>
      <c r="H972" s="6">
        <v>149.53899999999999</v>
      </c>
      <c r="I972" s="6">
        <v>-33.566400000000002</v>
      </c>
      <c r="J972" s="4" t="s">
        <v>2433</v>
      </c>
      <c r="K972" s="4" t="s">
        <v>298</v>
      </c>
      <c r="L972" s="4" t="s">
        <v>299</v>
      </c>
      <c r="M972" s="4" t="s">
        <v>1359</v>
      </c>
      <c r="N972" s="4" t="s">
        <v>1545</v>
      </c>
      <c r="Q972" s="8"/>
      <c r="R972" s="8"/>
      <c r="Z972" s="4" t="s">
        <v>364</v>
      </c>
      <c r="AA972" s="7" t="s">
        <v>549</v>
      </c>
      <c r="AB972" s="8" t="s">
        <v>550</v>
      </c>
      <c r="AC972" s="4" t="s">
        <v>301</v>
      </c>
      <c r="AD972" s="4" t="s">
        <v>375</v>
      </c>
      <c r="AE972" s="8">
        <v>425</v>
      </c>
      <c r="AF972" s="8"/>
      <c r="AG972" s="9" t="s">
        <v>379</v>
      </c>
      <c r="AH972" s="9" t="s">
        <v>1156</v>
      </c>
      <c r="AM972" s="8">
        <v>3</v>
      </c>
      <c r="AS972" s="7"/>
      <c r="AT972" s="7"/>
      <c r="BP972" s="7">
        <v>27.2</v>
      </c>
      <c r="BQ972" s="7"/>
      <c r="BR972" s="7">
        <v>0.3</v>
      </c>
      <c r="BS972" s="7">
        <v>0.7</v>
      </c>
      <c r="DZ972" s="31"/>
      <c r="EH972" s="10">
        <f t="shared" si="32"/>
        <v>8.1600000000000006E-2</v>
      </c>
      <c r="EI972" s="10">
        <f t="shared" si="33"/>
        <v>0.19039999999999999</v>
      </c>
      <c r="EY972" s="6"/>
      <c r="FA972" s="6"/>
      <c r="GP972" s="32"/>
      <c r="GY972" s="6" t="s">
        <v>309</v>
      </c>
      <c r="GZ972" s="6" t="s">
        <v>626</v>
      </c>
      <c r="HC972" s="6" t="s">
        <v>627</v>
      </c>
      <c r="HD972" s="8" t="s">
        <v>2434</v>
      </c>
      <c r="HE972" s="8">
        <v>24709</v>
      </c>
      <c r="HF972" s="8" t="s">
        <v>2435</v>
      </c>
      <c r="HG972" s="8" t="s">
        <v>1991</v>
      </c>
      <c r="HY972" s="9"/>
      <c r="IB972" s="8" t="s">
        <v>2434</v>
      </c>
      <c r="IC972" s="8">
        <v>24709</v>
      </c>
      <c r="ID972" s="8" t="s">
        <v>2435</v>
      </c>
      <c r="IE972" s="8" t="s">
        <v>1991</v>
      </c>
      <c r="IF972" s="8" t="s">
        <v>319</v>
      </c>
      <c r="IW972" s="8"/>
      <c r="JB972" s="8"/>
      <c r="JX972" s="7" t="s">
        <v>320</v>
      </c>
      <c r="KM972" s="4" t="s">
        <v>391</v>
      </c>
      <c r="KN972" s="4" t="s">
        <v>391</v>
      </c>
      <c r="KO972" s="4" t="s">
        <v>350</v>
      </c>
      <c r="KP972" s="5" t="s">
        <v>2436</v>
      </c>
      <c r="KQ972" s="5" t="s">
        <v>2437</v>
      </c>
      <c r="KS972" s="5" t="s">
        <v>2438</v>
      </c>
      <c r="KT972" s="5" t="s">
        <v>2439</v>
      </c>
    </row>
    <row r="973" spans="1:306" ht="48" x14ac:dyDescent="0.25">
      <c r="A973" s="5" t="s">
        <v>2546</v>
      </c>
      <c r="B973" s="4" t="s">
        <v>364</v>
      </c>
      <c r="C973" s="7" t="s">
        <v>549</v>
      </c>
      <c r="D973" s="8" t="s">
        <v>550</v>
      </c>
      <c r="E973" s="4">
        <v>334739</v>
      </c>
      <c r="G973" s="4" t="s">
        <v>427</v>
      </c>
      <c r="H973" s="6">
        <v>149.50319999999999</v>
      </c>
      <c r="I973" s="6">
        <v>-34.984000000000002</v>
      </c>
      <c r="J973" s="4" t="s">
        <v>1986</v>
      </c>
      <c r="K973" s="4" t="s">
        <v>298</v>
      </c>
      <c r="L973" s="4" t="s">
        <v>299</v>
      </c>
      <c r="M973" s="4" t="s">
        <v>1359</v>
      </c>
      <c r="N973" s="4" t="s">
        <v>1987</v>
      </c>
      <c r="Q973" s="8"/>
      <c r="R973" s="8"/>
      <c r="Z973" s="4" t="s">
        <v>364</v>
      </c>
      <c r="AA973" s="7" t="s">
        <v>549</v>
      </c>
      <c r="AB973" s="8" t="s">
        <v>550</v>
      </c>
      <c r="AC973" s="4" t="s">
        <v>301</v>
      </c>
      <c r="AD973" s="4" t="s">
        <v>375</v>
      </c>
      <c r="AE973" s="8">
        <v>423</v>
      </c>
      <c r="AF973" s="8">
        <v>3</v>
      </c>
      <c r="AG973" s="9" t="s">
        <v>379</v>
      </c>
      <c r="AH973" s="9" t="s">
        <v>372</v>
      </c>
      <c r="AI973" s="9" t="s">
        <v>373</v>
      </c>
      <c r="AJ973" s="9" t="s">
        <v>306</v>
      </c>
      <c r="AK973" s="9" t="s">
        <v>307</v>
      </c>
      <c r="AL973" s="9" t="s">
        <v>337</v>
      </c>
      <c r="AM973" s="8">
        <v>4</v>
      </c>
      <c r="AN973" s="4" t="s">
        <v>381</v>
      </c>
      <c r="AO973" s="4" t="s">
        <v>375</v>
      </c>
      <c r="AP973" s="4" t="s">
        <v>383</v>
      </c>
      <c r="AQ973" s="7" t="s">
        <v>384</v>
      </c>
      <c r="AR973" s="8" t="s">
        <v>827</v>
      </c>
      <c r="AS973" s="7">
        <v>0</v>
      </c>
      <c r="AT973" s="7">
        <v>0</v>
      </c>
      <c r="AU973" s="9" t="s">
        <v>303</v>
      </c>
      <c r="AV973" s="9" t="s">
        <v>406</v>
      </c>
      <c r="BA973" s="8">
        <v>5</v>
      </c>
      <c r="BP973" s="7">
        <f>0.539+0.03</f>
        <v>0.56900000000000006</v>
      </c>
      <c r="BQ973" s="7"/>
      <c r="BR973" s="7">
        <f>(1.5*0.539+(100*7856/30000)*0.03)/(0.539+0.03)</f>
        <v>2.8015817223198591</v>
      </c>
      <c r="BS973" s="7">
        <f>(12.6*0.539+0*0.03)/(0.539+0.03)</f>
        <v>11.935676625659051</v>
      </c>
      <c r="BT973" s="7">
        <f>(2.5*0.539+0*0.03)/(0.539+0.03)</f>
        <v>2.3681898066783833</v>
      </c>
      <c r="BU973" s="8">
        <f>(38*0.539+0*0.03)/(0.539+0.03)</f>
        <v>35.996485061511422</v>
      </c>
      <c r="DZ973" s="31"/>
      <c r="EH973" s="10">
        <f t="shared" si="32"/>
        <v>1.5941E-2</v>
      </c>
      <c r="EI973" s="10">
        <f t="shared" si="33"/>
        <v>6.7914000000000002E-2</v>
      </c>
      <c r="EJ973" s="10">
        <f>BP973*BT973/100</f>
        <v>1.3475000000000001E-2</v>
      </c>
      <c r="EK973" s="10">
        <f>BP973*BU973/1000</f>
        <v>2.0482E-2</v>
      </c>
      <c r="EY973" s="6"/>
      <c r="FA973" s="6"/>
      <c r="GP973" s="32"/>
      <c r="GY973" s="6" t="s">
        <v>309</v>
      </c>
      <c r="GZ973" s="6" t="s">
        <v>734</v>
      </c>
      <c r="HB973" s="6" t="s">
        <v>2547</v>
      </c>
      <c r="HC973" s="6" t="s">
        <v>627</v>
      </c>
      <c r="HD973" s="8" t="s">
        <v>2548</v>
      </c>
      <c r="HE973" s="8">
        <v>27138</v>
      </c>
      <c r="HF973" s="8" t="s">
        <v>2549</v>
      </c>
      <c r="HG973" s="9" t="s">
        <v>1991</v>
      </c>
      <c r="HY973" s="9"/>
      <c r="IB973" s="8" t="s">
        <v>2548</v>
      </c>
      <c r="IC973" s="8">
        <v>27138</v>
      </c>
      <c r="ID973" s="8" t="s">
        <v>2549</v>
      </c>
      <c r="IE973" s="9" t="s">
        <v>1991</v>
      </c>
      <c r="IF973" s="8" t="s">
        <v>319</v>
      </c>
      <c r="IW973" s="8"/>
      <c r="JB973" s="8"/>
      <c r="JV973" s="7" t="s">
        <v>2550</v>
      </c>
      <c r="JW973" s="7" t="s">
        <v>2551</v>
      </c>
      <c r="JX973" s="7" t="s">
        <v>320</v>
      </c>
      <c r="JY973" s="7" t="s">
        <v>448</v>
      </c>
      <c r="JZ973" s="7" t="s">
        <v>322</v>
      </c>
      <c r="KA973" s="7" t="s">
        <v>321</v>
      </c>
      <c r="KB973" s="7" t="s">
        <v>353</v>
      </c>
      <c r="KG973" s="4" t="s">
        <v>323</v>
      </c>
      <c r="KM973" s="4" t="s">
        <v>391</v>
      </c>
      <c r="KN973" s="4" t="s">
        <v>391</v>
      </c>
      <c r="KO973" s="4" t="s">
        <v>350</v>
      </c>
      <c r="KP973" s="5" t="s">
        <v>358</v>
      </c>
      <c r="KQ973" s="5" t="s">
        <v>2552</v>
      </c>
      <c r="KR973" s="5" t="s">
        <v>1994</v>
      </c>
      <c r="KS973" s="5" t="s">
        <v>2553</v>
      </c>
      <c r="KT973" s="5" t="s">
        <v>2554</v>
      </c>
    </row>
    <row r="974" spans="1:306" ht="48" x14ac:dyDescent="0.25">
      <c r="A974" s="5" t="s">
        <v>2555</v>
      </c>
      <c r="B974" s="4" t="s">
        <v>364</v>
      </c>
      <c r="C974" s="7" t="s">
        <v>549</v>
      </c>
      <c r="D974" s="8" t="s">
        <v>550</v>
      </c>
      <c r="E974" s="4">
        <v>336098</v>
      </c>
      <c r="G974" s="4" t="s">
        <v>773</v>
      </c>
      <c r="H974" s="6">
        <v>147.91134</v>
      </c>
      <c r="I974" s="6">
        <v>-36.989310000000003</v>
      </c>
      <c r="J974" s="4" t="s">
        <v>2556</v>
      </c>
      <c r="K974" s="4" t="s">
        <v>298</v>
      </c>
      <c r="L974" s="4" t="s">
        <v>299</v>
      </c>
      <c r="M974" s="4" t="s">
        <v>1359</v>
      </c>
      <c r="N974" s="4" t="s">
        <v>2557</v>
      </c>
      <c r="Q974" s="8"/>
      <c r="R974" s="8"/>
      <c r="S974" s="7"/>
      <c r="T974" s="7"/>
      <c r="Z974" s="4" t="s">
        <v>364</v>
      </c>
      <c r="AA974" s="7" t="s">
        <v>549</v>
      </c>
      <c r="AB974" s="8" t="s">
        <v>550</v>
      </c>
      <c r="AC974" s="4" t="s">
        <v>301</v>
      </c>
      <c r="AD974" s="4" t="s">
        <v>375</v>
      </c>
      <c r="AE974" s="8">
        <v>420</v>
      </c>
      <c r="AF974" s="8"/>
      <c r="AG974" s="7" t="s">
        <v>379</v>
      </c>
      <c r="AH974" s="7" t="s">
        <v>380</v>
      </c>
      <c r="AM974" s="8">
        <v>3</v>
      </c>
      <c r="AN974" s="4" t="s">
        <v>381</v>
      </c>
      <c r="AO974" s="4" t="s">
        <v>402</v>
      </c>
      <c r="AP974" s="4" t="s">
        <v>383</v>
      </c>
      <c r="AQ974" s="7" t="s">
        <v>384</v>
      </c>
      <c r="AR974" s="8" t="s">
        <v>827</v>
      </c>
      <c r="AS974" s="7">
        <v>0</v>
      </c>
      <c r="AT974" s="7">
        <v>0</v>
      </c>
      <c r="AU974" s="9" t="s">
        <v>303</v>
      </c>
      <c r="AV974" s="9" t="s">
        <v>406</v>
      </c>
      <c r="BA974" s="8">
        <v>5</v>
      </c>
      <c r="BP974" s="7">
        <v>11.3</v>
      </c>
      <c r="BQ974" s="7"/>
      <c r="BR974" s="6">
        <v>2.06</v>
      </c>
      <c r="BS974" s="6">
        <v>3.9</v>
      </c>
      <c r="BT974" s="7"/>
      <c r="BU974" s="8">
        <v>38</v>
      </c>
      <c r="BV974" s="6">
        <v>1.1000000000000001</v>
      </c>
      <c r="BW974" s="7"/>
      <c r="BX974" s="7"/>
      <c r="BY974" s="7"/>
      <c r="BZ974" s="7"/>
      <c r="CA974" s="7"/>
      <c r="CB974" s="7"/>
      <c r="CC974" s="7"/>
      <c r="CD974" s="7"/>
      <c r="CE974" s="7"/>
      <c r="CF974" s="7"/>
      <c r="CG974" s="7"/>
      <c r="CH974" s="7"/>
      <c r="CI974" s="7"/>
      <c r="CJ974" s="7"/>
      <c r="CK974" s="7"/>
      <c r="CL974" s="7"/>
      <c r="CM974" s="7"/>
      <c r="CN974" s="7"/>
      <c r="CO974" s="7"/>
      <c r="CP974" s="7"/>
      <c r="CQ974" s="7"/>
      <c r="CR974" s="7"/>
      <c r="CS974" s="7"/>
      <c r="CT974" s="7"/>
      <c r="CU974" s="7"/>
      <c r="CV974" s="7"/>
      <c r="CW974" s="7"/>
      <c r="CX974" s="7"/>
      <c r="CY974" s="7"/>
      <c r="CZ974" s="7"/>
      <c r="DA974" s="7"/>
      <c r="DB974" s="7"/>
      <c r="DC974" s="7"/>
      <c r="DD974" s="7"/>
      <c r="DE974" s="7"/>
      <c r="DF974" s="7"/>
      <c r="DG974" s="7"/>
      <c r="DH974" s="7"/>
      <c r="DI974" s="7"/>
      <c r="DJ974" s="7"/>
      <c r="DK974" s="7"/>
      <c r="DL974" s="7"/>
      <c r="DM974" s="7"/>
      <c r="DN974" s="7"/>
      <c r="DO974" s="7"/>
      <c r="DP974" s="7"/>
      <c r="DQ974" s="7"/>
      <c r="DR974" s="7"/>
      <c r="DS974" s="7"/>
      <c r="DT974" s="7"/>
      <c r="DU974" s="7"/>
      <c r="DV974" s="7"/>
      <c r="DW974" s="7"/>
      <c r="DX974" s="7"/>
      <c r="DY974" s="7"/>
      <c r="DZ974" s="31"/>
      <c r="EA974" s="7"/>
      <c r="EB974" s="7"/>
      <c r="EC974" s="7"/>
      <c r="ED974" s="7"/>
      <c r="EE974" s="7"/>
      <c r="EF974" s="7"/>
      <c r="EG974" s="7"/>
      <c r="EH974" s="10">
        <f t="shared" si="32"/>
        <v>0.23278000000000001</v>
      </c>
      <c r="EI974" s="10">
        <f t="shared" si="33"/>
        <v>0.44069999999999998</v>
      </c>
      <c r="EK974" s="10">
        <f>BP974*BU974/1000</f>
        <v>0.42940000000000006</v>
      </c>
      <c r="EL974" s="6">
        <f>BP974*BV974</f>
        <v>12.430000000000001</v>
      </c>
      <c r="EY974" s="6"/>
      <c r="FA974" s="6"/>
      <c r="GP974" s="32"/>
      <c r="GY974" s="6" t="s">
        <v>338</v>
      </c>
      <c r="GZ974" s="6" t="s">
        <v>626</v>
      </c>
      <c r="HA974" s="6" t="s">
        <v>436</v>
      </c>
      <c r="HB974" s="6" t="s">
        <v>462</v>
      </c>
      <c r="HC974" s="6" t="s">
        <v>627</v>
      </c>
      <c r="HD974" s="8" t="s">
        <v>2558</v>
      </c>
      <c r="HE974" s="8">
        <v>27289</v>
      </c>
      <c r="HF974" s="8" t="s">
        <v>2559</v>
      </c>
      <c r="HG974" s="9" t="s">
        <v>1025</v>
      </c>
      <c r="HQ974" s="9"/>
      <c r="HY974" s="9"/>
      <c r="IB974" s="8" t="s">
        <v>2558</v>
      </c>
      <c r="IC974" s="8">
        <v>27289</v>
      </c>
      <c r="ID974" s="8" t="s">
        <v>2559</v>
      </c>
      <c r="IE974" s="9" t="s">
        <v>1025</v>
      </c>
      <c r="IF974" s="8" t="s">
        <v>319</v>
      </c>
      <c r="JV974" s="7" t="s">
        <v>2560</v>
      </c>
      <c r="JW974" s="7" t="s">
        <v>2551</v>
      </c>
      <c r="JX974" s="7" t="s">
        <v>320</v>
      </c>
      <c r="JY974" s="7" t="s">
        <v>354</v>
      </c>
      <c r="JZ974" s="7" t="s">
        <v>353</v>
      </c>
      <c r="KA974" s="7" t="s">
        <v>354</v>
      </c>
      <c r="KB974" s="7" t="s">
        <v>322</v>
      </c>
      <c r="KG974" s="4" t="s">
        <v>356</v>
      </c>
      <c r="KH974" s="4" t="s">
        <v>402</v>
      </c>
      <c r="KM974" s="4" t="s">
        <v>391</v>
      </c>
      <c r="KN974" s="4" t="s">
        <v>391</v>
      </c>
      <c r="KP974" s="18" t="s">
        <v>2561</v>
      </c>
      <c r="KQ974" s="5" t="s">
        <v>2562</v>
      </c>
      <c r="KR974" s="18" t="s">
        <v>2563</v>
      </c>
      <c r="KS974" s="5" t="s">
        <v>2564</v>
      </c>
      <c r="KT974" s="14" t="s">
        <v>2565</v>
      </c>
    </row>
    <row r="975" spans="1:306" ht="72" x14ac:dyDescent="0.25">
      <c r="A975" s="5" t="s">
        <v>2842</v>
      </c>
      <c r="B975" s="4" t="s">
        <v>364</v>
      </c>
      <c r="C975" s="7" t="s">
        <v>549</v>
      </c>
      <c r="D975" s="8" t="s">
        <v>550</v>
      </c>
      <c r="E975" s="4">
        <v>334545</v>
      </c>
      <c r="G975" s="4" t="s">
        <v>479</v>
      </c>
      <c r="H975" s="6">
        <v>144.68899999999999</v>
      </c>
      <c r="I975" s="6">
        <v>-18.790400000000002</v>
      </c>
      <c r="J975" s="4" t="s">
        <v>1046</v>
      </c>
      <c r="K975" s="4" t="s">
        <v>298</v>
      </c>
      <c r="L975" s="4" t="s">
        <v>760</v>
      </c>
      <c r="M975" s="4" t="s">
        <v>1047</v>
      </c>
      <c r="Q975" s="8"/>
      <c r="R975" s="8"/>
      <c r="Z975" s="4" t="s">
        <v>364</v>
      </c>
      <c r="AA975" s="7" t="s">
        <v>549</v>
      </c>
      <c r="AB975" s="8" t="s">
        <v>550</v>
      </c>
      <c r="AC975" s="4" t="s">
        <v>301</v>
      </c>
      <c r="AD975" s="4" t="s">
        <v>375</v>
      </c>
      <c r="AE975" s="8">
        <v>480</v>
      </c>
      <c r="AF975" s="8">
        <v>4</v>
      </c>
      <c r="AG975" s="9" t="s">
        <v>379</v>
      </c>
      <c r="AH975" s="9" t="s">
        <v>690</v>
      </c>
      <c r="AI975" s="9" t="s">
        <v>373</v>
      </c>
      <c r="AJ975" s="9" t="s">
        <v>306</v>
      </c>
      <c r="AK975" s="9" t="s">
        <v>307</v>
      </c>
      <c r="AL975" s="9" t="s">
        <v>337</v>
      </c>
      <c r="AM975" s="8">
        <v>4</v>
      </c>
      <c r="AN975" s="4" t="s">
        <v>381</v>
      </c>
      <c r="AO975" s="4" t="s">
        <v>402</v>
      </c>
      <c r="AP975" s="4" t="s">
        <v>383</v>
      </c>
      <c r="AQ975" s="7" t="s">
        <v>384</v>
      </c>
      <c r="AR975" s="8" t="s">
        <v>1048</v>
      </c>
      <c r="AS975" s="7">
        <v>0</v>
      </c>
      <c r="AT975" s="7">
        <v>0</v>
      </c>
      <c r="AU975" s="9" t="s">
        <v>303</v>
      </c>
      <c r="AV975" s="9" t="s">
        <v>406</v>
      </c>
      <c r="BA975" s="8">
        <v>5</v>
      </c>
      <c r="BP975" s="7">
        <f>0.634+1.486</f>
        <v>2.12</v>
      </c>
      <c r="BR975" s="7">
        <f>(0.7*0.634+0.9*1.486)/(0.634+1.486)</f>
        <v>0.84018867924528295</v>
      </c>
      <c r="BS975" s="7">
        <f>(15.8*0.634+9.6*1.486)/(0.634+1.486)</f>
        <v>11.454150943396227</v>
      </c>
      <c r="BT975" s="7">
        <f>(5.8*0.634+3.31*1.486)/(0.634+1.486)</f>
        <v>4.0546509433962266</v>
      </c>
      <c r="BU975" s="8">
        <f>(115*0.634+78*1.486)/(0.634+1.486)</f>
        <v>89.065094339622632</v>
      </c>
      <c r="BV975" s="7">
        <f>(0.8*0.634+0.67*1.486)/(0.634+1.486)</f>
        <v>0.70887735849056599</v>
      </c>
      <c r="DZ975" s="31"/>
      <c r="EH975" s="10">
        <f t="shared" si="32"/>
        <v>1.7811999999999998E-2</v>
      </c>
      <c r="EI975" s="10">
        <f t="shared" si="33"/>
        <v>0.24282800000000002</v>
      </c>
      <c r="EJ975" s="10">
        <f>BP975*BT975/100</f>
        <v>8.5958599999999996E-2</v>
      </c>
      <c r="EK975" s="10">
        <f>BP975*BU975/1000</f>
        <v>0.18881799999999999</v>
      </c>
      <c r="EL975" s="6">
        <f>BP975*BV975</f>
        <v>1.50282</v>
      </c>
      <c r="EY975" s="6"/>
      <c r="FA975" s="6"/>
      <c r="GP975" s="32"/>
      <c r="GY975" s="6" t="s">
        <v>338</v>
      </c>
      <c r="GZ975" s="6" t="s">
        <v>1049</v>
      </c>
      <c r="HA975" s="6" t="s">
        <v>2843</v>
      </c>
      <c r="HB975" s="6" t="s">
        <v>1050</v>
      </c>
      <c r="HC975" s="6" t="s">
        <v>627</v>
      </c>
      <c r="HD975" s="8" t="s">
        <v>1051</v>
      </c>
      <c r="HE975" s="8">
        <v>40870</v>
      </c>
      <c r="HF975" s="8" t="s">
        <v>2844</v>
      </c>
      <c r="HG975" s="9" t="s">
        <v>466</v>
      </c>
      <c r="HY975" s="9"/>
      <c r="IB975" s="8" t="s">
        <v>1051</v>
      </c>
      <c r="IC975" s="8">
        <v>40870</v>
      </c>
      <c r="ID975" s="8" t="s">
        <v>2845</v>
      </c>
      <c r="IE975" s="9" t="s">
        <v>466</v>
      </c>
      <c r="IF975" s="8" t="s">
        <v>445</v>
      </c>
      <c r="IR975" s="9"/>
      <c r="JV975" s="7" t="s">
        <v>2846</v>
      </c>
      <c r="JW975" s="7" t="s">
        <v>352</v>
      </c>
      <c r="JX975" s="4" t="s">
        <v>320</v>
      </c>
      <c r="JY975" s="4" t="s">
        <v>354</v>
      </c>
      <c r="JZ975" s="4" t="s">
        <v>322</v>
      </c>
      <c r="KA975" s="4" t="s">
        <v>354</v>
      </c>
      <c r="KB975" s="4" t="s">
        <v>353</v>
      </c>
      <c r="KG975" s="4" t="s">
        <v>323</v>
      </c>
      <c r="KM975" s="4" t="s">
        <v>522</v>
      </c>
      <c r="KN975" s="4" t="s">
        <v>522</v>
      </c>
      <c r="KO975" s="4" t="s">
        <v>350</v>
      </c>
      <c r="KP975" s="5" t="s">
        <v>358</v>
      </c>
      <c r="KQ975" s="5" t="s">
        <v>1056</v>
      </c>
      <c r="KR975" s="5" t="s">
        <v>1057</v>
      </c>
      <c r="KS975" s="5" t="s">
        <v>1058</v>
      </c>
      <c r="KT975" s="5" t="s">
        <v>2847</v>
      </c>
    </row>
    <row r="976" spans="1:306" ht="60" x14ac:dyDescent="0.2">
      <c r="A976" s="5" t="s">
        <v>3049</v>
      </c>
      <c r="B976" s="4" t="s">
        <v>364</v>
      </c>
      <c r="C976" s="7" t="s">
        <v>549</v>
      </c>
      <c r="D976" s="7" t="s">
        <v>550</v>
      </c>
      <c r="E976" s="44">
        <v>870297</v>
      </c>
      <c r="G976" s="4" t="s">
        <v>330</v>
      </c>
      <c r="H976" s="6">
        <v>127.28610999999999</v>
      </c>
      <c r="I976" s="6">
        <v>-18.433306000000002</v>
      </c>
      <c r="J976" s="4" t="s">
        <v>2345</v>
      </c>
      <c r="K976" s="4" t="s">
        <v>481</v>
      </c>
      <c r="L976" s="4" t="s">
        <v>3050</v>
      </c>
      <c r="O976" s="7"/>
      <c r="Q976" s="8"/>
      <c r="R976" s="8"/>
      <c r="Z976" s="4" t="s">
        <v>364</v>
      </c>
      <c r="AA976" s="7" t="s">
        <v>549</v>
      </c>
      <c r="AB976" s="7" t="s">
        <v>550</v>
      </c>
      <c r="AC976" s="4" t="s">
        <v>301</v>
      </c>
      <c r="AD976" s="4" t="s">
        <v>375</v>
      </c>
      <c r="AE976" s="8">
        <v>1843</v>
      </c>
      <c r="AF976" s="8">
        <v>2</v>
      </c>
      <c r="AG976" s="9" t="s">
        <v>379</v>
      </c>
      <c r="AH976" s="9" t="s">
        <v>372</v>
      </c>
      <c r="AI976" s="9" t="s">
        <v>373</v>
      </c>
      <c r="AJ976" s="9" t="s">
        <v>306</v>
      </c>
      <c r="AK976" s="9" t="s">
        <v>307</v>
      </c>
      <c r="AL976" s="9" t="s">
        <v>337</v>
      </c>
      <c r="AM976" s="8">
        <v>4</v>
      </c>
      <c r="AN976" s="4" t="s">
        <v>381</v>
      </c>
      <c r="AO976" s="4" t="s">
        <v>382</v>
      </c>
      <c r="AP976" s="4" t="s">
        <v>383</v>
      </c>
      <c r="AQ976" s="7" t="s">
        <v>384</v>
      </c>
      <c r="AR976" s="7" t="s">
        <v>827</v>
      </c>
      <c r="AS976" s="7">
        <v>0</v>
      </c>
      <c r="AT976" s="7">
        <v>0</v>
      </c>
      <c r="AU976" s="9" t="s">
        <v>303</v>
      </c>
      <c r="AV976" s="9" t="s">
        <v>406</v>
      </c>
      <c r="BA976" s="8">
        <v>5</v>
      </c>
      <c r="BP976" s="7">
        <v>12.2</v>
      </c>
      <c r="BR976" s="6">
        <v>0.27</v>
      </c>
      <c r="BS976" s="6">
        <v>0.38</v>
      </c>
      <c r="BT976" s="6">
        <v>0.09</v>
      </c>
      <c r="BU976" s="7">
        <v>4.9000000000000004</v>
      </c>
      <c r="DZ976" s="31"/>
      <c r="EH976" s="10">
        <f t="shared" si="32"/>
        <v>3.2939999999999997E-2</v>
      </c>
      <c r="EI976" s="10">
        <f t="shared" si="33"/>
        <v>4.6359999999999998E-2</v>
      </c>
      <c r="EJ976" s="10">
        <f>BP976*BT976/100</f>
        <v>1.0979999999999998E-2</v>
      </c>
      <c r="EK976" s="10">
        <f>BP976*BU976/1000</f>
        <v>5.978E-2</v>
      </c>
      <c r="GP976" s="32"/>
      <c r="GY976" s="6" t="s">
        <v>338</v>
      </c>
      <c r="GZ976" s="6" t="s">
        <v>626</v>
      </c>
      <c r="HB976" s="6" t="s">
        <v>3051</v>
      </c>
      <c r="HC976" s="6" t="s">
        <v>627</v>
      </c>
      <c r="HD976" s="8" t="s">
        <v>3052</v>
      </c>
      <c r="HE976" s="8">
        <v>9793</v>
      </c>
      <c r="HF976" s="8" t="s">
        <v>3053</v>
      </c>
      <c r="HG976" s="9" t="s">
        <v>538</v>
      </c>
      <c r="IB976" s="8" t="s">
        <v>3054</v>
      </c>
      <c r="IC976" s="8">
        <v>9793</v>
      </c>
      <c r="ID976" s="8" t="s">
        <v>3055</v>
      </c>
      <c r="IE976" s="8" t="s">
        <v>538</v>
      </c>
      <c r="IF976" s="8" t="s">
        <v>445</v>
      </c>
      <c r="IG976" s="8" t="s">
        <v>3056</v>
      </c>
      <c r="IH976" s="8">
        <v>34479</v>
      </c>
      <c r="II976" s="8" t="s">
        <v>3057</v>
      </c>
      <c r="IJ976" s="8" t="s">
        <v>538</v>
      </c>
      <c r="KP976" s="18" t="s">
        <v>3058</v>
      </c>
      <c r="KQ976" s="5" t="s">
        <v>3059</v>
      </c>
      <c r="KR976" s="5" t="s">
        <v>3060</v>
      </c>
      <c r="KS976" s="5" t="s">
        <v>3059</v>
      </c>
      <c r="KT976" s="5" t="s">
        <v>718</v>
      </c>
    </row>
    <row r="977" spans="1:306" ht="36" x14ac:dyDescent="0.25">
      <c r="A977" s="5" t="s">
        <v>3325</v>
      </c>
      <c r="B977" s="4" t="s">
        <v>364</v>
      </c>
      <c r="C977" s="7" t="s">
        <v>549</v>
      </c>
      <c r="D977" s="7" t="s">
        <v>550</v>
      </c>
      <c r="G977" s="4" t="s">
        <v>330</v>
      </c>
      <c r="H977" s="6">
        <f>122+16/60+15/3600</f>
        <v>122.27083333333333</v>
      </c>
      <c r="I977" s="6">
        <f>-(27+42.5/60)</f>
        <v>-27.708333333333332</v>
      </c>
      <c r="J977" s="4" t="s">
        <v>3326</v>
      </c>
      <c r="K977" s="4" t="s">
        <v>331</v>
      </c>
      <c r="L977" s="4" t="s">
        <v>500</v>
      </c>
      <c r="M977" s="4" t="s">
        <v>501</v>
      </c>
      <c r="N977" s="4" t="s">
        <v>3327</v>
      </c>
      <c r="O977" s="7"/>
      <c r="Q977" s="8"/>
      <c r="R977" s="8"/>
      <c r="Z977" s="4" t="s">
        <v>364</v>
      </c>
      <c r="AA977" s="7" t="s">
        <v>549</v>
      </c>
      <c r="AB977" s="7" t="s">
        <v>550</v>
      </c>
      <c r="AC977" s="4" t="s">
        <v>301</v>
      </c>
      <c r="AD977" s="4" t="s">
        <v>302</v>
      </c>
      <c r="AE977" s="8">
        <v>2805</v>
      </c>
      <c r="AF977" s="8">
        <v>5</v>
      </c>
      <c r="AG977" s="9" t="s">
        <v>379</v>
      </c>
      <c r="AH977" s="9" t="s">
        <v>372</v>
      </c>
      <c r="AI977" s="9" t="s">
        <v>373</v>
      </c>
      <c r="AJ977" s="9" t="s">
        <v>306</v>
      </c>
      <c r="AK977" s="9" t="s">
        <v>307</v>
      </c>
      <c r="AL977" s="9" t="s">
        <v>337</v>
      </c>
      <c r="AM977" s="8">
        <v>4</v>
      </c>
      <c r="AR977" s="7"/>
      <c r="AS977" s="8"/>
      <c r="AT977" s="8"/>
      <c r="BF977" s="7"/>
      <c r="BG977" s="8"/>
      <c r="BH977" s="8"/>
      <c r="DZ977" s="31"/>
      <c r="FA977" s="6"/>
      <c r="GP977" s="32"/>
      <c r="GY977" s="6" t="s">
        <v>407</v>
      </c>
      <c r="HF977" s="8" t="s">
        <v>3328</v>
      </c>
      <c r="HG977" s="9" t="s">
        <v>507</v>
      </c>
      <c r="ID977" s="8" t="s">
        <v>3328</v>
      </c>
      <c r="IE977" s="9" t="s">
        <v>507</v>
      </c>
      <c r="IF977" s="8" t="s">
        <v>319</v>
      </c>
      <c r="IM977" s="9"/>
      <c r="IR977" s="9"/>
      <c r="JV977" s="7" t="s">
        <v>3329</v>
      </c>
      <c r="JW977" s="7" t="s">
        <v>352</v>
      </c>
      <c r="JX977" s="7" t="s">
        <v>320</v>
      </c>
      <c r="KG977" s="4" t="s">
        <v>323</v>
      </c>
      <c r="KM977" s="4" t="s">
        <v>391</v>
      </c>
      <c r="KN977" s="4" t="s">
        <v>391</v>
      </c>
      <c r="KP977" s="5" t="s">
        <v>2341</v>
      </c>
      <c r="KQ977" s="5" t="s">
        <v>3330</v>
      </c>
      <c r="KR977" s="5" t="s">
        <v>1482</v>
      </c>
      <c r="KT977" s="5" t="s">
        <v>3331</v>
      </c>
    </row>
    <row r="978" spans="1:306" ht="48" x14ac:dyDescent="0.2">
      <c r="A978" s="5" t="s">
        <v>3480</v>
      </c>
      <c r="B978" s="4" t="s">
        <v>364</v>
      </c>
      <c r="C978" s="7" t="s">
        <v>549</v>
      </c>
      <c r="D978" s="8" t="s">
        <v>550</v>
      </c>
      <c r="E978" s="44">
        <v>859605</v>
      </c>
      <c r="F978" s="4">
        <v>471042</v>
      </c>
      <c r="G978" s="4" t="s">
        <v>427</v>
      </c>
      <c r="H978" s="6">
        <v>149.55699999999999</v>
      </c>
      <c r="I978" s="6">
        <v>-34.923400000000001</v>
      </c>
      <c r="J978" s="4" t="s">
        <v>1986</v>
      </c>
      <c r="K978" s="4" t="s">
        <v>298</v>
      </c>
      <c r="L978" s="4" t="s">
        <v>299</v>
      </c>
      <c r="M978" s="4" t="s">
        <v>1359</v>
      </c>
      <c r="N978" s="4" t="s">
        <v>1987</v>
      </c>
      <c r="Q978" s="7"/>
      <c r="R978" s="7"/>
      <c r="Z978" s="4" t="s">
        <v>364</v>
      </c>
      <c r="AA978" s="7" t="s">
        <v>549</v>
      </c>
      <c r="AB978" s="8" t="s">
        <v>550</v>
      </c>
      <c r="AC978" s="4" t="s">
        <v>301</v>
      </c>
      <c r="AD978" s="4" t="s">
        <v>302</v>
      </c>
      <c r="AE978" s="7">
        <v>418</v>
      </c>
      <c r="AF978" s="7">
        <v>2.2000000000000002</v>
      </c>
      <c r="AG978" s="9" t="s">
        <v>379</v>
      </c>
      <c r="AH978" s="9" t="s">
        <v>429</v>
      </c>
      <c r="AI978" s="9" t="s">
        <v>845</v>
      </c>
      <c r="AJ978" s="9" t="s">
        <v>431</v>
      </c>
      <c r="AK978" s="9" t="s">
        <v>432</v>
      </c>
      <c r="AM978" s="8">
        <v>3</v>
      </c>
      <c r="AS978" s="7"/>
      <c r="AT978" s="7"/>
      <c r="DZ978" s="31"/>
      <c r="EY978" s="6"/>
      <c r="FA978" s="6"/>
      <c r="GP978" s="32"/>
      <c r="GY978" s="6" t="s">
        <v>407</v>
      </c>
      <c r="HD978" s="8" t="s">
        <v>3481</v>
      </c>
      <c r="HE978" s="8">
        <v>20516</v>
      </c>
      <c r="HF978" s="8" t="s">
        <v>3482</v>
      </c>
      <c r="HG978" s="8" t="s">
        <v>1991</v>
      </c>
      <c r="HY978" s="9"/>
      <c r="IB978" s="8" t="s">
        <v>3481</v>
      </c>
      <c r="IC978" s="8">
        <v>20516</v>
      </c>
      <c r="ID978" s="8" t="s">
        <v>3482</v>
      </c>
      <c r="IE978" s="8" t="s">
        <v>1991</v>
      </c>
      <c r="IF978" s="8" t="s">
        <v>319</v>
      </c>
      <c r="IW978" s="8"/>
      <c r="JB978" s="8"/>
      <c r="JV978" s="7" t="s">
        <v>3483</v>
      </c>
      <c r="JX978" s="7" t="s">
        <v>320</v>
      </c>
      <c r="KG978" s="4" t="s">
        <v>323</v>
      </c>
      <c r="KM978" s="4" t="s">
        <v>521</v>
      </c>
      <c r="KN978" s="4" t="s">
        <v>521</v>
      </c>
      <c r="KO978" s="4" t="s">
        <v>350</v>
      </c>
      <c r="KP978" s="5" t="s">
        <v>2553</v>
      </c>
      <c r="KQ978" s="5" t="s">
        <v>3484</v>
      </c>
      <c r="KR978" s="5" t="s">
        <v>3485</v>
      </c>
      <c r="KT978" s="5" t="s">
        <v>3486</v>
      </c>
    </row>
    <row r="979" spans="1:306" ht="120" x14ac:dyDescent="0.25">
      <c r="A979" s="5" t="s">
        <v>3592</v>
      </c>
      <c r="B979" s="4" t="s">
        <v>364</v>
      </c>
      <c r="C979" s="7" t="s">
        <v>549</v>
      </c>
      <c r="D979" s="7" t="s">
        <v>550</v>
      </c>
      <c r="E979" s="4">
        <v>333890</v>
      </c>
      <c r="G979" s="4" t="s">
        <v>330</v>
      </c>
      <c r="H979" s="6">
        <v>116.96259999999999</v>
      </c>
      <c r="I979" s="6">
        <v>-28.777200000000001</v>
      </c>
      <c r="J979" s="4" t="s">
        <v>3593</v>
      </c>
      <c r="K979" s="4" t="s">
        <v>331</v>
      </c>
      <c r="L979" s="4" t="s">
        <v>500</v>
      </c>
      <c r="M979" s="4" t="s">
        <v>676</v>
      </c>
      <c r="N979" s="4" t="s">
        <v>677</v>
      </c>
      <c r="O979" s="7"/>
      <c r="Q979" s="8"/>
      <c r="R979" s="8"/>
      <c r="Z979" s="4" t="s">
        <v>364</v>
      </c>
      <c r="AA979" s="7" t="s">
        <v>549</v>
      </c>
      <c r="AB979" s="7" t="s">
        <v>550</v>
      </c>
      <c r="AC979" s="4" t="s">
        <v>301</v>
      </c>
      <c r="AD979" s="4" t="s">
        <v>375</v>
      </c>
      <c r="AE979" s="8">
        <v>2953</v>
      </c>
      <c r="AF979" s="8">
        <v>9</v>
      </c>
      <c r="AG979" s="9" t="s">
        <v>379</v>
      </c>
      <c r="AH979" s="9" t="s">
        <v>372</v>
      </c>
      <c r="AI979" s="9" t="s">
        <v>373</v>
      </c>
      <c r="AJ979" s="9" t="s">
        <v>306</v>
      </c>
      <c r="AK979" s="9" t="s">
        <v>307</v>
      </c>
      <c r="AL979" s="9" t="s">
        <v>337</v>
      </c>
      <c r="AM979" s="8">
        <v>4</v>
      </c>
      <c r="AN979" s="4" t="s">
        <v>381</v>
      </c>
      <c r="AO979" s="4" t="s">
        <v>402</v>
      </c>
      <c r="AP979" s="4" t="s">
        <v>383</v>
      </c>
      <c r="AQ979" s="7" t="s">
        <v>384</v>
      </c>
      <c r="AR979" s="7" t="s">
        <v>827</v>
      </c>
      <c r="AS979" s="7">
        <v>0</v>
      </c>
      <c r="AT979" s="7">
        <v>0</v>
      </c>
      <c r="AU979" s="9" t="s">
        <v>303</v>
      </c>
      <c r="AV979" s="9" t="s">
        <v>406</v>
      </c>
      <c r="BA979" s="8">
        <v>5</v>
      </c>
      <c r="BB979" s="4" t="s">
        <v>381</v>
      </c>
      <c r="BC979" s="4" t="s">
        <v>402</v>
      </c>
      <c r="BD979" s="4" t="s">
        <v>383</v>
      </c>
      <c r="BE979" s="7" t="s">
        <v>384</v>
      </c>
      <c r="BF979" s="7" t="s">
        <v>433</v>
      </c>
      <c r="BG979" s="7">
        <v>0</v>
      </c>
      <c r="BH979" s="7">
        <v>0</v>
      </c>
      <c r="BI979" s="9" t="s">
        <v>303</v>
      </c>
      <c r="BJ979" s="9" t="s">
        <v>406</v>
      </c>
      <c r="BO979" s="8">
        <v>5</v>
      </c>
      <c r="BR979" s="7"/>
      <c r="BS979" s="7"/>
      <c r="BT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c r="CW979" s="7"/>
      <c r="CX979" s="7"/>
      <c r="CY979" s="7"/>
      <c r="CZ979" s="7"/>
      <c r="DA979" s="7"/>
      <c r="DB979" s="7"/>
      <c r="DC979" s="7"/>
      <c r="DD979" s="7"/>
      <c r="DE979" s="7"/>
      <c r="DF979" s="7"/>
      <c r="DG979" s="7"/>
      <c r="DH979" s="7"/>
      <c r="DI979" s="7"/>
      <c r="DJ979" s="7"/>
      <c r="DK979" s="7"/>
      <c r="DL979" s="7"/>
      <c r="DM979" s="7"/>
      <c r="DN979" s="7"/>
      <c r="DO979" s="7"/>
      <c r="DP979" s="7"/>
      <c r="DQ979" s="7"/>
      <c r="DR979" s="7"/>
      <c r="DS979" s="7"/>
      <c r="DT979" s="7"/>
      <c r="DU979" s="7"/>
      <c r="DV979" s="7"/>
      <c r="DW979" s="7"/>
      <c r="DX979" s="7"/>
      <c r="DY979" s="7"/>
      <c r="DZ979" s="31"/>
      <c r="EA979" s="7"/>
      <c r="EB979" s="7"/>
      <c r="EC979" s="7"/>
      <c r="ED979" s="7"/>
      <c r="EE979" s="7"/>
      <c r="EF979" s="7"/>
      <c r="EG979" s="7"/>
      <c r="EH979" s="10">
        <v>0.73380000000000001</v>
      </c>
      <c r="EI979" s="10">
        <v>1.4791000000000001</v>
      </c>
      <c r="EJ979" s="10">
        <v>9.7600000000000006E-2</v>
      </c>
      <c r="EK979" s="10">
        <v>1.1886000000000001</v>
      </c>
      <c r="EL979" s="6">
        <v>28.08</v>
      </c>
      <c r="FA979" s="6"/>
      <c r="GP979" s="32"/>
      <c r="GY979" s="6" t="s">
        <v>435</v>
      </c>
      <c r="GZ979" s="6" t="s">
        <v>626</v>
      </c>
      <c r="HA979" s="6" t="s">
        <v>436</v>
      </c>
      <c r="HB979" s="6" t="s">
        <v>3051</v>
      </c>
      <c r="HC979" s="6" t="s">
        <v>627</v>
      </c>
      <c r="HD979" s="8" t="s">
        <v>3594</v>
      </c>
      <c r="HE979" s="8">
        <v>78987</v>
      </c>
      <c r="HF979" s="8" t="s">
        <v>3595</v>
      </c>
      <c r="HG979" s="9" t="s">
        <v>389</v>
      </c>
      <c r="HH979" s="8" t="s">
        <v>3596</v>
      </c>
      <c r="HI979" s="8">
        <v>78987</v>
      </c>
      <c r="HJ979" s="8" t="s">
        <v>3597</v>
      </c>
      <c r="HK979" s="9" t="s">
        <v>389</v>
      </c>
      <c r="HL979" s="9" t="s">
        <v>3598</v>
      </c>
      <c r="HM979" s="8">
        <v>78986</v>
      </c>
      <c r="HN979" s="9" t="s">
        <v>3599</v>
      </c>
      <c r="HO979" s="9" t="s">
        <v>389</v>
      </c>
      <c r="IB979" s="8" t="s">
        <v>3600</v>
      </c>
      <c r="IC979" s="8">
        <v>78983</v>
      </c>
      <c r="ID979" s="8" t="s">
        <v>3601</v>
      </c>
      <c r="IE979" s="9" t="s">
        <v>389</v>
      </c>
      <c r="IF979" s="8" t="s">
        <v>319</v>
      </c>
      <c r="II979" s="8" t="s">
        <v>3602</v>
      </c>
      <c r="IJ979" s="8" t="s">
        <v>389</v>
      </c>
      <c r="IK979" s="8" t="s">
        <v>319</v>
      </c>
      <c r="IM979" s="9"/>
      <c r="IR979" s="9"/>
      <c r="JV979" s="7" t="s">
        <v>3603</v>
      </c>
      <c r="JW979" s="7" t="s">
        <v>352</v>
      </c>
      <c r="JX979" s="7" t="s">
        <v>320</v>
      </c>
      <c r="JY979" s="7" t="s">
        <v>470</v>
      </c>
      <c r="JZ979" s="7" t="s">
        <v>353</v>
      </c>
      <c r="KA979" s="7" t="s">
        <v>354</v>
      </c>
      <c r="KB979" s="7" t="s">
        <v>322</v>
      </c>
      <c r="KG979" s="4" t="s">
        <v>323</v>
      </c>
      <c r="KM979" s="4" t="s">
        <v>391</v>
      </c>
      <c r="KN979" s="4" t="s">
        <v>391</v>
      </c>
      <c r="KP979" s="5" t="s">
        <v>358</v>
      </c>
      <c r="KQ979" s="5" t="s">
        <v>3604</v>
      </c>
      <c r="KR979" s="5" t="s">
        <v>3605</v>
      </c>
      <c r="KS979" s="5" t="s">
        <v>3606</v>
      </c>
      <c r="KT979" s="5" t="s">
        <v>3607</v>
      </c>
    </row>
    <row r="980" spans="1:306" ht="48" x14ac:dyDescent="0.25">
      <c r="A980" s="5" t="s">
        <v>3608</v>
      </c>
      <c r="B980" s="4" t="s">
        <v>364</v>
      </c>
      <c r="C980" s="7" t="s">
        <v>549</v>
      </c>
      <c r="D980" s="7" t="s">
        <v>550</v>
      </c>
      <c r="E980" s="4">
        <v>711061</v>
      </c>
      <c r="G980" s="4" t="s">
        <v>330</v>
      </c>
      <c r="H980" s="6">
        <v>117.010987</v>
      </c>
      <c r="I980" s="6">
        <v>-28.830739000000001</v>
      </c>
      <c r="J980" s="4" t="s">
        <v>3593</v>
      </c>
      <c r="K980" s="4" t="s">
        <v>331</v>
      </c>
      <c r="L980" s="4" t="s">
        <v>500</v>
      </c>
      <c r="M980" s="4" t="s">
        <v>676</v>
      </c>
      <c r="N980" s="4" t="s">
        <v>677</v>
      </c>
      <c r="O980" s="7"/>
      <c r="Q980" s="8"/>
      <c r="R980" s="8"/>
      <c r="Z980" s="4" t="s">
        <v>364</v>
      </c>
      <c r="AA980" s="7" t="s">
        <v>549</v>
      </c>
      <c r="AB980" s="7" t="s">
        <v>550</v>
      </c>
      <c r="AC980" s="4" t="s">
        <v>301</v>
      </c>
      <c r="AD980" s="4" t="s">
        <v>302</v>
      </c>
      <c r="AE980" s="8">
        <v>2953</v>
      </c>
      <c r="AF980" s="8">
        <v>9</v>
      </c>
      <c r="AG980" s="9" t="s">
        <v>379</v>
      </c>
      <c r="AH980" s="9" t="s">
        <v>372</v>
      </c>
      <c r="AI980" s="9" t="s">
        <v>373</v>
      </c>
      <c r="AJ980" s="9" t="s">
        <v>306</v>
      </c>
      <c r="AK980" s="9" t="s">
        <v>307</v>
      </c>
      <c r="AL980" s="9" t="s">
        <v>337</v>
      </c>
      <c r="AM980" s="8">
        <v>4</v>
      </c>
      <c r="AR980" s="7"/>
      <c r="AS980" s="8"/>
      <c r="AT980" s="8"/>
      <c r="BF980" s="7"/>
      <c r="BG980" s="8"/>
      <c r="BH980" s="8"/>
      <c r="BP980" s="7">
        <f>5.4+1.7+1</f>
        <v>8.1000000000000014</v>
      </c>
      <c r="BQ980" s="7"/>
      <c r="BR980" s="7">
        <f>(1.1*5.4+1.1*1.7+1.8*1)/(5.4+1.7+1)</f>
        <v>1.1864197530864198</v>
      </c>
      <c r="BS980" s="7">
        <f>(5.7*5.4+6.6*1.7+2*1)/(5.4+1.7+1)</f>
        <v>5.432098765432098</v>
      </c>
      <c r="BT980" s="7">
        <f>(0.1*5.4+0.2*1.7+0*1)/(5.4+1.7+1)</f>
        <v>0.10864197530864197</v>
      </c>
      <c r="BU980" s="8">
        <f>(18*5.4+15*1.7+17*1)/(5.4+1.7+1)</f>
        <v>17.246913580246908</v>
      </c>
      <c r="BV980" s="7">
        <f>(0.6*5.4+0.5*1.7+0.5*1)/(5.4+1.7+1)</f>
        <v>0.56666666666666654</v>
      </c>
      <c r="BW980" s="7"/>
      <c r="BX980" s="7"/>
      <c r="BY980" s="7"/>
      <c r="BZ980" s="7"/>
      <c r="CA980" s="7"/>
      <c r="CB980" s="7"/>
      <c r="CC980" s="7"/>
      <c r="CD980" s="7"/>
      <c r="CE980" s="7"/>
      <c r="CF980" s="7"/>
      <c r="CG980" s="7"/>
      <c r="CH980" s="7"/>
      <c r="CI980" s="7"/>
      <c r="CJ980" s="7"/>
      <c r="CK980" s="7"/>
      <c r="CL980" s="7"/>
      <c r="CM980" s="7"/>
      <c r="CN980" s="7"/>
      <c r="CO980" s="7"/>
      <c r="CP980" s="7"/>
      <c r="CQ980" s="7"/>
      <c r="CR980" s="7"/>
      <c r="CS980" s="7"/>
      <c r="CT980" s="7"/>
      <c r="CU980" s="7"/>
      <c r="CV980" s="7"/>
      <c r="CW980" s="7"/>
      <c r="CX980" s="7"/>
      <c r="CY980" s="7"/>
      <c r="CZ980" s="7"/>
      <c r="DA980" s="7"/>
      <c r="DB980" s="7"/>
      <c r="DC980" s="7"/>
      <c r="DD980" s="7"/>
      <c r="DE980" s="7"/>
      <c r="DF980" s="7"/>
      <c r="DG980" s="7"/>
      <c r="DH980" s="7"/>
      <c r="DI980" s="7"/>
      <c r="DJ980" s="7"/>
      <c r="DK980" s="7"/>
      <c r="DL980" s="7"/>
      <c r="DM980" s="7"/>
      <c r="DN980" s="7"/>
      <c r="DO980" s="7"/>
      <c r="DP980" s="7"/>
      <c r="DQ980" s="7"/>
      <c r="DR980" s="7"/>
      <c r="DS980" s="7"/>
      <c r="DT980" s="7"/>
      <c r="DU980" s="7"/>
      <c r="DV980" s="7"/>
      <c r="DW980" s="7"/>
      <c r="DX980" s="7"/>
      <c r="DY980" s="7"/>
      <c r="DZ980" s="31"/>
      <c r="EA980" s="7"/>
      <c r="EB980" s="7"/>
      <c r="EC980" s="7"/>
      <c r="ED980" s="7"/>
      <c r="EE980" s="7"/>
      <c r="EF980" s="7"/>
      <c r="EG980" s="7"/>
      <c r="EH980" s="10">
        <f>BP980*BR980/100</f>
        <v>9.6100000000000019E-2</v>
      </c>
      <c r="EI980" s="10">
        <f>BP980*BS980/100</f>
        <v>0.44</v>
      </c>
      <c r="EJ980" s="10">
        <f>BP980*BT980/100</f>
        <v>8.8000000000000005E-3</v>
      </c>
      <c r="EK980" s="10">
        <f>BP980*BU980/1000</f>
        <v>0.13969999999999999</v>
      </c>
      <c r="EL980" s="9">
        <f t="shared" ref="EL980:EL987" si="34">BP980*BV980</f>
        <v>4.59</v>
      </c>
      <c r="FA980" s="6"/>
      <c r="GP980" s="32"/>
      <c r="GY980" s="6" t="s">
        <v>338</v>
      </c>
      <c r="GZ980" s="6" t="s">
        <v>734</v>
      </c>
      <c r="HA980" s="6" t="s">
        <v>436</v>
      </c>
      <c r="HB980" s="6" t="s">
        <v>3051</v>
      </c>
      <c r="HC980" s="6" t="s">
        <v>627</v>
      </c>
      <c r="HD980" s="8" t="s">
        <v>3600</v>
      </c>
      <c r="HE980" s="8">
        <v>78983</v>
      </c>
      <c r="HF980" s="8" t="s">
        <v>3609</v>
      </c>
      <c r="HG980" s="9" t="s">
        <v>389</v>
      </c>
      <c r="IB980" s="8" t="s">
        <v>3600</v>
      </c>
      <c r="IC980" s="8">
        <v>78983</v>
      </c>
      <c r="ID980" s="8" t="s">
        <v>3601</v>
      </c>
      <c r="IE980" s="9" t="s">
        <v>389</v>
      </c>
      <c r="IF980" s="8" t="s">
        <v>319</v>
      </c>
      <c r="II980" s="8" t="s">
        <v>3602</v>
      </c>
      <c r="IJ980" s="8" t="s">
        <v>389</v>
      </c>
      <c r="IK980" s="8" t="s">
        <v>319</v>
      </c>
      <c r="IM980" s="9"/>
      <c r="IR980" s="9"/>
      <c r="KM980" s="4" t="s">
        <v>391</v>
      </c>
      <c r="KN980" s="4" t="s">
        <v>391</v>
      </c>
      <c r="KP980" s="5" t="s">
        <v>358</v>
      </c>
      <c r="KQ980" s="5" t="s">
        <v>3610</v>
      </c>
      <c r="KR980" s="5" t="s">
        <v>3605</v>
      </c>
      <c r="KS980" s="5" t="s">
        <v>3611</v>
      </c>
      <c r="KT980" s="5" t="s">
        <v>3612</v>
      </c>
    </row>
    <row r="981" spans="1:306" ht="60" x14ac:dyDescent="0.2">
      <c r="A981" s="5" t="s">
        <v>3819</v>
      </c>
      <c r="B981" s="4" t="s">
        <v>364</v>
      </c>
      <c r="C981" s="7" t="s">
        <v>549</v>
      </c>
      <c r="D981" s="8" t="s">
        <v>550</v>
      </c>
      <c r="E981" s="44">
        <v>859609</v>
      </c>
      <c r="F981" s="4">
        <v>1131618</v>
      </c>
      <c r="G981" s="4" t="s">
        <v>427</v>
      </c>
      <c r="H981" s="6">
        <v>152.03519679499999</v>
      </c>
      <c r="I981" s="6">
        <v>-30.747349466999999</v>
      </c>
      <c r="J981" s="4" t="s">
        <v>3819</v>
      </c>
      <c r="K981" s="4" t="s">
        <v>298</v>
      </c>
      <c r="L981" s="4" t="s">
        <v>552</v>
      </c>
      <c r="M981" s="4" t="s">
        <v>3820</v>
      </c>
      <c r="Q981" s="8"/>
      <c r="R981" s="8"/>
      <c r="Z981" s="4" t="s">
        <v>364</v>
      </c>
      <c r="AA981" s="7" t="s">
        <v>549</v>
      </c>
      <c r="AB981" s="8" t="s">
        <v>550</v>
      </c>
      <c r="AC981" s="4" t="s">
        <v>301</v>
      </c>
      <c r="AD981" s="4" t="s">
        <v>375</v>
      </c>
      <c r="AE981" s="8">
        <f>(299+273)/2</f>
        <v>286</v>
      </c>
      <c r="AF981" s="8">
        <f>(299-273)/2</f>
        <v>13</v>
      </c>
      <c r="AG981" s="9" t="s">
        <v>379</v>
      </c>
      <c r="AH981" s="9" t="s">
        <v>372</v>
      </c>
      <c r="AJ981" s="9" t="s">
        <v>3821</v>
      </c>
      <c r="AM981" s="8">
        <v>3</v>
      </c>
      <c r="AN981" s="4" t="s">
        <v>381</v>
      </c>
      <c r="AO981" s="4" t="s">
        <v>402</v>
      </c>
      <c r="AP981" s="4" t="s">
        <v>383</v>
      </c>
      <c r="AQ981" s="7" t="s">
        <v>384</v>
      </c>
      <c r="AR981" s="8" t="s">
        <v>1048</v>
      </c>
      <c r="AS981" s="7">
        <v>0</v>
      </c>
      <c r="AT981" s="7">
        <v>0</v>
      </c>
      <c r="AU981" s="9" t="s">
        <v>303</v>
      </c>
      <c r="AV981" s="9" t="s">
        <v>406</v>
      </c>
      <c r="BA981" s="8">
        <v>5</v>
      </c>
      <c r="BP981" s="7">
        <f>0.84+0.016</f>
        <v>0.85599999999999998</v>
      </c>
      <c r="BQ981" s="9"/>
      <c r="BR981" s="7">
        <f>(1.75*0.016+0.4*0.84)/(0.016+0.84)</f>
        <v>0.42523364485981313</v>
      </c>
      <c r="BS981" s="7">
        <f>(31.5*0.016+3.7*0.84)/(0.016+0.84)</f>
        <v>4.2196261682242993</v>
      </c>
      <c r="BT981" s="7">
        <f>(20*0.016+1.5*0.84)/(0.016+0.84)</f>
        <v>1.8457943925233646</v>
      </c>
      <c r="BU981" s="8">
        <f>(1130*0.016+30*0.84)/(0.016+0.84)</f>
        <v>50.560747663551403</v>
      </c>
      <c r="BV981" s="7">
        <v>0.1</v>
      </c>
      <c r="DZ981" s="31"/>
      <c r="EH981" s="10">
        <f>BP981*BR981/100</f>
        <v>3.6400000000000004E-3</v>
      </c>
      <c r="EI981" s="10">
        <f>BP981*BS981/100</f>
        <v>3.6119999999999999E-2</v>
      </c>
      <c r="EJ981" s="10">
        <f>BP981*BT981/100</f>
        <v>1.5800000000000002E-2</v>
      </c>
      <c r="EK981" s="10">
        <f>BP981*BU981/1000</f>
        <v>4.3279999999999999E-2</v>
      </c>
      <c r="EL981" s="9">
        <f t="shared" si="34"/>
        <v>8.5600000000000009E-2</v>
      </c>
      <c r="EY981" s="6"/>
      <c r="FA981" s="6"/>
      <c r="GP981" s="32"/>
      <c r="GY981" s="6" t="s">
        <v>435</v>
      </c>
      <c r="GZ981" s="6" t="s">
        <v>1049</v>
      </c>
      <c r="HA981" s="6" t="s">
        <v>3822</v>
      </c>
      <c r="HB981" s="6" t="s">
        <v>436</v>
      </c>
      <c r="HC981" s="6" t="s">
        <v>627</v>
      </c>
      <c r="HD981" s="8" t="s">
        <v>3823</v>
      </c>
      <c r="HE981" s="8">
        <v>37319</v>
      </c>
      <c r="HF981" s="8" t="s">
        <v>3824</v>
      </c>
      <c r="HG981" s="8" t="s">
        <v>766</v>
      </c>
      <c r="HY981" s="9"/>
      <c r="IB981" s="8" t="s">
        <v>3823</v>
      </c>
      <c r="IC981" s="8">
        <v>37319</v>
      </c>
      <c r="ID981" s="8" t="s">
        <v>3824</v>
      </c>
      <c r="IE981" s="8" t="s">
        <v>766</v>
      </c>
      <c r="IF981" s="8" t="s">
        <v>319</v>
      </c>
      <c r="IW981" s="8"/>
      <c r="JB981" s="8"/>
      <c r="JV981" s="7" t="s">
        <v>3825</v>
      </c>
      <c r="JW981" s="7" t="s">
        <v>352</v>
      </c>
      <c r="JX981" s="7" t="s">
        <v>320</v>
      </c>
      <c r="KG981" s="4" t="s">
        <v>323</v>
      </c>
      <c r="KM981" s="4" t="s">
        <v>391</v>
      </c>
      <c r="KN981" s="4" t="s">
        <v>391</v>
      </c>
      <c r="KO981" s="4" t="s">
        <v>350</v>
      </c>
      <c r="KP981" s="5" t="s">
        <v>3826</v>
      </c>
      <c r="KQ981" s="5" t="s">
        <v>3827</v>
      </c>
      <c r="KS981" s="5" t="s">
        <v>3828</v>
      </c>
      <c r="KT981" s="5" t="s">
        <v>3829</v>
      </c>
    </row>
    <row r="982" spans="1:306" ht="120" x14ac:dyDescent="0.25">
      <c r="A982" s="5" t="s">
        <v>3838</v>
      </c>
      <c r="B982" s="4" t="s">
        <v>364</v>
      </c>
      <c r="C982" s="7" t="s">
        <v>549</v>
      </c>
      <c r="D982" s="8" t="s">
        <v>550</v>
      </c>
      <c r="E982" s="4">
        <v>336028</v>
      </c>
      <c r="G982" s="4" t="s">
        <v>479</v>
      </c>
      <c r="H982" s="6">
        <v>146.21250000000001</v>
      </c>
      <c r="I982" s="6">
        <v>-20.353100000000001</v>
      </c>
      <c r="J982" s="4" t="s">
        <v>3839</v>
      </c>
      <c r="K982" s="4" t="s">
        <v>298</v>
      </c>
      <c r="L982" s="4" t="s">
        <v>760</v>
      </c>
      <c r="M982" s="4" t="s">
        <v>1047</v>
      </c>
      <c r="Q982" s="8"/>
      <c r="R982" s="8"/>
      <c r="Z982" s="4" t="s">
        <v>364</v>
      </c>
      <c r="AA982" s="7" t="s">
        <v>549</v>
      </c>
      <c r="AB982" s="8" t="s">
        <v>550</v>
      </c>
      <c r="AC982" s="4" t="s">
        <v>301</v>
      </c>
      <c r="AD982" s="4" t="s">
        <v>375</v>
      </c>
      <c r="AE982" s="8">
        <v>479</v>
      </c>
      <c r="AF982" s="8">
        <v>5</v>
      </c>
      <c r="AG982" s="9" t="s">
        <v>379</v>
      </c>
      <c r="AH982" s="9" t="s">
        <v>372</v>
      </c>
      <c r="AI982" s="9" t="s">
        <v>373</v>
      </c>
      <c r="AJ982" s="9" t="s">
        <v>306</v>
      </c>
      <c r="AK982" s="9" t="s">
        <v>307</v>
      </c>
      <c r="AL982" s="9" t="s">
        <v>337</v>
      </c>
      <c r="AM982" s="8">
        <v>4</v>
      </c>
      <c r="AN982" s="4" t="s">
        <v>381</v>
      </c>
      <c r="AO982" s="4" t="s">
        <v>402</v>
      </c>
      <c r="AP982" s="4" t="s">
        <v>383</v>
      </c>
      <c r="AQ982" s="7" t="s">
        <v>384</v>
      </c>
      <c r="AR982" s="8" t="s">
        <v>1048</v>
      </c>
      <c r="AS982" s="7">
        <v>0</v>
      </c>
      <c r="AT982" s="7">
        <v>0</v>
      </c>
      <c r="AU982" s="9" t="s">
        <v>303</v>
      </c>
      <c r="AV982" s="9" t="s">
        <v>406</v>
      </c>
      <c r="BA982" s="8">
        <v>5</v>
      </c>
      <c r="BP982" s="7">
        <v>1</v>
      </c>
      <c r="BQ982" s="7"/>
      <c r="BR982" s="7">
        <v>0.6</v>
      </c>
      <c r="BS982" s="7">
        <v>10</v>
      </c>
      <c r="BT982" s="7">
        <v>0.4</v>
      </c>
      <c r="BU982" s="8">
        <v>8</v>
      </c>
      <c r="BV982" s="7">
        <v>0.2</v>
      </c>
      <c r="BW982" s="7"/>
      <c r="BX982" s="7"/>
      <c r="BY982" s="7"/>
      <c r="BZ982" s="7"/>
      <c r="CA982" s="7"/>
      <c r="CB982" s="7"/>
      <c r="CC982" s="7"/>
      <c r="CD982" s="7"/>
      <c r="CE982" s="7"/>
      <c r="CF982" s="7"/>
      <c r="CG982" s="7"/>
      <c r="CH982" s="7"/>
      <c r="CI982" s="7"/>
      <c r="CJ982" s="7"/>
      <c r="CK982" s="7"/>
      <c r="CL982" s="7"/>
      <c r="CM982" s="7"/>
      <c r="CN982" s="7"/>
      <c r="CO982" s="7"/>
      <c r="CP982" s="7"/>
      <c r="CQ982" s="7"/>
      <c r="CR982" s="7"/>
      <c r="CS982" s="7"/>
      <c r="CT982" s="7"/>
      <c r="CU982" s="7"/>
      <c r="CV982" s="7"/>
      <c r="CW982" s="7"/>
      <c r="CX982" s="7"/>
      <c r="CY982" s="7"/>
      <c r="CZ982" s="7"/>
      <c r="DA982" s="7"/>
      <c r="DB982" s="7"/>
      <c r="DC982" s="7"/>
      <c r="DD982" s="7"/>
      <c r="DE982" s="7"/>
      <c r="DF982" s="7"/>
      <c r="DG982" s="7"/>
      <c r="DH982" s="7"/>
      <c r="DI982" s="7"/>
      <c r="DJ982" s="7"/>
      <c r="DK982" s="7"/>
      <c r="DL982" s="7"/>
      <c r="DM982" s="7"/>
      <c r="DN982" s="7"/>
      <c r="DO982" s="7"/>
      <c r="DP982" s="7"/>
      <c r="DQ982" s="7"/>
      <c r="DR982" s="7"/>
      <c r="DS982" s="7"/>
      <c r="DT982" s="7"/>
      <c r="DU982" s="7"/>
      <c r="DV982" s="7"/>
      <c r="DW982" s="7"/>
      <c r="DX982" s="7"/>
      <c r="DY982" s="7"/>
      <c r="DZ982" s="31"/>
      <c r="EA982" s="7"/>
      <c r="EB982" s="7"/>
      <c r="EC982" s="7"/>
      <c r="ED982" s="7"/>
      <c r="EE982" s="7"/>
      <c r="EF982" s="7"/>
      <c r="EG982" s="7"/>
      <c r="EH982" s="10">
        <f>BP982*BR982/100</f>
        <v>6.0000000000000001E-3</v>
      </c>
      <c r="EI982" s="10">
        <f>BP982*BS982/100</f>
        <v>0.1</v>
      </c>
      <c r="EJ982" s="10">
        <f>BP982*BT982/100</f>
        <v>4.0000000000000001E-3</v>
      </c>
      <c r="EK982" s="10">
        <f>BP982*BU982/1000</f>
        <v>8.0000000000000002E-3</v>
      </c>
      <c r="EL982" s="6">
        <f t="shared" si="34"/>
        <v>0.2</v>
      </c>
      <c r="EY982" s="6"/>
      <c r="FA982" s="6"/>
      <c r="GP982" s="32"/>
      <c r="GY982" s="6" t="s">
        <v>309</v>
      </c>
      <c r="GZ982" s="6" t="s">
        <v>1049</v>
      </c>
      <c r="HA982" s="6" t="s">
        <v>994</v>
      </c>
      <c r="HB982" s="6" t="s">
        <v>1050</v>
      </c>
      <c r="HC982" s="6" t="s">
        <v>627</v>
      </c>
      <c r="HD982" s="8" t="s">
        <v>3840</v>
      </c>
      <c r="HE982" s="8">
        <v>24044</v>
      </c>
      <c r="HF982" s="8" t="s">
        <v>3841</v>
      </c>
      <c r="HG982" s="9" t="s">
        <v>466</v>
      </c>
      <c r="HY982" s="9"/>
      <c r="IB982" s="8" t="s">
        <v>3840</v>
      </c>
      <c r="IC982" s="8">
        <v>24044</v>
      </c>
      <c r="ID982" s="8" t="s">
        <v>3841</v>
      </c>
      <c r="IE982" s="9" t="s">
        <v>466</v>
      </c>
      <c r="IF982" s="8" t="s">
        <v>319</v>
      </c>
      <c r="IR982" s="9"/>
      <c r="JV982" s="7" t="s">
        <v>3825</v>
      </c>
      <c r="JW982" s="7" t="s">
        <v>352</v>
      </c>
      <c r="JX982" s="7" t="s">
        <v>320</v>
      </c>
      <c r="KG982" s="4" t="s">
        <v>356</v>
      </c>
      <c r="KH982" s="4" t="s">
        <v>1317</v>
      </c>
      <c r="KM982" s="4" t="s">
        <v>391</v>
      </c>
      <c r="KN982" s="4" t="s">
        <v>391</v>
      </c>
      <c r="KO982" s="4" t="s">
        <v>350</v>
      </c>
      <c r="KP982" s="5" t="s">
        <v>358</v>
      </c>
      <c r="KQ982" s="5" t="s">
        <v>3842</v>
      </c>
      <c r="KR982" s="5" t="s">
        <v>3843</v>
      </c>
      <c r="KS982" s="5" t="s">
        <v>1058</v>
      </c>
      <c r="KT982" s="5" t="s">
        <v>3844</v>
      </c>
    </row>
    <row r="983" spans="1:306" ht="132" x14ac:dyDescent="0.25">
      <c r="A983" s="5" t="s">
        <v>3935</v>
      </c>
      <c r="B983" s="4" t="s">
        <v>364</v>
      </c>
      <c r="C983" s="7" t="s">
        <v>549</v>
      </c>
      <c r="D983" s="8" t="s">
        <v>550</v>
      </c>
      <c r="E983" s="4">
        <v>334055</v>
      </c>
      <c r="G983" s="4" t="s">
        <v>296</v>
      </c>
      <c r="H983" s="6">
        <v>145.72519</v>
      </c>
      <c r="I983" s="6">
        <v>-41.578009999999999</v>
      </c>
      <c r="J983" s="4" t="s">
        <v>3936</v>
      </c>
      <c r="K983" s="4" t="s">
        <v>298</v>
      </c>
      <c r="L983" s="4" t="s">
        <v>400</v>
      </c>
      <c r="M983" s="4" t="s">
        <v>401</v>
      </c>
      <c r="Q983" s="7"/>
      <c r="R983" s="7"/>
      <c r="Z983" s="4" t="s">
        <v>364</v>
      </c>
      <c r="AA983" s="7" t="s">
        <v>549</v>
      </c>
      <c r="AB983" s="8" t="s">
        <v>550</v>
      </c>
      <c r="AC983" s="4" t="s">
        <v>301</v>
      </c>
      <c r="AD983" s="4" t="s">
        <v>302</v>
      </c>
      <c r="AE983" s="7">
        <v>500.43000000000006</v>
      </c>
      <c r="AF983" s="7">
        <v>0.97000000000000008</v>
      </c>
      <c r="AG983" s="9" t="s">
        <v>379</v>
      </c>
      <c r="AH983" s="9" t="s">
        <v>372</v>
      </c>
      <c r="AI983" s="9" t="s">
        <v>373</v>
      </c>
      <c r="AJ983" s="9" t="s">
        <v>306</v>
      </c>
      <c r="AK983" s="9" t="s">
        <v>307</v>
      </c>
      <c r="AL983" s="9" t="s">
        <v>1295</v>
      </c>
      <c r="AM983" s="8">
        <v>4</v>
      </c>
      <c r="BP983" s="7">
        <f>16.9+0.8</f>
        <v>17.7</v>
      </c>
      <c r="BQ983" s="7"/>
      <c r="BR983" s="7">
        <f>(0.4*16.9+0.4*0.8)/(16.9+0.8)</f>
        <v>0.4</v>
      </c>
      <c r="BS983" s="7">
        <f>(13.8*16.9+9.9*0.8)/(16.9+0.8)</f>
        <v>13.623728813559321</v>
      </c>
      <c r="BT983" s="7">
        <f>(7.2*16.9+5.8*0.8)/(16.9+0.8)</f>
        <v>7.1367231638418076</v>
      </c>
      <c r="BU983" s="8">
        <f>(167*16.9+137*0.8)/(16.9+0.8)</f>
        <v>165.64406779661016</v>
      </c>
      <c r="BV983" s="7">
        <f>(2.5*16.9+2.5*0.8)/(16.9+0.8)</f>
        <v>2.5</v>
      </c>
      <c r="DZ983" s="31"/>
      <c r="EH983" s="10">
        <f>BP983*BR983/100</f>
        <v>7.0800000000000002E-2</v>
      </c>
      <c r="EI983" s="10">
        <f>BP983*BS983/100</f>
        <v>2.4114</v>
      </c>
      <c r="EJ983" s="10">
        <f>BP983*BT983/100</f>
        <v>1.2631999999999999</v>
      </c>
      <c r="EK983" s="10">
        <f>BP983*BU983/1000</f>
        <v>2.9318999999999997</v>
      </c>
      <c r="EL983" s="6">
        <f t="shared" si="34"/>
        <v>44.25</v>
      </c>
      <c r="EY983" s="6"/>
      <c r="FA983" s="6"/>
      <c r="GP983" s="32"/>
      <c r="GY983" s="6" t="s">
        <v>309</v>
      </c>
      <c r="GZ983" s="6" t="s">
        <v>461</v>
      </c>
      <c r="HA983" s="6" t="s">
        <v>1432</v>
      </c>
      <c r="HB983" s="6" t="s">
        <v>994</v>
      </c>
      <c r="HC983" s="6" t="s">
        <v>627</v>
      </c>
      <c r="HD983" s="8" t="s">
        <v>3937</v>
      </c>
      <c r="HE983" s="8">
        <v>30220</v>
      </c>
      <c r="HF983" s="8" t="s">
        <v>3938</v>
      </c>
      <c r="HG983" s="9" t="s">
        <v>2870</v>
      </c>
      <c r="HQ983" s="9"/>
      <c r="HY983" s="9"/>
      <c r="IB983" s="8" t="s">
        <v>3939</v>
      </c>
      <c r="IC983" s="8">
        <v>30220</v>
      </c>
      <c r="ID983" s="8" t="s">
        <v>3940</v>
      </c>
      <c r="IE983" s="9" t="s">
        <v>2870</v>
      </c>
      <c r="IF983" s="8" t="s">
        <v>319</v>
      </c>
      <c r="IM983" s="9"/>
      <c r="IR983" s="9"/>
      <c r="JV983" s="7" t="s">
        <v>3941</v>
      </c>
      <c r="JW983" s="7" t="s">
        <v>352</v>
      </c>
      <c r="JX983" s="7" t="s">
        <v>320</v>
      </c>
      <c r="JY983" s="7" t="s">
        <v>448</v>
      </c>
      <c r="JZ983" s="7" t="s">
        <v>322</v>
      </c>
      <c r="KG983" s="4" t="s">
        <v>356</v>
      </c>
      <c r="KH983" s="4" t="s">
        <v>357</v>
      </c>
      <c r="KM983" s="4" t="s">
        <v>3942</v>
      </c>
      <c r="KN983" s="4" t="s">
        <v>3942</v>
      </c>
      <c r="KO983" s="4" t="s">
        <v>350</v>
      </c>
      <c r="KP983" s="18" t="s">
        <v>3943</v>
      </c>
      <c r="KQ983" s="5" t="s">
        <v>3944</v>
      </c>
      <c r="KR983" s="5" t="s">
        <v>3945</v>
      </c>
      <c r="KS983" s="5" t="s">
        <v>3946</v>
      </c>
      <c r="KT983" s="5" t="s">
        <v>3947</v>
      </c>
    </row>
    <row r="984" spans="1:306" ht="120" x14ac:dyDescent="0.25">
      <c r="A984" s="5" t="s">
        <v>3954</v>
      </c>
      <c r="B984" s="4" t="s">
        <v>364</v>
      </c>
      <c r="C984" s="7" t="s">
        <v>549</v>
      </c>
      <c r="D984" s="8" t="s">
        <v>550</v>
      </c>
      <c r="E984" s="4">
        <v>334379</v>
      </c>
      <c r="G984" s="4" t="s">
        <v>296</v>
      </c>
      <c r="H984" s="6">
        <v>145.55833000000001</v>
      </c>
      <c r="I984" s="6">
        <v>-41.863889999999998</v>
      </c>
      <c r="J984" s="4" t="s">
        <v>3936</v>
      </c>
      <c r="K984" s="4" t="s">
        <v>298</v>
      </c>
      <c r="L984" s="4" t="s">
        <v>400</v>
      </c>
      <c r="M984" s="4" t="s">
        <v>401</v>
      </c>
      <c r="Q984" s="7"/>
      <c r="R984" s="7"/>
      <c r="Z984" s="4" t="s">
        <v>364</v>
      </c>
      <c r="AA984" s="7" t="s">
        <v>549</v>
      </c>
      <c r="AB984" s="8" t="s">
        <v>550</v>
      </c>
      <c r="AC984" s="4" t="s">
        <v>301</v>
      </c>
      <c r="AD984" s="4" t="s">
        <v>302</v>
      </c>
      <c r="AE984" s="7">
        <v>496</v>
      </c>
      <c r="AF984" s="7">
        <v>0.9</v>
      </c>
      <c r="AG984" s="9" t="s">
        <v>379</v>
      </c>
      <c r="AH984" s="9" t="s">
        <v>372</v>
      </c>
      <c r="AI984" s="9" t="s">
        <v>373</v>
      </c>
      <c r="AJ984" s="9" t="s">
        <v>306</v>
      </c>
      <c r="AK984" s="9" t="s">
        <v>307</v>
      </c>
      <c r="AL984" s="9" t="s">
        <v>1295</v>
      </c>
      <c r="AM984" s="8">
        <v>4</v>
      </c>
      <c r="AN984" s="4" t="s">
        <v>301</v>
      </c>
      <c r="AO984" s="4" t="s">
        <v>375</v>
      </c>
      <c r="AP984" s="4" t="s">
        <v>476</v>
      </c>
      <c r="AQ984" s="7" t="s">
        <v>477</v>
      </c>
      <c r="AR984" s="8" t="s">
        <v>2770</v>
      </c>
      <c r="AS984" s="8">
        <v>491</v>
      </c>
      <c r="AU984" s="9" t="s">
        <v>379</v>
      </c>
      <c r="AV984" s="9" t="s">
        <v>1156</v>
      </c>
      <c r="BA984" s="8">
        <v>3</v>
      </c>
      <c r="BP984" s="7">
        <f>4.8+0.215504+2.6</f>
        <v>7.6155039999999996</v>
      </c>
      <c r="BV984" s="7">
        <f>(8.9*4.8+3.9*0.215504+4.3*2.6)/(4.8+0.215504+2.6)</f>
        <v>7.1880292624099473</v>
      </c>
      <c r="BW984" s="7"/>
      <c r="BX984" s="7"/>
      <c r="BY984" s="7"/>
      <c r="BZ984" s="7"/>
      <c r="CA984" s="7"/>
      <c r="CB984" s="7"/>
      <c r="CC984" s="7"/>
      <c r="CD984" s="7"/>
      <c r="CE984" s="7"/>
      <c r="CF984" s="7"/>
      <c r="CG984" s="7"/>
      <c r="CH984" s="7"/>
      <c r="CI984" s="7"/>
      <c r="CJ984" s="7"/>
      <c r="CK984" s="7"/>
      <c r="CL984" s="7"/>
      <c r="CM984" s="7"/>
      <c r="CN984" s="7"/>
      <c r="CO984" s="7"/>
      <c r="CP984" s="7"/>
      <c r="CQ984" s="7"/>
      <c r="CR984" s="7"/>
      <c r="CS984" s="7"/>
      <c r="CT984" s="7"/>
      <c r="CU984" s="7"/>
      <c r="CV984" s="7"/>
      <c r="CW984" s="7"/>
      <c r="CX984" s="7"/>
      <c r="CY984" s="7"/>
      <c r="CZ984" s="7"/>
      <c r="DA984" s="7"/>
      <c r="DB984" s="7"/>
      <c r="DC984" s="7"/>
      <c r="DD984" s="7"/>
      <c r="DE984" s="7"/>
      <c r="DF984" s="7"/>
      <c r="DG984" s="7"/>
      <c r="DH984" s="7"/>
      <c r="DI984" s="7"/>
      <c r="DJ984" s="7"/>
      <c r="DK984" s="7"/>
      <c r="DL984" s="7"/>
      <c r="DM984" s="7"/>
      <c r="DN984" s="7"/>
      <c r="DO984" s="7"/>
      <c r="DP984" s="7"/>
      <c r="DQ984" s="7"/>
      <c r="DR984" s="7"/>
      <c r="DS984" s="7"/>
      <c r="DT984" s="7"/>
      <c r="DU984" s="7"/>
      <c r="DV984" s="7"/>
      <c r="DW984" s="7"/>
      <c r="DX984" s="7"/>
      <c r="DY984" s="7"/>
      <c r="DZ984" s="31"/>
      <c r="EA984" s="7"/>
      <c r="EB984" s="7"/>
      <c r="EC984" s="7"/>
      <c r="ED984" s="7"/>
      <c r="EE984" s="7"/>
      <c r="EF984" s="7"/>
      <c r="EG984" s="7"/>
      <c r="EL984" s="6">
        <f t="shared" si="34"/>
        <v>54.7404656</v>
      </c>
      <c r="EY984" s="6"/>
      <c r="FA984" s="6"/>
      <c r="GP984" s="32"/>
      <c r="GY984" s="6" t="s">
        <v>435</v>
      </c>
      <c r="GZ984" s="6" t="s">
        <v>436</v>
      </c>
      <c r="HC984" s="6" t="s">
        <v>627</v>
      </c>
      <c r="HD984" s="8" t="s">
        <v>3955</v>
      </c>
      <c r="HE984" s="8">
        <v>29473</v>
      </c>
      <c r="HF984" s="8" t="s">
        <v>3956</v>
      </c>
      <c r="HG984" s="9" t="s">
        <v>2870</v>
      </c>
      <c r="HQ984" s="9"/>
      <c r="HY984" s="9"/>
      <c r="IB984" s="8" t="s">
        <v>3957</v>
      </c>
      <c r="IC984" s="8">
        <v>29473</v>
      </c>
      <c r="ID984" s="8" t="s">
        <v>3958</v>
      </c>
      <c r="IE984" s="9" t="s">
        <v>2870</v>
      </c>
      <c r="IF984" s="8" t="s">
        <v>1578</v>
      </c>
      <c r="IM984" s="9"/>
      <c r="IR984" s="9"/>
      <c r="JV984" s="7" t="s">
        <v>3959</v>
      </c>
      <c r="JW984" s="7" t="s">
        <v>3960</v>
      </c>
      <c r="JX984" s="7" t="s">
        <v>320</v>
      </c>
      <c r="KG984" s="4" t="s">
        <v>323</v>
      </c>
      <c r="KM984" s="4" t="s">
        <v>391</v>
      </c>
      <c r="KN984" s="4" t="s">
        <v>391</v>
      </c>
      <c r="KO984" s="4" t="s">
        <v>350</v>
      </c>
      <c r="KP984" s="18" t="s">
        <v>3961</v>
      </c>
      <c r="KQ984" s="5" t="s">
        <v>3962</v>
      </c>
      <c r="KR984" s="5" t="s">
        <v>3945</v>
      </c>
      <c r="KS984" s="5" t="s">
        <v>3963</v>
      </c>
      <c r="KT984" s="5" t="s">
        <v>3964</v>
      </c>
    </row>
    <row r="985" spans="1:306" ht="132" x14ac:dyDescent="0.25">
      <c r="A985" s="5" t="s">
        <v>3983</v>
      </c>
      <c r="B985" s="4" t="s">
        <v>364</v>
      </c>
      <c r="C985" s="7" t="s">
        <v>549</v>
      </c>
      <c r="D985" s="8" t="s">
        <v>550</v>
      </c>
      <c r="E985" s="4">
        <v>333976</v>
      </c>
      <c r="G985" s="4" t="s">
        <v>296</v>
      </c>
      <c r="H985" s="6">
        <v>145.51660000000001</v>
      </c>
      <c r="I985" s="6">
        <v>-41.840220000000002</v>
      </c>
      <c r="J985" s="4" t="s">
        <v>3936</v>
      </c>
      <c r="K985" s="4" t="s">
        <v>298</v>
      </c>
      <c r="L985" s="4" t="s">
        <v>400</v>
      </c>
      <c r="M985" s="4" t="s">
        <v>401</v>
      </c>
      <c r="Q985" s="7"/>
      <c r="R985" s="7"/>
      <c r="Z985" s="4" t="s">
        <v>364</v>
      </c>
      <c r="AA985" s="7" t="s">
        <v>549</v>
      </c>
      <c r="AB985" s="8" t="s">
        <v>550</v>
      </c>
      <c r="AC985" s="4" t="s">
        <v>301</v>
      </c>
      <c r="AD985" s="4" t="s">
        <v>302</v>
      </c>
      <c r="AE985" s="7">
        <v>502.6</v>
      </c>
      <c r="AF985" s="7">
        <v>0.9</v>
      </c>
      <c r="AG985" s="9" t="s">
        <v>379</v>
      </c>
      <c r="AH985" s="9" t="s">
        <v>372</v>
      </c>
      <c r="AI985" s="9" t="s">
        <v>373</v>
      </c>
      <c r="AJ985" s="9" t="s">
        <v>306</v>
      </c>
      <c r="AK985" s="9" t="s">
        <v>307</v>
      </c>
      <c r="AL985" s="9" t="s">
        <v>1295</v>
      </c>
      <c r="AM985" s="8">
        <v>4</v>
      </c>
      <c r="BP985" s="7">
        <v>3.33</v>
      </c>
      <c r="BR985" s="7">
        <v>0.4</v>
      </c>
      <c r="BS985" s="7">
        <v>17.3</v>
      </c>
      <c r="BT985" s="7">
        <v>5.5</v>
      </c>
      <c r="BU985" s="8">
        <v>171</v>
      </c>
      <c r="BV985" s="7">
        <v>2.8</v>
      </c>
      <c r="BW985" s="7"/>
      <c r="BX985" s="7"/>
      <c r="BY985" s="7"/>
      <c r="BZ985" s="7"/>
      <c r="CA985" s="7"/>
      <c r="CB985" s="7"/>
      <c r="CC985" s="7"/>
      <c r="CD985" s="7"/>
      <c r="CE985" s="7"/>
      <c r="CF985" s="7"/>
      <c r="CG985" s="7"/>
      <c r="CH985" s="7"/>
      <c r="CI985" s="7"/>
      <c r="CJ985" s="7"/>
      <c r="CK985" s="7"/>
      <c r="CL985" s="7"/>
      <c r="CM985" s="7"/>
      <c r="CN985" s="7"/>
      <c r="CO985" s="7"/>
      <c r="CP985" s="7"/>
      <c r="CQ985" s="7"/>
      <c r="CR985" s="7"/>
      <c r="CS985" s="7"/>
      <c r="CT985" s="7"/>
      <c r="CU985" s="7"/>
      <c r="CV985" s="7"/>
      <c r="CW985" s="7"/>
      <c r="CX985" s="7"/>
      <c r="CY985" s="7"/>
      <c r="CZ985" s="7"/>
      <c r="DA985" s="7"/>
      <c r="DB985" s="7"/>
      <c r="DC985" s="7"/>
      <c r="DD985" s="7"/>
      <c r="DE985" s="7"/>
      <c r="DF985" s="7"/>
      <c r="DG985" s="7"/>
      <c r="DH985" s="7"/>
      <c r="DI985" s="7"/>
      <c r="DJ985" s="7"/>
      <c r="DK985" s="7"/>
      <c r="DL985" s="7"/>
      <c r="DM985" s="7"/>
      <c r="DN985" s="7"/>
      <c r="DO985" s="7"/>
      <c r="DP985" s="7"/>
      <c r="DQ985" s="7"/>
      <c r="DR985" s="7"/>
      <c r="DS985" s="7"/>
      <c r="DT985" s="7"/>
      <c r="DU985" s="7"/>
      <c r="DV985" s="7"/>
      <c r="DW985" s="7"/>
      <c r="DX985" s="7"/>
      <c r="DY985" s="7"/>
      <c r="DZ985" s="31"/>
      <c r="EA985" s="7"/>
      <c r="EB985" s="7"/>
      <c r="EC985" s="7"/>
      <c r="ED985" s="7"/>
      <c r="EE985" s="7"/>
      <c r="EF985" s="7"/>
      <c r="EG985" s="7"/>
      <c r="EH985" s="10">
        <f t="shared" ref="EH985:EH991" si="35">BP985*BR985/100</f>
        <v>1.332E-2</v>
      </c>
      <c r="EI985" s="10">
        <f>BP985*BS985/100</f>
        <v>0.57608999999999999</v>
      </c>
      <c r="EJ985" s="10">
        <f>BP985*BT985/100</f>
        <v>0.18315000000000001</v>
      </c>
      <c r="EK985" s="10">
        <f>BP985*BU985/1000</f>
        <v>0.5694300000000001</v>
      </c>
      <c r="EL985" s="6">
        <f t="shared" si="34"/>
        <v>9.3239999999999998</v>
      </c>
      <c r="EY985" s="6"/>
      <c r="FA985" s="6"/>
      <c r="GP985" s="32"/>
      <c r="GY985" s="6" t="s">
        <v>309</v>
      </c>
      <c r="GZ985" s="6" t="s">
        <v>386</v>
      </c>
      <c r="HD985" s="8" t="s">
        <v>3984</v>
      </c>
      <c r="HE985" s="8">
        <v>73318</v>
      </c>
      <c r="HF985" s="8" t="s">
        <v>3985</v>
      </c>
      <c r="HG985" s="9" t="s">
        <v>2870</v>
      </c>
      <c r="HQ985" s="9"/>
      <c r="HY985" s="9"/>
      <c r="IB985" s="8" t="s">
        <v>3984</v>
      </c>
      <c r="IC985" s="8">
        <v>73318</v>
      </c>
      <c r="ID985" s="8" t="s">
        <v>3986</v>
      </c>
      <c r="IE985" s="9" t="s">
        <v>2870</v>
      </c>
      <c r="IF985" s="8" t="s">
        <v>319</v>
      </c>
      <c r="IM985" s="9"/>
      <c r="IR985" s="9"/>
      <c r="JV985" s="7" t="s">
        <v>3987</v>
      </c>
      <c r="JW985" s="7" t="s">
        <v>352</v>
      </c>
      <c r="JX985" s="7" t="s">
        <v>320</v>
      </c>
      <c r="KG985" s="4" t="s">
        <v>356</v>
      </c>
      <c r="KH985" s="4" t="s">
        <v>357</v>
      </c>
      <c r="KM985" s="4" t="s">
        <v>391</v>
      </c>
      <c r="KN985" s="4" t="s">
        <v>391</v>
      </c>
      <c r="KO985" s="4" t="s">
        <v>350</v>
      </c>
      <c r="KP985" s="18" t="s">
        <v>3988</v>
      </c>
      <c r="KQ985" s="5" t="s">
        <v>3989</v>
      </c>
      <c r="KR985" s="5" t="s">
        <v>3945</v>
      </c>
      <c r="KS985" s="5" t="s">
        <v>3990</v>
      </c>
      <c r="KT985" s="5" t="s">
        <v>3991</v>
      </c>
    </row>
    <row r="986" spans="1:306" ht="168" x14ac:dyDescent="0.25">
      <c r="A986" s="5" t="s">
        <v>4009</v>
      </c>
      <c r="B986" s="4" t="s">
        <v>364</v>
      </c>
      <c r="C986" s="7" t="s">
        <v>549</v>
      </c>
      <c r="D986" s="8" t="s">
        <v>550</v>
      </c>
      <c r="E986" s="4">
        <v>335127</v>
      </c>
      <c r="G986" s="4" t="s">
        <v>479</v>
      </c>
      <c r="H986" s="6">
        <v>146.20150000000001</v>
      </c>
      <c r="I986" s="6">
        <v>-20.363299999999999</v>
      </c>
      <c r="J986" s="4" t="s">
        <v>3839</v>
      </c>
      <c r="K986" s="4" t="s">
        <v>298</v>
      </c>
      <c r="L986" s="4" t="s">
        <v>760</v>
      </c>
      <c r="M986" s="4" t="s">
        <v>1047</v>
      </c>
      <c r="Q986" s="8"/>
      <c r="R986" s="8"/>
      <c r="Z986" s="4" t="s">
        <v>364</v>
      </c>
      <c r="AA986" s="7" t="s">
        <v>549</v>
      </c>
      <c r="AB986" s="8" t="s">
        <v>550</v>
      </c>
      <c r="AC986" s="4" t="s">
        <v>301</v>
      </c>
      <c r="AD986" s="4" t="s">
        <v>382</v>
      </c>
      <c r="AE986" s="8">
        <v>479</v>
      </c>
      <c r="AF986" s="8">
        <v>5</v>
      </c>
      <c r="AG986" s="9" t="s">
        <v>379</v>
      </c>
      <c r="AH986" s="9" t="s">
        <v>372</v>
      </c>
      <c r="AI986" s="9" t="s">
        <v>373</v>
      </c>
      <c r="AJ986" s="9" t="s">
        <v>306</v>
      </c>
      <c r="AK986" s="9" t="s">
        <v>307</v>
      </c>
      <c r="AL986" s="9" t="s">
        <v>337</v>
      </c>
      <c r="AM986" s="8">
        <v>4</v>
      </c>
      <c r="AN986" s="4" t="s">
        <v>381</v>
      </c>
      <c r="AO986" s="4" t="s">
        <v>382</v>
      </c>
      <c r="AP986" s="4" t="s">
        <v>383</v>
      </c>
      <c r="AQ986" s="7" t="s">
        <v>384</v>
      </c>
      <c r="AR986" s="8" t="s">
        <v>827</v>
      </c>
      <c r="AS986" s="7">
        <v>0</v>
      </c>
      <c r="AT986" s="7">
        <v>0</v>
      </c>
      <c r="AU986" s="9" t="s">
        <v>303</v>
      </c>
      <c r="AV986" s="9" t="s">
        <v>406</v>
      </c>
      <c r="BA986" s="8">
        <v>5</v>
      </c>
      <c r="BP986" s="7">
        <v>4.0919999999999996</v>
      </c>
      <c r="BQ986" s="7"/>
      <c r="BR986" s="7">
        <v>5.4</v>
      </c>
      <c r="BS986" s="7"/>
      <c r="BT986" s="7"/>
      <c r="BV986" s="7">
        <v>0.7</v>
      </c>
      <c r="BW986" s="7"/>
      <c r="BX986" s="7"/>
      <c r="BY986" s="7"/>
      <c r="BZ986" s="7"/>
      <c r="CA986" s="7"/>
      <c r="CB986" s="7"/>
      <c r="CC986" s="7"/>
      <c r="CD986" s="7"/>
      <c r="CE986" s="7"/>
      <c r="CF986" s="7"/>
      <c r="CG986" s="7"/>
      <c r="CH986" s="7"/>
      <c r="CI986" s="7"/>
      <c r="CJ986" s="7"/>
      <c r="CK986" s="7"/>
      <c r="CL986" s="7"/>
      <c r="CM986" s="7"/>
      <c r="CN986" s="7"/>
      <c r="CO986" s="7"/>
      <c r="CP986" s="7"/>
      <c r="CQ986" s="7"/>
      <c r="CR986" s="7"/>
      <c r="CS986" s="7"/>
      <c r="CT986" s="7"/>
      <c r="CU986" s="7"/>
      <c r="CV986" s="7"/>
      <c r="CW986" s="7"/>
      <c r="CX986" s="7"/>
      <c r="CY986" s="7"/>
      <c r="CZ986" s="7"/>
      <c r="DA986" s="7"/>
      <c r="DB986" s="7"/>
      <c r="DC986" s="7"/>
      <c r="DD986" s="7"/>
      <c r="DE986" s="7"/>
      <c r="DF986" s="7"/>
      <c r="DG986" s="7"/>
      <c r="DH986" s="7"/>
      <c r="DI986" s="7"/>
      <c r="DJ986" s="7"/>
      <c r="DK986" s="7"/>
      <c r="DL986" s="7"/>
      <c r="DM986" s="7"/>
      <c r="DN986" s="7"/>
      <c r="DO986" s="7"/>
      <c r="DP986" s="7"/>
      <c r="DQ986" s="7"/>
      <c r="DR986" s="7"/>
      <c r="DS986" s="7"/>
      <c r="DT986" s="7"/>
      <c r="DU986" s="7"/>
      <c r="DV986" s="7"/>
      <c r="DW986" s="7"/>
      <c r="DX986" s="7"/>
      <c r="DY986" s="7"/>
      <c r="DZ986" s="31"/>
      <c r="EA986" s="7"/>
      <c r="EB986" s="7"/>
      <c r="EC986" s="7"/>
      <c r="ED986" s="7"/>
      <c r="EE986" s="7"/>
      <c r="EF986" s="7"/>
      <c r="EG986" s="7"/>
      <c r="EH986" s="10">
        <f t="shared" si="35"/>
        <v>0.22096799999999997</v>
      </c>
      <c r="EL986" s="6">
        <f t="shared" si="34"/>
        <v>2.8643999999999994</v>
      </c>
      <c r="EY986" s="6"/>
      <c r="FA986" s="6"/>
      <c r="GP986" s="32"/>
      <c r="GY986" s="6" t="s">
        <v>309</v>
      </c>
      <c r="GZ986" s="6" t="s">
        <v>994</v>
      </c>
      <c r="HB986" s="6" t="s">
        <v>436</v>
      </c>
      <c r="HC986" s="6" t="s">
        <v>627</v>
      </c>
      <c r="HD986" s="8" t="s">
        <v>3840</v>
      </c>
      <c r="HE986" s="8">
        <v>24044</v>
      </c>
      <c r="HF986" s="8" t="s">
        <v>4010</v>
      </c>
      <c r="HG986" s="9" t="s">
        <v>466</v>
      </c>
      <c r="HY986" s="9"/>
      <c r="IB986" s="8" t="s">
        <v>3840</v>
      </c>
      <c r="IC986" s="8">
        <v>24044</v>
      </c>
      <c r="ID986" s="8" t="s">
        <v>4010</v>
      </c>
      <c r="IE986" s="9" t="s">
        <v>466</v>
      </c>
      <c r="IF986" s="8" t="s">
        <v>319</v>
      </c>
      <c r="IR986" s="9"/>
      <c r="JV986" s="7" t="s">
        <v>4011</v>
      </c>
      <c r="JW986" s="7" t="s">
        <v>352</v>
      </c>
      <c r="JX986" s="7" t="s">
        <v>320</v>
      </c>
      <c r="JY986" s="7" t="s">
        <v>448</v>
      </c>
      <c r="JZ986" s="7" t="s">
        <v>355</v>
      </c>
      <c r="KG986" s="4" t="s">
        <v>356</v>
      </c>
      <c r="KH986" s="4" t="s">
        <v>1317</v>
      </c>
      <c r="KI986" s="4" t="s">
        <v>1893</v>
      </c>
      <c r="KJ986" s="4" t="s">
        <v>1317</v>
      </c>
      <c r="KM986" s="4" t="s">
        <v>391</v>
      </c>
      <c r="KN986" s="4" t="s">
        <v>391</v>
      </c>
      <c r="KO986" s="4" t="s">
        <v>350</v>
      </c>
      <c r="KP986" s="5" t="s">
        <v>358</v>
      </c>
      <c r="KQ986" s="5" t="s">
        <v>4012</v>
      </c>
      <c r="KR986" s="5" t="s">
        <v>3843</v>
      </c>
      <c r="KS986" s="5" t="s">
        <v>1058</v>
      </c>
      <c r="KT986" s="5" t="s">
        <v>4013</v>
      </c>
    </row>
    <row r="987" spans="1:306" ht="144" x14ac:dyDescent="0.25">
      <c r="A987" s="5" t="s">
        <v>4107</v>
      </c>
      <c r="B987" s="4" t="s">
        <v>364</v>
      </c>
      <c r="C987" s="7" t="s">
        <v>549</v>
      </c>
      <c r="D987" s="8" t="s">
        <v>550</v>
      </c>
      <c r="E987" s="4">
        <v>597284</v>
      </c>
      <c r="G987" s="4" t="s">
        <v>530</v>
      </c>
      <c r="H987" s="6">
        <v>134.15639999999999</v>
      </c>
      <c r="I987" s="6">
        <v>-21.512699999999999</v>
      </c>
      <c r="J987" s="4" t="s">
        <v>4108</v>
      </c>
      <c r="K987" s="4" t="s">
        <v>481</v>
      </c>
      <c r="L987" s="4" t="s">
        <v>1498</v>
      </c>
      <c r="Q987" s="8"/>
      <c r="R987" s="8"/>
      <c r="Z987" s="4" t="s">
        <v>364</v>
      </c>
      <c r="AA987" s="7" t="s">
        <v>549</v>
      </c>
      <c r="AB987" s="8" t="s">
        <v>550</v>
      </c>
      <c r="AC987" s="4" t="s">
        <v>301</v>
      </c>
      <c r="AD987" s="4" t="s">
        <v>375</v>
      </c>
      <c r="AE987" s="8">
        <v>1825</v>
      </c>
      <c r="AF987" s="8"/>
      <c r="AG987" s="9" t="s">
        <v>303</v>
      </c>
      <c r="AH987" s="9" t="s">
        <v>304</v>
      </c>
      <c r="AI987" s="9" t="s">
        <v>1118</v>
      </c>
      <c r="AJ987" s="9" t="s">
        <v>1080</v>
      </c>
      <c r="AK987" s="9" t="s">
        <v>600</v>
      </c>
      <c r="AM987" s="8">
        <v>3</v>
      </c>
      <c r="AN987" s="4" t="s">
        <v>381</v>
      </c>
      <c r="AO987" s="4" t="s">
        <v>402</v>
      </c>
      <c r="AP987" s="4" t="s">
        <v>383</v>
      </c>
      <c r="AQ987" s="7" t="s">
        <v>384</v>
      </c>
      <c r="AR987" s="7" t="s">
        <v>827</v>
      </c>
      <c r="AS987" s="7">
        <v>0</v>
      </c>
      <c r="AT987" s="7">
        <v>0</v>
      </c>
      <c r="AU987" s="9" t="s">
        <v>303</v>
      </c>
      <c r="AV987" s="9" t="s">
        <v>406</v>
      </c>
      <c r="BA987" s="8">
        <v>5</v>
      </c>
      <c r="BP987" s="7">
        <v>3.1</v>
      </c>
      <c r="BQ987" s="7"/>
      <c r="BR987" s="7">
        <v>1.7</v>
      </c>
      <c r="BS987" s="7">
        <v>2</v>
      </c>
      <c r="BT987" s="7">
        <v>1.1000000000000001</v>
      </c>
      <c r="BU987" s="8">
        <v>35</v>
      </c>
      <c r="BV987" s="6">
        <v>0.17</v>
      </c>
      <c r="DZ987" s="31"/>
      <c r="EH987" s="10">
        <f t="shared" si="35"/>
        <v>5.2699999999999997E-2</v>
      </c>
      <c r="EI987" s="10">
        <f t="shared" ref="EI987:EI992" si="36">BP987*BS987/100</f>
        <v>6.2E-2</v>
      </c>
      <c r="EJ987" s="10">
        <f>BP987*BT987/100</f>
        <v>3.4100000000000005E-2</v>
      </c>
      <c r="EK987" s="10">
        <f t="shared" ref="EK987:EK992" si="37">BP987*BU987/1000</f>
        <v>0.1085</v>
      </c>
      <c r="EL987" s="6">
        <f t="shared" si="34"/>
        <v>0.52700000000000002</v>
      </c>
      <c r="EY987" s="6"/>
      <c r="FA987" s="6"/>
      <c r="GP987" s="32"/>
      <c r="GY987" s="6" t="s">
        <v>338</v>
      </c>
      <c r="GZ987" s="6" t="s">
        <v>626</v>
      </c>
      <c r="HA987" s="6" t="s">
        <v>2547</v>
      </c>
      <c r="HB987" s="6" t="s">
        <v>436</v>
      </c>
      <c r="HC987" s="6" t="s">
        <v>627</v>
      </c>
      <c r="HD987" s="8" t="s">
        <v>4109</v>
      </c>
      <c r="HE987" s="8">
        <v>29219</v>
      </c>
      <c r="HF987" s="8" t="s">
        <v>4110</v>
      </c>
      <c r="HG987" s="9" t="s">
        <v>538</v>
      </c>
      <c r="HY987" s="9"/>
      <c r="IB987" s="8" t="s">
        <v>4111</v>
      </c>
      <c r="IC987" s="8">
        <v>29219</v>
      </c>
      <c r="ID987" s="8" t="s">
        <v>4112</v>
      </c>
      <c r="IE987" s="8" t="s">
        <v>538</v>
      </c>
      <c r="IF987" s="8" t="s">
        <v>319</v>
      </c>
      <c r="IW987" s="8"/>
      <c r="JB987" s="8"/>
      <c r="JV987" s="7" t="s">
        <v>783</v>
      </c>
      <c r="JW987" s="7" t="s">
        <v>352</v>
      </c>
      <c r="JX987" s="7" t="s">
        <v>322</v>
      </c>
      <c r="JY987" s="7" t="s">
        <v>448</v>
      </c>
      <c r="JZ987" s="7" t="s">
        <v>320</v>
      </c>
      <c r="KG987" s="4" t="s">
        <v>323</v>
      </c>
      <c r="KM987" s="4" t="s">
        <v>702</v>
      </c>
      <c r="KN987" s="4" t="s">
        <v>702</v>
      </c>
      <c r="KP987" s="5" t="s">
        <v>358</v>
      </c>
      <c r="KQ987" s="5" t="s">
        <v>4113</v>
      </c>
      <c r="KR987" s="5" t="s">
        <v>4114</v>
      </c>
      <c r="KS987" s="5" t="s">
        <v>4115</v>
      </c>
      <c r="KT987" s="5" t="s">
        <v>4116</v>
      </c>
    </row>
    <row r="988" spans="1:306" ht="48" x14ac:dyDescent="0.25">
      <c r="A988" s="5" t="s">
        <v>4242</v>
      </c>
      <c r="B988" s="4" t="s">
        <v>364</v>
      </c>
      <c r="C988" s="7" t="s">
        <v>549</v>
      </c>
      <c r="D988" s="7" t="s">
        <v>550</v>
      </c>
      <c r="E988" s="4">
        <v>342010</v>
      </c>
      <c r="G988" s="4" t="s">
        <v>330</v>
      </c>
      <c r="H988" s="6">
        <v>121.157860101</v>
      </c>
      <c r="I988" s="6">
        <v>-28.444661748000001</v>
      </c>
      <c r="J988" s="4" t="s">
        <v>1294</v>
      </c>
      <c r="K988" s="4" t="s">
        <v>331</v>
      </c>
      <c r="L988" s="4" t="s">
        <v>500</v>
      </c>
      <c r="M988" s="4" t="s">
        <v>501</v>
      </c>
      <c r="N988" s="4" t="s">
        <v>625</v>
      </c>
      <c r="O988" s="7"/>
      <c r="Q988" s="7"/>
      <c r="R988" s="7"/>
      <c r="Z988" s="4" t="s">
        <v>364</v>
      </c>
      <c r="AA988" s="7" t="s">
        <v>549</v>
      </c>
      <c r="AB988" s="7" t="s">
        <v>550</v>
      </c>
      <c r="AC988" s="4" t="s">
        <v>301</v>
      </c>
      <c r="AD988" s="4" t="s">
        <v>302</v>
      </c>
      <c r="AE988" s="7">
        <v>2694.2</v>
      </c>
      <c r="AF988" s="7">
        <v>0.6</v>
      </c>
      <c r="AG988" s="9" t="s">
        <v>379</v>
      </c>
      <c r="AH988" s="9" t="s">
        <v>372</v>
      </c>
      <c r="AI988" s="9" t="s">
        <v>373</v>
      </c>
      <c r="AJ988" s="9" t="s">
        <v>306</v>
      </c>
      <c r="AK988" s="9" t="s">
        <v>307</v>
      </c>
      <c r="AL988" s="9" t="s">
        <v>1295</v>
      </c>
      <c r="AM988" s="8">
        <v>4</v>
      </c>
      <c r="AR988" s="7"/>
      <c r="AS988" s="7"/>
      <c r="AT988" s="7"/>
      <c r="BF988" s="7"/>
      <c r="BG988" s="7"/>
      <c r="BH988" s="7"/>
      <c r="BP988" s="7">
        <v>1.7784450000000001</v>
      </c>
      <c r="BQ988" s="9"/>
      <c r="BR988" s="6">
        <v>2.7</v>
      </c>
      <c r="BS988" s="6">
        <v>7.7</v>
      </c>
      <c r="BU988" s="8">
        <v>87</v>
      </c>
      <c r="DZ988" s="31"/>
      <c r="EH988" s="10">
        <f t="shared" si="35"/>
        <v>4.8018015000000004E-2</v>
      </c>
      <c r="EI988" s="10">
        <f t="shared" si="36"/>
        <v>0.13694026500000001</v>
      </c>
      <c r="EK988" s="10">
        <f t="shared" si="37"/>
        <v>0.15472471500000001</v>
      </c>
      <c r="FA988" s="6"/>
      <c r="GP988" s="32"/>
      <c r="GY988" s="31" t="s">
        <v>407</v>
      </c>
      <c r="GZ988" s="6" t="s">
        <v>626</v>
      </c>
      <c r="HA988" s="6" t="s">
        <v>462</v>
      </c>
      <c r="HC988" s="6" t="s">
        <v>627</v>
      </c>
      <c r="HD988" s="8" t="s">
        <v>1296</v>
      </c>
      <c r="HE988" s="8">
        <v>40778</v>
      </c>
      <c r="HF988" s="8" t="s">
        <v>1297</v>
      </c>
      <c r="HG988" s="9" t="s">
        <v>507</v>
      </c>
      <c r="IB988" s="8" t="s">
        <v>1296</v>
      </c>
      <c r="IC988" s="8">
        <v>40778</v>
      </c>
      <c r="ID988" s="8" t="s">
        <v>1298</v>
      </c>
      <c r="IE988" s="8" t="s">
        <v>507</v>
      </c>
      <c r="IF988" s="8" t="s">
        <v>445</v>
      </c>
      <c r="IG988" s="8" t="s">
        <v>1296</v>
      </c>
      <c r="IH988" s="8">
        <v>40778</v>
      </c>
      <c r="II988" s="8" t="s">
        <v>1299</v>
      </c>
      <c r="IJ988" s="8" t="s">
        <v>507</v>
      </c>
      <c r="IK988" s="8" t="s">
        <v>445</v>
      </c>
      <c r="IL988" s="8" t="s">
        <v>1296</v>
      </c>
      <c r="IM988" s="8">
        <v>40778</v>
      </c>
      <c r="IN988" s="8" t="s">
        <v>1300</v>
      </c>
      <c r="IO988" s="8" t="s">
        <v>507</v>
      </c>
      <c r="IP988" s="8" t="s">
        <v>350</v>
      </c>
      <c r="IQ988" s="8" t="s">
        <v>1296</v>
      </c>
      <c r="IR988" s="8">
        <v>40778</v>
      </c>
      <c r="IS988" s="8" t="s">
        <v>1301</v>
      </c>
      <c r="IT988" s="8" t="s">
        <v>507</v>
      </c>
      <c r="IU988" s="8" t="s">
        <v>350</v>
      </c>
      <c r="IV988" s="8" t="s">
        <v>1296</v>
      </c>
      <c r="IW988" s="8">
        <v>40778</v>
      </c>
      <c r="IX988" s="8" t="s">
        <v>1302</v>
      </c>
      <c r="IY988" s="8" t="s">
        <v>507</v>
      </c>
      <c r="IZ988" s="8" t="s">
        <v>350</v>
      </c>
      <c r="JC988" s="9" t="s">
        <v>658</v>
      </c>
      <c r="JD988" s="9" t="s">
        <v>1303</v>
      </c>
      <c r="JE988" s="9" t="s">
        <v>350</v>
      </c>
      <c r="JV988" s="7" t="s">
        <v>4243</v>
      </c>
      <c r="JW988" s="7" t="s">
        <v>1305</v>
      </c>
      <c r="JX988" s="7" t="s">
        <v>320</v>
      </c>
      <c r="JY988" s="7" t="s">
        <v>354</v>
      </c>
      <c r="JZ988" s="7" t="s">
        <v>322</v>
      </c>
      <c r="KA988" s="7" t="s">
        <v>448</v>
      </c>
      <c r="KB988" s="7" t="s">
        <v>353</v>
      </c>
      <c r="KG988" s="4" t="s">
        <v>323</v>
      </c>
      <c r="KM988" s="4" t="s">
        <v>391</v>
      </c>
      <c r="KN988" s="4" t="s">
        <v>391</v>
      </c>
      <c r="KP988" s="5" t="s">
        <v>1306</v>
      </c>
      <c r="KQ988" s="5" t="s">
        <v>4244</v>
      </c>
      <c r="KR988" s="5" t="s">
        <v>4245</v>
      </c>
      <c r="KS988" s="5" t="s">
        <v>1306</v>
      </c>
      <c r="KT988" s="5" t="s">
        <v>4246</v>
      </c>
    </row>
    <row r="989" spans="1:306" ht="180" x14ac:dyDescent="0.25">
      <c r="A989" s="5" t="s">
        <v>4889</v>
      </c>
      <c r="B989" s="4" t="s">
        <v>364</v>
      </c>
      <c r="C989" s="7" t="s">
        <v>549</v>
      </c>
      <c r="D989" s="8" t="s">
        <v>550</v>
      </c>
      <c r="E989" s="4">
        <v>333301</v>
      </c>
      <c r="G989" s="4" t="s">
        <v>479</v>
      </c>
      <c r="H989" s="6">
        <v>146.06780000000001</v>
      </c>
      <c r="I989" s="6">
        <v>-20.409500000000001</v>
      </c>
      <c r="J989" s="4" t="s">
        <v>3839</v>
      </c>
      <c r="K989" s="4" t="s">
        <v>298</v>
      </c>
      <c r="L989" s="4" t="s">
        <v>760</v>
      </c>
      <c r="M989" s="4" t="s">
        <v>1047</v>
      </c>
      <c r="Q989" s="8"/>
      <c r="R989" s="8"/>
      <c r="Z989" s="4" t="s">
        <v>364</v>
      </c>
      <c r="AA989" s="7" t="s">
        <v>549</v>
      </c>
      <c r="AB989" s="8" t="s">
        <v>550</v>
      </c>
      <c r="AC989" s="4" t="s">
        <v>301</v>
      </c>
      <c r="AD989" s="4" t="s">
        <v>375</v>
      </c>
      <c r="AE989" s="8">
        <v>479</v>
      </c>
      <c r="AF989" s="8">
        <v>5</v>
      </c>
      <c r="AG989" s="9" t="s">
        <v>379</v>
      </c>
      <c r="AH989" s="9" t="s">
        <v>372</v>
      </c>
      <c r="AI989" s="9" t="s">
        <v>373</v>
      </c>
      <c r="AJ989" s="9" t="s">
        <v>306</v>
      </c>
      <c r="AK989" s="9" t="s">
        <v>307</v>
      </c>
      <c r="AL989" s="9" t="s">
        <v>337</v>
      </c>
      <c r="AM989" s="8">
        <v>4</v>
      </c>
      <c r="AN989" s="4" t="s">
        <v>381</v>
      </c>
      <c r="AO989" s="4" t="s">
        <v>402</v>
      </c>
      <c r="AP989" s="4" t="s">
        <v>383</v>
      </c>
      <c r="AQ989" s="7" t="s">
        <v>384</v>
      </c>
      <c r="AR989" s="8" t="s">
        <v>1048</v>
      </c>
      <c r="AS989" s="7">
        <v>0</v>
      </c>
      <c r="AT989" s="7">
        <v>0</v>
      </c>
      <c r="AU989" s="9" t="s">
        <v>303</v>
      </c>
      <c r="AV989" s="9" t="s">
        <v>406</v>
      </c>
      <c r="BA989" s="8">
        <v>5</v>
      </c>
      <c r="BP989" s="7">
        <f>2.801+1.47</f>
        <v>4.2709999999999999</v>
      </c>
      <c r="BQ989" s="7"/>
      <c r="BR989" s="7">
        <f>(1*2.801+0.5*1.47)/(2.801+1.47)</f>
        <v>0.82790915476469218</v>
      </c>
      <c r="BS989" s="7">
        <f>(4.8*2.801+7.8*1.47)/(2.801+1.47)</f>
        <v>5.8325450714118476</v>
      </c>
      <c r="BT989" s="7">
        <f>(1.8*2.801+2.5*1.47)/(2.801+1.47)</f>
        <v>2.0409271833294311</v>
      </c>
      <c r="BU989" s="8">
        <f>(37*2.801+29*1.47)/(2.801+1.47)</f>
        <v>34.246546476235075</v>
      </c>
      <c r="BV989" s="7">
        <f>(1.4*2.801+0.7*1.47)/(2.801+1.47)</f>
        <v>1.1590728166705691</v>
      </c>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CV989" s="7"/>
      <c r="CW989" s="7"/>
      <c r="CX989" s="7"/>
      <c r="CY989" s="7"/>
      <c r="CZ989" s="7"/>
      <c r="DA989" s="7"/>
      <c r="DB989" s="7"/>
      <c r="DC989" s="7"/>
      <c r="DD989" s="7"/>
      <c r="DE989" s="7"/>
      <c r="DF989" s="7"/>
      <c r="DG989" s="7"/>
      <c r="DH989" s="7"/>
      <c r="DI989" s="7"/>
      <c r="DJ989" s="7"/>
      <c r="DK989" s="7"/>
      <c r="DL989" s="7"/>
      <c r="DM989" s="7"/>
      <c r="DN989" s="7"/>
      <c r="DO989" s="7"/>
      <c r="DP989" s="7"/>
      <c r="DQ989" s="7"/>
      <c r="DR989" s="7"/>
      <c r="DS989" s="7"/>
      <c r="DT989" s="7"/>
      <c r="DU989" s="7"/>
      <c r="DV989" s="7"/>
      <c r="DW989" s="7"/>
      <c r="DX989" s="7"/>
      <c r="DY989" s="7"/>
      <c r="DZ989" s="31"/>
      <c r="EA989" s="7"/>
      <c r="EB989" s="7"/>
      <c r="EC989" s="7"/>
      <c r="ED989" s="7"/>
      <c r="EE989" s="7"/>
      <c r="EF989" s="7"/>
      <c r="EG989" s="7"/>
      <c r="EH989" s="10">
        <f t="shared" si="35"/>
        <v>3.5360000000000003E-2</v>
      </c>
      <c r="EI989" s="10">
        <f t="shared" si="36"/>
        <v>0.24910800000000002</v>
      </c>
      <c r="EJ989" s="10">
        <f>BP989*BT989/100</f>
        <v>8.7168000000000009E-2</v>
      </c>
      <c r="EK989" s="10">
        <f t="shared" si="37"/>
        <v>0.14626700000000001</v>
      </c>
      <c r="EL989" s="6">
        <f t="shared" ref="EL989:EL1003" si="38">BP989*BV989</f>
        <v>4.9504000000000001</v>
      </c>
      <c r="EY989" s="6"/>
      <c r="FA989" s="6"/>
      <c r="GP989" s="32"/>
      <c r="GY989" s="6" t="s">
        <v>338</v>
      </c>
      <c r="GZ989" s="6" t="s">
        <v>1049</v>
      </c>
      <c r="HA989" s="6" t="s">
        <v>4890</v>
      </c>
      <c r="HB989" s="6" t="s">
        <v>462</v>
      </c>
      <c r="HC989" s="6" t="s">
        <v>627</v>
      </c>
      <c r="HD989" s="8" t="s">
        <v>3840</v>
      </c>
      <c r="HE989" s="8">
        <v>24044</v>
      </c>
      <c r="HF989" s="8" t="s">
        <v>4891</v>
      </c>
      <c r="HG989" s="9" t="s">
        <v>466</v>
      </c>
      <c r="HY989" s="9"/>
      <c r="IB989" s="8" t="s">
        <v>3840</v>
      </c>
      <c r="IC989" s="8">
        <v>24044</v>
      </c>
      <c r="ID989" s="8" t="s">
        <v>4891</v>
      </c>
      <c r="IE989" s="9" t="s">
        <v>466</v>
      </c>
      <c r="IF989" s="8" t="s">
        <v>319</v>
      </c>
      <c r="IR989" s="9"/>
      <c r="JV989" s="7" t="s">
        <v>4892</v>
      </c>
      <c r="JW989" s="7" t="s">
        <v>352</v>
      </c>
      <c r="JX989" s="7" t="s">
        <v>320</v>
      </c>
      <c r="KG989" s="4" t="s">
        <v>356</v>
      </c>
      <c r="KH989" s="4" t="s">
        <v>357</v>
      </c>
      <c r="KM989" s="4" t="s">
        <v>391</v>
      </c>
      <c r="KN989" s="4" t="s">
        <v>391</v>
      </c>
      <c r="KO989" s="4" t="s">
        <v>350</v>
      </c>
      <c r="KP989" s="5" t="s">
        <v>358</v>
      </c>
      <c r="KQ989" s="5" t="s">
        <v>4893</v>
      </c>
      <c r="KR989" s="5" t="s">
        <v>3843</v>
      </c>
      <c r="KS989" s="5" t="s">
        <v>4894</v>
      </c>
      <c r="KT989" s="5" t="s">
        <v>4895</v>
      </c>
    </row>
    <row r="990" spans="1:306" ht="120" x14ac:dyDescent="0.2">
      <c r="A990" s="5" t="s">
        <v>4950</v>
      </c>
      <c r="B990" s="4" t="s">
        <v>364</v>
      </c>
      <c r="C990" s="7" t="s">
        <v>549</v>
      </c>
      <c r="D990" s="8" t="s">
        <v>550</v>
      </c>
      <c r="E990" s="44">
        <v>859648</v>
      </c>
      <c r="G990" s="4" t="s">
        <v>479</v>
      </c>
      <c r="H990" s="6">
        <v>146.74311900000001</v>
      </c>
      <c r="I990" s="6">
        <v>-20.322489999999998</v>
      </c>
      <c r="J990" s="4" t="s">
        <v>3839</v>
      </c>
      <c r="K990" s="4" t="s">
        <v>298</v>
      </c>
      <c r="L990" s="4" t="s">
        <v>760</v>
      </c>
      <c r="M990" s="4" t="s">
        <v>1047</v>
      </c>
      <c r="Q990" s="8"/>
      <c r="R990" s="8"/>
      <c r="Z990" s="4" t="s">
        <v>364</v>
      </c>
      <c r="AA990" s="7" t="s">
        <v>549</v>
      </c>
      <c r="AB990" s="8" t="s">
        <v>550</v>
      </c>
      <c r="AC990" s="4" t="s">
        <v>301</v>
      </c>
      <c r="AD990" s="4" t="s">
        <v>375</v>
      </c>
      <c r="AE990" s="8">
        <v>479</v>
      </c>
      <c r="AF990" s="8">
        <v>5</v>
      </c>
      <c r="AG990" s="9" t="s">
        <v>379</v>
      </c>
      <c r="AH990" s="9" t="s">
        <v>372</v>
      </c>
      <c r="AI990" s="9" t="s">
        <v>373</v>
      </c>
      <c r="AJ990" s="9" t="s">
        <v>306</v>
      </c>
      <c r="AK990" s="9" t="s">
        <v>307</v>
      </c>
      <c r="AL990" s="9" t="s">
        <v>337</v>
      </c>
      <c r="AM990" s="8">
        <v>4</v>
      </c>
      <c r="AN990" s="4" t="s">
        <v>381</v>
      </c>
      <c r="AO990" s="4" t="s">
        <v>402</v>
      </c>
      <c r="AP990" s="4" t="s">
        <v>383</v>
      </c>
      <c r="AQ990" s="7" t="s">
        <v>384</v>
      </c>
      <c r="AR990" s="8" t="s">
        <v>1048</v>
      </c>
      <c r="AS990" s="7">
        <v>0</v>
      </c>
      <c r="AT990" s="7">
        <v>0</v>
      </c>
      <c r="AU990" s="9" t="s">
        <v>303</v>
      </c>
      <c r="AV990" s="9" t="s">
        <v>406</v>
      </c>
      <c r="BA990" s="8">
        <v>5</v>
      </c>
      <c r="BP990" s="7">
        <v>0.25</v>
      </c>
      <c r="BR990" s="7">
        <v>1.2</v>
      </c>
      <c r="BS990" s="7">
        <v>8.3000000000000007</v>
      </c>
      <c r="BT990" s="7">
        <v>1.7</v>
      </c>
      <c r="BU990" s="8">
        <v>37</v>
      </c>
      <c r="BV990" s="7">
        <v>0.2</v>
      </c>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8"/>
      <c r="CX990" s="8"/>
      <c r="CY990" s="8"/>
      <c r="CZ990" s="8"/>
      <c r="DA990" s="8"/>
      <c r="DB990" s="8"/>
      <c r="DC990" s="8"/>
      <c r="DD990" s="8"/>
      <c r="DE990" s="8"/>
      <c r="DF990" s="8"/>
      <c r="DG990" s="8"/>
      <c r="DH990" s="8"/>
      <c r="DI990" s="8"/>
      <c r="DJ990" s="8"/>
      <c r="DK990" s="8"/>
      <c r="DL990" s="8"/>
      <c r="DM990" s="8"/>
      <c r="DN990" s="8"/>
      <c r="DO990" s="8"/>
      <c r="DP990" s="8"/>
      <c r="DQ990" s="8"/>
      <c r="DR990" s="8"/>
      <c r="DS990" s="8"/>
      <c r="DT990" s="8"/>
      <c r="DU990" s="8"/>
      <c r="DV990" s="8"/>
      <c r="DW990" s="8"/>
      <c r="DX990" s="8"/>
      <c r="DY990" s="8"/>
      <c r="DZ990" s="31"/>
      <c r="EA990" s="8"/>
      <c r="EB990" s="8"/>
      <c r="EC990" s="8"/>
      <c r="ED990" s="8"/>
      <c r="EE990" s="8"/>
      <c r="EF990" s="8"/>
      <c r="EG990" s="8"/>
      <c r="EH990" s="10">
        <f t="shared" si="35"/>
        <v>3.0000000000000001E-3</v>
      </c>
      <c r="EI990" s="10">
        <f t="shared" si="36"/>
        <v>2.0750000000000001E-2</v>
      </c>
      <c r="EJ990" s="10">
        <f>BP990*BT990/100</f>
        <v>4.2500000000000003E-3</v>
      </c>
      <c r="EK990" s="10">
        <f t="shared" si="37"/>
        <v>9.2499999999999995E-3</v>
      </c>
      <c r="EL990" s="6">
        <f t="shared" si="38"/>
        <v>0.05</v>
      </c>
      <c r="EY990" s="6"/>
      <c r="FA990" s="6"/>
      <c r="GP990" s="32"/>
      <c r="GY990" s="6" t="s">
        <v>309</v>
      </c>
      <c r="GZ990" s="6" t="s">
        <v>734</v>
      </c>
      <c r="HA990" s="6" t="s">
        <v>339</v>
      </c>
      <c r="HB990" s="6" t="s">
        <v>2504</v>
      </c>
      <c r="HC990" s="6" t="s">
        <v>627</v>
      </c>
      <c r="HD990" s="8" t="s">
        <v>3840</v>
      </c>
      <c r="HE990" s="8">
        <v>24044</v>
      </c>
      <c r="HF990" s="8" t="s">
        <v>3841</v>
      </c>
      <c r="HG990" s="9" t="s">
        <v>466</v>
      </c>
      <c r="HY990" s="9"/>
      <c r="IB990" s="8" t="s">
        <v>3840</v>
      </c>
      <c r="IC990" s="8">
        <v>24044</v>
      </c>
      <c r="ID990" s="8" t="s">
        <v>3841</v>
      </c>
      <c r="IE990" s="9" t="s">
        <v>466</v>
      </c>
      <c r="IF990" s="8" t="s">
        <v>319</v>
      </c>
      <c r="IR990" s="9"/>
      <c r="JV990" s="7" t="s">
        <v>4951</v>
      </c>
      <c r="JW990" s="7" t="s">
        <v>352</v>
      </c>
      <c r="JX990" s="4" t="s">
        <v>320</v>
      </c>
      <c r="JY990" s="4" t="s">
        <v>354</v>
      </c>
      <c r="JZ990" s="4" t="s">
        <v>322</v>
      </c>
      <c r="KA990" s="4" t="s">
        <v>354</v>
      </c>
      <c r="KB990" s="4" t="s">
        <v>353</v>
      </c>
      <c r="KG990" s="4" t="s">
        <v>323</v>
      </c>
      <c r="KM990" s="4" t="s">
        <v>4952</v>
      </c>
      <c r="KN990" s="4" t="s">
        <v>4952</v>
      </c>
      <c r="KO990" s="4" t="s">
        <v>350</v>
      </c>
      <c r="KP990" s="5" t="s">
        <v>4953</v>
      </c>
      <c r="KQ990" s="5" t="s">
        <v>4954</v>
      </c>
      <c r="KR990" s="5" t="s">
        <v>3843</v>
      </c>
      <c r="KS990" s="5" t="s">
        <v>1058</v>
      </c>
      <c r="KT990" s="5" t="s">
        <v>4955</v>
      </c>
    </row>
    <row r="991" spans="1:306" ht="168" x14ac:dyDescent="0.25">
      <c r="A991" s="5" t="s">
        <v>5311</v>
      </c>
      <c r="B991" s="4" t="s">
        <v>364</v>
      </c>
      <c r="C991" s="7" t="s">
        <v>549</v>
      </c>
      <c r="D991" s="7" t="s">
        <v>550</v>
      </c>
      <c r="E991" s="4">
        <v>333611</v>
      </c>
      <c r="G991" s="4" t="s">
        <v>330</v>
      </c>
      <c r="H991" s="6">
        <v>117.805664943</v>
      </c>
      <c r="I991" s="6">
        <v>-20.881111284999999</v>
      </c>
      <c r="J991" s="4" t="s">
        <v>5312</v>
      </c>
      <c r="K991" s="4" t="s">
        <v>331</v>
      </c>
      <c r="L991" s="4" t="s">
        <v>368</v>
      </c>
      <c r="M991" s="4" t="s">
        <v>2198</v>
      </c>
      <c r="O991" s="7"/>
      <c r="Q991" s="8"/>
      <c r="R991" s="8"/>
      <c r="Z991" s="4" t="s">
        <v>364</v>
      </c>
      <c r="AA991" s="7" t="s">
        <v>549</v>
      </c>
      <c r="AB991" s="7" t="s">
        <v>550</v>
      </c>
      <c r="AC991" s="4" t="s">
        <v>301</v>
      </c>
      <c r="AD991" s="4" t="s">
        <v>375</v>
      </c>
      <c r="AE991" s="8">
        <v>2920</v>
      </c>
      <c r="AF991" s="8"/>
      <c r="AG991" s="9" t="s">
        <v>303</v>
      </c>
      <c r="AH991" s="9" t="s">
        <v>304</v>
      </c>
      <c r="AI991" s="9" t="s">
        <v>1118</v>
      </c>
      <c r="AJ991" s="9" t="s">
        <v>1080</v>
      </c>
      <c r="AK991" s="9" t="s">
        <v>600</v>
      </c>
      <c r="AM991" s="8">
        <v>3</v>
      </c>
      <c r="AN991" s="4" t="s">
        <v>381</v>
      </c>
      <c r="AO991" s="4" t="s">
        <v>382</v>
      </c>
      <c r="AP991" s="4" t="s">
        <v>383</v>
      </c>
      <c r="AQ991" s="7" t="s">
        <v>384</v>
      </c>
      <c r="AR991" s="8" t="s">
        <v>827</v>
      </c>
      <c r="AS991" s="7">
        <v>0</v>
      </c>
      <c r="AT991" s="7">
        <v>0</v>
      </c>
      <c r="AU991" s="9" t="s">
        <v>303</v>
      </c>
      <c r="AV991" s="9" t="s">
        <v>406</v>
      </c>
      <c r="BA991" s="8">
        <v>5</v>
      </c>
      <c r="BF991" s="7"/>
      <c r="BG991" s="7"/>
      <c r="BH991" s="7"/>
      <c r="BP991" s="7">
        <v>5.08</v>
      </c>
      <c r="BQ991" s="7"/>
      <c r="BR991" s="6">
        <v>0.89</v>
      </c>
      <c r="BS991" s="6">
        <v>1.03</v>
      </c>
      <c r="BT991" s="6">
        <v>0.4</v>
      </c>
      <c r="BU991" s="8">
        <v>22</v>
      </c>
      <c r="BV991" s="6">
        <v>0.12</v>
      </c>
      <c r="DZ991" s="31"/>
      <c r="EH991" s="10">
        <f t="shared" si="35"/>
        <v>4.5212000000000002E-2</v>
      </c>
      <c r="EI991" s="10">
        <f t="shared" si="36"/>
        <v>5.2324000000000002E-2</v>
      </c>
      <c r="EJ991" s="10">
        <f>BP991*BT991/100</f>
        <v>2.0320000000000001E-2</v>
      </c>
      <c r="EK991" s="10">
        <f t="shared" si="37"/>
        <v>0.11176</v>
      </c>
      <c r="EL991" s="6">
        <f t="shared" si="38"/>
        <v>0.60960000000000003</v>
      </c>
      <c r="FA991" s="6"/>
      <c r="GP991" s="32"/>
      <c r="GY991" s="6" t="s">
        <v>338</v>
      </c>
      <c r="GZ991" s="6" t="s">
        <v>994</v>
      </c>
      <c r="HA991" s="6" t="s">
        <v>1386</v>
      </c>
      <c r="HB991" s="6" t="s">
        <v>5313</v>
      </c>
      <c r="HC991" s="6" t="s">
        <v>627</v>
      </c>
      <c r="HD991" s="8" t="s">
        <v>5314</v>
      </c>
      <c r="HE991" s="8">
        <v>4067</v>
      </c>
      <c r="HF991" s="8" t="s">
        <v>5315</v>
      </c>
      <c r="HG991" s="9" t="s">
        <v>389</v>
      </c>
      <c r="IB991" s="8" t="s">
        <v>5316</v>
      </c>
      <c r="IC991" s="8">
        <v>35911</v>
      </c>
      <c r="ID991" s="8" t="s">
        <v>5317</v>
      </c>
      <c r="IE991" s="8" t="s">
        <v>389</v>
      </c>
      <c r="IF991" s="8" t="s">
        <v>445</v>
      </c>
      <c r="IG991" s="8" t="s">
        <v>5318</v>
      </c>
      <c r="IH991" s="8">
        <v>24365</v>
      </c>
      <c r="II991" s="8" t="s">
        <v>5319</v>
      </c>
      <c r="IJ991" s="8" t="s">
        <v>389</v>
      </c>
      <c r="IL991" s="8" t="s">
        <v>5320</v>
      </c>
      <c r="IM991" s="8">
        <v>35001</v>
      </c>
      <c r="IN991" s="9" t="s">
        <v>5321</v>
      </c>
      <c r="IO991" s="9" t="s">
        <v>389</v>
      </c>
      <c r="IR991" s="9"/>
      <c r="JU991" s="7" t="s">
        <v>563</v>
      </c>
      <c r="JV991" s="7" t="s">
        <v>5322</v>
      </c>
      <c r="JW991" s="7" t="s">
        <v>2551</v>
      </c>
      <c r="JX991" s="7" t="s">
        <v>320</v>
      </c>
      <c r="KG991" s="4" t="s">
        <v>323</v>
      </c>
      <c r="KM991" s="4" t="s">
        <v>471</v>
      </c>
      <c r="KN991" s="4" t="s">
        <v>471</v>
      </c>
      <c r="KP991" s="5" t="s">
        <v>5323</v>
      </c>
      <c r="KQ991" s="5" t="s">
        <v>5324</v>
      </c>
      <c r="KR991" s="5" t="s">
        <v>5325</v>
      </c>
      <c r="KS991" s="5" t="s">
        <v>5323</v>
      </c>
      <c r="KT991" s="5" t="s">
        <v>5326</v>
      </c>
    </row>
    <row r="992" spans="1:306" ht="132" x14ac:dyDescent="0.25">
      <c r="A992" s="5" t="s">
        <v>5481</v>
      </c>
      <c r="B992" s="4" t="s">
        <v>364</v>
      </c>
      <c r="C992" s="7" t="s">
        <v>549</v>
      </c>
      <c r="D992" s="8" t="s">
        <v>550</v>
      </c>
      <c r="E992" s="4">
        <v>536022</v>
      </c>
      <c r="G992" s="4" t="s">
        <v>296</v>
      </c>
      <c r="H992" s="6">
        <v>145.676289298</v>
      </c>
      <c r="I992" s="6">
        <v>-41.622082106999997</v>
      </c>
      <c r="J992" s="4" t="s">
        <v>3936</v>
      </c>
      <c r="K992" s="4" t="s">
        <v>298</v>
      </c>
      <c r="L992" s="4" t="s">
        <v>400</v>
      </c>
      <c r="M992" s="4" t="s">
        <v>401</v>
      </c>
      <c r="Q992" s="7"/>
      <c r="R992" s="7"/>
      <c r="Z992" s="4" t="s">
        <v>364</v>
      </c>
      <c r="AA992" s="7" t="s">
        <v>549</v>
      </c>
      <c r="AB992" s="8" t="s">
        <v>550</v>
      </c>
      <c r="AC992" s="4" t="s">
        <v>301</v>
      </c>
      <c r="AD992" s="4" t="s">
        <v>302</v>
      </c>
      <c r="AE992" s="7">
        <v>500.43000000000006</v>
      </c>
      <c r="AF992" s="7">
        <v>0.97000000000000008</v>
      </c>
      <c r="AG992" s="9" t="s">
        <v>379</v>
      </c>
      <c r="AH992" s="9" t="s">
        <v>372</v>
      </c>
      <c r="AI992" s="9" t="s">
        <v>373</v>
      </c>
      <c r="AJ992" s="9" t="s">
        <v>306</v>
      </c>
      <c r="AK992" s="9" t="s">
        <v>307</v>
      </c>
      <c r="AL992" s="9" t="s">
        <v>1295</v>
      </c>
      <c r="AM992" s="8">
        <v>4</v>
      </c>
      <c r="BP992" s="7">
        <v>6.1</v>
      </c>
      <c r="BQ992" s="7"/>
      <c r="BR992" s="7"/>
      <c r="BS992" s="7">
        <v>0.5</v>
      </c>
      <c r="BT992" s="7"/>
      <c r="BU992" s="8">
        <v>35</v>
      </c>
      <c r="BV992" s="7">
        <v>1.2</v>
      </c>
      <c r="BW992" s="7"/>
      <c r="BX992" s="7"/>
      <c r="BY992" s="7"/>
      <c r="BZ992" s="7"/>
      <c r="CA992" s="7"/>
      <c r="CB992" s="7"/>
      <c r="CC992" s="7"/>
      <c r="CD992" s="7"/>
      <c r="CE992" s="7"/>
      <c r="CF992" s="7"/>
      <c r="CG992" s="7"/>
      <c r="CH992" s="7"/>
      <c r="CI992" s="7"/>
      <c r="CJ992" s="7"/>
      <c r="CK992" s="7"/>
      <c r="CL992" s="7"/>
      <c r="CM992" s="7"/>
      <c r="CN992" s="7"/>
      <c r="CO992" s="7"/>
      <c r="CP992" s="7"/>
      <c r="CQ992" s="7"/>
      <c r="CR992" s="7"/>
      <c r="CS992" s="7"/>
      <c r="CT992" s="7"/>
      <c r="CU992" s="7"/>
      <c r="CV992" s="7"/>
      <c r="CW992" s="7"/>
      <c r="CX992" s="7"/>
      <c r="CY992" s="7"/>
      <c r="CZ992" s="7"/>
      <c r="DA992" s="7"/>
      <c r="DB992" s="7"/>
      <c r="DC992" s="7"/>
      <c r="DD992" s="7"/>
      <c r="DE992" s="7"/>
      <c r="DF992" s="7"/>
      <c r="DG992" s="7"/>
      <c r="DH992" s="7"/>
      <c r="DI992" s="7"/>
      <c r="DJ992" s="7"/>
      <c r="DK992" s="7"/>
      <c r="DL992" s="7"/>
      <c r="DM992" s="7"/>
      <c r="DN992" s="7"/>
      <c r="DO992" s="7"/>
      <c r="DP992" s="7"/>
      <c r="DQ992" s="7"/>
      <c r="DR992" s="7"/>
      <c r="DS992" s="7"/>
      <c r="DT992" s="7"/>
      <c r="DU992" s="7"/>
      <c r="DV992" s="7"/>
      <c r="DW992" s="7"/>
      <c r="DX992" s="7"/>
      <c r="DY992" s="7"/>
      <c r="DZ992" s="31"/>
      <c r="EA992" s="7"/>
      <c r="EB992" s="7"/>
      <c r="EC992" s="7"/>
      <c r="ED992" s="7"/>
      <c r="EE992" s="7"/>
      <c r="EF992" s="7"/>
      <c r="EG992" s="7"/>
      <c r="EI992" s="10">
        <f t="shared" si="36"/>
        <v>3.0499999999999999E-2</v>
      </c>
      <c r="EK992" s="10">
        <f t="shared" si="37"/>
        <v>0.2135</v>
      </c>
      <c r="EL992" s="6">
        <f t="shared" si="38"/>
        <v>7.3199999999999994</v>
      </c>
      <c r="EY992" s="6"/>
      <c r="FA992" s="6"/>
      <c r="GP992" s="32"/>
      <c r="GY992" s="6" t="s">
        <v>309</v>
      </c>
      <c r="GZ992" s="6" t="s">
        <v>1432</v>
      </c>
      <c r="HA992" s="6" t="s">
        <v>1049</v>
      </c>
      <c r="HC992" s="6" t="s">
        <v>627</v>
      </c>
      <c r="HD992" s="8" t="s">
        <v>3937</v>
      </c>
      <c r="HE992" s="8">
        <v>30220</v>
      </c>
      <c r="HF992" s="8" t="s">
        <v>3938</v>
      </c>
      <c r="HG992" s="9" t="s">
        <v>2870</v>
      </c>
      <c r="HQ992" s="9"/>
      <c r="HY992" s="9"/>
      <c r="IB992" s="8" t="s">
        <v>3937</v>
      </c>
      <c r="IC992" s="8">
        <v>30220</v>
      </c>
      <c r="ID992" s="8" t="s">
        <v>3940</v>
      </c>
      <c r="IE992" s="9" t="s">
        <v>2870</v>
      </c>
      <c r="IF992" s="8" t="s">
        <v>319</v>
      </c>
      <c r="IM992" s="9"/>
      <c r="IR992" s="9"/>
      <c r="JV992" s="7" t="s">
        <v>5482</v>
      </c>
      <c r="JW992" s="7" t="s">
        <v>352</v>
      </c>
      <c r="JX992" s="7" t="s">
        <v>320</v>
      </c>
      <c r="KG992" s="4" t="s">
        <v>356</v>
      </c>
      <c r="KH992" s="4" t="s">
        <v>357</v>
      </c>
      <c r="KM992" s="4" t="s">
        <v>3942</v>
      </c>
      <c r="KN992" s="4" t="s">
        <v>3942</v>
      </c>
      <c r="KO992" s="4" t="s">
        <v>350</v>
      </c>
      <c r="KP992" s="5" t="s">
        <v>5483</v>
      </c>
      <c r="KQ992" s="5" t="s">
        <v>5484</v>
      </c>
      <c r="KR992" s="5" t="s">
        <v>3945</v>
      </c>
      <c r="KS992" s="5" t="s">
        <v>5483</v>
      </c>
      <c r="KT992" s="5" t="s">
        <v>5485</v>
      </c>
    </row>
    <row r="993" spans="1:306" ht="192" x14ac:dyDescent="0.25">
      <c r="A993" s="5" t="s">
        <v>5755</v>
      </c>
      <c r="B993" s="4" t="s">
        <v>364</v>
      </c>
      <c r="C993" s="7" t="s">
        <v>549</v>
      </c>
      <c r="D993" s="8" t="s">
        <v>550</v>
      </c>
      <c r="E993" s="4">
        <v>335962</v>
      </c>
      <c r="G993" s="4" t="s">
        <v>296</v>
      </c>
      <c r="H993" s="6">
        <v>145.5855</v>
      </c>
      <c r="I993" s="6">
        <v>-42.061</v>
      </c>
      <c r="J993" s="4" t="s">
        <v>3936</v>
      </c>
      <c r="K993" s="4" t="s">
        <v>298</v>
      </c>
      <c r="L993" s="4" t="s">
        <v>400</v>
      </c>
      <c r="M993" s="4" t="s">
        <v>401</v>
      </c>
      <c r="Q993" s="7"/>
      <c r="R993" s="7"/>
      <c r="Z993" s="4" t="s">
        <v>364</v>
      </c>
      <c r="AA993" s="7" t="s">
        <v>549</v>
      </c>
      <c r="AB993" s="8" t="s">
        <v>550</v>
      </c>
      <c r="AC993" s="4" t="s">
        <v>301</v>
      </c>
      <c r="AD993" s="4" t="s">
        <v>375</v>
      </c>
      <c r="AE993" s="7">
        <v>500.4</v>
      </c>
      <c r="AF993" s="7">
        <v>2.6</v>
      </c>
      <c r="AG993" s="9" t="s">
        <v>303</v>
      </c>
      <c r="AH993" s="9" t="s">
        <v>304</v>
      </c>
      <c r="AI993" s="9" t="s">
        <v>598</v>
      </c>
      <c r="AJ993" s="9" t="s">
        <v>599</v>
      </c>
      <c r="AK993" s="9" t="s">
        <v>600</v>
      </c>
      <c r="AM993" s="8">
        <v>5</v>
      </c>
      <c r="AN993" s="4" t="s">
        <v>301</v>
      </c>
      <c r="AO993" s="4" t="s">
        <v>382</v>
      </c>
      <c r="AP993" s="4" t="s">
        <v>476</v>
      </c>
      <c r="AQ993" s="7" t="s">
        <v>477</v>
      </c>
      <c r="AR993" s="8" t="s">
        <v>2770</v>
      </c>
      <c r="AS993" s="7">
        <v>491.2</v>
      </c>
      <c r="AT993" s="7">
        <v>2.4</v>
      </c>
      <c r="AU993" s="9" t="s">
        <v>303</v>
      </c>
      <c r="AV993" s="9" t="s">
        <v>304</v>
      </c>
      <c r="AW993" s="9" t="s">
        <v>598</v>
      </c>
      <c r="AX993" s="9" t="s">
        <v>599</v>
      </c>
      <c r="AY993" s="9" t="s">
        <v>600</v>
      </c>
      <c r="BA993" s="8">
        <v>5</v>
      </c>
      <c r="BB993" s="4" t="s">
        <v>381</v>
      </c>
      <c r="BC993" s="4" t="s">
        <v>402</v>
      </c>
      <c r="BD993" s="4" t="s">
        <v>383</v>
      </c>
      <c r="BE993" s="7" t="s">
        <v>384</v>
      </c>
      <c r="BF993" s="8" t="s">
        <v>827</v>
      </c>
      <c r="BP993" s="7">
        <f>311+4.3</f>
        <v>315.3</v>
      </c>
      <c r="BQ993" s="8"/>
      <c r="BR993" s="6">
        <f>(0.97*311+1.5*4.3)/(311+4.3)</f>
        <v>0.97722803679035841</v>
      </c>
      <c r="BV993" s="6">
        <f>(0.31*311+0.79*4.3)/(311+4.3)</f>
        <v>0.31654614652711704</v>
      </c>
      <c r="DZ993" s="31"/>
      <c r="EH993" s="10">
        <f>BP993*BR993/100</f>
        <v>3.0811999999999999</v>
      </c>
      <c r="EL993" s="6">
        <f t="shared" si="38"/>
        <v>99.807000000000002</v>
      </c>
      <c r="EY993" s="6"/>
      <c r="FA993" s="6"/>
      <c r="GP993" s="32"/>
      <c r="GY993" s="6" t="s">
        <v>309</v>
      </c>
      <c r="GZ993" s="6" t="s">
        <v>994</v>
      </c>
      <c r="HA993" s="6" t="s">
        <v>436</v>
      </c>
      <c r="HC993" s="6" t="s">
        <v>627</v>
      </c>
      <c r="HD993" s="8" t="s">
        <v>5756</v>
      </c>
      <c r="HE993" s="8">
        <v>79509</v>
      </c>
      <c r="HF993" s="8" t="s">
        <v>5757</v>
      </c>
      <c r="HG993" s="9" t="s">
        <v>2870</v>
      </c>
      <c r="HQ993" s="9"/>
      <c r="HY993" s="9"/>
      <c r="IB993" s="8" t="s">
        <v>5756</v>
      </c>
      <c r="IC993" s="8">
        <v>79509</v>
      </c>
      <c r="ID993" s="8" t="s">
        <v>5757</v>
      </c>
      <c r="IE993" s="9" t="s">
        <v>2870</v>
      </c>
      <c r="IF993" s="8" t="s">
        <v>319</v>
      </c>
      <c r="IM993" s="9"/>
      <c r="IR993" s="9"/>
      <c r="JV993" s="7" t="s">
        <v>5758</v>
      </c>
      <c r="JW993" s="7" t="s">
        <v>3960</v>
      </c>
      <c r="JX993" s="7" t="s">
        <v>320</v>
      </c>
      <c r="JY993" s="7" t="s">
        <v>354</v>
      </c>
      <c r="JZ993" s="7" t="s">
        <v>353</v>
      </c>
      <c r="KA993" s="7" t="s">
        <v>354</v>
      </c>
      <c r="KB993" s="7" t="s">
        <v>355</v>
      </c>
      <c r="KG993" s="4" t="s">
        <v>356</v>
      </c>
      <c r="KH993" s="4" t="s">
        <v>1317</v>
      </c>
      <c r="KI993" s="4" t="s">
        <v>5759</v>
      </c>
      <c r="KJ993" s="4" t="s">
        <v>5437</v>
      </c>
      <c r="KM993" s="4" t="s">
        <v>391</v>
      </c>
      <c r="KN993" s="4" t="s">
        <v>391</v>
      </c>
      <c r="KO993" s="4" t="s">
        <v>350</v>
      </c>
      <c r="KP993" s="18" t="s">
        <v>5760</v>
      </c>
      <c r="KQ993" s="5" t="s">
        <v>5761</v>
      </c>
      <c r="KR993" s="5" t="s">
        <v>5762</v>
      </c>
      <c r="KS993" s="5" t="s">
        <v>5763</v>
      </c>
      <c r="KT993" s="5" t="s">
        <v>5764</v>
      </c>
    </row>
    <row r="994" spans="1:306" ht="144" x14ac:dyDescent="0.25">
      <c r="A994" s="5" t="s">
        <v>5765</v>
      </c>
      <c r="B994" s="4" t="s">
        <v>364</v>
      </c>
      <c r="C994" s="7" t="s">
        <v>549</v>
      </c>
      <c r="D994" s="8" t="s">
        <v>550</v>
      </c>
      <c r="E994" s="4">
        <v>335399</v>
      </c>
      <c r="G994" s="4" t="s">
        <v>296</v>
      </c>
      <c r="H994" s="6">
        <v>145.58799999999999</v>
      </c>
      <c r="I994" s="6">
        <v>-42.049900000000001</v>
      </c>
      <c r="J994" s="4" t="s">
        <v>3936</v>
      </c>
      <c r="K994" s="4" t="s">
        <v>298</v>
      </c>
      <c r="L994" s="4" t="s">
        <v>400</v>
      </c>
      <c r="M994" s="4" t="s">
        <v>401</v>
      </c>
      <c r="Q994" s="7"/>
      <c r="R994" s="7"/>
      <c r="Z994" s="4" t="s">
        <v>364</v>
      </c>
      <c r="AA994" s="7" t="s">
        <v>549</v>
      </c>
      <c r="AB994" s="8" t="s">
        <v>550</v>
      </c>
      <c r="AC994" s="4" t="s">
        <v>301</v>
      </c>
      <c r="AD994" s="4" t="s">
        <v>375</v>
      </c>
      <c r="AE994" s="7">
        <v>496</v>
      </c>
      <c r="AF994" s="7">
        <v>0.9</v>
      </c>
      <c r="AG994" s="9" t="s">
        <v>379</v>
      </c>
      <c r="AH994" s="9" t="s">
        <v>372</v>
      </c>
      <c r="AI994" s="9" t="s">
        <v>373</v>
      </c>
      <c r="AJ994" s="9" t="s">
        <v>306</v>
      </c>
      <c r="AK994" s="9" t="s">
        <v>307</v>
      </c>
      <c r="AL994" s="9" t="s">
        <v>1295</v>
      </c>
      <c r="AM994" s="8">
        <v>4</v>
      </c>
      <c r="AN994" s="4" t="s">
        <v>381</v>
      </c>
      <c r="AO994" s="4" t="s">
        <v>402</v>
      </c>
      <c r="AP994" s="4" t="s">
        <v>383</v>
      </c>
      <c r="AQ994" s="7" t="s">
        <v>384</v>
      </c>
      <c r="AR994" s="8" t="s">
        <v>1048</v>
      </c>
      <c r="BP994" s="7">
        <v>0.13800000000000001</v>
      </c>
      <c r="BR994" s="6">
        <v>0.54</v>
      </c>
      <c r="BS994" s="7">
        <v>10</v>
      </c>
      <c r="BT994" s="7">
        <v>8.9</v>
      </c>
      <c r="BU994" s="8">
        <v>171</v>
      </c>
      <c r="BV994" s="6">
        <v>2.8</v>
      </c>
      <c r="DZ994" s="31"/>
      <c r="EH994" s="10">
        <f>BP994*BR994/100</f>
        <v>7.4520000000000012E-4</v>
      </c>
      <c r="EI994" s="10">
        <f t="shared" ref="EI994:EI1005" si="39">BP994*BS994/100</f>
        <v>1.3800000000000002E-2</v>
      </c>
      <c r="EJ994" s="10">
        <f>BP994*BT994/100</f>
        <v>1.2282000000000001E-2</v>
      </c>
      <c r="EK994" s="10">
        <f t="shared" ref="EK994:EK1005" si="40">BP994*BU994/1000</f>
        <v>2.3598000000000001E-2</v>
      </c>
      <c r="EL994" s="6">
        <f t="shared" si="38"/>
        <v>0.38640000000000002</v>
      </c>
      <c r="EY994" s="6"/>
      <c r="FA994" s="6"/>
      <c r="GP994" s="32"/>
      <c r="GY994" s="6" t="s">
        <v>338</v>
      </c>
      <c r="GZ994" s="6" t="s">
        <v>5766</v>
      </c>
      <c r="HA994" s="6" t="s">
        <v>462</v>
      </c>
      <c r="HB994" s="6" t="s">
        <v>994</v>
      </c>
      <c r="HC994" s="6" t="s">
        <v>627</v>
      </c>
      <c r="HD994" s="8" t="s">
        <v>5767</v>
      </c>
      <c r="HE994" s="8">
        <v>18756</v>
      </c>
      <c r="HF994" s="8" t="s">
        <v>5768</v>
      </c>
      <c r="HG994" s="9" t="s">
        <v>2870</v>
      </c>
      <c r="HQ994" s="9"/>
      <c r="HY994" s="9"/>
      <c r="IB994" s="8" t="s">
        <v>5767</v>
      </c>
      <c r="IC994" s="8">
        <v>18756</v>
      </c>
      <c r="ID994" s="8" t="s">
        <v>5768</v>
      </c>
      <c r="IE994" s="9" t="s">
        <v>2870</v>
      </c>
      <c r="IF994" s="8" t="s">
        <v>319</v>
      </c>
      <c r="IM994" s="9"/>
      <c r="IR994" s="9"/>
      <c r="JX994" s="7" t="s">
        <v>320</v>
      </c>
      <c r="KG994" s="4" t="s">
        <v>356</v>
      </c>
      <c r="KH994" s="4" t="s">
        <v>1317</v>
      </c>
      <c r="KM994" s="4" t="s">
        <v>391</v>
      </c>
      <c r="KN994" s="4" t="s">
        <v>391</v>
      </c>
      <c r="KO994" s="4" t="s">
        <v>350</v>
      </c>
      <c r="KP994" s="18" t="s">
        <v>5769</v>
      </c>
      <c r="KQ994" s="5" t="s">
        <v>5770</v>
      </c>
      <c r="KR994" s="5" t="s">
        <v>5771</v>
      </c>
      <c r="KS994" s="5" t="s">
        <v>5772</v>
      </c>
      <c r="KT994" s="5" t="s">
        <v>5773</v>
      </c>
    </row>
    <row r="995" spans="1:306" ht="132" x14ac:dyDescent="0.25">
      <c r="A995" s="5" t="s">
        <v>551</v>
      </c>
      <c r="B995" s="4" t="s">
        <v>364</v>
      </c>
      <c r="C995" s="7" t="s">
        <v>549</v>
      </c>
      <c r="D995" s="8" t="s">
        <v>550</v>
      </c>
      <c r="E995" s="4">
        <v>333486</v>
      </c>
      <c r="G995" s="4" t="s">
        <v>479</v>
      </c>
      <c r="H995" s="6">
        <v>150.375</v>
      </c>
      <c r="I995" s="6">
        <v>-23.6356</v>
      </c>
      <c r="J995" s="4" t="s">
        <v>551</v>
      </c>
      <c r="K995" s="4" t="s">
        <v>298</v>
      </c>
      <c r="L995" s="4" t="s">
        <v>552</v>
      </c>
      <c r="M995" s="4" t="s">
        <v>553</v>
      </c>
      <c r="N995" s="4" t="s">
        <v>554</v>
      </c>
      <c r="Q995" s="7"/>
      <c r="R995" s="7"/>
      <c r="Z995" s="4" t="s">
        <v>364</v>
      </c>
      <c r="AA995" s="7" t="s">
        <v>549</v>
      </c>
      <c r="AB995" s="8" t="s">
        <v>550</v>
      </c>
      <c r="AC995" s="4" t="s">
        <v>301</v>
      </c>
      <c r="AD995" s="4" t="s">
        <v>375</v>
      </c>
      <c r="AE995" s="7">
        <f>(393.3+387.7)/2</f>
        <v>390.5</v>
      </c>
      <c r="AF995" s="7">
        <f>(393.3-387.7)/2</f>
        <v>2.8000000000000114</v>
      </c>
      <c r="AG995" s="9" t="s">
        <v>379</v>
      </c>
      <c r="AH995" s="9" t="s">
        <v>372</v>
      </c>
      <c r="AJ995" s="9" t="s">
        <v>555</v>
      </c>
      <c r="AM995" s="8">
        <v>4</v>
      </c>
      <c r="AN995" s="4" t="s">
        <v>381</v>
      </c>
      <c r="AO995" s="4" t="s">
        <v>382</v>
      </c>
      <c r="AP995" s="4" t="s">
        <v>383</v>
      </c>
      <c r="AQ995" s="7" t="s">
        <v>384</v>
      </c>
      <c r="AR995" s="8" t="s">
        <v>433</v>
      </c>
      <c r="AS995" s="7">
        <v>0</v>
      </c>
      <c r="AT995" s="7">
        <v>0</v>
      </c>
      <c r="AU995" s="9" t="s">
        <v>303</v>
      </c>
      <c r="AV995" s="9" t="s">
        <v>406</v>
      </c>
      <c r="BA995" s="8">
        <v>5</v>
      </c>
      <c r="BP995" s="7">
        <v>52</v>
      </c>
      <c r="BQ995" s="7"/>
      <c r="BR995" s="6">
        <v>0.72</v>
      </c>
      <c r="BS995" s="7">
        <v>0.1</v>
      </c>
      <c r="BT995" s="7"/>
      <c r="BU995" s="8">
        <v>6</v>
      </c>
      <c r="BV995" s="7">
        <v>5.9</v>
      </c>
      <c r="BW995" s="7"/>
      <c r="BX995" s="7"/>
      <c r="BY995" s="7"/>
      <c r="BZ995" s="7"/>
      <c r="CA995" s="7"/>
      <c r="CB995" s="7"/>
      <c r="CC995" s="7"/>
      <c r="CD995" s="7"/>
      <c r="CE995" s="7"/>
      <c r="CF995" s="7"/>
      <c r="CG995" s="7"/>
      <c r="CH995" s="7"/>
      <c r="CI995" s="7"/>
      <c r="CJ995" s="7"/>
      <c r="CK995" s="7"/>
      <c r="CL995" s="7"/>
      <c r="CM995" s="7"/>
      <c r="CN995" s="7"/>
      <c r="CO995" s="7"/>
      <c r="CP995" s="7"/>
      <c r="CQ995" s="7"/>
      <c r="CR995" s="7"/>
      <c r="CS995" s="7"/>
      <c r="CT995" s="7"/>
      <c r="CU995" s="7"/>
      <c r="CV995" s="7"/>
      <c r="CW995" s="7"/>
      <c r="CX995" s="7"/>
      <c r="CY995" s="7"/>
      <c r="CZ995" s="7"/>
      <c r="DA995" s="7"/>
      <c r="DB995" s="7"/>
      <c r="DC995" s="7"/>
      <c r="DD995" s="7"/>
      <c r="DE995" s="7"/>
      <c r="DF995" s="7"/>
      <c r="DG995" s="7"/>
      <c r="DH995" s="7"/>
      <c r="DI995" s="7"/>
      <c r="DJ995" s="7"/>
      <c r="DK995" s="7"/>
      <c r="DL995" s="7"/>
      <c r="DM995" s="7"/>
      <c r="DN995" s="7"/>
      <c r="DO995" s="7"/>
      <c r="DP995" s="7"/>
      <c r="DQ995" s="7"/>
      <c r="DR995" s="7"/>
      <c r="DS995" s="7"/>
      <c r="DT995" s="7"/>
      <c r="DU995" s="7"/>
      <c r="DV995" s="7"/>
      <c r="DW995" s="7"/>
      <c r="DX995" s="7"/>
      <c r="DY995" s="7"/>
      <c r="DZ995" s="31"/>
      <c r="EA995" s="7"/>
      <c r="EB995" s="7"/>
      <c r="EC995" s="7"/>
      <c r="ED995" s="7"/>
      <c r="EE995" s="7"/>
      <c r="EF995" s="7"/>
      <c r="EG995" s="7"/>
      <c r="EH995" s="10">
        <f>BP995*BR995/100</f>
        <v>0.37439999999999996</v>
      </c>
      <c r="EI995" s="10">
        <f t="shared" si="39"/>
        <v>5.2000000000000005E-2</v>
      </c>
      <c r="EK995" s="10">
        <f t="shared" si="40"/>
        <v>0.312</v>
      </c>
      <c r="EL995" s="6">
        <f t="shared" si="38"/>
        <v>306.8</v>
      </c>
      <c r="EY995" s="6"/>
      <c r="FA995" s="6"/>
      <c r="GP995" s="32"/>
      <c r="GY995" s="6" t="s">
        <v>309</v>
      </c>
      <c r="GZ995" s="6" t="s">
        <v>436</v>
      </c>
      <c r="HA995" s="6" t="s">
        <v>994</v>
      </c>
      <c r="HB995" s="6" t="s">
        <v>5830</v>
      </c>
      <c r="HC995" s="6" t="s">
        <v>627</v>
      </c>
      <c r="HD995" s="8" t="s">
        <v>557</v>
      </c>
      <c r="HE995" s="8">
        <v>13183</v>
      </c>
      <c r="HF995" s="8" t="s">
        <v>558</v>
      </c>
      <c r="HG995" s="9" t="s">
        <v>559</v>
      </c>
      <c r="HY995" s="9"/>
      <c r="IB995" s="8" t="s">
        <v>557</v>
      </c>
      <c r="IC995" s="8">
        <v>13183</v>
      </c>
      <c r="ID995" s="8" t="s">
        <v>558</v>
      </c>
      <c r="IE995" s="8" t="s">
        <v>559</v>
      </c>
      <c r="IF995" s="8" t="s">
        <v>319</v>
      </c>
      <c r="IG995" s="8" t="s">
        <v>5831</v>
      </c>
      <c r="IH995" s="8">
        <v>34036</v>
      </c>
      <c r="II995" s="8" t="s">
        <v>5832</v>
      </c>
      <c r="IJ995" s="8" t="s">
        <v>1891</v>
      </c>
      <c r="IK995" s="8" t="s">
        <v>906</v>
      </c>
      <c r="IR995" s="9"/>
      <c r="JV995" s="7" t="s">
        <v>5833</v>
      </c>
      <c r="JW995" s="7" t="s">
        <v>352</v>
      </c>
      <c r="JX995" s="7" t="s">
        <v>320</v>
      </c>
      <c r="JY995" s="7" t="s">
        <v>354</v>
      </c>
      <c r="JZ995" s="7" t="s">
        <v>322</v>
      </c>
      <c r="KA995" s="7" t="s">
        <v>470</v>
      </c>
      <c r="KB995" s="7" t="s">
        <v>353</v>
      </c>
      <c r="KG995" s="4" t="s">
        <v>4860</v>
      </c>
      <c r="KH995" s="4" t="s">
        <v>1317</v>
      </c>
      <c r="KM995" s="4" t="s">
        <v>702</v>
      </c>
      <c r="KN995" s="4" t="s">
        <v>702</v>
      </c>
      <c r="KO995" s="4" t="s">
        <v>906</v>
      </c>
      <c r="KP995" s="5" t="s">
        <v>358</v>
      </c>
      <c r="KQ995" s="5" t="s">
        <v>5834</v>
      </c>
      <c r="KR995" s="5" t="s">
        <v>566</v>
      </c>
      <c r="KS995" s="5" t="s">
        <v>5835</v>
      </c>
      <c r="KT995" s="5" t="s">
        <v>5836</v>
      </c>
    </row>
    <row r="996" spans="1:306" ht="48" x14ac:dyDescent="0.25">
      <c r="A996" s="5" t="s">
        <v>6228</v>
      </c>
      <c r="B996" s="4" t="s">
        <v>364</v>
      </c>
      <c r="C996" s="7" t="s">
        <v>549</v>
      </c>
      <c r="D996" s="7" t="s">
        <v>550</v>
      </c>
      <c r="E996" s="4">
        <v>334860</v>
      </c>
      <c r="G996" s="4" t="s">
        <v>330</v>
      </c>
      <c r="H996" s="6">
        <v>121.64790000000001</v>
      </c>
      <c r="I996" s="6">
        <v>-30.788699999999999</v>
      </c>
      <c r="J996" s="4" t="s">
        <v>1061</v>
      </c>
      <c r="K996" s="4" t="s">
        <v>331</v>
      </c>
      <c r="L996" s="4" t="s">
        <v>500</v>
      </c>
      <c r="M996" s="4" t="s">
        <v>501</v>
      </c>
      <c r="N996" s="4" t="s">
        <v>1061</v>
      </c>
      <c r="O996" s="7"/>
      <c r="Q996" s="8"/>
      <c r="R996" s="8"/>
      <c r="Z996" s="4" t="s">
        <v>364</v>
      </c>
      <c r="AA996" s="7" t="s">
        <v>549</v>
      </c>
      <c r="AB996" s="7" t="s">
        <v>550</v>
      </c>
      <c r="AC996" s="4" t="s">
        <v>301</v>
      </c>
      <c r="AD996" s="4" t="s">
        <v>302</v>
      </c>
      <c r="AE996" s="8">
        <v>2702</v>
      </c>
      <c r="AF996" s="8">
        <v>4</v>
      </c>
      <c r="AG996" s="9" t="s">
        <v>379</v>
      </c>
      <c r="AH996" s="9" t="s">
        <v>372</v>
      </c>
      <c r="AI996" s="9" t="s">
        <v>373</v>
      </c>
      <c r="AJ996" s="9" t="s">
        <v>306</v>
      </c>
      <c r="AK996" s="9" t="s">
        <v>307</v>
      </c>
      <c r="AL996" s="9" t="s">
        <v>337</v>
      </c>
      <c r="AM996" s="8">
        <v>4</v>
      </c>
      <c r="AR996" s="7"/>
      <c r="AS996" s="8"/>
      <c r="AT996" s="8"/>
      <c r="BF996" s="7"/>
      <c r="BG996" s="8"/>
      <c r="BH996" s="8"/>
      <c r="BP996" s="7">
        <f>12.085+0.32</f>
        <v>12.405000000000001</v>
      </c>
      <c r="BQ996" s="9"/>
      <c r="BS996" s="7">
        <f>(0.9*12.085+0*0.32)/(12.085+0.32)</f>
        <v>0.87678355501813787</v>
      </c>
      <c r="BU996" s="8">
        <f>(52*12.085+352*0.32)/(12.085+0.32)</f>
        <v>59.738814993954051</v>
      </c>
      <c r="BV996" s="7">
        <f>(0.2*12.085+0*0.32)/(12.085+0.32)</f>
        <v>0.19484079000403062</v>
      </c>
      <c r="DZ996" s="31"/>
      <c r="EI996" s="10">
        <f t="shared" si="39"/>
        <v>0.10876500000000001</v>
      </c>
      <c r="EK996" s="10">
        <f t="shared" si="40"/>
        <v>0.74106000000000005</v>
      </c>
      <c r="EL996" s="6">
        <f t="shared" si="38"/>
        <v>2.4170000000000003</v>
      </c>
      <c r="FA996" s="6"/>
      <c r="GP996" s="32"/>
      <c r="GY996" s="6" t="s">
        <v>435</v>
      </c>
      <c r="GZ996" s="6" t="s">
        <v>5830</v>
      </c>
      <c r="HA996" s="6" t="s">
        <v>436</v>
      </c>
      <c r="HC996" s="6" t="s">
        <v>627</v>
      </c>
      <c r="HF996" s="8" t="s">
        <v>6229</v>
      </c>
      <c r="HG996" s="9" t="s">
        <v>507</v>
      </c>
      <c r="ID996" s="8" t="s">
        <v>6229</v>
      </c>
      <c r="IE996" s="9" t="s">
        <v>507</v>
      </c>
      <c r="IF996" s="8" t="s">
        <v>319</v>
      </c>
      <c r="IM996" s="9"/>
      <c r="IR996" s="9"/>
      <c r="JV996" s="7" t="s">
        <v>6230</v>
      </c>
      <c r="JW996" s="7" t="s">
        <v>352</v>
      </c>
      <c r="JX996" s="7" t="s">
        <v>320</v>
      </c>
      <c r="KG996" s="4" t="s">
        <v>323</v>
      </c>
      <c r="KM996" s="4" t="s">
        <v>836</v>
      </c>
      <c r="KN996" s="4" t="s">
        <v>836</v>
      </c>
      <c r="KP996" s="5" t="s">
        <v>358</v>
      </c>
      <c r="KQ996" s="5" t="s">
        <v>6231</v>
      </c>
      <c r="KR996" s="5" t="s">
        <v>6232</v>
      </c>
      <c r="KS996" s="5" t="s">
        <v>6233</v>
      </c>
      <c r="KT996" s="5" t="s">
        <v>6234</v>
      </c>
    </row>
    <row r="997" spans="1:306" ht="60" x14ac:dyDescent="0.25">
      <c r="A997" s="5" t="s">
        <v>6425</v>
      </c>
      <c r="B997" s="4" t="s">
        <v>364</v>
      </c>
      <c r="C997" s="7" t="s">
        <v>549</v>
      </c>
      <c r="D997" s="7" t="s">
        <v>550</v>
      </c>
      <c r="E997" s="4">
        <v>338756</v>
      </c>
      <c r="G997" s="4" t="s">
        <v>330</v>
      </c>
      <c r="H997" s="6">
        <v>127.54075</v>
      </c>
      <c r="I997" s="6">
        <v>-18.321259999999999</v>
      </c>
      <c r="J997" s="4" t="s">
        <v>2345</v>
      </c>
      <c r="K997" s="4" t="s">
        <v>481</v>
      </c>
      <c r="L997" s="4" t="s">
        <v>3050</v>
      </c>
      <c r="O997" s="7"/>
      <c r="Q997" s="8"/>
      <c r="R997" s="8"/>
      <c r="Z997" s="4" t="s">
        <v>364</v>
      </c>
      <c r="AA997" s="7" t="s">
        <v>549</v>
      </c>
      <c r="AB997" s="7" t="s">
        <v>550</v>
      </c>
      <c r="AC997" s="4" t="s">
        <v>301</v>
      </c>
      <c r="AD997" s="4" t="s">
        <v>375</v>
      </c>
      <c r="AE997" s="8">
        <v>1843</v>
      </c>
      <c r="AF997" s="8">
        <v>2</v>
      </c>
      <c r="AG997" s="9" t="s">
        <v>379</v>
      </c>
      <c r="AH997" s="9" t="s">
        <v>372</v>
      </c>
      <c r="AI997" s="9" t="s">
        <v>373</v>
      </c>
      <c r="AJ997" s="9" t="s">
        <v>306</v>
      </c>
      <c r="AK997" s="9" t="s">
        <v>307</v>
      </c>
      <c r="AL997" s="9" t="s">
        <v>337</v>
      </c>
      <c r="AM997" s="8">
        <v>4</v>
      </c>
      <c r="AN997" s="4" t="s">
        <v>381</v>
      </c>
      <c r="AO997" s="4" t="s">
        <v>382</v>
      </c>
      <c r="AP997" s="4" t="s">
        <v>383</v>
      </c>
      <c r="AQ997" s="7" t="s">
        <v>384</v>
      </c>
      <c r="AR997" s="7" t="s">
        <v>827</v>
      </c>
      <c r="AS997" s="7">
        <v>0</v>
      </c>
      <c r="AT997" s="7">
        <v>0</v>
      </c>
      <c r="AU997" s="9" t="s">
        <v>303</v>
      </c>
      <c r="AV997" s="9" t="s">
        <v>406</v>
      </c>
      <c r="BA997" s="8">
        <v>5</v>
      </c>
      <c r="BF997" s="7"/>
      <c r="BG997" s="8"/>
      <c r="BH997" s="8"/>
      <c r="BP997" s="7">
        <v>4.8</v>
      </c>
      <c r="BR997" s="6">
        <v>0.68</v>
      </c>
      <c r="BS997" s="6">
        <v>3.15</v>
      </c>
      <c r="BT997" s="6">
        <v>1.07</v>
      </c>
      <c r="BU997" s="8">
        <v>38</v>
      </c>
      <c r="BV997" s="6">
        <v>0.13</v>
      </c>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CV997" s="7"/>
      <c r="CW997" s="7"/>
      <c r="CX997" s="7"/>
      <c r="CY997" s="7"/>
      <c r="CZ997" s="7"/>
      <c r="DA997" s="7"/>
      <c r="DB997" s="7"/>
      <c r="DC997" s="7"/>
      <c r="DD997" s="7"/>
      <c r="DE997" s="7"/>
      <c r="DF997" s="7"/>
      <c r="DG997" s="7"/>
      <c r="DH997" s="7"/>
      <c r="DI997" s="7"/>
      <c r="DJ997" s="7"/>
      <c r="DK997" s="7"/>
      <c r="DL997" s="7"/>
      <c r="DM997" s="7"/>
      <c r="DN997" s="7"/>
      <c r="DO997" s="7"/>
      <c r="DP997" s="7"/>
      <c r="DQ997" s="7"/>
      <c r="DR997" s="7"/>
      <c r="DS997" s="7"/>
      <c r="DT997" s="7"/>
      <c r="DU997" s="7"/>
      <c r="DV997" s="7"/>
      <c r="DW997" s="7"/>
      <c r="DX997" s="7"/>
      <c r="DY997" s="7"/>
      <c r="DZ997" s="31"/>
      <c r="EA997" s="7"/>
      <c r="EB997" s="7"/>
      <c r="EC997" s="7"/>
      <c r="ED997" s="7"/>
      <c r="EE997" s="7"/>
      <c r="EF997" s="7"/>
      <c r="EG997" s="7"/>
      <c r="EH997" s="10">
        <f t="shared" ref="EH997:EH1005" si="41">BP997*BR997/100</f>
        <v>3.2640000000000002E-2</v>
      </c>
      <c r="EI997" s="10">
        <f t="shared" si="39"/>
        <v>0.1512</v>
      </c>
      <c r="EJ997" s="10">
        <f t="shared" ref="EJ997:EJ1003" si="42">BP997*BT997/100</f>
        <v>5.1360000000000003E-2</v>
      </c>
      <c r="EK997" s="10">
        <f t="shared" si="40"/>
        <v>0.18240000000000001</v>
      </c>
      <c r="EL997" s="6">
        <f t="shared" si="38"/>
        <v>0.624</v>
      </c>
      <c r="FA997" s="6"/>
      <c r="GP997" s="32"/>
      <c r="GY997" s="6" t="s">
        <v>338</v>
      </c>
      <c r="GZ997" s="6" t="s">
        <v>734</v>
      </c>
      <c r="HA997" s="6" t="s">
        <v>3051</v>
      </c>
      <c r="HB997" s="6" t="s">
        <v>436</v>
      </c>
      <c r="HC997" s="6" t="s">
        <v>627</v>
      </c>
      <c r="HD997" s="8" t="s">
        <v>3052</v>
      </c>
      <c r="HE997" s="8">
        <v>9793</v>
      </c>
      <c r="HF997" s="8" t="s">
        <v>3053</v>
      </c>
      <c r="HG997" s="9" t="s">
        <v>538</v>
      </c>
      <c r="IB997" s="8" t="s">
        <v>3054</v>
      </c>
      <c r="IC997" s="8">
        <v>9793</v>
      </c>
      <c r="ID997" s="8" t="s">
        <v>3055</v>
      </c>
      <c r="IE997" s="8" t="s">
        <v>538</v>
      </c>
      <c r="IF997" s="8" t="s">
        <v>445</v>
      </c>
      <c r="IG997" s="8" t="s">
        <v>3056</v>
      </c>
      <c r="IH997" s="8">
        <v>34479</v>
      </c>
      <c r="II997" s="8" t="s">
        <v>3057</v>
      </c>
      <c r="IJ997" s="8" t="s">
        <v>538</v>
      </c>
      <c r="IK997" s="8" t="s">
        <v>350</v>
      </c>
      <c r="IM997" s="9"/>
      <c r="IR997" s="9"/>
      <c r="JV997" s="7" t="s">
        <v>6426</v>
      </c>
      <c r="JW997" s="7" t="s">
        <v>352</v>
      </c>
      <c r="JX997" s="7" t="s">
        <v>322</v>
      </c>
      <c r="JY997" s="7" t="s">
        <v>470</v>
      </c>
      <c r="JZ997" s="7" t="s">
        <v>320</v>
      </c>
      <c r="KA997" s="7" t="s">
        <v>354</v>
      </c>
      <c r="KB997" s="7" t="s">
        <v>353</v>
      </c>
      <c r="KG997" s="4" t="s">
        <v>323</v>
      </c>
      <c r="KM997" s="4" t="s">
        <v>391</v>
      </c>
      <c r="KN997" s="4" t="s">
        <v>391</v>
      </c>
      <c r="KP997" s="18" t="s">
        <v>6427</v>
      </c>
      <c r="KQ997" s="5" t="s">
        <v>6428</v>
      </c>
      <c r="KR997" s="5" t="s">
        <v>3060</v>
      </c>
      <c r="KS997" s="5" t="s">
        <v>6429</v>
      </c>
      <c r="KT997" s="5" t="s">
        <v>1414</v>
      </c>
    </row>
    <row r="998" spans="1:306" ht="132" x14ac:dyDescent="0.25">
      <c r="A998" s="5" t="s">
        <v>6750</v>
      </c>
      <c r="B998" s="4" t="s">
        <v>364</v>
      </c>
      <c r="C998" s="7" t="s">
        <v>549</v>
      </c>
      <c r="D998" s="8" t="s">
        <v>550</v>
      </c>
      <c r="E998" s="4">
        <v>333591</v>
      </c>
      <c r="G998" s="4" t="s">
        <v>296</v>
      </c>
      <c r="H998" s="6">
        <v>145.69817</v>
      </c>
      <c r="I998" s="6">
        <v>-41.598869999999998</v>
      </c>
      <c r="J998" s="4" t="s">
        <v>3936</v>
      </c>
      <c r="K998" s="4" t="s">
        <v>298</v>
      </c>
      <c r="L998" s="4" t="s">
        <v>400</v>
      </c>
      <c r="M998" s="4" t="s">
        <v>401</v>
      </c>
      <c r="Q998" s="7"/>
      <c r="R998" s="7"/>
      <c r="Z998" s="4" t="s">
        <v>364</v>
      </c>
      <c r="AA998" s="7" t="s">
        <v>549</v>
      </c>
      <c r="AB998" s="8" t="s">
        <v>550</v>
      </c>
      <c r="AC998" s="4" t="s">
        <v>301</v>
      </c>
      <c r="AD998" s="4" t="s">
        <v>302</v>
      </c>
      <c r="AE998" s="7">
        <v>500.43000000000006</v>
      </c>
      <c r="AF998" s="7">
        <v>0.97000000000000008</v>
      </c>
      <c r="AG998" s="9" t="s">
        <v>379</v>
      </c>
      <c r="AH998" s="9" t="s">
        <v>372</v>
      </c>
      <c r="AI998" s="9" t="s">
        <v>373</v>
      </c>
      <c r="AJ998" s="9" t="s">
        <v>306</v>
      </c>
      <c r="AK998" s="9" t="s">
        <v>307</v>
      </c>
      <c r="AL998" s="9" t="s">
        <v>1295</v>
      </c>
      <c r="AM998" s="8">
        <v>4</v>
      </c>
      <c r="BP998" s="7">
        <v>3.3</v>
      </c>
      <c r="BQ998" s="7"/>
      <c r="BR998" s="7">
        <v>0.7</v>
      </c>
      <c r="BS998" s="7">
        <v>13.3</v>
      </c>
      <c r="BT998" s="7">
        <v>7.4</v>
      </c>
      <c r="BU998" s="8">
        <v>195</v>
      </c>
      <c r="BV998" s="7">
        <v>3.3</v>
      </c>
      <c r="BW998" s="7"/>
      <c r="BX998" s="7"/>
      <c r="BY998" s="7"/>
      <c r="BZ998" s="7"/>
      <c r="CA998" s="7"/>
      <c r="CB998" s="7"/>
      <c r="CC998" s="7"/>
      <c r="CD998" s="7"/>
      <c r="CE998" s="7"/>
      <c r="CF998" s="7"/>
      <c r="CG998" s="7"/>
      <c r="CH998" s="7"/>
      <c r="CI998" s="7"/>
      <c r="CJ998" s="7"/>
      <c r="CK998" s="7"/>
      <c r="CL998" s="7"/>
      <c r="CM998" s="7"/>
      <c r="CN998" s="7"/>
      <c r="CO998" s="7"/>
      <c r="CP998" s="7"/>
      <c r="CQ998" s="7"/>
      <c r="CR998" s="7"/>
      <c r="CS998" s="7"/>
      <c r="CT998" s="7"/>
      <c r="CU998" s="7"/>
      <c r="CV998" s="7"/>
      <c r="CW998" s="7"/>
      <c r="CX998" s="7"/>
      <c r="CY998" s="7"/>
      <c r="CZ998" s="7"/>
      <c r="DA998" s="7"/>
      <c r="DB998" s="7"/>
      <c r="DC998" s="7"/>
      <c r="DD998" s="7"/>
      <c r="DE998" s="7"/>
      <c r="DF998" s="7"/>
      <c r="DG998" s="7"/>
      <c r="DH998" s="7"/>
      <c r="DI998" s="7"/>
      <c r="DJ998" s="7"/>
      <c r="DK998" s="7"/>
      <c r="DL998" s="7"/>
      <c r="DM998" s="7"/>
      <c r="DN998" s="7"/>
      <c r="DO998" s="7"/>
      <c r="DP998" s="7"/>
      <c r="DQ998" s="7"/>
      <c r="DR998" s="7"/>
      <c r="DS998" s="7"/>
      <c r="DT998" s="7"/>
      <c r="DU998" s="7"/>
      <c r="DV998" s="7"/>
      <c r="DW998" s="7"/>
      <c r="DX998" s="7"/>
      <c r="DY998" s="7"/>
      <c r="DZ998" s="31"/>
      <c r="EA998" s="7"/>
      <c r="EB998" s="7"/>
      <c r="EC998" s="7"/>
      <c r="ED998" s="7"/>
      <c r="EE998" s="7"/>
      <c r="EF998" s="7"/>
      <c r="EG998" s="7"/>
      <c r="EH998" s="10">
        <f t="shared" si="41"/>
        <v>2.3099999999999996E-2</v>
      </c>
      <c r="EI998" s="10">
        <f t="shared" si="39"/>
        <v>0.43890000000000001</v>
      </c>
      <c r="EJ998" s="10">
        <f t="shared" si="42"/>
        <v>0.24419999999999997</v>
      </c>
      <c r="EK998" s="10">
        <f t="shared" si="40"/>
        <v>0.64349999999999996</v>
      </c>
      <c r="EL998" s="6">
        <f t="shared" si="38"/>
        <v>10.889999999999999</v>
      </c>
      <c r="EY998" s="6"/>
      <c r="FA998" s="6"/>
      <c r="GP998" s="32"/>
      <c r="GY998" s="6" t="s">
        <v>309</v>
      </c>
      <c r="GZ998" s="6" t="s">
        <v>6751</v>
      </c>
      <c r="HA998" s="6" t="s">
        <v>2547</v>
      </c>
      <c r="HB998" s="6" t="s">
        <v>994</v>
      </c>
      <c r="HC998" s="6" t="s">
        <v>627</v>
      </c>
      <c r="HD998" s="8" t="s">
        <v>3937</v>
      </c>
      <c r="HE998" s="8">
        <v>30220</v>
      </c>
      <c r="HF998" s="8" t="s">
        <v>3938</v>
      </c>
      <c r="HG998" s="9" t="s">
        <v>2870</v>
      </c>
      <c r="HQ998" s="9"/>
      <c r="HY998" s="9"/>
      <c r="IB998" s="8" t="s">
        <v>3937</v>
      </c>
      <c r="IC998" s="8">
        <v>30220</v>
      </c>
      <c r="ID998" s="8" t="s">
        <v>3940</v>
      </c>
      <c r="IE998" s="9" t="s">
        <v>2870</v>
      </c>
      <c r="IF998" s="8" t="s">
        <v>319</v>
      </c>
      <c r="IM998" s="9"/>
      <c r="IR998" s="9"/>
      <c r="JV998" s="7" t="s">
        <v>6752</v>
      </c>
      <c r="JW998" s="7" t="s">
        <v>352</v>
      </c>
      <c r="JX998" s="7" t="s">
        <v>320</v>
      </c>
      <c r="KG998" s="4" t="s">
        <v>356</v>
      </c>
      <c r="KH998" s="4" t="s">
        <v>357</v>
      </c>
      <c r="KM998" s="4" t="s">
        <v>3942</v>
      </c>
      <c r="KN998" s="4" t="s">
        <v>3942</v>
      </c>
      <c r="KO998" s="4" t="s">
        <v>350</v>
      </c>
      <c r="KP998" s="18" t="s">
        <v>6753</v>
      </c>
      <c r="KQ998" s="5" t="s">
        <v>6754</v>
      </c>
      <c r="KR998" s="5" t="s">
        <v>3945</v>
      </c>
      <c r="KS998" s="5" t="s">
        <v>5483</v>
      </c>
      <c r="KT998" s="5" t="s">
        <v>6755</v>
      </c>
    </row>
    <row r="999" spans="1:306" ht="180" x14ac:dyDescent="0.25">
      <c r="A999" s="5" t="s">
        <v>6980</v>
      </c>
      <c r="B999" s="4" t="s">
        <v>364</v>
      </c>
      <c r="C999" s="7" t="s">
        <v>549</v>
      </c>
      <c r="D999" s="8" t="s">
        <v>550</v>
      </c>
      <c r="E999" s="4">
        <v>333876</v>
      </c>
      <c r="G999" s="4" t="s">
        <v>296</v>
      </c>
      <c r="H999" s="6">
        <v>145.51667</v>
      </c>
      <c r="I999" s="6">
        <v>-41.783059999999999</v>
      </c>
      <c r="J999" s="4" t="s">
        <v>3936</v>
      </c>
      <c r="K999" s="4" t="s">
        <v>298</v>
      </c>
      <c r="L999" s="4" t="s">
        <v>400</v>
      </c>
      <c r="M999" s="4" t="s">
        <v>401</v>
      </c>
      <c r="Q999" s="7"/>
      <c r="R999" s="7"/>
      <c r="Z999" s="4" t="s">
        <v>364</v>
      </c>
      <c r="AA999" s="7" t="s">
        <v>549</v>
      </c>
      <c r="AB999" s="8" t="s">
        <v>550</v>
      </c>
      <c r="AC999" s="4" t="s">
        <v>301</v>
      </c>
      <c r="AD999" s="4" t="s">
        <v>375</v>
      </c>
      <c r="AE999" s="7">
        <v>502.6</v>
      </c>
      <c r="AF999" s="7">
        <v>0.9</v>
      </c>
      <c r="AG999" s="9" t="s">
        <v>379</v>
      </c>
      <c r="AH999" s="9" t="s">
        <v>372</v>
      </c>
      <c r="AI999" s="9" t="s">
        <v>373</v>
      </c>
      <c r="AJ999" s="9" t="s">
        <v>306</v>
      </c>
      <c r="AK999" s="9" t="s">
        <v>307</v>
      </c>
      <c r="AL999" s="9" t="s">
        <v>1295</v>
      </c>
      <c r="AM999" s="8">
        <v>4</v>
      </c>
      <c r="AN999" s="4" t="s">
        <v>301</v>
      </c>
      <c r="AO999" s="4" t="s">
        <v>402</v>
      </c>
      <c r="AP999" s="4" t="s">
        <v>293</v>
      </c>
      <c r="AQ999" s="7" t="s">
        <v>896</v>
      </c>
      <c r="AR999" s="8" t="s">
        <v>4346</v>
      </c>
      <c r="AS999" s="8">
        <v>360</v>
      </c>
      <c r="AU999" s="9" t="s">
        <v>379</v>
      </c>
      <c r="AV999" s="9" t="s">
        <v>380</v>
      </c>
      <c r="BA999" s="8">
        <v>3</v>
      </c>
      <c r="BP999" s="7">
        <v>38.43</v>
      </c>
      <c r="BQ999" s="7"/>
      <c r="BR999" s="7">
        <v>0.6</v>
      </c>
      <c r="BS999" s="7">
        <v>13.5</v>
      </c>
      <c r="BT999" s="7">
        <v>4.0999999999999996</v>
      </c>
      <c r="BU999" s="8">
        <v>127</v>
      </c>
      <c r="BV999" s="7">
        <v>2.1</v>
      </c>
      <c r="BW999" s="7"/>
      <c r="BX999" s="7"/>
      <c r="BY999" s="7"/>
      <c r="BZ999" s="7"/>
      <c r="CA999" s="7"/>
      <c r="CB999" s="7"/>
      <c r="CC999" s="7"/>
      <c r="CD999" s="7"/>
      <c r="CE999" s="7"/>
      <c r="CF999" s="7"/>
      <c r="CG999" s="7"/>
      <c r="CH999" s="7"/>
      <c r="CI999" s="7"/>
      <c r="CJ999" s="7"/>
      <c r="CK999" s="7"/>
      <c r="CL999" s="7"/>
      <c r="CM999" s="7"/>
      <c r="CN999" s="7"/>
      <c r="CO999" s="7"/>
      <c r="CP999" s="7"/>
      <c r="CQ999" s="7"/>
      <c r="CR999" s="7"/>
      <c r="CS999" s="7"/>
      <c r="CT999" s="7"/>
      <c r="CU999" s="7"/>
      <c r="CV999" s="7"/>
      <c r="CW999" s="7"/>
      <c r="CX999" s="7"/>
      <c r="CY999" s="7"/>
      <c r="CZ999" s="7"/>
      <c r="DA999" s="7"/>
      <c r="DB999" s="7"/>
      <c r="DC999" s="7"/>
      <c r="DD999" s="7"/>
      <c r="DE999" s="7"/>
      <c r="DF999" s="7"/>
      <c r="DG999" s="7"/>
      <c r="DH999" s="7"/>
      <c r="DI999" s="7"/>
      <c r="DJ999" s="7"/>
      <c r="DK999" s="7"/>
      <c r="DL999" s="7"/>
      <c r="DM999" s="7"/>
      <c r="DN999" s="7"/>
      <c r="DO999" s="7"/>
      <c r="DP999" s="7"/>
      <c r="DQ999" s="7"/>
      <c r="DR999" s="7"/>
      <c r="DS999" s="7"/>
      <c r="DT999" s="7"/>
      <c r="DU999" s="7"/>
      <c r="DV999" s="7"/>
      <c r="DW999" s="7"/>
      <c r="DX999" s="7"/>
      <c r="DY999" s="7"/>
      <c r="DZ999" s="31"/>
      <c r="EA999" s="7"/>
      <c r="EB999" s="7"/>
      <c r="EC999" s="7"/>
      <c r="ED999" s="7"/>
      <c r="EE999" s="7"/>
      <c r="EF999" s="7"/>
      <c r="EG999" s="7"/>
      <c r="EH999" s="10">
        <f t="shared" si="41"/>
        <v>0.23058000000000001</v>
      </c>
      <c r="EI999" s="10">
        <f t="shared" si="39"/>
        <v>5.1880499999999996</v>
      </c>
      <c r="EJ999" s="10">
        <f t="shared" si="42"/>
        <v>1.5756299999999999</v>
      </c>
      <c r="EK999" s="10">
        <f t="shared" si="40"/>
        <v>4.8806099999999999</v>
      </c>
      <c r="EL999" s="6">
        <f t="shared" si="38"/>
        <v>80.703000000000003</v>
      </c>
      <c r="EY999" s="6"/>
      <c r="FA999" s="6"/>
      <c r="GP999" s="32"/>
      <c r="GY999" s="6" t="s">
        <v>309</v>
      </c>
      <c r="GZ999" s="6" t="s">
        <v>1049</v>
      </c>
      <c r="HA999" s="6" t="s">
        <v>1050</v>
      </c>
      <c r="HB999" s="6" t="s">
        <v>994</v>
      </c>
      <c r="HC999" s="6" t="s">
        <v>627</v>
      </c>
      <c r="HD999" s="8" t="s">
        <v>3984</v>
      </c>
      <c r="HE999" s="8">
        <v>73318</v>
      </c>
      <c r="HF999" s="8" t="s">
        <v>3985</v>
      </c>
      <c r="HG999" s="9" t="s">
        <v>2870</v>
      </c>
      <c r="HQ999" s="9"/>
      <c r="HY999" s="9"/>
      <c r="IB999" s="8" t="s">
        <v>3984</v>
      </c>
      <c r="IC999" s="8">
        <v>73318</v>
      </c>
      <c r="ID999" s="8" t="s">
        <v>3986</v>
      </c>
      <c r="IE999" s="9" t="s">
        <v>2870</v>
      </c>
      <c r="IF999" s="8" t="s">
        <v>319</v>
      </c>
      <c r="IG999" s="8" t="s">
        <v>2871</v>
      </c>
      <c r="IH999" s="8">
        <v>33459</v>
      </c>
      <c r="II999" s="8" t="s">
        <v>2872</v>
      </c>
      <c r="IJ999" s="8" t="s">
        <v>318</v>
      </c>
      <c r="IK999" s="8" t="s">
        <v>6981</v>
      </c>
      <c r="IM999" s="9"/>
      <c r="IR999" s="9"/>
      <c r="JV999" s="7" t="s">
        <v>6982</v>
      </c>
      <c r="JW999" s="7" t="s">
        <v>352</v>
      </c>
      <c r="JX999" s="7" t="s">
        <v>320</v>
      </c>
      <c r="JY999" s="7" t="s">
        <v>448</v>
      </c>
      <c r="JZ999" s="7" t="s">
        <v>353</v>
      </c>
      <c r="KA999" s="7" t="s">
        <v>354</v>
      </c>
      <c r="KB999" s="7" t="s">
        <v>322</v>
      </c>
      <c r="KC999" s="7" t="s">
        <v>321</v>
      </c>
      <c r="KD999" s="7" t="s">
        <v>355</v>
      </c>
      <c r="KG999" s="4" t="s">
        <v>356</v>
      </c>
      <c r="KH999" s="4" t="s">
        <v>357</v>
      </c>
      <c r="KM999" s="4" t="s">
        <v>391</v>
      </c>
      <c r="KN999" s="4" t="s">
        <v>391</v>
      </c>
      <c r="KO999" s="4" t="s">
        <v>350</v>
      </c>
      <c r="KP999" s="18" t="s">
        <v>6983</v>
      </c>
      <c r="KQ999" s="5" t="s">
        <v>6984</v>
      </c>
      <c r="KR999" s="5" t="s">
        <v>3945</v>
      </c>
      <c r="KS999" s="5" t="s">
        <v>6985</v>
      </c>
      <c r="KT999" s="5" t="s">
        <v>6986</v>
      </c>
    </row>
    <row r="1000" spans="1:306" ht="168" x14ac:dyDescent="0.25">
      <c r="A1000" s="5" t="s">
        <v>7060</v>
      </c>
      <c r="B1000" s="4" t="s">
        <v>364</v>
      </c>
      <c r="C1000" s="7" t="s">
        <v>549</v>
      </c>
      <c r="D1000" s="7" t="s">
        <v>550</v>
      </c>
      <c r="E1000" s="4">
        <v>333525</v>
      </c>
      <c r="G1000" s="4" t="s">
        <v>330</v>
      </c>
      <c r="H1000" s="6">
        <v>117.71279</v>
      </c>
      <c r="I1000" s="6">
        <v>-20.761780000000002</v>
      </c>
      <c r="J1000" s="4" t="s">
        <v>5312</v>
      </c>
      <c r="K1000" s="4" t="s">
        <v>331</v>
      </c>
      <c r="L1000" s="4" t="s">
        <v>368</v>
      </c>
      <c r="M1000" s="4" t="s">
        <v>2198</v>
      </c>
      <c r="O1000" s="7"/>
      <c r="Q1000" s="8"/>
      <c r="R1000" s="8"/>
      <c r="Z1000" s="4" t="s">
        <v>364</v>
      </c>
      <c r="AA1000" s="7" t="s">
        <v>549</v>
      </c>
      <c r="AB1000" s="7" t="s">
        <v>550</v>
      </c>
      <c r="AC1000" s="4" t="s">
        <v>301</v>
      </c>
      <c r="AD1000" s="4" t="s">
        <v>302</v>
      </c>
      <c r="AE1000" s="8">
        <v>2945</v>
      </c>
      <c r="AF1000" s="8"/>
      <c r="AG1000" s="9" t="s">
        <v>303</v>
      </c>
      <c r="AH1000" s="9" t="s">
        <v>304</v>
      </c>
      <c r="AI1000" s="9" t="s">
        <v>1118</v>
      </c>
      <c r="AJ1000" s="9" t="s">
        <v>1080</v>
      </c>
      <c r="AK1000" s="9" t="s">
        <v>600</v>
      </c>
      <c r="AM1000" s="8">
        <v>3</v>
      </c>
      <c r="AR1000" s="7"/>
      <c r="AS1000" s="8"/>
      <c r="AT1000" s="8"/>
      <c r="BF1000" s="7"/>
      <c r="BG1000" s="8"/>
      <c r="BH1000" s="8"/>
      <c r="BP1000" s="7">
        <v>2.7149999999999999</v>
      </c>
      <c r="BQ1000" s="7"/>
      <c r="BR1000" s="6">
        <v>1.31</v>
      </c>
      <c r="BS1000" s="6">
        <v>3.44</v>
      </c>
      <c r="BT1000" s="6">
        <v>1.02</v>
      </c>
      <c r="BU1000" s="8">
        <v>26</v>
      </c>
      <c r="BV1000" s="6">
        <v>0.17</v>
      </c>
      <c r="BW1000" s="7"/>
      <c r="BX1000" s="7"/>
      <c r="BY1000" s="7"/>
      <c r="BZ1000" s="7"/>
      <c r="CA1000" s="7"/>
      <c r="CB1000" s="7"/>
      <c r="CC1000" s="7"/>
      <c r="CD1000" s="7"/>
      <c r="CE1000" s="7"/>
      <c r="CF1000" s="7"/>
      <c r="CG1000" s="7"/>
      <c r="CH1000" s="7"/>
      <c r="CI1000" s="7"/>
      <c r="CJ1000" s="7"/>
      <c r="CK1000" s="7"/>
      <c r="CL1000" s="7"/>
      <c r="CM1000" s="7"/>
      <c r="CN1000" s="7"/>
      <c r="CO1000" s="7"/>
      <c r="CP1000" s="7"/>
      <c r="CQ1000" s="7"/>
      <c r="CR1000" s="7"/>
      <c r="CS1000" s="7"/>
      <c r="CT1000" s="7"/>
      <c r="CU1000" s="7"/>
      <c r="CV1000" s="7"/>
      <c r="CW1000" s="7"/>
      <c r="CX1000" s="7"/>
      <c r="CY1000" s="7"/>
      <c r="CZ1000" s="7"/>
      <c r="DA1000" s="7"/>
      <c r="DB1000" s="7"/>
      <c r="DC1000" s="7"/>
      <c r="DD1000" s="7"/>
      <c r="DE1000" s="7"/>
      <c r="DF1000" s="7"/>
      <c r="DG1000" s="7"/>
      <c r="DH1000" s="7"/>
      <c r="DI1000" s="7"/>
      <c r="DJ1000" s="7"/>
      <c r="DK1000" s="7"/>
      <c r="DL1000" s="7"/>
      <c r="DM1000" s="7"/>
      <c r="DN1000" s="7"/>
      <c r="DO1000" s="7"/>
      <c r="DP1000" s="7"/>
      <c r="DQ1000" s="7"/>
      <c r="DR1000" s="7"/>
      <c r="DS1000" s="7"/>
      <c r="DT1000" s="7"/>
      <c r="DU1000" s="7"/>
      <c r="DV1000" s="7"/>
      <c r="DW1000" s="7"/>
      <c r="DX1000" s="7"/>
      <c r="DY1000" s="7"/>
      <c r="DZ1000" s="31"/>
      <c r="EA1000" s="7"/>
      <c r="EB1000" s="7"/>
      <c r="EC1000" s="7"/>
      <c r="ED1000" s="7"/>
      <c r="EE1000" s="7"/>
      <c r="EF1000" s="7"/>
      <c r="EG1000" s="7"/>
      <c r="EH1000" s="10">
        <f t="shared" si="41"/>
        <v>3.5566500000000001E-2</v>
      </c>
      <c r="EI1000" s="10">
        <f t="shared" si="39"/>
        <v>9.3395999999999993E-2</v>
      </c>
      <c r="EJ1000" s="10">
        <f t="shared" si="42"/>
        <v>2.7692999999999999E-2</v>
      </c>
      <c r="EK1000" s="10">
        <f t="shared" si="40"/>
        <v>7.059E-2</v>
      </c>
      <c r="EL1000" s="6">
        <f t="shared" si="38"/>
        <v>0.46155000000000002</v>
      </c>
      <c r="FA1000" s="6"/>
      <c r="GP1000" s="32"/>
      <c r="GY1000" s="6" t="s">
        <v>338</v>
      </c>
      <c r="GZ1000" s="6" t="s">
        <v>626</v>
      </c>
      <c r="HA1000" s="6" t="s">
        <v>339</v>
      </c>
      <c r="HB1000" s="6" t="s">
        <v>2504</v>
      </c>
      <c r="HC1000" s="6" t="s">
        <v>627</v>
      </c>
      <c r="HD1000" s="8" t="s">
        <v>5314</v>
      </c>
      <c r="HE1000" s="8">
        <v>4067</v>
      </c>
      <c r="HF1000" s="8" t="s">
        <v>5315</v>
      </c>
      <c r="HG1000" s="9" t="s">
        <v>389</v>
      </c>
      <c r="IM1000" s="9"/>
      <c r="IR1000" s="9"/>
      <c r="JV1000" s="7" t="s">
        <v>632</v>
      </c>
      <c r="JW1000" s="7" t="s">
        <v>352</v>
      </c>
      <c r="JX1000" s="7" t="s">
        <v>320</v>
      </c>
      <c r="JY1000" s="7" t="s">
        <v>354</v>
      </c>
      <c r="JZ1000" s="7" t="s">
        <v>353</v>
      </c>
      <c r="KA1000" s="7" t="s">
        <v>470</v>
      </c>
      <c r="KB1000" s="7" t="s">
        <v>322</v>
      </c>
      <c r="KG1000" s="4" t="s">
        <v>323</v>
      </c>
      <c r="KM1000" s="4" t="s">
        <v>391</v>
      </c>
      <c r="KN1000" s="4" t="s">
        <v>391</v>
      </c>
      <c r="KP1000" s="18" t="s">
        <v>7061</v>
      </c>
      <c r="KQ1000" s="5" t="s">
        <v>7062</v>
      </c>
      <c r="KR1000" s="5" t="s">
        <v>7063</v>
      </c>
      <c r="KS1000" s="5" t="s">
        <v>5323</v>
      </c>
      <c r="KT1000" s="5" t="s">
        <v>7064</v>
      </c>
    </row>
    <row r="1001" spans="1:306" ht="60" x14ac:dyDescent="0.25">
      <c r="A1001" s="5" t="s">
        <v>7070</v>
      </c>
      <c r="B1001" s="4" t="s">
        <v>364</v>
      </c>
      <c r="C1001" s="7" t="s">
        <v>549</v>
      </c>
      <c r="D1001" s="7" t="s">
        <v>550</v>
      </c>
      <c r="E1001" s="4">
        <v>338649</v>
      </c>
      <c r="G1001" s="4" t="s">
        <v>330</v>
      </c>
      <c r="H1001" s="6">
        <v>127.4558</v>
      </c>
      <c r="I1001" s="6">
        <v>-18.367760000000001</v>
      </c>
      <c r="J1001" s="4" t="s">
        <v>2345</v>
      </c>
      <c r="K1001" s="4" t="s">
        <v>481</v>
      </c>
      <c r="L1001" s="4" t="s">
        <v>3050</v>
      </c>
      <c r="O1001" s="7"/>
      <c r="Q1001" s="8"/>
      <c r="R1001" s="8"/>
      <c r="Z1001" s="4" t="s">
        <v>364</v>
      </c>
      <c r="AA1001" s="7" t="s">
        <v>549</v>
      </c>
      <c r="AB1001" s="7" t="s">
        <v>550</v>
      </c>
      <c r="AC1001" s="4" t="s">
        <v>301</v>
      </c>
      <c r="AD1001" s="4" t="s">
        <v>375</v>
      </c>
      <c r="AE1001" s="8">
        <v>1843</v>
      </c>
      <c r="AF1001" s="8">
        <v>2</v>
      </c>
      <c r="AG1001" s="9" t="s">
        <v>379</v>
      </c>
      <c r="AH1001" s="9" t="s">
        <v>372</v>
      </c>
      <c r="AI1001" s="9" t="s">
        <v>373</v>
      </c>
      <c r="AJ1001" s="9" t="s">
        <v>306</v>
      </c>
      <c r="AK1001" s="9" t="s">
        <v>307</v>
      </c>
      <c r="AL1001" s="9" t="s">
        <v>337</v>
      </c>
      <c r="AM1001" s="8">
        <v>4</v>
      </c>
      <c r="AN1001" s="4" t="s">
        <v>381</v>
      </c>
      <c r="AO1001" s="4" t="s">
        <v>382</v>
      </c>
      <c r="AP1001" s="4" t="s">
        <v>383</v>
      </c>
      <c r="AQ1001" s="7" t="s">
        <v>384</v>
      </c>
      <c r="AR1001" s="7" t="s">
        <v>827</v>
      </c>
      <c r="AS1001" s="7">
        <v>0</v>
      </c>
      <c r="AT1001" s="7">
        <v>0</v>
      </c>
      <c r="AU1001" s="9" t="s">
        <v>303</v>
      </c>
      <c r="AV1001" s="9" t="s">
        <v>406</v>
      </c>
      <c r="BA1001" s="8">
        <v>5</v>
      </c>
      <c r="BF1001" s="7"/>
      <c r="BG1001" s="8"/>
      <c r="BH1001" s="8"/>
      <c r="BP1001" s="7">
        <f>2+2.1</f>
        <v>4.0999999999999996</v>
      </c>
      <c r="BR1001" s="7">
        <f>(2.2*2+0.6*2.1)/(2+2.1)</f>
        <v>1.3804878048780489</v>
      </c>
      <c r="BS1001" s="7">
        <f>(1.1*2+7.3*2.1)/(2+2.1)</f>
        <v>4.2756097560975617</v>
      </c>
      <c r="BT1001" s="7">
        <f>(0.1*2+0.7*2.1)/(2+2.1)</f>
        <v>0.40731707317073174</v>
      </c>
      <c r="BU1001" s="8">
        <f>(16*2+34*2.1)/(2+2.1)</f>
        <v>25.219512195121954</v>
      </c>
      <c r="BV1001" s="7">
        <f>(0.3*2+0.1*2.1)/(2+2.1)</f>
        <v>0.19756097560975613</v>
      </c>
      <c r="BW1001" s="7"/>
      <c r="BX1001" s="7"/>
      <c r="BY1001" s="7"/>
      <c r="BZ1001" s="7"/>
      <c r="CA1001" s="7"/>
      <c r="CB1001" s="7"/>
      <c r="CC1001" s="7"/>
      <c r="CD1001" s="7"/>
      <c r="CE1001" s="7"/>
      <c r="CF1001" s="7"/>
      <c r="CG1001" s="7"/>
      <c r="CH1001" s="7"/>
      <c r="CI1001" s="7"/>
      <c r="CJ1001" s="7"/>
      <c r="CK1001" s="7"/>
      <c r="CL1001" s="7"/>
      <c r="CM1001" s="7"/>
      <c r="CN1001" s="7"/>
      <c r="CO1001" s="7"/>
      <c r="CP1001" s="7"/>
      <c r="CQ1001" s="7"/>
      <c r="CR1001" s="7"/>
      <c r="CS1001" s="7"/>
      <c r="CT1001" s="7"/>
      <c r="CU1001" s="7"/>
      <c r="CV1001" s="7"/>
      <c r="CW1001" s="7"/>
      <c r="CX1001" s="7"/>
      <c r="CY1001" s="7"/>
      <c r="CZ1001" s="7"/>
      <c r="DA1001" s="7"/>
      <c r="DB1001" s="7"/>
      <c r="DC1001" s="7"/>
      <c r="DD1001" s="7"/>
      <c r="DE1001" s="7"/>
      <c r="DF1001" s="7"/>
      <c r="DG1001" s="7"/>
      <c r="DH1001" s="7"/>
      <c r="DI1001" s="7"/>
      <c r="DJ1001" s="7"/>
      <c r="DK1001" s="7"/>
      <c r="DL1001" s="7"/>
      <c r="DM1001" s="7"/>
      <c r="DN1001" s="7"/>
      <c r="DO1001" s="7"/>
      <c r="DP1001" s="7"/>
      <c r="DQ1001" s="7"/>
      <c r="DR1001" s="7"/>
      <c r="DS1001" s="7"/>
      <c r="DT1001" s="7"/>
      <c r="DU1001" s="7"/>
      <c r="DV1001" s="7"/>
      <c r="DW1001" s="7"/>
      <c r="DX1001" s="7"/>
      <c r="DY1001" s="7"/>
      <c r="DZ1001" s="31"/>
      <c r="EA1001" s="7"/>
      <c r="EB1001" s="7"/>
      <c r="EC1001" s="7"/>
      <c r="ED1001" s="7"/>
      <c r="EE1001" s="7"/>
      <c r="EF1001" s="7"/>
      <c r="EG1001" s="7"/>
      <c r="EH1001" s="10">
        <f t="shared" si="41"/>
        <v>5.6600000000000004E-2</v>
      </c>
      <c r="EI1001" s="10">
        <f t="shared" si="39"/>
        <v>0.17530000000000001</v>
      </c>
      <c r="EJ1001" s="10">
        <f t="shared" si="42"/>
        <v>1.67E-2</v>
      </c>
      <c r="EK1001" s="10">
        <f t="shared" si="40"/>
        <v>0.10340000000000001</v>
      </c>
      <c r="EL1001" s="6">
        <f t="shared" si="38"/>
        <v>0.81</v>
      </c>
      <c r="FA1001" s="6"/>
      <c r="GP1001" s="32"/>
      <c r="GY1001" s="31" t="s">
        <v>407</v>
      </c>
      <c r="GZ1001" s="6" t="s">
        <v>626</v>
      </c>
      <c r="HB1001" s="6" t="s">
        <v>6863</v>
      </c>
      <c r="HC1001" s="6" t="s">
        <v>627</v>
      </c>
      <c r="HD1001" s="8" t="s">
        <v>3052</v>
      </c>
      <c r="HE1001" s="8">
        <v>9793</v>
      </c>
      <c r="HF1001" s="8" t="s">
        <v>3053</v>
      </c>
      <c r="HG1001" s="9" t="s">
        <v>538</v>
      </c>
      <c r="IB1001" s="8" t="s">
        <v>3054</v>
      </c>
      <c r="IC1001" s="8">
        <v>9793</v>
      </c>
      <c r="ID1001" s="8" t="s">
        <v>3055</v>
      </c>
      <c r="IE1001" s="8" t="s">
        <v>538</v>
      </c>
      <c r="IF1001" s="8" t="s">
        <v>445</v>
      </c>
      <c r="IG1001" s="8" t="s">
        <v>3056</v>
      </c>
      <c r="IH1001" s="8">
        <v>34479</v>
      </c>
      <c r="II1001" s="8" t="s">
        <v>3057</v>
      </c>
      <c r="IJ1001" s="8" t="s">
        <v>538</v>
      </c>
      <c r="IK1001" s="8" t="s">
        <v>350</v>
      </c>
      <c r="IM1001" s="9"/>
      <c r="IR1001" s="9"/>
      <c r="JX1001" s="7" t="s">
        <v>322</v>
      </c>
      <c r="JY1001" s="7" t="s">
        <v>470</v>
      </c>
      <c r="JZ1001" s="7" t="s">
        <v>320</v>
      </c>
      <c r="KA1001" s="7" t="s">
        <v>354</v>
      </c>
      <c r="KB1001" s="7" t="s">
        <v>353</v>
      </c>
      <c r="KG1001" s="4" t="s">
        <v>323</v>
      </c>
      <c r="KM1001" s="4" t="s">
        <v>391</v>
      </c>
      <c r="KN1001" s="4" t="s">
        <v>391</v>
      </c>
      <c r="KP1001" s="18" t="s">
        <v>7071</v>
      </c>
      <c r="KQ1001" s="5" t="s">
        <v>6428</v>
      </c>
      <c r="KR1001" s="5" t="s">
        <v>3060</v>
      </c>
      <c r="KS1001" s="5" t="s">
        <v>6429</v>
      </c>
      <c r="KT1001" s="5" t="s">
        <v>1414</v>
      </c>
    </row>
    <row r="1002" spans="1:306" ht="96" x14ac:dyDescent="0.25">
      <c r="A1002" s="5" t="s">
        <v>7117</v>
      </c>
      <c r="B1002" s="4" t="s">
        <v>364</v>
      </c>
      <c r="C1002" s="7" t="s">
        <v>549</v>
      </c>
      <c r="D1002" s="7" t="s">
        <v>550</v>
      </c>
      <c r="E1002" s="4">
        <v>335838</v>
      </c>
      <c r="G1002" s="4" t="s">
        <v>330</v>
      </c>
      <c r="H1002" s="6">
        <v>116.9436</v>
      </c>
      <c r="I1002" s="6">
        <v>-28.745200000000001</v>
      </c>
      <c r="J1002" s="4" t="s">
        <v>3593</v>
      </c>
      <c r="K1002" s="4" t="s">
        <v>331</v>
      </c>
      <c r="L1002" s="4" t="s">
        <v>500</v>
      </c>
      <c r="M1002" s="4" t="s">
        <v>676</v>
      </c>
      <c r="N1002" s="4" t="s">
        <v>677</v>
      </c>
      <c r="O1002" s="7"/>
      <c r="Q1002" s="8"/>
      <c r="R1002" s="8"/>
      <c r="Z1002" s="4" t="s">
        <v>364</v>
      </c>
      <c r="AA1002" s="7" t="s">
        <v>549</v>
      </c>
      <c r="AB1002" s="7" t="s">
        <v>550</v>
      </c>
      <c r="AC1002" s="4" t="s">
        <v>301</v>
      </c>
      <c r="AD1002" s="4" t="s">
        <v>302</v>
      </c>
      <c r="AE1002" s="8">
        <v>2953</v>
      </c>
      <c r="AF1002" s="8">
        <v>9</v>
      </c>
      <c r="AG1002" s="9" t="s">
        <v>379</v>
      </c>
      <c r="AH1002" s="9" t="s">
        <v>372</v>
      </c>
      <c r="AI1002" s="9" t="s">
        <v>373</v>
      </c>
      <c r="AJ1002" s="9" t="s">
        <v>306</v>
      </c>
      <c r="AK1002" s="9" t="s">
        <v>307</v>
      </c>
      <c r="AL1002" s="9" t="s">
        <v>337</v>
      </c>
      <c r="AM1002" s="8">
        <v>4</v>
      </c>
      <c r="AR1002" s="7"/>
      <c r="AS1002" s="8"/>
      <c r="AT1002" s="8"/>
      <c r="BF1002" s="7"/>
      <c r="BG1002" s="8"/>
      <c r="BH1002" s="8"/>
      <c r="BP1002" s="7">
        <v>15.6</v>
      </c>
      <c r="BR1002" s="7">
        <v>1.4</v>
      </c>
      <c r="BS1002" s="7">
        <v>9.5</v>
      </c>
      <c r="BT1002" s="7">
        <v>0.6</v>
      </c>
      <c r="BU1002" s="8">
        <v>71</v>
      </c>
      <c r="BV1002" s="7">
        <v>1</v>
      </c>
      <c r="BW1002" s="7"/>
      <c r="BX1002" s="7"/>
      <c r="BY1002" s="7"/>
      <c r="BZ1002" s="7"/>
      <c r="CA1002" s="7"/>
      <c r="CB1002" s="7"/>
      <c r="CC1002" s="7"/>
      <c r="CD1002" s="7"/>
      <c r="CE1002" s="7"/>
      <c r="CF1002" s="7"/>
      <c r="CG1002" s="7"/>
      <c r="CH1002" s="7"/>
      <c r="CI1002" s="7"/>
      <c r="CJ1002" s="7"/>
      <c r="CK1002" s="7"/>
      <c r="CL1002" s="7"/>
      <c r="CM1002" s="7"/>
      <c r="CN1002" s="7"/>
      <c r="CO1002" s="7"/>
      <c r="CP1002" s="7"/>
      <c r="CQ1002" s="7"/>
      <c r="CR1002" s="7"/>
      <c r="CS1002" s="7"/>
      <c r="CT1002" s="7"/>
      <c r="CU1002" s="7"/>
      <c r="CV1002" s="7"/>
      <c r="CW1002" s="7"/>
      <c r="CX1002" s="7"/>
      <c r="CY1002" s="7"/>
      <c r="CZ1002" s="7"/>
      <c r="DA1002" s="7"/>
      <c r="DB1002" s="7"/>
      <c r="DC1002" s="7"/>
      <c r="DD1002" s="7"/>
      <c r="DE1002" s="7"/>
      <c r="DF1002" s="7"/>
      <c r="DG1002" s="7"/>
      <c r="DH1002" s="7"/>
      <c r="DI1002" s="7"/>
      <c r="DJ1002" s="7"/>
      <c r="DK1002" s="7"/>
      <c r="DL1002" s="7"/>
      <c r="DM1002" s="7"/>
      <c r="DN1002" s="7"/>
      <c r="DO1002" s="7"/>
      <c r="DP1002" s="7"/>
      <c r="DQ1002" s="7"/>
      <c r="DR1002" s="7"/>
      <c r="DS1002" s="7"/>
      <c r="DT1002" s="7"/>
      <c r="DU1002" s="7"/>
      <c r="DV1002" s="7"/>
      <c r="DW1002" s="7"/>
      <c r="DX1002" s="7"/>
      <c r="DY1002" s="7"/>
      <c r="DZ1002" s="31"/>
      <c r="EA1002" s="7"/>
      <c r="EB1002" s="7"/>
      <c r="EC1002" s="7"/>
      <c r="ED1002" s="7"/>
      <c r="EE1002" s="7"/>
      <c r="EF1002" s="7"/>
      <c r="EG1002" s="7"/>
      <c r="EH1002" s="10">
        <f t="shared" si="41"/>
        <v>0.21840000000000001</v>
      </c>
      <c r="EI1002" s="10">
        <f t="shared" si="39"/>
        <v>1.482</v>
      </c>
      <c r="EJ1002" s="10">
        <f t="shared" si="42"/>
        <v>9.3599999999999989E-2</v>
      </c>
      <c r="EK1002" s="10">
        <f t="shared" si="40"/>
        <v>1.1075999999999999</v>
      </c>
      <c r="EL1002" s="6">
        <f t="shared" si="38"/>
        <v>15.6</v>
      </c>
      <c r="FA1002" s="6"/>
      <c r="GP1002" s="32"/>
      <c r="GY1002" s="31" t="s">
        <v>407</v>
      </c>
      <c r="GZ1002" s="6" t="s">
        <v>734</v>
      </c>
      <c r="HA1002" s="6" t="s">
        <v>1432</v>
      </c>
      <c r="HB1002" s="6" t="s">
        <v>339</v>
      </c>
      <c r="HC1002" s="6" t="s">
        <v>627</v>
      </c>
      <c r="HD1002" s="8" t="s">
        <v>3596</v>
      </c>
      <c r="HE1002" s="8">
        <v>78987</v>
      </c>
      <c r="HF1002" s="8" t="s">
        <v>3597</v>
      </c>
      <c r="HG1002" s="9" t="s">
        <v>389</v>
      </c>
      <c r="HH1002" s="8"/>
      <c r="HJ1002" s="8"/>
      <c r="IB1002" s="8" t="s">
        <v>3600</v>
      </c>
      <c r="IC1002" s="8">
        <v>78983</v>
      </c>
      <c r="ID1002" s="8" t="s">
        <v>3601</v>
      </c>
      <c r="IE1002" s="9" t="s">
        <v>389</v>
      </c>
      <c r="IF1002" s="8" t="s">
        <v>319</v>
      </c>
      <c r="II1002" s="8" t="s">
        <v>3602</v>
      </c>
      <c r="IJ1002" s="8" t="s">
        <v>389</v>
      </c>
      <c r="IK1002" s="8" t="s">
        <v>319</v>
      </c>
      <c r="IM1002" s="9"/>
      <c r="IR1002" s="9"/>
      <c r="JV1002" s="7" t="s">
        <v>7118</v>
      </c>
      <c r="JW1002" s="7" t="s">
        <v>352</v>
      </c>
      <c r="JX1002" s="7" t="s">
        <v>320</v>
      </c>
      <c r="JY1002" s="7" t="s">
        <v>470</v>
      </c>
      <c r="JZ1002" s="7" t="s">
        <v>353</v>
      </c>
      <c r="KA1002" s="7" t="s">
        <v>354</v>
      </c>
      <c r="KB1002" s="7" t="s">
        <v>322</v>
      </c>
      <c r="KG1002" s="4" t="s">
        <v>323</v>
      </c>
      <c r="KM1002" s="4" t="s">
        <v>391</v>
      </c>
      <c r="KN1002" s="4" t="s">
        <v>391</v>
      </c>
      <c r="KP1002" s="5" t="s">
        <v>358</v>
      </c>
      <c r="KQ1002" s="5" t="s">
        <v>7119</v>
      </c>
      <c r="KR1002" s="5" t="s">
        <v>3605</v>
      </c>
      <c r="KS1002" s="5" t="s">
        <v>7120</v>
      </c>
      <c r="KT1002" s="5" t="s">
        <v>7121</v>
      </c>
    </row>
    <row r="1003" spans="1:306" ht="132" x14ac:dyDescent="0.25">
      <c r="A1003" s="5" t="s">
        <v>7220</v>
      </c>
      <c r="B1003" s="4" t="s">
        <v>364</v>
      </c>
      <c r="C1003" s="7" t="s">
        <v>549</v>
      </c>
      <c r="D1003" s="8" t="s">
        <v>550</v>
      </c>
      <c r="E1003" s="4">
        <v>335053</v>
      </c>
      <c r="G1003" s="4" t="s">
        <v>296</v>
      </c>
      <c r="H1003" s="6">
        <v>145.51557</v>
      </c>
      <c r="I1003" s="6">
        <v>-41.8459</v>
      </c>
      <c r="J1003" s="4" t="s">
        <v>3936</v>
      </c>
      <c r="K1003" s="4" t="s">
        <v>298</v>
      </c>
      <c r="L1003" s="4" t="s">
        <v>400</v>
      </c>
      <c r="M1003" s="4" t="s">
        <v>401</v>
      </c>
      <c r="Q1003" s="7"/>
      <c r="R1003" s="7"/>
      <c r="Z1003" s="4" t="s">
        <v>364</v>
      </c>
      <c r="AA1003" s="7" t="s">
        <v>549</v>
      </c>
      <c r="AB1003" s="8" t="s">
        <v>550</v>
      </c>
      <c r="AC1003" s="4" t="s">
        <v>301</v>
      </c>
      <c r="AD1003" s="4" t="s">
        <v>302</v>
      </c>
      <c r="AE1003" s="7">
        <v>502.6</v>
      </c>
      <c r="AF1003" s="7">
        <v>0.9</v>
      </c>
      <c r="AG1003" s="9" t="s">
        <v>379</v>
      </c>
      <c r="AH1003" s="9" t="s">
        <v>372</v>
      </c>
      <c r="AI1003" s="9" t="s">
        <v>373</v>
      </c>
      <c r="AJ1003" s="9" t="s">
        <v>306</v>
      </c>
      <c r="AK1003" s="9" t="s">
        <v>307</v>
      </c>
      <c r="AL1003" s="9" t="s">
        <v>1295</v>
      </c>
      <c r="AM1003" s="8">
        <v>4</v>
      </c>
      <c r="BP1003" s="7">
        <v>0.56000000000000005</v>
      </c>
      <c r="BR1003" s="7">
        <v>0.1</v>
      </c>
      <c r="BS1003" s="7">
        <v>3.7</v>
      </c>
      <c r="BT1003" s="7">
        <v>1.9</v>
      </c>
      <c r="BU1003" s="8">
        <v>157</v>
      </c>
      <c r="BV1003" s="7">
        <v>3</v>
      </c>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7"/>
      <c r="CV1003" s="7"/>
      <c r="CW1003" s="7"/>
      <c r="CX1003" s="7"/>
      <c r="CY1003" s="7"/>
      <c r="CZ1003" s="7"/>
      <c r="DA1003" s="7"/>
      <c r="DB1003" s="7"/>
      <c r="DC1003" s="7"/>
      <c r="DD1003" s="7"/>
      <c r="DE1003" s="7"/>
      <c r="DF1003" s="7"/>
      <c r="DG1003" s="7"/>
      <c r="DH1003" s="7"/>
      <c r="DI1003" s="7"/>
      <c r="DJ1003" s="7"/>
      <c r="DK1003" s="7"/>
      <c r="DL1003" s="7"/>
      <c r="DM1003" s="7"/>
      <c r="DN1003" s="7"/>
      <c r="DO1003" s="7"/>
      <c r="DP1003" s="7"/>
      <c r="DQ1003" s="7"/>
      <c r="DR1003" s="7"/>
      <c r="DS1003" s="7"/>
      <c r="DT1003" s="7"/>
      <c r="DU1003" s="7"/>
      <c r="DV1003" s="7"/>
      <c r="DW1003" s="7"/>
      <c r="DX1003" s="7"/>
      <c r="DY1003" s="7"/>
      <c r="DZ1003" s="31"/>
      <c r="EA1003" s="7"/>
      <c r="EB1003" s="7"/>
      <c r="EC1003" s="7"/>
      <c r="ED1003" s="7"/>
      <c r="EE1003" s="7"/>
      <c r="EF1003" s="7"/>
      <c r="EG1003" s="7"/>
      <c r="EH1003" s="10">
        <f t="shared" si="41"/>
        <v>5.6000000000000006E-4</v>
      </c>
      <c r="EI1003" s="10">
        <f t="shared" si="39"/>
        <v>2.0720000000000006E-2</v>
      </c>
      <c r="EJ1003" s="10">
        <f t="shared" si="42"/>
        <v>1.064E-2</v>
      </c>
      <c r="EK1003" s="10">
        <f t="shared" si="40"/>
        <v>8.7919999999999998E-2</v>
      </c>
      <c r="EL1003" s="6">
        <f t="shared" si="38"/>
        <v>1.6800000000000002</v>
      </c>
      <c r="EY1003" s="6"/>
      <c r="FA1003" s="6"/>
      <c r="GP1003" s="32"/>
      <c r="GY1003" s="6" t="s">
        <v>309</v>
      </c>
      <c r="GZ1003" s="6" t="s">
        <v>5409</v>
      </c>
      <c r="HA1003" s="6" t="s">
        <v>339</v>
      </c>
      <c r="HB1003" s="6" t="s">
        <v>994</v>
      </c>
      <c r="HC1003" s="6" t="s">
        <v>627</v>
      </c>
      <c r="HD1003" s="8" t="s">
        <v>3984</v>
      </c>
      <c r="HE1003" s="8">
        <v>73318</v>
      </c>
      <c r="HF1003" s="8" t="s">
        <v>3985</v>
      </c>
      <c r="HG1003" s="9" t="s">
        <v>2870</v>
      </c>
      <c r="HQ1003" s="9"/>
      <c r="HY1003" s="9"/>
      <c r="IB1003" s="8" t="s">
        <v>3984</v>
      </c>
      <c r="IC1003" s="8">
        <v>73318</v>
      </c>
      <c r="ID1003" s="8" t="s">
        <v>3986</v>
      </c>
      <c r="IE1003" s="9" t="s">
        <v>2870</v>
      </c>
      <c r="IF1003" s="8" t="s">
        <v>319</v>
      </c>
      <c r="IM1003" s="9"/>
      <c r="IR1003" s="9"/>
      <c r="JV1003" s="7" t="s">
        <v>3987</v>
      </c>
      <c r="JW1003" s="7" t="s">
        <v>352</v>
      </c>
      <c r="JX1003" s="7" t="s">
        <v>320</v>
      </c>
      <c r="KG1003" s="4" t="s">
        <v>356</v>
      </c>
      <c r="KH1003" s="4" t="s">
        <v>357</v>
      </c>
      <c r="KM1003" s="4" t="s">
        <v>391</v>
      </c>
      <c r="KN1003" s="4" t="s">
        <v>391</v>
      </c>
      <c r="KO1003" s="4" t="s">
        <v>350</v>
      </c>
      <c r="KP1003" s="18" t="s">
        <v>7221</v>
      </c>
      <c r="KQ1003" s="5" t="s">
        <v>7222</v>
      </c>
      <c r="KR1003" s="5" t="s">
        <v>3945</v>
      </c>
      <c r="KS1003" s="5" t="s">
        <v>3990</v>
      </c>
      <c r="KT1003" s="5" t="s">
        <v>3991</v>
      </c>
    </row>
    <row r="1004" spans="1:306" ht="60.75" customHeight="1" x14ac:dyDescent="0.25">
      <c r="A1004" s="5" t="s">
        <v>1294</v>
      </c>
      <c r="B1004" s="4" t="s">
        <v>364</v>
      </c>
      <c r="C1004" s="7" t="s">
        <v>549</v>
      </c>
      <c r="D1004" s="7" t="s">
        <v>550</v>
      </c>
      <c r="E1004" s="4">
        <v>334181</v>
      </c>
      <c r="G1004" s="4" t="s">
        <v>330</v>
      </c>
      <c r="H1004" s="6">
        <v>121.14796244999999</v>
      </c>
      <c r="I1004" s="6">
        <v>-28.409143729</v>
      </c>
      <c r="J1004" s="4" t="s">
        <v>1294</v>
      </c>
      <c r="K1004" s="4" t="s">
        <v>331</v>
      </c>
      <c r="L1004" s="4" t="s">
        <v>500</v>
      </c>
      <c r="M1004" s="4" t="s">
        <v>501</v>
      </c>
      <c r="N1004" s="4" t="s">
        <v>625</v>
      </c>
      <c r="O1004" s="7"/>
      <c r="Q1004" s="7"/>
      <c r="R1004" s="7"/>
      <c r="Z1004" s="4" t="s">
        <v>364</v>
      </c>
      <c r="AA1004" s="7" t="s">
        <v>549</v>
      </c>
      <c r="AB1004" s="7" t="s">
        <v>550</v>
      </c>
      <c r="AC1004" s="4" t="s">
        <v>301</v>
      </c>
      <c r="AD1004" s="4" t="s">
        <v>302</v>
      </c>
      <c r="AE1004" s="7">
        <v>2694.2</v>
      </c>
      <c r="AF1004" s="7">
        <v>0.6</v>
      </c>
      <c r="AG1004" s="9" t="s">
        <v>379</v>
      </c>
      <c r="AH1004" s="9" t="s">
        <v>372</v>
      </c>
      <c r="AI1004" s="9" t="s">
        <v>373</v>
      </c>
      <c r="AJ1004" s="9" t="s">
        <v>306</v>
      </c>
      <c r="AK1004" s="9" t="s">
        <v>307</v>
      </c>
      <c r="AL1004" s="9" t="s">
        <v>1295</v>
      </c>
      <c r="AM1004" s="8">
        <v>4</v>
      </c>
      <c r="AR1004" s="7"/>
      <c r="AS1004" s="7"/>
      <c r="AT1004" s="7"/>
      <c r="BF1004" s="7"/>
      <c r="BG1004" s="7"/>
      <c r="BH1004" s="7"/>
      <c r="BP1004" s="7">
        <f>1.684+1.554</f>
        <v>3.238</v>
      </c>
      <c r="BQ1004" s="9"/>
      <c r="BR1004" s="7">
        <f>(3.5*1.684+1.6*1.554)/(1.684+1.554)</f>
        <v>2.5881408276714022</v>
      </c>
      <c r="BS1004" s="7">
        <f>(10.8*1.684+2.5*1.554)/(1.684+1.554)</f>
        <v>6.8166151945645463</v>
      </c>
      <c r="BU1004" s="8">
        <f>(140*1.684+49*1.554)/(1.684+1.554)</f>
        <v>96.326744904261886</v>
      </c>
      <c r="DZ1004" s="31"/>
      <c r="EH1004" s="10">
        <f t="shared" si="41"/>
        <v>8.3804000000000003E-2</v>
      </c>
      <c r="EI1004" s="10">
        <f t="shared" si="39"/>
        <v>0.22072200000000003</v>
      </c>
      <c r="EK1004" s="10">
        <f t="shared" si="40"/>
        <v>0.31190600000000002</v>
      </c>
      <c r="FA1004" s="6"/>
      <c r="GP1004" s="32"/>
      <c r="GY1004" s="31" t="s">
        <v>407</v>
      </c>
      <c r="GZ1004" s="6" t="s">
        <v>626</v>
      </c>
      <c r="HA1004" s="6" t="s">
        <v>462</v>
      </c>
      <c r="HC1004" s="6" t="s">
        <v>627</v>
      </c>
      <c r="HD1004" s="8" t="s">
        <v>1296</v>
      </c>
      <c r="HE1004" s="8">
        <v>40778</v>
      </c>
      <c r="HF1004" s="8" t="s">
        <v>1297</v>
      </c>
      <c r="HG1004" s="9" t="s">
        <v>507</v>
      </c>
      <c r="IB1004" s="8" t="s">
        <v>1296</v>
      </c>
      <c r="IC1004" s="8">
        <v>40778</v>
      </c>
      <c r="ID1004" s="8" t="s">
        <v>1298</v>
      </c>
      <c r="IE1004" s="8" t="s">
        <v>507</v>
      </c>
      <c r="IF1004" s="8" t="s">
        <v>445</v>
      </c>
      <c r="IG1004" s="8" t="s">
        <v>1296</v>
      </c>
      <c r="IH1004" s="8">
        <v>40778</v>
      </c>
      <c r="II1004" s="8" t="s">
        <v>1299</v>
      </c>
      <c r="IJ1004" s="8" t="s">
        <v>507</v>
      </c>
      <c r="IK1004" s="8" t="s">
        <v>445</v>
      </c>
      <c r="IL1004" s="8" t="s">
        <v>1296</v>
      </c>
      <c r="IM1004" s="8">
        <v>40778</v>
      </c>
      <c r="IN1004" s="8" t="s">
        <v>1300</v>
      </c>
      <c r="IO1004" s="8" t="s">
        <v>507</v>
      </c>
      <c r="IP1004" s="8" t="s">
        <v>350</v>
      </c>
      <c r="IQ1004" s="8" t="s">
        <v>1296</v>
      </c>
      <c r="IR1004" s="8">
        <v>40778</v>
      </c>
      <c r="IS1004" s="8" t="s">
        <v>1301</v>
      </c>
      <c r="IT1004" s="8" t="s">
        <v>507</v>
      </c>
      <c r="IU1004" s="8" t="s">
        <v>350</v>
      </c>
      <c r="IV1004" s="8" t="s">
        <v>1296</v>
      </c>
      <c r="IW1004" s="8">
        <v>40778</v>
      </c>
      <c r="IX1004" s="8" t="s">
        <v>1302</v>
      </c>
      <c r="IY1004" s="8" t="s">
        <v>507</v>
      </c>
      <c r="IZ1004" s="8" t="s">
        <v>350</v>
      </c>
      <c r="JC1004" s="9" t="s">
        <v>658</v>
      </c>
      <c r="JD1004" s="9" t="s">
        <v>1303</v>
      </c>
      <c r="JE1004" s="9" t="s">
        <v>350</v>
      </c>
      <c r="JV1004" s="7" t="s">
        <v>7521</v>
      </c>
      <c r="JW1004" s="7" t="s">
        <v>352</v>
      </c>
      <c r="JX1004" s="7" t="s">
        <v>320</v>
      </c>
      <c r="JY1004" s="7" t="s">
        <v>354</v>
      </c>
      <c r="JZ1004" s="7" t="s">
        <v>322</v>
      </c>
      <c r="KA1004" s="7" t="s">
        <v>448</v>
      </c>
      <c r="KB1004" s="7" t="s">
        <v>353</v>
      </c>
      <c r="KG1004" s="4" t="s">
        <v>323</v>
      </c>
      <c r="KM1004" s="4" t="s">
        <v>391</v>
      </c>
      <c r="KN1004" s="4" t="s">
        <v>391</v>
      </c>
      <c r="KP1004" s="5" t="s">
        <v>1306</v>
      </c>
      <c r="KQ1004" s="5" t="s">
        <v>7522</v>
      </c>
      <c r="KR1004" s="5" t="s">
        <v>4245</v>
      </c>
      <c r="KS1004" s="5" t="s">
        <v>1306</v>
      </c>
      <c r="KT1004" s="5" t="s">
        <v>7523</v>
      </c>
    </row>
    <row r="1005" spans="1:306" ht="192" x14ac:dyDescent="0.25">
      <c r="A1005" s="5" t="s">
        <v>7524</v>
      </c>
      <c r="B1005" s="4" t="s">
        <v>364</v>
      </c>
      <c r="C1005" s="7" t="s">
        <v>549</v>
      </c>
      <c r="D1005" s="8" t="s">
        <v>550</v>
      </c>
      <c r="E1005" s="4">
        <v>334719</v>
      </c>
      <c r="G1005" s="4" t="s">
        <v>479</v>
      </c>
      <c r="H1005" s="6">
        <v>145.76990000000001</v>
      </c>
      <c r="I1005" s="6">
        <v>-20.341899999999999</v>
      </c>
      <c r="J1005" s="4" t="s">
        <v>3839</v>
      </c>
      <c r="K1005" s="4" t="s">
        <v>298</v>
      </c>
      <c r="L1005" s="4" t="s">
        <v>760</v>
      </c>
      <c r="M1005" s="4" t="s">
        <v>7525</v>
      </c>
      <c r="Q1005" s="8"/>
      <c r="R1005" s="8"/>
      <c r="Z1005" s="4" t="s">
        <v>364</v>
      </c>
      <c r="AA1005" s="7" t="s">
        <v>549</v>
      </c>
      <c r="AB1005" s="8" t="s">
        <v>550</v>
      </c>
      <c r="AC1005" s="4" t="s">
        <v>301</v>
      </c>
      <c r="AD1005" s="4" t="s">
        <v>375</v>
      </c>
      <c r="AE1005" s="8">
        <v>479</v>
      </c>
      <c r="AF1005" s="8">
        <v>5</v>
      </c>
      <c r="AG1005" s="9" t="s">
        <v>379</v>
      </c>
      <c r="AH1005" s="9" t="s">
        <v>372</v>
      </c>
      <c r="AI1005" s="9" t="s">
        <v>373</v>
      </c>
      <c r="AJ1005" s="9" t="s">
        <v>306</v>
      </c>
      <c r="AK1005" s="9" t="s">
        <v>307</v>
      </c>
      <c r="AL1005" s="9" t="s">
        <v>337</v>
      </c>
      <c r="AM1005" s="8">
        <v>4</v>
      </c>
      <c r="AN1005" s="4" t="s">
        <v>381</v>
      </c>
      <c r="AO1005" s="4" t="s">
        <v>402</v>
      </c>
      <c r="AP1005" s="4" t="s">
        <v>383</v>
      </c>
      <c r="AQ1005" s="7" t="s">
        <v>384</v>
      </c>
      <c r="AR1005" s="8" t="s">
        <v>1048</v>
      </c>
      <c r="AS1005" s="7">
        <v>0</v>
      </c>
      <c r="AT1005" s="7">
        <v>0</v>
      </c>
      <c r="AU1005" s="9" t="s">
        <v>303</v>
      </c>
      <c r="AV1005" s="9" t="s">
        <v>406</v>
      </c>
      <c r="BA1005" s="8">
        <v>5</v>
      </c>
      <c r="BB1005" s="4" t="s">
        <v>381</v>
      </c>
      <c r="BC1005" s="4" t="s">
        <v>402</v>
      </c>
      <c r="BD1005" s="4" t="s">
        <v>383</v>
      </c>
      <c r="BE1005" s="7" t="s">
        <v>384</v>
      </c>
      <c r="BF1005" s="8" t="s">
        <v>827</v>
      </c>
      <c r="BG1005" s="7">
        <v>0</v>
      </c>
      <c r="BH1005" s="7">
        <v>0</v>
      </c>
      <c r="BI1005" s="9" t="s">
        <v>303</v>
      </c>
      <c r="BJ1005" s="9" t="s">
        <v>406</v>
      </c>
      <c r="BO1005" s="8">
        <v>5</v>
      </c>
      <c r="BP1005" s="7">
        <f>7.026+0.591+0.361</f>
        <v>7.9779999999999998</v>
      </c>
      <c r="BQ1005" s="9"/>
      <c r="BR1005" s="7">
        <f>(2.5*7.026+0.6*0.591+1*0.361)/(7.026+0.591+0.361)</f>
        <v>2.2913762847831536</v>
      </c>
      <c r="BS1005" s="7">
        <f>(11.9*7.026+8.3*0.591+11.2*0.361)/(7.026+0.591+0.361)</f>
        <v>11.601642015542742</v>
      </c>
      <c r="BT1005" s="7">
        <f>(3.7*7.026+3.5*0.591+2.5*0.361)/(7.026+0.591+0.361)</f>
        <v>3.6308849335673106</v>
      </c>
      <c r="BU1005" s="8">
        <f>(97*7.026+69*0.591+55*0.361)/(7.026+0.591+0.361)</f>
        <v>93.025319628979688</v>
      </c>
      <c r="BV1005" s="7">
        <f>(0.6*7.026+0.3*0.591+0.2*0.361)/(7.026+0.591+0.361)</f>
        <v>0.55967661067936814</v>
      </c>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CV1005" s="7"/>
      <c r="CW1005" s="7"/>
      <c r="CX1005" s="7"/>
      <c r="CY1005" s="7"/>
      <c r="CZ1005" s="7"/>
      <c r="DA1005" s="7"/>
      <c r="DB1005" s="7"/>
      <c r="DC1005" s="7"/>
      <c r="DD1005" s="7"/>
      <c r="DE1005" s="7"/>
      <c r="DF1005" s="7"/>
      <c r="DG1005" s="7"/>
      <c r="DH1005" s="7"/>
      <c r="DI1005" s="7"/>
      <c r="DJ1005" s="7"/>
      <c r="DK1005" s="7"/>
      <c r="DL1005" s="7"/>
      <c r="DM1005" s="7"/>
      <c r="DN1005" s="7"/>
      <c r="DO1005" s="7"/>
      <c r="DP1005" s="7"/>
      <c r="DQ1005" s="7"/>
      <c r="DR1005" s="7"/>
      <c r="DS1005" s="7"/>
      <c r="DT1005" s="7"/>
      <c r="DU1005" s="7"/>
      <c r="DV1005" s="7"/>
      <c r="DW1005" s="7"/>
      <c r="DX1005" s="7"/>
      <c r="DY1005" s="7"/>
      <c r="DZ1005" s="31"/>
      <c r="EA1005" s="7"/>
      <c r="EB1005" s="7"/>
      <c r="EC1005" s="7"/>
      <c r="ED1005" s="7"/>
      <c r="EE1005" s="7"/>
      <c r="EF1005" s="7"/>
      <c r="EG1005" s="7"/>
      <c r="EH1005" s="10">
        <f t="shared" si="41"/>
        <v>0.182806</v>
      </c>
      <c r="EI1005" s="10">
        <f t="shared" si="39"/>
        <v>0.92557899999999993</v>
      </c>
      <c r="EJ1005" s="10">
        <f>BP1005*BT1005/100</f>
        <v>0.28967200000000004</v>
      </c>
      <c r="EK1005" s="10">
        <f t="shared" si="40"/>
        <v>0.74215599999999993</v>
      </c>
      <c r="EL1005" s="6">
        <f>BP1005*BV1005</f>
        <v>4.4650999999999987</v>
      </c>
      <c r="EY1005" s="6"/>
      <c r="FA1005" s="6"/>
      <c r="GP1005" s="32"/>
      <c r="GY1005" s="6" t="s">
        <v>435</v>
      </c>
      <c r="GZ1005" s="6" t="s">
        <v>734</v>
      </c>
      <c r="HA1005" s="6" t="s">
        <v>2547</v>
      </c>
      <c r="HB1005" s="6" t="s">
        <v>436</v>
      </c>
      <c r="HC1005" s="6" t="s">
        <v>627</v>
      </c>
      <c r="HD1005" s="8" t="s">
        <v>3840</v>
      </c>
      <c r="HE1005" s="8">
        <v>24044</v>
      </c>
      <c r="HF1005" s="8" t="s">
        <v>7526</v>
      </c>
      <c r="HG1005" s="9" t="s">
        <v>466</v>
      </c>
      <c r="HY1005" s="9"/>
      <c r="IB1005" s="8" t="s">
        <v>3840</v>
      </c>
      <c r="IC1005" s="8">
        <v>24044</v>
      </c>
      <c r="ID1005" s="8" t="s">
        <v>7526</v>
      </c>
      <c r="IE1005" s="9" t="s">
        <v>466</v>
      </c>
      <c r="IF1005" s="8" t="s">
        <v>319</v>
      </c>
      <c r="IR1005" s="9"/>
      <c r="JV1005" s="7" t="s">
        <v>3833</v>
      </c>
      <c r="JW1005" s="7" t="s">
        <v>352</v>
      </c>
      <c r="JX1005" s="7" t="s">
        <v>320</v>
      </c>
      <c r="JY1005" s="7" t="s">
        <v>448</v>
      </c>
      <c r="JZ1005" s="7" t="s">
        <v>353</v>
      </c>
      <c r="KA1005" s="7" t="s">
        <v>354</v>
      </c>
      <c r="KB1005" s="7" t="s">
        <v>322</v>
      </c>
      <c r="KG1005" s="4" t="s">
        <v>356</v>
      </c>
      <c r="KH1005" s="4" t="s">
        <v>1317</v>
      </c>
      <c r="KM1005" s="4" t="s">
        <v>391</v>
      </c>
      <c r="KN1005" s="4" t="s">
        <v>391</v>
      </c>
      <c r="KO1005" s="4" t="s">
        <v>350</v>
      </c>
      <c r="KP1005" s="5" t="s">
        <v>358</v>
      </c>
      <c r="KQ1005" s="5" t="s">
        <v>7527</v>
      </c>
      <c r="KR1005" s="5" t="s">
        <v>7528</v>
      </c>
      <c r="KS1005" s="5" t="s">
        <v>7529</v>
      </c>
      <c r="KT1005" s="5" t="s">
        <v>7530</v>
      </c>
    </row>
    <row r="1006" spans="1:306" ht="36" x14ac:dyDescent="0.2">
      <c r="A1006" s="5" t="s">
        <v>7729</v>
      </c>
      <c r="B1006" s="4" t="s">
        <v>364</v>
      </c>
      <c r="C1006" s="7" t="s">
        <v>549</v>
      </c>
      <c r="D1006" s="7" t="s">
        <v>550</v>
      </c>
      <c r="E1006" s="44">
        <v>859659</v>
      </c>
      <c r="G1006" s="4" t="s">
        <v>330</v>
      </c>
      <c r="H1006" s="6">
        <f>122+14/60</f>
        <v>122.23333333333333</v>
      </c>
      <c r="I1006" s="6">
        <f>-(27+38/60+30/3600)</f>
        <v>-27.641666666666666</v>
      </c>
      <c r="J1006" s="4" t="s">
        <v>3326</v>
      </c>
      <c r="K1006" s="4" t="s">
        <v>331</v>
      </c>
      <c r="L1006" s="4" t="s">
        <v>500</v>
      </c>
      <c r="M1006" s="4" t="s">
        <v>501</v>
      </c>
      <c r="N1006" s="4" t="s">
        <v>3327</v>
      </c>
      <c r="O1006" s="7"/>
      <c r="Q1006" s="8"/>
      <c r="R1006" s="8"/>
      <c r="Z1006" s="4" t="s">
        <v>364</v>
      </c>
      <c r="AA1006" s="7" t="s">
        <v>549</v>
      </c>
      <c r="AB1006" s="7" t="s">
        <v>550</v>
      </c>
      <c r="AC1006" s="4" t="s">
        <v>301</v>
      </c>
      <c r="AD1006" s="4" t="s">
        <v>302</v>
      </c>
      <c r="AE1006" s="8">
        <v>2805</v>
      </c>
      <c r="AF1006" s="8">
        <v>5</v>
      </c>
      <c r="AG1006" s="9" t="s">
        <v>379</v>
      </c>
      <c r="AH1006" s="9" t="s">
        <v>372</v>
      </c>
      <c r="AI1006" s="9" t="s">
        <v>373</v>
      </c>
      <c r="AJ1006" s="9" t="s">
        <v>306</v>
      </c>
      <c r="AK1006" s="9" t="s">
        <v>307</v>
      </c>
      <c r="AL1006" s="9" t="s">
        <v>337</v>
      </c>
      <c r="AM1006" s="8">
        <v>4</v>
      </c>
      <c r="AR1006" s="7"/>
      <c r="AS1006" s="8"/>
      <c r="AT1006" s="8"/>
      <c r="BF1006" s="7"/>
      <c r="BG1006" s="8"/>
      <c r="BH1006" s="8"/>
      <c r="DZ1006" s="31"/>
      <c r="FA1006" s="6"/>
      <c r="GP1006" s="32"/>
      <c r="GY1006" s="6" t="s">
        <v>407</v>
      </c>
      <c r="HF1006" s="8" t="s">
        <v>7730</v>
      </c>
      <c r="HG1006" s="9" t="s">
        <v>507</v>
      </c>
      <c r="IM1006" s="9"/>
      <c r="IR1006" s="9"/>
      <c r="JV1006" s="7" t="s">
        <v>7731</v>
      </c>
      <c r="JW1006" s="7" t="s">
        <v>352</v>
      </c>
      <c r="JX1006" s="7" t="s">
        <v>320</v>
      </c>
      <c r="KG1006" s="4" t="s">
        <v>323</v>
      </c>
      <c r="KM1006" s="4" t="s">
        <v>391</v>
      </c>
      <c r="KN1006" s="4" t="s">
        <v>391</v>
      </c>
      <c r="KP1006" s="5" t="s">
        <v>2341</v>
      </c>
      <c r="KQ1006" s="5" t="s">
        <v>7732</v>
      </c>
      <c r="KR1006" s="5" t="s">
        <v>1482</v>
      </c>
      <c r="KT1006" s="5" t="s">
        <v>7733</v>
      </c>
    </row>
    <row r="1007" spans="1:306" ht="72" x14ac:dyDescent="0.25">
      <c r="A1007" s="5" t="s">
        <v>7905</v>
      </c>
      <c r="B1007" s="4" t="s">
        <v>364</v>
      </c>
      <c r="C1007" s="7" t="s">
        <v>549</v>
      </c>
      <c r="D1007" s="8" t="s">
        <v>550</v>
      </c>
      <c r="E1007" s="4">
        <v>333983</v>
      </c>
      <c r="G1007" s="4" t="s">
        <v>479</v>
      </c>
      <c r="H1007" s="6">
        <v>146.11199999999999</v>
      </c>
      <c r="I1007" s="6">
        <v>-20.379799999999999</v>
      </c>
      <c r="J1007" s="4" t="s">
        <v>3839</v>
      </c>
      <c r="K1007" s="4" t="s">
        <v>298</v>
      </c>
      <c r="L1007" s="4" t="s">
        <v>760</v>
      </c>
      <c r="M1007" s="4" t="s">
        <v>1047</v>
      </c>
      <c r="Q1007" s="8"/>
      <c r="R1007" s="8"/>
      <c r="Z1007" s="4" t="s">
        <v>364</v>
      </c>
      <c r="AA1007" s="7" t="s">
        <v>549</v>
      </c>
      <c r="AB1007" s="8" t="s">
        <v>550</v>
      </c>
      <c r="AC1007" s="4" t="s">
        <v>301</v>
      </c>
      <c r="AD1007" s="4" t="s">
        <v>375</v>
      </c>
      <c r="AE1007" s="8">
        <v>479</v>
      </c>
      <c r="AF1007" s="8">
        <v>5</v>
      </c>
      <c r="AG1007" s="9" t="s">
        <v>379</v>
      </c>
      <c r="AH1007" s="9" t="s">
        <v>372</v>
      </c>
      <c r="AI1007" s="9" t="s">
        <v>373</v>
      </c>
      <c r="AJ1007" s="9" t="s">
        <v>306</v>
      </c>
      <c r="AK1007" s="9" t="s">
        <v>307</v>
      </c>
      <c r="AL1007" s="9" t="s">
        <v>337</v>
      </c>
      <c r="AM1007" s="8">
        <v>4</v>
      </c>
      <c r="BP1007" s="7">
        <v>0.67300000000000004</v>
      </c>
      <c r="BQ1007" s="9"/>
      <c r="BR1007" s="7">
        <v>1.9</v>
      </c>
      <c r="BS1007" s="7">
        <v>10.7</v>
      </c>
      <c r="BT1007" s="7">
        <v>1.6</v>
      </c>
      <c r="BU1007" s="8">
        <v>50</v>
      </c>
      <c r="BV1007" s="7">
        <v>1</v>
      </c>
      <c r="DZ1007" s="31"/>
      <c r="EH1007" s="10">
        <f>BP1007*BR1007/100</f>
        <v>1.2787E-2</v>
      </c>
      <c r="EI1007" s="10">
        <f>BP1007*BS1007/100</f>
        <v>7.2011000000000006E-2</v>
      </c>
      <c r="EJ1007" s="10">
        <f>BP1007*BT1007/100</f>
        <v>1.0768000000000002E-2</v>
      </c>
      <c r="EK1007" s="10">
        <f>BP1007*BU1007/1000</f>
        <v>3.3650000000000006E-2</v>
      </c>
      <c r="EL1007" s="6">
        <f>BP1007*BV1007</f>
        <v>0.67300000000000004</v>
      </c>
      <c r="EY1007" s="6"/>
      <c r="FA1007" s="6"/>
      <c r="GP1007" s="32"/>
      <c r="GY1007" s="6" t="s">
        <v>338</v>
      </c>
      <c r="GZ1007" s="6" t="s">
        <v>734</v>
      </c>
      <c r="HA1007" s="6" t="s">
        <v>436</v>
      </c>
      <c r="HB1007" s="6" t="s">
        <v>2547</v>
      </c>
      <c r="HC1007" s="6" t="s">
        <v>627</v>
      </c>
      <c r="HD1007" s="8" t="s">
        <v>3840</v>
      </c>
      <c r="HE1007" s="8">
        <v>24044</v>
      </c>
      <c r="HF1007" s="8" t="s">
        <v>7906</v>
      </c>
      <c r="HG1007" s="9" t="s">
        <v>466</v>
      </c>
      <c r="HY1007" s="9"/>
      <c r="IB1007" s="8" t="s">
        <v>3840</v>
      </c>
      <c r="IC1007" s="8">
        <v>24044</v>
      </c>
      <c r="ID1007" s="8" t="s">
        <v>7907</v>
      </c>
      <c r="IE1007" s="9" t="s">
        <v>466</v>
      </c>
      <c r="IR1007" s="9"/>
      <c r="JV1007" s="7" t="s">
        <v>7908</v>
      </c>
      <c r="JW1007" s="7" t="s">
        <v>2831</v>
      </c>
      <c r="JX1007" s="7" t="s">
        <v>320</v>
      </c>
      <c r="KG1007" s="4" t="s">
        <v>356</v>
      </c>
      <c r="KH1007" s="4" t="s">
        <v>1317</v>
      </c>
      <c r="KM1007" s="4" t="s">
        <v>391</v>
      </c>
      <c r="KN1007" s="4" t="s">
        <v>391</v>
      </c>
      <c r="KO1007" s="4" t="s">
        <v>350</v>
      </c>
      <c r="KP1007" s="5" t="s">
        <v>358</v>
      </c>
      <c r="KQ1007" s="5" t="s">
        <v>7909</v>
      </c>
      <c r="KR1007" s="5" t="s">
        <v>3843</v>
      </c>
      <c r="KS1007" s="5" t="s">
        <v>7910</v>
      </c>
      <c r="KT1007" s="5" t="s">
        <v>7911</v>
      </c>
    </row>
    <row r="1008" spans="1:306" ht="108" x14ac:dyDescent="0.25">
      <c r="A1008" s="5" t="s">
        <v>5312</v>
      </c>
      <c r="B1008" s="4" t="s">
        <v>364</v>
      </c>
      <c r="C1008" s="7" t="s">
        <v>549</v>
      </c>
      <c r="D1008" s="7" t="s">
        <v>550</v>
      </c>
      <c r="E1008" s="4">
        <v>333296</v>
      </c>
      <c r="G1008" s="4" t="s">
        <v>330</v>
      </c>
      <c r="H1008" s="6">
        <v>117.831437244</v>
      </c>
      <c r="I1008" s="6">
        <v>-20.847558153000001</v>
      </c>
      <c r="J1008" s="4" t="s">
        <v>5312</v>
      </c>
      <c r="K1008" s="4" t="s">
        <v>331</v>
      </c>
      <c r="L1008" s="4" t="s">
        <v>368</v>
      </c>
      <c r="M1008" s="4" t="s">
        <v>2198</v>
      </c>
      <c r="O1008" s="7"/>
      <c r="Q1008" s="8"/>
      <c r="R1008" s="8"/>
      <c r="Z1008" s="4" t="s">
        <v>364</v>
      </c>
      <c r="AA1008" s="7" t="s">
        <v>549</v>
      </c>
      <c r="AB1008" s="7" t="s">
        <v>550</v>
      </c>
      <c r="AC1008" s="4" t="s">
        <v>301</v>
      </c>
      <c r="AD1008" s="4" t="s">
        <v>375</v>
      </c>
      <c r="AE1008" s="8">
        <v>2948</v>
      </c>
      <c r="AF1008" s="8"/>
      <c r="AG1008" s="9" t="s">
        <v>303</v>
      </c>
      <c r="AH1008" s="9" t="s">
        <v>304</v>
      </c>
      <c r="AI1008" s="9" t="s">
        <v>1118</v>
      </c>
      <c r="AJ1008" s="9" t="s">
        <v>1080</v>
      </c>
      <c r="AK1008" s="9" t="s">
        <v>600</v>
      </c>
      <c r="AM1008" s="8">
        <v>3</v>
      </c>
      <c r="AN1008" s="4" t="s">
        <v>381</v>
      </c>
      <c r="AO1008" s="4" t="s">
        <v>382</v>
      </c>
      <c r="AP1008" s="4" t="s">
        <v>383</v>
      </c>
      <c r="AQ1008" s="7" t="s">
        <v>384</v>
      </c>
      <c r="AR1008" s="8" t="s">
        <v>827</v>
      </c>
      <c r="AS1008" s="7">
        <v>0</v>
      </c>
      <c r="AT1008" s="7">
        <v>0</v>
      </c>
      <c r="AU1008" s="9" t="s">
        <v>303</v>
      </c>
      <c r="AV1008" s="9" t="s">
        <v>406</v>
      </c>
      <c r="BA1008" s="8">
        <v>5</v>
      </c>
      <c r="BF1008" s="7"/>
      <c r="BG1008" s="7"/>
      <c r="BH1008" s="7"/>
      <c r="DZ1008" s="31"/>
      <c r="EH1008" s="10">
        <f>0.0465+(1.75*1.1+0.66*0.56+0.12*0.12+0.045*0.13)/100</f>
        <v>6.9648500000000002E-2</v>
      </c>
      <c r="EI1008" s="10">
        <f>(1.75*0.63+0.66*0.17+0.12*3.22+0.045*2.46)/100</f>
        <v>1.7118000000000001E-2</v>
      </c>
      <c r="EJ1008" s="10">
        <f>(1.75*0.16+0.66*0.08+0.12*0.44+0.045*0.4)/100</f>
        <v>4.0360000000000005E-3</v>
      </c>
      <c r="EK1008" s="10">
        <f>(1.75*6+0.66*2+0.12*12+0.045*9)/1000</f>
        <v>1.3664999999999998E-2</v>
      </c>
      <c r="EL1008" s="10">
        <f>(1.75*0.04+0.66*0.02+0.12*0.08+0.045*0.04)</f>
        <v>9.4600000000000004E-2</v>
      </c>
      <c r="FA1008" s="6"/>
      <c r="GP1008" s="32"/>
      <c r="GY1008" s="6" t="s">
        <v>435</v>
      </c>
      <c r="GZ1008" s="6" t="s">
        <v>994</v>
      </c>
      <c r="HB1008" s="6" t="s">
        <v>8004</v>
      </c>
      <c r="HC1008" s="6" t="s">
        <v>627</v>
      </c>
      <c r="HD1008" s="8" t="s">
        <v>8005</v>
      </c>
      <c r="HE1008" s="8">
        <v>37300</v>
      </c>
      <c r="HF1008" s="8" t="s">
        <v>8006</v>
      </c>
      <c r="HG1008" s="9" t="s">
        <v>389</v>
      </c>
      <c r="IB1008" s="8" t="s">
        <v>5316</v>
      </c>
      <c r="IC1008" s="8">
        <v>35911</v>
      </c>
      <c r="ID1008" s="8" t="s">
        <v>5317</v>
      </c>
      <c r="IE1008" s="8" t="s">
        <v>389</v>
      </c>
      <c r="IF1008" s="8" t="s">
        <v>350</v>
      </c>
      <c r="IM1008" s="9"/>
      <c r="IR1008" s="9"/>
      <c r="JU1008" s="7" t="s">
        <v>563</v>
      </c>
      <c r="JV1008" s="7" t="s">
        <v>783</v>
      </c>
      <c r="JW1008" s="7" t="s">
        <v>352</v>
      </c>
      <c r="JX1008" s="7" t="s">
        <v>320</v>
      </c>
      <c r="JY1008" s="7" t="s">
        <v>354</v>
      </c>
      <c r="JZ1008" s="7" t="s">
        <v>322</v>
      </c>
      <c r="KG1008" s="4" t="s">
        <v>323</v>
      </c>
      <c r="KM1008" s="4" t="s">
        <v>471</v>
      </c>
      <c r="KN1008" s="4" t="s">
        <v>471</v>
      </c>
      <c r="KP1008" s="5" t="s">
        <v>5323</v>
      </c>
      <c r="KQ1008" s="5" t="s">
        <v>8007</v>
      </c>
      <c r="KR1008" s="5" t="s">
        <v>5325</v>
      </c>
      <c r="KS1008" s="5" t="s">
        <v>5323</v>
      </c>
      <c r="KT1008" s="5" t="s">
        <v>8008</v>
      </c>
    </row>
    <row r="1009" spans="1:306" ht="96" x14ac:dyDescent="0.25">
      <c r="A1009" s="5" t="s">
        <v>8080</v>
      </c>
      <c r="B1009" s="4" t="s">
        <v>364</v>
      </c>
      <c r="C1009" s="7" t="s">
        <v>549</v>
      </c>
      <c r="D1009" s="8" t="s">
        <v>550</v>
      </c>
      <c r="E1009" s="4">
        <v>335209</v>
      </c>
      <c r="G1009" s="4" t="s">
        <v>773</v>
      </c>
      <c r="H1009" s="6">
        <v>147.88663</v>
      </c>
      <c r="I1009" s="6">
        <v>-37.004390000000001</v>
      </c>
      <c r="J1009" s="4" t="s">
        <v>2556</v>
      </c>
      <c r="K1009" s="4" t="s">
        <v>298</v>
      </c>
      <c r="L1009" s="4" t="s">
        <v>299</v>
      </c>
      <c r="M1009" s="4" t="s">
        <v>1359</v>
      </c>
      <c r="N1009" s="4" t="s">
        <v>2557</v>
      </c>
      <c r="Q1009" s="8"/>
      <c r="R1009" s="8"/>
      <c r="S1009" s="7"/>
      <c r="T1009" s="7"/>
      <c r="Z1009" s="4" t="s">
        <v>364</v>
      </c>
      <c r="AA1009" s="7" t="s">
        <v>549</v>
      </c>
      <c r="AB1009" s="8" t="s">
        <v>550</v>
      </c>
      <c r="AC1009" s="4" t="s">
        <v>301</v>
      </c>
      <c r="AD1009" s="4" t="s">
        <v>375</v>
      </c>
      <c r="AE1009" s="8">
        <v>420</v>
      </c>
      <c r="AF1009" s="8"/>
      <c r="AG1009" s="7" t="s">
        <v>379</v>
      </c>
      <c r="AH1009" s="7" t="s">
        <v>380</v>
      </c>
      <c r="AM1009" s="8">
        <v>3</v>
      </c>
      <c r="AN1009" s="4" t="s">
        <v>381</v>
      </c>
      <c r="AO1009" s="4" t="s">
        <v>402</v>
      </c>
      <c r="AP1009" s="4" t="s">
        <v>383</v>
      </c>
      <c r="AQ1009" s="7" t="s">
        <v>384</v>
      </c>
      <c r="AR1009" s="8" t="s">
        <v>827</v>
      </c>
      <c r="AS1009" s="7">
        <v>0</v>
      </c>
      <c r="AT1009" s="7">
        <v>0</v>
      </c>
      <c r="AU1009" s="9" t="s">
        <v>303</v>
      </c>
      <c r="AV1009" s="9" t="s">
        <v>406</v>
      </c>
      <c r="BA1009" s="8">
        <v>5</v>
      </c>
      <c r="BP1009" s="7">
        <f>3.5+0.938</f>
        <v>4.4379999999999997</v>
      </c>
      <c r="BQ1009" s="7"/>
      <c r="BR1009" s="6">
        <f>(3.5*2.16+0.938*(100*0.034/0.938))/(3.5+0.938)</f>
        <v>2.4695808922938265</v>
      </c>
      <c r="BS1009" s="6">
        <f>(3.5*4.29+0.938*(100*0.016894/0.938))/(3.5+0.938)</f>
        <v>3.7639477242000905</v>
      </c>
      <c r="BT1009" s="7"/>
      <c r="BU1009" s="7">
        <f>(3.5*28+0.938*(10.136/0.938))/(3.5+0.938)</f>
        <v>24.365930599369086</v>
      </c>
      <c r="BV1009" s="6">
        <v>0.43</v>
      </c>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s="7"/>
      <c r="CW1009" s="7"/>
      <c r="CX1009" s="7"/>
      <c r="CY1009" s="7"/>
      <c r="CZ1009" s="7"/>
      <c r="DA1009" s="7"/>
      <c r="DB1009" s="7"/>
      <c r="DC1009" s="7"/>
      <c r="DD1009" s="7"/>
      <c r="DE1009" s="7"/>
      <c r="DF1009" s="7"/>
      <c r="DG1009" s="7"/>
      <c r="DH1009" s="7"/>
      <c r="DI1009" s="7"/>
      <c r="DJ1009" s="7"/>
      <c r="DK1009" s="7"/>
      <c r="DL1009" s="7"/>
      <c r="DM1009" s="7"/>
      <c r="DN1009" s="7"/>
      <c r="DO1009" s="7"/>
      <c r="DP1009" s="7"/>
      <c r="DQ1009" s="7"/>
      <c r="DR1009" s="7"/>
      <c r="DS1009" s="7"/>
      <c r="DT1009" s="7"/>
      <c r="DU1009" s="7"/>
      <c r="DV1009" s="7"/>
      <c r="DW1009" s="7"/>
      <c r="DX1009" s="7"/>
      <c r="DY1009" s="7"/>
      <c r="DZ1009" s="31"/>
      <c r="EA1009" s="7"/>
      <c r="EB1009" s="7"/>
      <c r="EC1009" s="7"/>
      <c r="ED1009" s="7"/>
      <c r="EE1009" s="7"/>
      <c r="EF1009" s="7"/>
      <c r="EG1009" s="7"/>
      <c r="EH1009" s="10">
        <f t="shared" ref="EH1009:EH1014" si="43">BP1009*BR1009/100</f>
        <v>0.1096</v>
      </c>
      <c r="EI1009" s="10">
        <f t="shared" ref="EI1009:EI1015" si="44">BP1009*BS1009/100</f>
        <v>0.167044</v>
      </c>
      <c r="EJ1009" s="10">
        <f>BP1009*BT1009/100</f>
        <v>0</v>
      </c>
      <c r="EK1009" s="10">
        <f>BP1009*BU1009/1000</f>
        <v>0.108136</v>
      </c>
      <c r="EL1009" s="6">
        <f>BP1009*BV1009</f>
        <v>1.9083399999999999</v>
      </c>
      <c r="EY1009" s="6"/>
      <c r="FA1009" s="6"/>
      <c r="GP1009" s="32"/>
      <c r="GY1009" s="6" t="s">
        <v>435</v>
      </c>
      <c r="GZ1009" s="6" t="s">
        <v>626</v>
      </c>
      <c r="HB1009" s="6" t="s">
        <v>1432</v>
      </c>
      <c r="HC1009" s="6" t="s">
        <v>627</v>
      </c>
      <c r="HD1009" s="8" t="s">
        <v>2558</v>
      </c>
      <c r="HE1009" s="8">
        <v>27289</v>
      </c>
      <c r="HF1009" s="8" t="s">
        <v>2559</v>
      </c>
      <c r="HG1009" s="9" t="s">
        <v>1025</v>
      </c>
      <c r="HQ1009" s="9"/>
      <c r="HY1009" s="9"/>
      <c r="IB1009" s="8" t="s">
        <v>2558</v>
      </c>
      <c r="IC1009" s="8">
        <v>27289</v>
      </c>
      <c r="ID1009" s="8" t="s">
        <v>2559</v>
      </c>
      <c r="IE1009" s="9" t="s">
        <v>1025</v>
      </c>
      <c r="IF1009" s="8" t="s">
        <v>319</v>
      </c>
      <c r="JV1009" s="7" t="s">
        <v>2560</v>
      </c>
      <c r="JW1009" s="7" t="s">
        <v>2551</v>
      </c>
      <c r="JX1009" s="7" t="s">
        <v>320</v>
      </c>
      <c r="JY1009" s="7" t="s">
        <v>354</v>
      </c>
      <c r="JZ1009" s="7" t="s">
        <v>353</v>
      </c>
      <c r="KA1009" s="7" t="s">
        <v>354</v>
      </c>
      <c r="KB1009" s="7" t="s">
        <v>322</v>
      </c>
      <c r="KG1009" s="4" t="s">
        <v>356</v>
      </c>
      <c r="KH1009" s="4" t="s">
        <v>402</v>
      </c>
      <c r="KM1009" s="4" t="s">
        <v>391</v>
      </c>
      <c r="KN1009" s="4" t="s">
        <v>391</v>
      </c>
      <c r="KP1009" s="18" t="s">
        <v>8081</v>
      </c>
      <c r="KQ1009" s="5" t="s">
        <v>8082</v>
      </c>
      <c r="KR1009" s="18" t="s">
        <v>2563</v>
      </c>
      <c r="KS1009" s="5" t="s">
        <v>8083</v>
      </c>
      <c r="KT1009" s="5" t="s">
        <v>8084</v>
      </c>
    </row>
    <row r="1010" spans="1:306" ht="180" x14ac:dyDescent="0.25">
      <c r="A1010" s="5" t="s">
        <v>8232</v>
      </c>
      <c r="B1010" s="4" t="s">
        <v>364</v>
      </c>
      <c r="C1010" s="7" t="s">
        <v>549</v>
      </c>
      <c r="D1010" s="8" t="s">
        <v>550</v>
      </c>
      <c r="E1010" s="4">
        <v>335841</v>
      </c>
      <c r="G1010" s="4" t="s">
        <v>427</v>
      </c>
      <c r="H1010" s="6">
        <v>149.57</v>
      </c>
      <c r="I1010" s="6">
        <v>-35.06</v>
      </c>
      <c r="J1010" s="4" t="s">
        <v>1986</v>
      </c>
      <c r="K1010" s="4" t="s">
        <v>298</v>
      </c>
      <c r="L1010" s="4" t="s">
        <v>299</v>
      </c>
      <c r="M1010" s="4" t="s">
        <v>1359</v>
      </c>
      <c r="N1010" s="4" t="s">
        <v>1987</v>
      </c>
      <c r="Q1010" s="7"/>
      <c r="R1010" s="7"/>
      <c r="Z1010" s="4" t="s">
        <v>364</v>
      </c>
      <c r="AA1010" s="7" t="s">
        <v>549</v>
      </c>
      <c r="AB1010" s="8" t="s">
        <v>550</v>
      </c>
      <c r="AC1010" s="4" t="s">
        <v>301</v>
      </c>
      <c r="AD1010" s="4" t="s">
        <v>375</v>
      </c>
      <c r="AE1010" s="7">
        <v>423.3</v>
      </c>
      <c r="AF1010" s="7">
        <v>2.6</v>
      </c>
      <c r="AG1010" s="9" t="s">
        <v>379</v>
      </c>
      <c r="AH1010" s="9" t="s">
        <v>372</v>
      </c>
      <c r="AI1010" s="9" t="s">
        <v>373</v>
      </c>
      <c r="AJ1010" s="9" t="s">
        <v>306</v>
      </c>
      <c r="AK1010" s="9" t="s">
        <v>307</v>
      </c>
      <c r="AL1010" s="9" t="s">
        <v>337</v>
      </c>
      <c r="AM1010" s="8">
        <v>4</v>
      </c>
      <c r="AN1010" s="4" t="s">
        <v>381</v>
      </c>
      <c r="AO1010" s="4" t="s">
        <v>402</v>
      </c>
      <c r="AP1010" s="4" t="s">
        <v>383</v>
      </c>
      <c r="AQ1010" s="7" t="s">
        <v>384</v>
      </c>
      <c r="AR1010" s="8" t="s">
        <v>1048</v>
      </c>
      <c r="AS1010" s="7">
        <v>0</v>
      </c>
      <c r="AT1010" s="7">
        <v>0</v>
      </c>
      <c r="AU1010" s="9" t="s">
        <v>303</v>
      </c>
      <c r="AV1010" s="9" t="s">
        <v>406</v>
      </c>
      <c r="BA1010" s="8">
        <v>5</v>
      </c>
      <c r="BP1010" s="7">
        <f>13.8+11.3</f>
        <v>25.1</v>
      </c>
      <c r="BQ1010" s="7"/>
      <c r="BR1010" s="7">
        <f>(13.8*1.6+11.3*1.8)/(13.8+11.3)</f>
        <v>1.6900398406374502</v>
      </c>
      <c r="BS1010" s="7">
        <f>(13.8*9.1+11.3*5.8)/(13.8+11.3)</f>
        <v>7.6143426294820715</v>
      </c>
      <c r="BT1010" s="7">
        <f>(13.8*3.6+11.3*2.1)/(13.8+11.3)</f>
        <v>2.9247011952191238</v>
      </c>
      <c r="BU1010" s="8">
        <f>(13.8*74+11.3*46)/(13.8+11.3)</f>
        <v>61.394422310756966</v>
      </c>
      <c r="BV1010" s="7">
        <f>(13.8*0.52+11.3*0.5)/(13.8+11.3)</f>
        <v>0.51099601593625499</v>
      </c>
      <c r="BW1010" s="7"/>
      <c r="BX1010" s="7"/>
      <c r="BY1010" s="7"/>
      <c r="BZ1010" s="7"/>
      <c r="CA1010" s="7"/>
      <c r="CB1010" s="7"/>
      <c r="CC1010" s="7"/>
      <c r="CD1010" s="7"/>
      <c r="CE1010" s="7"/>
      <c r="CF1010" s="7"/>
      <c r="CG1010" s="7"/>
      <c r="CH1010" s="7"/>
      <c r="CI1010" s="7"/>
      <c r="CJ1010" s="7"/>
      <c r="CK1010" s="7"/>
      <c r="CL1010" s="7"/>
      <c r="CM1010" s="7"/>
      <c r="CN1010" s="7"/>
      <c r="CO1010" s="7"/>
      <c r="CP1010" s="7"/>
      <c r="CQ1010" s="7"/>
      <c r="CR1010" s="7"/>
      <c r="CS1010" s="7"/>
      <c r="CT1010" s="7"/>
      <c r="CU1010" s="7"/>
      <c r="CV1010" s="7"/>
      <c r="CW1010" s="7"/>
      <c r="CX1010" s="7"/>
      <c r="CY1010" s="7"/>
      <c r="CZ1010" s="7"/>
      <c r="DA1010" s="7"/>
      <c r="DB1010" s="7"/>
      <c r="DC1010" s="7"/>
      <c r="DD1010" s="7"/>
      <c r="DE1010" s="7"/>
      <c r="DF1010" s="7"/>
      <c r="DG1010" s="7"/>
      <c r="DH1010" s="7"/>
      <c r="DI1010" s="7"/>
      <c r="DJ1010" s="7"/>
      <c r="DK1010" s="7"/>
      <c r="DL1010" s="7"/>
      <c r="DM1010" s="7"/>
      <c r="DN1010" s="7"/>
      <c r="DO1010" s="7"/>
      <c r="DP1010" s="7"/>
      <c r="DQ1010" s="7"/>
      <c r="DR1010" s="7"/>
      <c r="DS1010" s="7"/>
      <c r="DT1010" s="7"/>
      <c r="DU1010" s="7"/>
      <c r="DV1010" s="7"/>
      <c r="DW1010" s="7"/>
      <c r="DX1010" s="7"/>
      <c r="DY1010" s="7"/>
      <c r="DZ1010" s="31"/>
      <c r="EA1010" s="7"/>
      <c r="EB1010" s="7"/>
      <c r="EC1010" s="7"/>
      <c r="ED1010" s="7"/>
      <c r="EE1010" s="7"/>
      <c r="EF1010" s="7"/>
      <c r="EG1010" s="7"/>
      <c r="EH1010" s="10">
        <f t="shared" si="43"/>
        <v>0.42420000000000002</v>
      </c>
      <c r="EI1010" s="10">
        <f t="shared" si="44"/>
        <v>1.9112</v>
      </c>
      <c r="EJ1010" s="10">
        <f>BP1010*BT1010/100</f>
        <v>0.73410000000000009</v>
      </c>
      <c r="EK1010" s="10">
        <f>BP1010*BU1010/1000</f>
        <v>1.5409999999999999</v>
      </c>
      <c r="EL1010" s="6">
        <f>BP1010*BV1010</f>
        <v>12.826000000000001</v>
      </c>
      <c r="EY1010" s="6"/>
      <c r="FA1010" s="6"/>
      <c r="GP1010" s="32"/>
      <c r="GY1010" s="6" t="s">
        <v>435</v>
      </c>
      <c r="GZ1010" s="6" t="s">
        <v>734</v>
      </c>
      <c r="HA1010" s="6" t="s">
        <v>339</v>
      </c>
      <c r="HB1010" s="6" t="s">
        <v>2504</v>
      </c>
      <c r="HC1010" s="6" t="s">
        <v>627</v>
      </c>
      <c r="HD1010" s="8" t="s">
        <v>3481</v>
      </c>
      <c r="HE1010" s="8">
        <v>20516</v>
      </c>
      <c r="HF1010" s="8" t="s">
        <v>8233</v>
      </c>
      <c r="HG1010" s="8" t="s">
        <v>1991</v>
      </c>
      <c r="HY1010" s="9"/>
      <c r="IB1010" s="8" t="s">
        <v>3481</v>
      </c>
      <c r="IC1010" s="8">
        <v>20516</v>
      </c>
      <c r="ID1010" s="8" t="s">
        <v>8233</v>
      </c>
      <c r="IE1010" s="8" t="s">
        <v>1991</v>
      </c>
      <c r="IF1010" s="8" t="s">
        <v>319</v>
      </c>
      <c r="IW1010" s="8"/>
      <c r="JB1010" s="8"/>
      <c r="JV1010" s="7" t="s">
        <v>8234</v>
      </c>
      <c r="JW1010" s="7" t="s">
        <v>8235</v>
      </c>
      <c r="JX1010" s="7" t="s">
        <v>320</v>
      </c>
      <c r="JY1010" s="7" t="s">
        <v>448</v>
      </c>
      <c r="JZ1010" s="7" t="s">
        <v>322</v>
      </c>
      <c r="KG1010" s="4" t="s">
        <v>356</v>
      </c>
      <c r="KH1010" s="4" t="s">
        <v>357</v>
      </c>
      <c r="KM1010" s="4" t="s">
        <v>391</v>
      </c>
      <c r="KN1010" s="4" t="s">
        <v>391</v>
      </c>
      <c r="KO1010" s="4" t="s">
        <v>350</v>
      </c>
      <c r="KP1010" s="5" t="s">
        <v>8236</v>
      </c>
      <c r="KQ1010" s="5" t="s">
        <v>8237</v>
      </c>
      <c r="KR1010" s="5" t="s">
        <v>5147</v>
      </c>
      <c r="KS1010" s="5" t="s">
        <v>8238</v>
      </c>
      <c r="KT1010" s="5" t="s">
        <v>8239</v>
      </c>
    </row>
    <row r="1011" spans="1:306" ht="36" x14ac:dyDescent="0.25">
      <c r="A1011" s="5" t="s">
        <v>954</v>
      </c>
      <c r="B1011" s="4" t="s">
        <v>364</v>
      </c>
      <c r="C1011" s="7" t="s">
        <v>549</v>
      </c>
      <c r="D1011" s="7" t="s">
        <v>955</v>
      </c>
      <c r="E1011" s="4">
        <v>528098</v>
      </c>
      <c r="G1011" s="4" t="s">
        <v>330</v>
      </c>
      <c r="H1011" s="6">
        <v>118.512600371</v>
      </c>
      <c r="I1011" s="6">
        <v>-27.140655283000001</v>
      </c>
      <c r="J1011" s="4" t="s">
        <v>956</v>
      </c>
      <c r="K1011" s="4" t="s">
        <v>331</v>
      </c>
      <c r="L1011" s="4" t="s">
        <v>500</v>
      </c>
      <c r="M1011" s="4" t="s">
        <v>676</v>
      </c>
      <c r="N1011" s="4" t="s">
        <v>677</v>
      </c>
      <c r="O1011" s="7"/>
      <c r="Q1011" s="8"/>
      <c r="R1011" s="8"/>
      <c r="Z1011" s="4" t="s">
        <v>364</v>
      </c>
      <c r="AA1011" s="7" t="s">
        <v>549</v>
      </c>
      <c r="AB1011" s="7" t="s">
        <v>955</v>
      </c>
      <c r="AC1011" s="4" t="s">
        <v>301</v>
      </c>
      <c r="AD1011" s="4" t="s">
        <v>302</v>
      </c>
      <c r="AE1011" s="8">
        <v>2817</v>
      </c>
      <c r="AF1011" s="8">
        <v>3</v>
      </c>
      <c r="AG1011" s="9" t="s">
        <v>379</v>
      </c>
      <c r="AH1011" s="9" t="s">
        <v>372</v>
      </c>
      <c r="AI1011" s="9" t="s">
        <v>373</v>
      </c>
      <c r="AJ1011" s="9" t="s">
        <v>306</v>
      </c>
      <c r="AK1011" s="9" t="s">
        <v>307</v>
      </c>
      <c r="AL1011" s="9" t="s">
        <v>337</v>
      </c>
      <c r="AM1011" s="8">
        <v>4</v>
      </c>
      <c r="AR1011" s="7"/>
      <c r="AS1011" s="8"/>
      <c r="AT1011" s="8"/>
      <c r="BF1011" s="7"/>
      <c r="BG1011" s="8"/>
      <c r="BH1011" s="8"/>
      <c r="BP1011" s="7">
        <v>1.48</v>
      </c>
      <c r="BR1011" s="6">
        <v>1.02</v>
      </c>
      <c r="BS1011" s="6">
        <v>1.39</v>
      </c>
      <c r="BU1011" s="6">
        <v>3.31</v>
      </c>
      <c r="BV1011" s="6">
        <v>0.24</v>
      </c>
      <c r="DZ1011" s="31"/>
      <c r="EH1011" s="10">
        <f t="shared" si="43"/>
        <v>1.5096E-2</v>
      </c>
      <c r="EI1011" s="10">
        <f t="shared" si="44"/>
        <v>2.0572E-2</v>
      </c>
      <c r="EK1011" s="10">
        <f>BP1011*BU1011/1000</f>
        <v>4.8988E-3</v>
      </c>
      <c r="EL1011" s="6">
        <f>BP1011*BV1011</f>
        <v>0.35519999999999996</v>
      </c>
      <c r="FA1011" s="6"/>
      <c r="GP1011" s="32"/>
      <c r="GY1011" s="6" t="s">
        <v>338</v>
      </c>
      <c r="GZ1011" s="6" t="s">
        <v>626</v>
      </c>
      <c r="HA1011" s="6" t="s">
        <v>436</v>
      </c>
      <c r="HB1011" s="6" t="s">
        <v>462</v>
      </c>
      <c r="HC1011" s="6" t="s">
        <v>627</v>
      </c>
      <c r="HD1011" s="8" t="s">
        <v>957</v>
      </c>
      <c r="HE1011" s="8">
        <v>74803</v>
      </c>
      <c r="HF1011" s="8" t="s">
        <v>958</v>
      </c>
      <c r="HG1011" s="9" t="s">
        <v>389</v>
      </c>
      <c r="IB1011" s="8" t="s">
        <v>957</v>
      </c>
      <c r="IC1011" s="8">
        <v>74803</v>
      </c>
      <c r="ID1011" s="8" t="s">
        <v>959</v>
      </c>
      <c r="IE1011" s="8" t="s">
        <v>389</v>
      </c>
      <c r="IF1011" s="8" t="s">
        <v>319</v>
      </c>
      <c r="IG1011" s="8" t="s">
        <v>957</v>
      </c>
      <c r="IH1011" s="8">
        <v>74803</v>
      </c>
      <c r="II1011" s="8" t="s">
        <v>960</v>
      </c>
      <c r="IJ1011" s="8" t="s">
        <v>389</v>
      </c>
      <c r="IK1011" s="8" t="s">
        <v>350</v>
      </c>
      <c r="IM1011" s="9"/>
      <c r="IR1011" s="9"/>
      <c r="JV1011" s="7" t="s">
        <v>961</v>
      </c>
      <c r="JW1011" s="7" t="s">
        <v>352</v>
      </c>
      <c r="JX1011" s="7" t="s">
        <v>320</v>
      </c>
      <c r="JY1011" s="7" t="s">
        <v>354</v>
      </c>
      <c r="JZ1011" s="7" t="s">
        <v>322</v>
      </c>
      <c r="KA1011" s="7" t="s">
        <v>470</v>
      </c>
      <c r="KB1011" s="7" t="s">
        <v>353</v>
      </c>
      <c r="KG1011" s="4" t="s">
        <v>323</v>
      </c>
      <c r="KM1011" s="4" t="s">
        <v>522</v>
      </c>
      <c r="KN1011" s="4" t="s">
        <v>522</v>
      </c>
      <c r="KP1011" s="5" t="s">
        <v>635</v>
      </c>
      <c r="KQ1011" s="5" t="s">
        <v>962</v>
      </c>
      <c r="KR1011" s="5" t="s">
        <v>635</v>
      </c>
      <c r="KS1011" s="5" t="s">
        <v>635</v>
      </c>
      <c r="KT1011" s="5" t="s">
        <v>718</v>
      </c>
    </row>
    <row r="1012" spans="1:306" ht="72" x14ac:dyDescent="0.25">
      <c r="A1012" s="5" t="s">
        <v>1005</v>
      </c>
      <c r="B1012" s="4" t="s">
        <v>364</v>
      </c>
      <c r="C1012" s="7" t="s">
        <v>549</v>
      </c>
      <c r="D1012" s="7" t="s">
        <v>955</v>
      </c>
      <c r="E1012" s="4">
        <v>452091</v>
      </c>
      <c r="G1012" s="4" t="s">
        <v>330</v>
      </c>
      <c r="H1012" s="6">
        <v>116.936947403</v>
      </c>
      <c r="I1012" s="6">
        <v>-21.068228507000001</v>
      </c>
      <c r="J1012" s="4" t="s">
        <v>1006</v>
      </c>
      <c r="K1012" s="4" t="s">
        <v>331</v>
      </c>
      <c r="L1012" s="4" t="s">
        <v>368</v>
      </c>
      <c r="M1012" s="4" t="s">
        <v>666</v>
      </c>
      <c r="O1012" s="7"/>
      <c r="Q1012" s="8"/>
      <c r="R1012" s="8"/>
      <c r="Z1012" s="4" t="s">
        <v>364</v>
      </c>
      <c r="AA1012" s="7" t="s">
        <v>549</v>
      </c>
      <c r="AB1012" s="7" t="s">
        <v>955</v>
      </c>
      <c r="AC1012" s="4" t="s">
        <v>301</v>
      </c>
      <c r="AD1012" s="4" t="s">
        <v>302</v>
      </c>
      <c r="AE1012" s="8">
        <v>3114</v>
      </c>
      <c r="AF1012" s="8">
        <v>4</v>
      </c>
      <c r="AG1012" s="9" t="s">
        <v>379</v>
      </c>
      <c r="AH1012" s="9" t="s">
        <v>372</v>
      </c>
      <c r="AI1012" s="9" t="s">
        <v>373</v>
      </c>
      <c r="AJ1012" s="9" t="s">
        <v>306</v>
      </c>
      <c r="AK1012" s="9" t="s">
        <v>307</v>
      </c>
      <c r="AL1012" s="9" t="s">
        <v>337</v>
      </c>
      <c r="AM1012" s="8">
        <v>4</v>
      </c>
      <c r="AR1012" s="7"/>
      <c r="AS1012" s="8"/>
      <c r="AT1012" s="8"/>
      <c r="BF1012" s="7"/>
      <c r="BG1012" s="8"/>
      <c r="BH1012" s="8"/>
      <c r="BP1012" s="7">
        <v>0.91600000000000004</v>
      </c>
      <c r="BQ1012" s="9"/>
      <c r="BR1012" s="6">
        <v>1.3</v>
      </c>
      <c r="BS1012" s="6">
        <v>2.2999999999999998</v>
      </c>
      <c r="BT1012" s="6">
        <v>0.1</v>
      </c>
      <c r="BU1012" s="8">
        <v>12</v>
      </c>
      <c r="BV1012" s="6">
        <v>0.2</v>
      </c>
      <c r="DZ1012" s="31"/>
      <c r="EH1012" s="10">
        <f t="shared" si="43"/>
        <v>1.1908E-2</v>
      </c>
      <c r="EI1012" s="10">
        <f t="shared" si="44"/>
        <v>2.1067999999999996E-2</v>
      </c>
      <c r="EJ1012" s="10">
        <f>BP1012*BT1012/100</f>
        <v>9.1600000000000015E-4</v>
      </c>
      <c r="EK1012" s="10">
        <f>BP1012*BU1012/1000</f>
        <v>1.0992E-2</v>
      </c>
      <c r="EL1012" s="6">
        <f>BP1012*BV1012</f>
        <v>0.18320000000000003</v>
      </c>
      <c r="FA1012" s="6"/>
      <c r="GP1012" s="32"/>
      <c r="GY1012" s="6" t="s">
        <v>338</v>
      </c>
      <c r="GZ1012" s="6" t="s">
        <v>626</v>
      </c>
      <c r="HB1012" s="6" t="s">
        <v>1007</v>
      </c>
      <c r="HC1012" s="6" t="s">
        <v>627</v>
      </c>
      <c r="HD1012" s="9" t="s">
        <v>1008</v>
      </c>
      <c r="HE1012" s="8">
        <v>31017</v>
      </c>
      <c r="HF1012" s="8" t="s">
        <v>1009</v>
      </c>
      <c r="HG1012" s="9" t="s">
        <v>389</v>
      </c>
      <c r="HH1012" s="8" t="s">
        <v>1010</v>
      </c>
      <c r="HI1012" s="8">
        <v>31018</v>
      </c>
      <c r="HJ1012" s="9" t="s">
        <v>1011</v>
      </c>
      <c r="HK1012" s="9" t="s">
        <v>389</v>
      </c>
      <c r="IB1012" s="9" t="s">
        <v>1008</v>
      </c>
      <c r="IC1012" s="8">
        <v>31017</v>
      </c>
      <c r="ID1012" s="8" t="s">
        <v>1009</v>
      </c>
      <c r="IE1012" s="9" t="s">
        <v>389</v>
      </c>
      <c r="IF1012" s="8" t="s">
        <v>319</v>
      </c>
      <c r="IG1012" s="8" t="s">
        <v>1010</v>
      </c>
      <c r="IH1012" s="8">
        <v>31018</v>
      </c>
      <c r="II1012" s="9" t="s">
        <v>1011</v>
      </c>
      <c r="IJ1012" s="9" t="s">
        <v>389</v>
      </c>
      <c r="IK1012" s="8" t="s">
        <v>350</v>
      </c>
      <c r="IM1012" s="9"/>
      <c r="IR1012" s="9"/>
      <c r="JX1012" s="7" t="s">
        <v>322</v>
      </c>
      <c r="JY1012" s="7" t="s">
        <v>321</v>
      </c>
      <c r="JZ1012" s="7" t="s">
        <v>320</v>
      </c>
      <c r="KG1012" s="4" t="s">
        <v>323</v>
      </c>
      <c r="KM1012" s="4" t="s">
        <v>521</v>
      </c>
      <c r="KN1012" s="4" t="s">
        <v>521</v>
      </c>
      <c r="KP1012" s="5" t="s">
        <v>1012</v>
      </c>
      <c r="KQ1012" s="5" t="s">
        <v>1013</v>
      </c>
      <c r="KR1012" s="5" t="s">
        <v>1014</v>
      </c>
      <c r="KS1012" s="5" t="s">
        <v>1012</v>
      </c>
      <c r="KT1012" s="5" t="s">
        <v>1015</v>
      </c>
    </row>
    <row r="1013" spans="1:306" ht="156" x14ac:dyDescent="0.25">
      <c r="A1013" s="5" t="s">
        <v>1309</v>
      </c>
      <c r="B1013" s="4" t="s">
        <v>364</v>
      </c>
      <c r="C1013" s="7" t="s">
        <v>549</v>
      </c>
      <c r="D1013" s="7" t="s">
        <v>955</v>
      </c>
      <c r="E1013" s="4">
        <v>333635</v>
      </c>
      <c r="G1013" s="4" t="s">
        <v>330</v>
      </c>
      <c r="H1013" s="6">
        <v>119.269963129</v>
      </c>
      <c r="I1013" s="6">
        <v>-21.230665523999999</v>
      </c>
      <c r="J1013" s="4" t="s">
        <v>1310</v>
      </c>
      <c r="K1013" s="4" t="s">
        <v>331</v>
      </c>
      <c r="L1013" s="4" t="s">
        <v>368</v>
      </c>
      <c r="M1013" s="4" t="s">
        <v>369</v>
      </c>
      <c r="O1013" s="7"/>
      <c r="Q1013" s="8"/>
      <c r="R1013" s="8"/>
      <c r="Z1013" s="4" t="s">
        <v>364</v>
      </c>
      <c r="AA1013" s="7" t="s">
        <v>549</v>
      </c>
      <c r="AB1013" s="7" t="s">
        <v>955</v>
      </c>
      <c r="AC1013" s="4" t="s">
        <v>301</v>
      </c>
      <c r="AD1013" s="4" t="s">
        <v>302</v>
      </c>
      <c r="AE1013" s="8">
        <v>3238</v>
      </c>
      <c r="AF1013" s="8">
        <v>2</v>
      </c>
      <c r="AG1013" s="9" t="s">
        <v>379</v>
      </c>
      <c r="AH1013" s="9" t="s">
        <v>372</v>
      </c>
      <c r="AI1013" s="9" t="s">
        <v>373</v>
      </c>
      <c r="AJ1013" s="9" t="s">
        <v>306</v>
      </c>
      <c r="AK1013" s="9" t="s">
        <v>307</v>
      </c>
      <c r="AL1013" s="9" t="s">
        <v>337</v>
      </c>
      <c r="AM1013" s="8">
        <v>4</v>
      </c>
      <c r="AR1013" s="7"/>
      <c r="AS1013" s="8"/>
      <c r="AT1013" s="8"/>
      <c r="BF1013" s="7"/>
      <c r="BG1013" s="8"/>
      <c r="BH1013" s="8"/>
      <c r="BP1013" s="7">
        <v>0.6</v>
      </c>
      <c r="BQ1013" s="7"/>
      <c r="BR1013" s="7">
        <v>0.3</v>
      </c>
      <c r="BS1013" s="7">
        <v>7.8</v>
      </c>
      <c r="BT1013" s="7">
        <v>1.7</v>
      </c>
      <c r="DZ1013" s="31"/>
      <c r="EH1013" s="10">
        <f t="shared" si="43"/>
        <v>1.8E-3</v>
      </c>
      <c r="EI1013" s="10">
        <f t="shared" si="44"/>
        <v>4.6799999999999994E-2</v>
      </c>
      <c r="EJ1013" s="10">
        <f>BP1013*BT1013/100</f>
        <v>1.0200000000000001E-2</v>
      </c>
      <c r="FA1013" s="6"/>
      <c r="GP1013" s="32"/>
      <c r="GY1013" s="6" t="s">
        <v>309</v>
      </c>
      <c r="GZ1013" s="6" t="s">
        <v>1049</v>
      </c>
      <c r="HA1013" s="6" t="s">
        <v>339</v>
      </c>
      <c r="HB1013" s="6" t="s">
        <v>994</v>
      </c>
      <c r="HC1013" s="6" t="s">
        <v>627</v>
      </c>
      <c r="HD1013" s="8" t="s">
        <v>1311</v>
      </c>
      <c r="HE1013" s="8">
        <v>32223</v>
      </c>
      <c r="HF1013" s="8" t="s">
        <v>1312</v>
      </c>
      <c r="HG1013" s="9" t="s">
        <v>792</v>
      </c>
      <c r="IB1013" s="8" t="s">
        <v>1311</v>
      </c>
      <c r="IC1013" s="8">
        <v>32223</v>
      </c>
      <c r="ID1013" s="8" t="s">
        <v>1313</v>
      </c>
      <c r="IE1013" s="9" t="s">
        <v>792</v>
      </c>
      <c r="IF1013" s="8" t="s">
        <v>319</v>
      </c>
      <c r="IG1013" s="8" t="s">
        <v>1314</v>
      </c>
      <c r="IH1013" s="8">
        <v>69696</v>
      </c>
      <c r="II1013" s="8" t="s">
        <v>1315</v>
      </c>
      <c r="IJ1013" s="8" t="s">
        <v>792</v>
      </c>
      <c r="IK1013" s="8" t="s">
        <v>319</v>
      </c>
      <c r="IM1013" s="9"/>
      <c r="IR1013" s="9"/>
      <c r="JU1013" s="7" t="s">
        <v>1316</v>
      </c>
      <c r="JX1013" s="7" t="s">
        <v>320</v>
      </c>
      <c r="KG1013" s="4" t="s">
        <v>356</v>
      </c>
      <c r="KH1013" s="4" t="s">
        <v>1317</v>
      </c>
      <c r="KM1013" s="4" t="s">
        <v>471</v>
      </c>
      <c r="KN1013" s="4" t="s">
        <v>471</v>
      </c>
      <c r="KP1013" s="5" t="s">
        <v>1318</v>
      </c>
      <c r="KQ1013" s="5" t="s">
        <v>1319</v>
      </c>
      <c r="KR1013" s="5" t="s">
        <v>1320</v>
      </c>
      <c r="KS1013" s="5" t="s">
        <v>1321</v>
      </c>
      <c r="KT1013" s="5" t="s">
        <v>718</v>
      </c>
    </row>
    <row r="1014" spans="1:306" ht="120" x14ac:dyDescent="0.25">
      <c r="A1014" s="5" t="s">
        <v>1385</v>
      </c>
      <c r="B1014" s="4" t="s">
        <v>364</v>
      </c>
      <c r="C1014" s="7" t="s">
        <v>549</v>
      </c>
      <c r="D1014" s="7" t="s">
        <v>955</v>
      </c>
      <c r="E1014" s="4">
        <v>334645</v>
      </c>
      <c r="G1014" s="4" t="s">
        <v>330</v>
      </c>
      <c r="H1014" s="6">
        <v>119.75320000000001</v>
      </c>
      <c r="I1014" s="6">
        <v>-21.2165</v>
      </c>
      <c r="J1014" s="4" t="s">
        <v>1385</v>
      </c>
      <c r="K1014" s="4" t="s">
        <v>331</v>
      </c>
      <c r="L1014" s="4" t="s">
        <v>368</v>
      </c>
      <c r="M1014" s="4" t="s">
        <v>369</v>
      </c>
      <c r="O1014" s="7"/>
      <c r="Q1014" s="8"/>
      <c r="R1014" s="8"/>
      <c r="Z1014" s="4" t="s">
        <v>364</v>
      </c>
      <c r="AA1014" s="7" t="s">
        <v>549</v>
      </c>
      <c r="AB1014" s="7" t="s">
        <v>955</v>
      </c>
      <c r="AC1014" s="4" t="s">
        <v>301</v>
      </c>
      <c r="AD1014" s="4" t="s">
        <v>302</v>
      </c>
      <c r="AE1014" s="8">
        <v>3465</v>
      </c>
      <c r="AF1014" s="8">
        <v>3</v>
      </c>
      <c r="AG1014" s="9" t="s">
        <v>379</v>
      </c>
      <c r="AH1014" s="9" t="s">
        <v>372</v>
      </c>
      <c r="AI1014" s="9" t="s">
        <v>373</v>
      </c>
      <c r="AJ1014" s="9" t="s">
        <v>306</v>
      </c>
      <c r="AK1014" s="9" t="s">
        <v>307</v>
      </c>
      <c r="AL1014" s="9" t="s">
        <v>337</v>
      </c>
      <c r="AM1014" s="8">
        <v>4</v>
      </c>
      <c r="AR1014" s="7"/>
      <c r="AS1014" s="8"/>
      <c r="AT1014" s="8"/>
      <c r="BF1014" s="7"/>
      <c r="BG1014" s="8"/>
      <c r="BH1014" s="8"/>
      <c r="BP1014" s="7">
        <v>0.2</v>
      </c>
      <c r="BR1014" s="7">
        <v>0.2</v>
      </c>
      <c r="BS1014" s="7">
        <v>13.8</v>
      </c>
      <c r="BT1014" s="7">
        <v>4.5</v>
      </c>
      <c r="BU1014" s="8">
        <v>350</v>
      </c>
      <c r="DB1014" s="8">
        <f>20/0.5584</f>
        <v>35.816618911174785</v>
      </c>
      <c r="DZ1014" s="31"/>
      <c r="EH1014" s="10">
        <f t="shared" si="43"/>
        <v>4.0000000000000007E-4</v>
      </c>
      <c r="EI1014" s="10">
        <f t="shared" si="44"/>
        <v>2.7600000000000003E-2</v>
      </c>
      <c r="EJ1014" s="10">
        <f>BP1014*BT1014/100</f>
        <v>9.0000000000000011E-3</v>
      </c>
      <c r="EK1014" s="10">
        <f>BP1014*BU1014/1000</f>
        <v>7.0000000000000007E-2</v>
      </c>
      <c r="FA1014" s="6"/>
      <c r="FQ1014" s="8">
        <f>(BR1014*DB1014/100)*1000</f>
        <v>71.633237822349585</v>
      </c>
      <c r="GP1014" s="32"/>
      <c r="GY1014" s="6" t="s">
        <v>309</v>
      </c>
      <c r="GZ1014" s="6" t="s">
        <v>1386</v>
      </c>
      <c r="HA1014" s="6" t="s">
        <v>339</v>
      </c>
      <c r="HB1014" s="6" t="s">
        <v>1387</v>
      </c>
      <c r="HC1014" s="6" t="s">
        <v>627</v>
      </c>
      <c r="HD1014" s="8" t="s">
        <v>1388</v>
      </c>
      <c r="HE1014" s="8">
        <v>5770</v>
      </c>
      <c r="HF1014" s="8" t="s">
        <v>1389</v>
      </c>
      <c r="HG1014" s="9" t="s">
        <v>792</v>
      </c>
      <c r="IB1014" s="8" t="s">
        <v>1388</v>
      </c>
      <c r="IC1014" s="8">
        <v>5770</v>
      </c>
      <c r="ID1014" s="8" t="s">
        <v>1390</v>
      </c>
      <c r="IE1014" s="9" t="s">
        <v>792</v>
      </c>
      <c r="IF1014" s="8" t="s">
        <v>319</v>
      </c>
      <c r="IG1014" s="8" t="s">
        <v>1391</v>
      </c>
      <c r="IH1014" s="8">
        <v>33902</v>
      </c>
      <c r="II1014" s="8" t="s">
        <v>1392</v>
      </c>
      <c r="IJ1014" s="8" t="s">
        <v>1393</v>
      </c>
      <c r="IK1014" s="8" t="s">
        <v>350</v>
      </c>
      <c r="IM1014" s="9"/>
      <c r="IR1014" s="9"/>
      <c r="JV1014" s="7" t="s">
        <v>1394</v>
      </c>
      <c r="JW1014" s="7" t="s">
        <v>352</v>
      </c>
      <c r="JX1014" s="7" t="s">
        <v>320</v>
      </c>
      <c r="KG1014" s="4" t="s">
        <v>356</v>
      </c>
      <c r="KH1014" s="4" t="s">
        <v>357</v>
      </c>
      <c r="KM1014" s="4" t="s">
        <v>391</v>
      </c>
      <c r="KN1014" s="4" t="s">
        <v>391</v>
      </c>
      <c r="KP1014" s="5" t="s">
        <v>358</v>
      </c>
      <c r="KQ1014" s="5" t="s">
        <v>1395</v>
      </c>
      <c r="KR1014" s="5" t="s">
        <v>1396</v>
      </c>
      <c r="KS1014" s="5" t="s">
        <v>1397</v>
      </c>
      <c r="KT1014" s="5" t="s">
        <v>1398</v>
      </c>
    </row>
    <row r="1015" spans="1:306" ht="36" x14ac:dyDescent="0.25">
      <c r="A1015" s="5" t="s">
        <v>2745</v>
      </c>
      <c r="B1015" s="4" t="s">
        <v>364</v>
      </c>
      <c r="C1015" s="7" t="s">
        <v>549</v>
      </c>
      <c r="D1015" s="7" t="s">
        <v>955</v>
      </c>
      <c r="E1015" s="4">
        <v>558257</v>
      </c>
      <c r="G1015" s="4" t="s">
        <v>330</v>
      </c>
      <c r="H1015" s="6">
        <v>118.780443342</v>
      </c>
      <c r="I1015" s="6">
        <v>-20.774772046999999</v>
      </c>
      <c r="J1015" s="4" t="s">
        <v>2746</v>
      </c>
      <c r="K1015" s="4" t="s">
        <v>331</v>
      </c>
      <c r="L1015" s="4" t="s">
        <v>368</v>
      </c>
      <c r="M1015" s="4" t="s">
        <v>369</v>
      </c>
      <c r="O1015" s="7"/>
      <c r="Q1015" s="8"/>
      <c r="R1015" s="8"/>
      <c r="Z1015" s="4" t="s">
        <v>364</v>
      </c>
      <c r="AA1015" s="7" t="s">
        <v>549</v>
      </c>
      <c r="AB1015" s="7" t="s">
        <v>955</v>
      </c>
      <c r="AC1015" s="4" t="s">
        <v>301</v>
      </c>
      <c r="AD1015" s="4" t="s">
        <v>302</v>
      </c>
      <c r="AE1015" s="8">
        <v>3253</v>
      </c>
      <c r="AF1015" s="8">
        <v>4</v>
      </c>
      <c r="AG1015" s="9" t="s">
        <v>379</v>
      </c>
      <c r="AH1015" s="9" t="s">
        <v>372</v>
      </c>
      <c r="AI1015" s="9" t="s">
        <v>373</v>
      </c>
      <c r="AJ1015" s="9" t="s">
        <v>306</v>
      </c>
      <c r="AK1015" s="9" t="s">
        <v>307</v>
      </c>
      <c r="AL1015" s="9" t="s">
        <v>337</v>
      </c>
      <c r="AM1015" s="8">
        <v>4</v>
      </c>
      <c r="AR1015" s="7"/>
      <c r="AS1015" s="8"/>
      <c r="AT1015" s="8"/>
      <c r="BF1015" s="7"/>
      <c r="BG1015" s="8"/>
      <c r="BH1015" s="8"/>
      <c r="BP1015" s="7">
        <v>1.4</v>
      </c>
      <c r="BS1015" s="7">
        <v>2.9</v>
      </c>
      <c r="BT1015" s="7">
        <v>1.2</v>
      </c>
      <c r="BU1015" s="8">
        <v>118</v>
      </c>
      <c r="BV1015" s="7">
        <v>0.8</v>
      </c>
      <c r="DZ1015" s="31"/>
      <c r="EI1015" s="10">
        <f t="shared" si="44"/>
        <v>4.0599999999999997E-2</v>
      </c>
      <c r="EJ1015" s="10">
        <f>BP1015*BT1015/100</f>
        <v>1.6799999999999999E-2</v>
      </c>
      <c r="EK1015" s="10">
        <f>BP1015*BU1015/1000</f>
        <v>0.16519999999999999</v>
      </c>
      <c r="EL1015" s="6">
        <f>BP1015*BV1015</f>
        <v>1.1199999999999999</v>
      </c>
      <c r="FA1015" s="6"/>
      <c r="GP1015" s="32"/>
      <c r="GY1015" s="6" t="s">
        <v>338</v>
      </c>
      <c r="GZ1015" s="6" t="s">
        <v>2747</v>
      </c>
      <c r="HA1015" s="6" t="s">
        <v>339</v>
      </c>
      <c r="HC1015" s="6" t="s">
        <v>627</v>
      </c>
      <c r="HF1015" s="8" t="s">
        <v>2748</v>
      </c>
      <c r="HG1015" s="9" t="s">
        <v>1393</v>
      </c>
      <c r="ID1015" s="8" t="s">
        <v>2748</v>
      </c>
      <c r="IE1015" s="9" t="s">
        <v>1393</v>
      </c>
      <c r="IF1015" s="8" t="s">
        <v>319</v>
      </c>
      <c r="IM1015" s="9"/>
      <c r="IR1015" s="9"/>
      <c r="JX1015" s="7" t="s">
        <v>320</v>
      </c>
      <c r="KG1015" s="4" t="s">
        <v>323</v>
      </c>
      <c r="KM1015" s="4" t="s">
        <v>391</v>
      </c>
      <c r="KN1015" s="4" t="s">
        <v>391</v>
      </c>
      <c r="KP1015" s="5" t="s">
        <v>2749</v>
      </c>
      <c r="KQ1015" s="5" t="s">
        <v>2750</v>
      </c>
      <c r="KR1015" s="5" t="s">
        <v>2751</v>
      </c>
      <c r="KS1015" s="5" t="s">
        <v>2752</v>
      </c>
      <c r="KT1015" s="5" t="s">
        <v>718</v>
      </c>
    </row>
    <row r="1016" spans="1:306" ht="60" customHeight="1" x14ac:dyDescent="0.25">
      <c r="A1016" s="5" t="s">
        <v>2824</v>
      </c>
      <c r="B1016" s="4" t="s">
        <v>364</v>
      </c>
      <c r="C1016" s="7" t="s">
        <v>549</v>
      </c>
      <c r="D1016" s="7" t="s">
        <v>955</v>
      </c>
      <c r="E1016" s="4">
        <v>701817</v>
      </c>
      <c r="G1016" s="4" t="s">
        <v>330</v>
      </c>
      <c r="H1016" s="6">
        <v>119.43047</v>
      </c>
      <c r="I1016" s="6">
        <v>-21.14781</v>
      </c>
      <c r="J1016" s="4" t="s">
        <v>2825</v>
      </c>
      <c r="K1016" s="4" t="s">
        <v>331</v>
      </c>
      <c r="L1016" s="4" t="s">
        <v>368</v>
      </c>
      <c r="M1016" s="4" t="s">
        <v>369</v>
      </c>
      <c r="O1016" s="7"/>
      <c r="Q1016" s="8"/>
      <c r="R1016" s="8"/>
      <c r="Z1016" s="4" t="s">
        <v>364</v>
      </c>
      <c r="AA1016" s="7" t="s">
        <v>549</v>
      </c>
      <c r="AB1016" s="7" t="s">
        <v>955</v>
      </c>
      <c r="AC1016" s="4" t="s">
        <v>301</v>
      </c>
      <c r="AD1016" s="4" t="s">
        <v>302</v>
      </c>
      <c r="AE1016" s="8">
        <v>3481</v>
      </c>
      <c r="AF1016" s="8">
        <v>4</v>
      </c>
      <c r="AG1016" s="9" t="s">
        <v>379</v>
      </c>
      <c r="AH1016" s="9" t="s">
        <v>372</v>
      </c>
      <c r="AI1016" s="9" t="s">
        <v>373</v>
      </c>
      <c r="AJ1016" s="9" t="s">
        <v>306</v>
      </c>
      <c r="AK1016" s="9" t="s">
        <v>307</v>
      </c>
      <c r="AL1016" s="9" t="s">
        <v>337</v>
      </c>
      <c r="AM1016" s="8">
        <v>4</v>
      </c>
      <c r="AR1016" s="7"/>
      <c r="AS1016" s="8"/>
      <c r="AT1016" s="8"/>
      <c r="BF1016" s="7"/>
      <c r="BG1016" s="8"/>
      <c r="BH1016" s="8"/>
      <c r="DZ1016" s="31"/>
      <c r="FA1016" s="6"/>
      <c r="FQ1016" s="8">
        <v>630</v>
      </c>
      <c r="GP1016" s="32"/>
      <c r="GY1016" s="31" t="s">
        <v>407</v>
      </c>
      <c r="GZ1016" s="6" t="s">
        <v>2826</v>
      </c>
      <c r="HC1016" s="6" t="s">
        <v>627</v>
      </c>
      <c r="HD1016" s="8" t="s">
        <v>2827</v>
      </c>
      <c r="HE1016" s="8">
        <v>36957</v>
      </c>
      <c r="HF1016" s="8" t="s">
        <v>2828</v>
      </c>
      <c r="HG1016" s="9" t="s">
        <v>792</v>
      </c>
      <c r="IB1016" s="8" t="s">
        <v>2827</v>
      </c>
      <c r="IC1016" s="8">
        <v>36957</v>
      </c>
      <c r="ID1016" s="8" t="s">
        <v>2829</v>
      </c>
      <c r="IE1016" s="9" t="s">
        <v>792</v>
      </c>
      <c r="IM1016" s="9"/>
      <c r="IR1016" s="9"/>
      <c r="JV1016" s="7" t="s">
        <v>2830</v>
      </c>
      <c r="JW1016" s="7" t="s">
        <v>2831</v>
      </c>
      <c r="JX1016" s="7" t="s">
        <v>320</v>
      </c>
      <c r="KG1016" s="4" t="s">
        <v>356</v>
      </c>
      <c r="KH1016" s="4" t="s">
        <v>357</v>
      </c>
      <c r="KM1016" s="4" t="s">
        <v>391</v>
      </c>
      <c r="KN1016" s="4" t="s">
        <v>391</v>
      </c>
      <c r="KO1016" s="4" t="s">
        <v>350</v>
      </c>
      <c r="KP1016" s="18" t="s">
        <v>2832</v>
      </c>
      <c r="KQ1016" s="5" t="s">
        <v>2833</v>
      </c>
      <c r="KR1016" s="5" t="s">
        <v>2834</v>
      </c>
      <c r="KS1016" s="5" t="s">
        <v>2835</v>
      </c>
      <c r="KT1016" s="5" t="s">
        <v>2836</v>
      </c>
    </row>
    <row r="1017" spans="1:306" ht="180" x14ac:dyDescent="0.25">
      <c r="A1017" s="5" t="s">
        <v>3830</v>
      </c>
      <c r="B1017" s="4" t="s">
        <v>364</v>
      </c>
      <c r="C1017" s="7" t="s">
        <v>549</v>
      </c>
      <c r="D1017" s="7" t="s">
        <v>955</v>
      </c>
      <c r="E1017" s="4">
        <v>340908</v>
      </c>
      <c r="G1017" s="4" t="s">
        <v>330</v>
      </c>
      <c r="H1017" s="6">
        <v>120.234641</v>
      </c>
      <c r="I1017" s="6">
        <v>-21.356974999999998</v>
      </c>
      <c r="J1017" s="4" t="s">
        <v>3831</v>
      </c>
      <c r="K1017" s="4" t="s">
        <v>331</v>
      </c>
      <c r="L1017" s="4" t="s">
        <v>368</v>
      </c>
      <c r="M1017" s="4" t="s">
        <v>369</v>
      </c>
      <c r="O1017" s="7"/>
      <c r="Q1017" s="8"/>
      <c r="R1017" s="8"/>
      <c r="Z1017" s="4" t="s">
        <v>364</v>
      </c>
      <c r="AA1017" s="7" t="s">
        <v>549</v>
      </c>
      <c r="AB1017" s="7" t="s">
        <v>955</v>
      </c>
      <c r="AC1017" s="4" t="s">
        <v>301</v>
      </c>
      <c r="AD1017" s="4" t="s">
        <v>375</v>
      </c>
      <c r="AE1017" s="8">
        <v>3465</v>
      </c>
      <c r="AF1017" s="8">
        <v>3</v>
      </c>
      <c r="AG1017" s="9" t="s">
        <v>379</v>
      </c>
      <c r="AH1017" s="9" t="s">
        <v>372</v>
      </c>
      <c r="AI1017" s="9" t="s">
        <v>373</v>
      </c>
      <c r="AJ1017" s="9" t="s">
        <v>306</v>
      </c>
      <c r="AK1017" s="9" t="s">
        <v>307</v>
      </c>
      <c r="AL1017" s="9" t="s">
        <v>337</v>
      </c>
      <c r="AM1017" s="8">
        <v>4</v>
      </c>
      <c r="AN1017" s="4" t="s">
        <v>381</v>
      </c>
      <c r="AO1017" s="4" t="s">
        <v>402</v>
      </c>
      <c r="AP1017" s="4" t="s">
        <v>383</v>
      </c>
      <c r="AQ1017" s="7" t="s">
        <v>384</v>
      </c>
      <c r="AR1017" s="7" t="s">
        <v>1048</v>
      </c>
      <c r="AS1017" s="8">
        <v>0</v>
      </c>
      <c r="AT1017" s="8">
        <v>0</v>
      </c>
      <c r="AU1017" s="9" t="s">
        <v>303</v>
      </c>
      <c r="AV1017" s="9" t="s">
        <v>406</v>
      </c>
      <c r="BA1017" s="8">
        <v>5</v>
      </c>
      <c r="BF1017" s="7"/>
      <c r="BG1017" s="8"/>
      <c r="BH1017" s="8"/>
      <c r="BP1017" s="7">
        <v>1.55</v>
      </c>
      <c r="BR1017" s="6">
        <v>0.2</v>
      </c>
      <c r="BS1017" s="7">
        <v>5.9</v>
      </c>
      <c r="BT1017" s="7">
        <v>1.6</v>
      </c>
      <c r="BU1017" s="8">
        <v>80</v>
      </c>
      <c r="BV1017" s="7">
        <v>0.3</v>
      </c>
      <c r="DZ1017" s="31"/>
      <c r="EH1017" s="10">
        <f t="shared" ref="EH1017:EH1022" si="45">BP1017*BR1017/100</f>
        <v>3.1000000000000003E-3</v>
      </c>
      <c r="EI1017" s="10">
        <f>BP1017*BS1017/100</f>
        <v>9.1450000000000017E-2</v>
      </c>
      <c r="EJ1017" s="10">
        <f>BP1017*BT1017/100</f>
        <v>2.4800000000000003E-2</v>
      </c>
      <c r="EK1017" s="10">
        <f t="shared" ref="EK1017:EK1022" si="46">BP1017*BU1017/1000</f>
        <v>0.124</v>
      </c>
      <c r="EL1017" s="6">
        <f>BP1017*BV1017</f>
        <v>0.46499999999999997</v>
      </c>
      <c r="FA1017" s="6"/>
      <c r="GP1017" s="32"/>
      <c r="GY1017" s="6" t="s">
        <v>338</v>
      </c>
      <c r="GZ1017" s="6" t="s">
        <v>1386</v>
      </c>
      <c r="HA1017" s="6" t="s">
        <v>339</v>
      </c>
      <c r="HB1017" s="6" t="s">
        <v>1528</v>
      </c>
      <c r="HC1017" s="6" t="s">
        <v>627</v>
      </c>
      <c r="HD1017" s="8" t="s">
        <v>1388</v>
      </c>
      <c r="HE1017" s="8">
        <v>5770</v>
      </c>
      <c r="HF1017" s="8" t="s">
        <v>3832</v>
      </c>
      <c r="HG1017" s="9" t="s">
        <v>792</v>
      </c>
      <c r="IB1017" s="8" t="s">
        <v>1388</v>
      </c>
      <c r="IC1017" s="8">
        <v>5770</v>
      </c>
      <c r="ID1017" s="8" t="s">
        <v>1390</v>
      </c>
      <c r="IE1017" s="9" t="s">
        <v>792</v>
      </c>
      <c r="IF1017" s="8" t="s">
        <v>319</v>
      </c>
      <c r="IG1017" s="8" t="s">
        <v>1391</v>
      </c>
      <c r="IH1017" s="8">
        <v>33902</v>
      </c>
      <c r="II1017" s="8" t="s">
        <v>1392</v>
      </c>
      <c r="IJ1017" s="8" t="s">
        <v>1393</v>
      </c>
      <c r="IK1017" s="8" t="s">
        <v>350</v>
      </c>
      <c r="IM1017" s="9"/>
      <c r="IR1017" s="9"/>
      <c r="JV1017" s="7" t="s">
        <v>3833</v>
      </c>
      <c r="JW1017" s="7" t="s">
        <v>352</v>
      </c>
      <c r="JX1017" s="7" t="s">
        <v>320</v>
      </c>
      <c r="KG1017" s="4" t="s">
        <v>356</v>
      </c>
      <c r="KH1017" s="4" t="s">
        <v>357</v>
      </c>
      <c r="KM1017" s="4" t="s">
        <v>521</v>
      </c>
      <c r="KN1017" s="4" t="s">
        <v>521</v>
      </c>
      <c r="KP1017" s="5" t="s">
        <v>3834</v>
      </c>
      <c r="KQ1017" s="5" t="s">
        <v>3835</v>
      </c>
      <c r="KR1017" s="5" t="s">
        <v>1396</v>
      </c>
      <c r="KS1017" s="5" t="s">
        <v>3836</v>
      </c>
      <c r="KT1017" s="5" t="s">
        <v>3837</v>
      </c>
    </row>
    <row r="1018" spans="1:306" ht="48" x14ac:dyDescent="0.25">
      <c r="A1018" s="5" t="s">
        <v>4088</v>
      </c>
      <c r="B1018" s="4" t="s">
        <v>364</v>
      </c>
      <c r="C1018" s="7" t="s">
        <v>549</v>
      </c>
      <c r="D1018" s="7" t="s">
        <v>955</v>
      </c>
      <c r="E1018" s="4">
        <v>568312</v>
      </c>
      <c r="G1018" s="4" t="s">
        <v>330</v>
      </c>
      <c r="H1018" s="6">
        <v>118.18831</v>
      </c>
      <c r="I1018" s="6">
        <v>-27.355519999999999</v>
      </c>
      <c r="J1018" s="4" t="s">
        <v>4088</v>
      </c>
      <c r="K1018" s="4" t="s">
        <v>331</v>
      </c>
      <c r="L1018" s="4" t="s">
        <v>500</v>
      </c>
      <c r="M1018" s="4" t="s">
        <v>676</v>
      </c>
      <c r="N1018" s="4" t="s">
        <v>677</v>
      </c>
      <c r="O1018" s="7"/>
      <c r="Q1018" s="7"/>
      <c r="R1018" s="7"/>
      <c r="Z1018" s="4" t="s">
        <v>364</v>
      </c>
      <c r="AA1018" s="7" t="s">
        <v>549</v>
      </c>
      <c r="AB1018" s="7" t="s">
        <v>955</v>
      </c>
      <c r="AC1018" s="4" t="s">
        <v>301</v>
      </c>
      <c r="AD1018" s="4" t="s">
        <v>375</v>
      </c>
      <c r="AE1018" s="7">
        <v>2759.5</v>
      </c>
      <c r="AF1018" s="7">
        <v>0.9</v>
      </c>
      <c r="AG1018" s="9" t="s">
        <v>379</v>
      </c>
      <c r="AH1018" s="9" t="s">
        <v>372</v>
      </c>
      <c r="AI1018" s="9" t="s">
        <v>373</v>
      </c>
      <c r="AJ1018" s="9" t="s">
        <v>306</v>
      </c>
      <c r="AK1018" s="9" t="s">
        <v>307</v>
      </c>
      <c r="AL1018" s="9" t="s">
        <v>1295</v>
      </c>
      <c r="AM1018" s="8">
        <v>4</v>
      </c>
      <c r="AN1018" s="4" t="s">
        <v>381</v>
      </c>
      <c r="AO1018" s="4" t="s">
        <v>382</v>
      </c>
      <c r="AP1018" s="4" t="s">
        <v>383</v>
      </c>
      <c r="AQ1018" s="7" t="s">
        <v>384</v>
      </c>
      <c r="AR1018" s="7" t="s">
        <v>827</v>
      </c>
      <c r="AS1018" s="7">
        <v>0</v>
      </c>
      <c r="AT1018" s="7">
        <v>0</v>
      </c>
      <c r="AU1018" s="9" t="s">
        <v>303</v>
      </c>
      <c r="AV1018" s="9" t="s">
        <v>406</v>
      </c>
      <c r="BA1018" s="8">
        <v>5</v>
      </c>
      <c r="BF1018" s="7"/>
      <c r="BG1018" s="7"/>
      <c r="BH1018" s="7"/>
      <c r="BP1018" s="7">
        <v>2.7839999999999998</v>
      </c>
      <c r="BR1018" s="6">
        <v>1.9</v>
      </c>
      <c r="BU1018" s="6">
        <v>6.41</v>
      </c>
      <c r="BV1018" s="6">
        <v>0.32</v>
      </c>
      <c r="BW1018" s="7"/>
      <c r="BX1018" s="7"/>
      <c r="BY1018" s="7"/>
      <c r="BZ1018" s="7"/>
      <c r="CA1018" s="7"/>
      <c r="CB1018" s="7"/>
      <c r="CC1018" s="7"/>
      <c r="CD1018" s="7"/>
      <c r="CE1018" s="7"/>
      <c r="CF1018" s="7"/>
      <c r="CG1018" s="7"/>
      <c r="CH1018" s="7"/>
      <c r="CI1018" s="7"/>
      <c r="CJ1018" s="7"/>
      <c r="CK1018" s="7"/>
      <c r="CL1018" s="7"/>
      <c r="CM1018" s="7"/>
      <c r="CN1018" s="7"/>
      <c r="CO1018" s="7"/>
      <c r="CP1018" s="7"/>
      <c r="CQ1018" s="7"/>
      <c r="CR1018" s="7"/>
      <c r="CS1018" s="7"/>
      <c r="CT1018" s="7"/>
      <c r="CU1018" s="7"/>
      <c r="CV1018" s="7"/>
      <c r="CW1018" s="7"/>
      <c r="CX1018" s="7"/>
      <c r="CY1018" s="7"/>
      <c r="CZ1018" s="7"/>
      <c r="DA1018" s="7"/>
      <c r="DB1018" s="7"/>
      <c r="DC1018" s="7"/>
      <c r="DD1018" s="7"/>
      <c r="DE1018" s="7"/>
      <c r="DF1018" s="7"/>
      <c r="DG1018" s="7"/>
      <c r="DH1018" s="7"/>
      <c r="DI1018" s="7"/>
      <c r="DJ1018" s="7"/>
      <c r="DK1018" s="7"/>
      <c r="DL1018" s="7"/>
      <c r="DM1018" s="7"/>
      <c r="DN1018" s="7"/>
      <c r="DO1018" s="7"/>
      <c r="DP1018" s="7"/>
      <c r="DQ1018" s="7"/>
      <c r="DR1018" s="7"/>
      <c r="DS1018" s="7"/>
      <c r="DT1018" s="7"/>
      <c r="DU1018" s="7"/>
      <c r="DV1018" s="7"/>
      <c r="DW1018" s="7"/>
      <c r="DX1018" s="7"/>
      <c r="DY1018" s="7"/>
      <c r="DZ1018" s="31"/>
      <c r="EA1018" s="7"/>
      <c r="EB1018" s="7"/>
      <c r="EC1018" s="7"/>
      <c r="ED1018" s="7"/>
      <c r="EE1018" s="7"/>
      <c r="EF1018" s="7"/>
      <c r="EG1018" s="7"/>
      <c r="EH1018" s="10">
        <f t="shared" si="45"/>
        <v>5.2895999999999992E-2</v>
      </c>
      <c r="EK1018" s="10">
        <f t="shared" si="46"/>
        <v>1.7845440000000001E-2</v>
      </c>
      <c r="EL1018" s="6">
        <f>BP1018*BV1018</f>
        <v>0.89088000000000001</v>
      </c>
      <c r="FA1018" s="6"/>
      <c r="GP1018" s="32"/>
      <c r="GY1018" s="6" t="s">
        <v>338</v>
      </c>
      <c r="GZ1018" s="6" t="s">
        <v>994</v>
      </c>
      <c r="HA1018" s="6" t="s">
        <v>436</v>
      </c>
      <c r="HB1018" s="6" t="s">
        <v>462</v>
      </c>
      <c r="HC1018" s="6" t="s">
        <v>627</v>
      </c>
      <c r="HD1018" s="8" t="s">
        <v>4089</v>
      </c>
      <c r="HE1018" s="8">
        <v>74804</v>
      </c>
      <c r="HF1018" s="8" t="s">
        <v>4090</v>
      </c>
      <c r="HG1018" s="9" t="s">
        <v>507</v>
      </c>
      <c r="IB1018" s="8" t="s">
        <v>4089</v>
      </c>
      <c r="IC1018" s="8">
        <v>74804</v>
      </c>
      <c r="ID1018" s="8" t="s">
        <v>4091</v>
      </c>
      <c r="IE1018" s="8" t="s">
        <v>507</v>
      </c>
      <c r="IF1018" s="8" t="s">
        <v>319</v>
      </c>
      <c r="II1018" s="9" t="s">
        <v>4092</v>
      </c>
      <c r="IJ1018" s="9" t="s">
        <v>507</v>
      </c>
      <c r="IK1018" s="9" t="s">
        <v>319</v>
      </c>
      <c r="IM1018" s="9"/>
      <c r="IR1018" s="9"/>
      <c r="JV1018" s="7" t="s">
        <v>4093</v>
      </c>
      <c r="JW1018" s="7" t="s">
        <v>2831</v>
      </c>
      <c r="JX1018" s="7" t="s">
        <v>320</v>
      </c>
      <c r="JY1018" s="7" t="s">
        <v>354</v>
      </c>
      <c r="JZ1018" s="7" t="s">
        <v>322</v>
      </c>
      <c r="KA1018" s="7" t="s">
        <v>470</v>
      </c>
      <c r="KB1018" s="7" t="s">
        <v>353</v>
      </c>
      <c r="KG1018" s="4" t="s">
        <v>323</v>
      </c>
      <c r="KM1018" s="4" t="s">
        <v>521</v>
      </c>
      <c r="KN1018" s="4" t="s">
        <v>522</v>
      </c>
      <c r="KP1018" s="5" t="s">
        <v>358</v>
      </c>
      <c r="KQ1018" s="5" t="s">
        <v>4094</v>
      </c>
      <c r="KR1018" s="5" t="s">
        <v>4095</v>
      </c>
      <c r="KS1018" s="5" t="s">
        <v>4096</v>
      </c>
      <c r="KT1018" s="5" t="s">
        <v>4097</v>
      </c>
    </row>
    <row r="1019" spans="1:306" ht="36" x14ac:dyDescent="0.25">
      <c r="A1019" s="5" t="s">
        <v>4388</v>
      </c>
      <c r="B1019" s="4" t="s">
        <v>364</v>
      </c>
      <c r="C1019" s="7" t="s">
        <v>549</v>
      </c>
      <c r="D1019" s="7" t="s">
        <v>955</v>
      </c>
      <c r="E1019" s="4">
        <v>467105</v>
      </c>
      <c r="G1019" s="4" t="s">
        <v>330</v>
      </c>
      <c r="H1019" s="6">
        <v>118.89919999999999</v>
      </c>
      <c r="I1019" s="6">
        <v>-28.580100000000002</v>
      </c>
      <c r="J1019" s="4" t="s">
        <v>4389</v>
      </c>
      <c r="K1019" s="4" t="s">
        <v>331</v>
      </c>
      <c r="L1019" s="4" t="s">
        <v>500</v>
      </c>
      <c r="M1019" s="4" t="s">
        <v>676</v>
      </c>
      <c r="N1019" s="4" t="s">
        <v>677</v>
      </c>
      <c r="O1019" s="7"/>
      <c r="Q1019" s="8"/>
      <c r="R1019" s="8"/>
      <c r="Z1019" s="4" t="s">
        <v>364</v>
      </c>
      <c r="AA1019" s="7" t="s">
        <v>549</v>
      </c>
      <c r="AB1019" s="7" t="s">
        <v>955</v>
      </c>
      <c r="AC1019" s="4" t="s">
        <v>301</v>
      </c>
      <c r="AD1019" s="4" t="s">
        <v>302</v>
      </c>
      <c r="AE1019" s="8">
        <v>2813</v>
      </c>
      <c r="AF1019" s="8">
        <v>5</v>
      </c>
      <c r="AG1019" s="9" t="s">
        <v>379</v>
      </c>
      <c r="AH1019" s="9" t="s">
        <v>460</v>
      </c>
      <c r="AM1019" s="8">
        <v>3</v>
      </c>
      <c r="AR1019" s="7"/>
      <c r="AS1019" s="8"/>
      <c r="AT1019" s="8"/>
      <c r="BF1019" s="7"/>
      <c r="BG1019" s="8"/>
      <c r="BH1019" s="8"/>
      <c r="BP1019" s="7">
        <v>2.52</v>
      </c>
      <c r="BR1019" s="6">
        <v>1.31</v>
      </c>
      <c r="BU1019" s="6">
        <v>1.76</v>
      </c>
      <c r="BV1019" s="6">
        <v>0.49</v>
      </c>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c r="CX1019" s="7"/>
      <c r="CY1019" s="7"/>
      <c r="CZ1019" s="7"/>
      <c r="DA1019" s="7"/>
      <c r="DB1019" s="7"/>
      <c r="DC1019" s="7"/>
      <c r="DD1019" s="7"/>
      <c r="DE1019" s="7"/>
      <c r="DF1019" s="7"/>
      <c r="DG1019" s="7"/>
      <c r="DH1019" s="7"/>
      <c r="DI1019" s="7"/>
      <c r="DJ1019" s="7"/>
      <c r="DK1019" s="7"/>
      <c r="DL1019" s="7"/>
      <c r="DM1019" s="7"/>
      <c r="DN1019" s="7"/>
      <c r="DO1019" s="7"/>
      <c r="DP1019" s="7"/>
      <c r="DQ1019" s="7"/>
      <c r="DR1019" s="7"/>
      <c r="DS1019" s="7"/>
      <c r="DT1019" s="7"/>
      <c r="DU1019" s="7"/>
      <c r="DV1019" s="7"/>
      <c r="DW1019" s="7"/>
      <c r="DX1019" s="7"/>
      <c r="DY1019" s="7"/>
      <c r="DZ1019" s="31"/>
      <c r="EA1019" s="7"/>
      <c r="EB1019" s="7"/>
      <c r="EC1019" s="7"/>
      <c r="ED1019" s="7"/>
      <c r="EE1019" s="7"/>
      <c r="EF1019" s="7"/>
      <c r="EG1019" s="7"/>
      <c r="EH1019" s="10">
        <f t="shared" si="45"/>
        <v>3.3012E-2</v>
      </c>
      <c r="EK1019" s="10">
        <f t="shared" si="46"/>
        <v>4.4352000000000003E-3</v>
      </c>
      <c r="EL1019" s="6">
        <f>BP1019*BV1019</f>
        <v>1.2347999999999999</v>
      </c>
      <c r="FA1019" s="6"/>
      <c r="GP1019" s="32"/>
      <c r="GY1019" s="6" t="s">
        <v>338</v>
      </c>
      <c r="GZ1019" s="6" t="s">
        <v>1361</v>
      </c>
      <c r="HB1019" s="6" t="s">
        <v>462</v>
      </c>
      <c r="HC1019" s="6" t="s">
        <v>627</v>
      </c>
      <c r="HD1019" s="8" t="s">
        <v>4390</v>
      </c>
      <c r="HE1019" s="8">
        <v>74803</v>
      </c>
      <c r="HF1019" s="8" t="s">
        <v>1297</v>
      </c>
      <c r="HG1019" s="9" t="s">
        <v>389</v>
      </c>
      <c r="IB1019" s="8" t="s">
        <v>4390</v>
      </c>
      <c r="IC1019" s="8">
        <v>74803</v>
      </c>
      <c r="ID1019" s="8" t="s">
        <v>1297</v>
      </c>
      <c r="IE1019" s="9" t="s">
        <v>389</v>
      </c>
      <c r="IF1019" s="8" t="s">
        <v>319</v>
      </c>
      <c r="IM1019" s="9"/>
      <c r="IR1019" s="9"/>
      <c r="JV1019" s="7" t="s">
        <v>4391</v>
      </c>
      <c r="JW1019" s="7" t="s">
        <v>2551</v>
      </c>
      <c r="JX1019" s="7" t="s">
        <v>320</v>
      </c>
      <c r="JY1019" s="7" t="s">
        <v>354</v>
      </c>
      <c r="JZ1019" s="7" t="s">
        <v>322</v>
      </c>
      <c r="KA1019" s="7" t="s">
        <v>470</v>
      </c>
      <c r="KB1019" s="7" t="s">
        <v>353</v>
      </c>
      <c r="KG1019" s="4" t="s">
        <v>323</v>
      </c>
      <c r="KM1019" s="4" t="s">
        <v>521</v>
      </c>
      <c r="KN1019" s="4" t="s">
        <v>521</v>
      </c>
      <c r="KP1019" s="5" t="s">
        <v>358</v>
      </c>
      <c r="KQ1019" s="5" t="s">
        <v>4392</v>
      </c>
      <c r="KR1019" s="5" t="s">
        <v>4393</v>
      </c>
      <c r="KS1019" s="5" t="s">
        <v>4394</v>
      </c>
      <c r="KT1019" s="5" t="s">
        <v>4395</v>
      </c>
    </row>
    <row r="1020" spans="1:306" ht="144" x14ac:dyDescent="0.25">
      <c r="A1020" s="5" t="s">
        <v>4471</v>
      </c>
      <c r="B1020" s="4" t="s">
        <v>364</v>
      </c>
      <c r="C1020" s="7" t="s">
        <v>549</v>
      </c>
      <c r="D1020" s="7" t="s">
        <v>955</v>
      </c>
      <c r="E1020" s="4">
        <v>335341</v>
      </c>
      <c r="G1020" s="4" t="s">
        <v>330</v>
      </c>
      <c r="H1020" s="6">
        <v>119.237651329</v>
      </c>
      <c r="I1020" s="6">
        <v>-21.207763012000001</v>
      </c>
      <c r="J1020" s="4" t="s">
        <v>1310</v>
      </c>
      <c r="K1020" s="4" t="s">
        <v>331</v>
      </c>
      <c r="L1020" s="4" t="s">
        <v>368</v>
      </c>
      <c r="M1020" s="4" t="s">
        <v>369</v>
      </c>
      <c r="O1020" s="7"/>
      <c r="Q1020" s="8"/>
      <c r="R1020" s="8"/>
      <c r="Z1020" s="4" t="s">
        <v>364</v>
      </c>
      <c r="AA1020" s="7" t="s">
        <v>549</v>
      </c>
      <c r="AB1020" s="7" t="s">
        <v>955</v>
      </c>
      <c r="AC1020" s="4" t="s">
        <v>301</v>
      </c>
      <c r="AD1020" s="4" t="s">
        <v>302</v>
      </c>
      <c r="AE1020" s="8">
        <v>3238</v>
      </c>
      <c r="AF1020" s="8">
        <v>2</v>
      </c>
      <c r="AG1020" s="9" t="s">
        <v>379</v>
      </c>
      <c r="AH1020" s="9" t="s">
        <v>372</v>
      </c>
      <c r="AI1020" s="9" t="s">
        <v>373</v>
      </c>
      <c r="AJ1020" s="9" t="s">
        <v>306</v>
      </c>
      <c r="AK1020" s="9" t="s">
        <v>307</v>
      </c>
      <c r="AL1020" s="9" t="s">
        <v>337</v>
      </c>
      <c r="AM1020" s="8">
        <v>4</v>
      </c>
      <c r="AR1020" s="7"/>
      <c r="AS1020" s="8"/>
      <c r="AT1020" s="8"/>
      <c r="BF1020" s="7"/>
      <c r="BG1020" s="8"/>
      <c r="BH1020" s="8"/>
      <c r="BP1020" s="7">
        <v>3.55</v>
      </c>
      <c r="BQ1020" s="7"/>
      <c r="BR1020" s="7">
        <v>0.8</v>
      </c>
      <c r="BS1020" s="7">
        <v>6</v>
      </c>
      <c r="BT1020" s="7">
        <v>0.3</v>
      </c>
      <c r="BU1020" s="8">
        <v>15</v>
      </c>
      <c r="DZ1020" s="31"/>
      <c r="EH1020" s="10">
        <f t="shared" si="45"/>
        <v>2.8399999999999998E-2</v>
      </c>
      <c r="EI1020" s="10">
        <f>BP1020*BS1020/100</f>
        <v>0.21299999999999997</v>
      </c>
      <c r="EJ1020" s="10">
        <f>BP1020*BT1020/100</f>
        <v>1.065E-2</v>
      </c>
      <c r="EK1020" s="10">
        <f t="shared" si="46"/>
        <v>5.3249999999999999E-2</v>
      </c>
      <c r="FA1020" s="6"/>
      <c r="GP1020" s="32"/>
      <c r="GY1020" s="6" t="s">
        <v>338</v>
      </c>
      <c r="GZ1020" s="6" t="s">
        <v>734</v>
      </c>
      <c r="HB1020" s="6" t="s">
        <v>3051</v>
      </c>
      <c r="HC1020" s="6" t="s">
        <v>627</v>
      </c>
      <c r="HD1020" s="8" t="s">
        <v>1311</v>
      </c>
      <c r="HE1020" s="8">
        <v>32223</v>
      </c>
      <c r="HF1020" s="8" t="s">
        <v>4472</v>
      </c>
      <c r="HG1020" s="9" t="s">
        <v>1393</v>
      </c>
      <c r="IB1020" s="8" t="s">
        <v>1311</v>
      </c>
      <c r="IC1020" s="8">
        <v>32223</v>
      </c>
      <c r="ID1020" s="8" t="s">
        <v>1313</v>
      </c>
      <c r="IE1020" s="9" t="s">
        <v>1393</v>
      </c>
      <c r="IF1020" s="8" t="s">
        <v>319</v>
      </c>
      <c r="IG1020" s="8" t="s">
        <v>1314</v>
      </c>
      <c r="IH1020" s="8">
        <v>69696</v>
      </c>
      <c r="II1020" s="8" t="s">
        <v>1315</v>
      </c>
      <c r="IJ1020" s="8" t="s">
        <v>792</v>
      </c>
      <c r="IK1020" s="8" t="s">
        <v>319</v>
      </c>
      <c r="IM1020" s="9"/>
      <c r="IR1020" s="9"/>
      <c r="JU1020" s="7" t="s">
        <v>1316</v>
      </c>
      <c r="JV1020" s="7" t="s">
        <v>4473</v>
      </c>
      <c r="JW1020" s="7" t="s">
        <v>352</v>
      </c>
      <c r="JX1020" s="7" t="s">
        <v>320</v>
      </c>
      <c r="KG1020" s="4" t="s">
        <v>356</v>
      </c>
      <c r="KH1020" s="4" t="s">
        <v>1317</v>
      </c>
      <c r="KM1020" s="4" t="s">
        <v>471</v>
      </c>
      <c r="KN1020" s="4" t="s">
        <v>471</v>
      </c>
      <c r="KP1020" s="5" t="s">
        <v>1318</v>
      </c>
      <c r="KQ1020" s="5" t="s">
        <v>4474</v>
      </c>
      <c r="KR1020" s="5" t="s">
        <v>1320</v>
      </c>
      <c r="KS1020" s="5" t="s">
        <v>4475</v>
      </c>
      <c r="KT1020" s="5" t="s">
        <v>4476</v>
      </c>
    </row>
    <row r="1021" spans="1:306" ht="36" x14ac:dyDescent="0.25">
      <c r="A1021" s="5" t="s">
        <v>4991</v>
      </c>
      <c r="B1021" s="4" t="s">
        <v>364</v>
      </c>
      <c r="C1021" s="7" t="s">
        <v>549</v>
      </c>
      <c r="D1021" s="7" t="s">
        <v>955</v>
      </c>
      <c r="E1021" s="4">
        <v>335018</v>
      </c>
      <c r="G1021" s="4" t="s">
        <v>330</v>
      </c>
      <c r="H1021" s="6">
        <v>118.6788</v>
      </c>
      <c r="I1021" s="6">
        <v>-28.7471</v>
      </c>
      <c r="J1021" s="4" t="s">
        <v>4389</v>
      </c>
      <c r="K1021" s="4" t="s">
        <v>331</v>
      </c>
      <c r="L1021" s="4" t="s">
        <v>500</v>
      </c>
      <c r="M1021" s="4" t="s">
        <v>676</v>
      </c>
      <c r="N1021" s="4" t="s">
        <v>677</v>
      </c>
      <c r="O1021" s="7"/>
      <c r="Q1021" s="8"/>
      <c r="R1021" s="8"/>
      <c r="Z1021" s="4" t="s">
        <v>364</v>
      </c>
      <c r="AA1021" s="7" t="s">
        <v>549</v>
      </c>
      <c r="AB1021" s="7" t="s">
        <v>955</v>
      </c>
      <c r="AC1021" s="4" t="s">
        <v>301</v>
      </c>
      <c r="AD1021" s="4" t="s">
        <v>302</v>
      </c>
      <c r="AE1021" s="8">
        <v>2814</v>
      </c>
      <c r="AF1021" s="8">
        <v>14</v>
      </c>
      <c r="AG1021" s="9" t="s">
        <v>379</v>
      </c>
      <c r="AH1021" s="9" t="s">
        <v>372</v>
      </c>
      <c r="AI1021" s="9" t="s">
        <v>373</v>
      </c>
      <c r="AJ1021" s="9" t="s">
        <v>306</v>
      </c>
      <c r="AK1021" s="9" t="s">
        <v>307</v>
      </c>
      <c r="AL1021" s="9" t="s">
        <v>337</v>
      </c>
      <c r="AM1021" s="8">
        <v>4</v>
      </c>
      <c r="AR1021" s="7"/>
      <c r="AS1021" s="8"/>
      <c r="AT1021" s="8"/>
      <c r="BF1021" s="7"/>
      <c r="BG1021" s="8"/>
      <c r="BH1021" s="8"/>
      <c r="BP1021" s="7">
        <v>1.08</v>
      </c>
      <c r="BR1021" s="6">
        <v>0.26</v>
      </c>
      <c r="BS1021" s="6">
        <v>6.52</v>
      </c>
      <c r="BU1021" s="6">
        <v>3.19</v>
      </c>
      <c r="DZ1021" s="31"/>
      <c r="EH1021" s="10">
        <f t="shared" si="45"/>
        <v>2.8080000000000006E-3</v>
      </c>
      <c r="EI1021" s="10">
        <f>BP1021*BS1021/100</f>
        <v>7.0415999999999992E-2</v>
      </c>
      <c r="EK1021" s="10">
        <f t="shared" si="46"/>
        <v>3.4452000000000003E-3</v>
      </c>
      <c r="EL1021" s="6">
        <f>BP1021*BV1021</f>
        <v>0</v>
      </c>
      <c r="FA1021" s="6"/>
      <c r="GP1021" s="32"/>
      <c r="GY1021" s="6" t="s">
        <v>338</v>
      </c>
      <c r="GZ1021" s="6" t="s">
        <v>1049</v>
      </c>
      <c r="HA1021" s="6" t="s">
        <v>994</v>
      </c>
      <c r="HB1021" s="6" t="s">
        <v>462</v>
      </c>
      <c r="HC1021" s="6" t="s">
        <v>627</v>
      </c>
      <c r="HD1021" s="8" t="s">
        <v>4992</v>
      </c>
      <c r="HE1021" s="8">
        <v>74802</v>
      </c>
      <c r="HF1021" s="8" t="s">
        <v>4993</v>
      </c>
      <c r="HG1021" s="9" t="s">
        <v>389</v>
      </c>
      <c r="IM1021" s="9"/>
      <c r="IR1021" s="9"/>
      <c r="JV1021" s="7" t="s">
        <v>563</v>
      </c>
      <c r="JW1021" s="7" t="s">
        <v>352</v>
      </c>
      <c r="JX1021" s="4" t="s">
        <v>322</v>
      </c>
      <c r="JY1021" s="4" t="s">
        <v>354</v>
      </c>
      <c r="JZ1021" s="4" t="s">
        <v>320</v>
      </c>
      <c r="KG1021" s="4" t="s">
        <v>323</v>
      </c>
      <c r="KM1021" s="4" t="s">
        <v>521</v>
      </c>
      <c r="KN1021" s="4" t="s">
        <v>521</v>
      </c>
      <c r="KP1021" s="5" t="s">
        <v>358</v>
      </c>
      <c r="KQ1021" s="5" t="s">
        <v>634</v>
      </c>
      <c r="KR1021" s="5" t="s">
        <v>635</v>
      </c>
      <c r="KS1021" s="5" t="s">
        <v>635</v>
      </c>
      <c r="KT1021" s="5" t="s">
        <v>718</v>
      </c>
    </row>
    <row r="1022" spans="1:306" ht="72" x14ac:dyDescent="0.25">
      <c r="A1022" s="5" t="s">
        <v>5466</v>
      </c>
      <c r="B1022" s="4" t="s">
        <v>364</v>
      </c>
      <c r="C1022" s="7" t="s">
        <v>549</v>
      </c>
      <c r="D1022" s="8" t="s">
        <v>955</v>
      </c>
      <c r="E1022" s="4">
        <v>335932</v>
      </c>
      <c r="G1022" s="4" t="s">
        <v>479</v>
      </c>
      <c r="H1022" s="6">
        <v>150.6514</v>
      </c>
      <c r="I1022" s="6">
        <v>-23.297000000000001</v>
      </c>
      <c r="J1022" s="4" t="s">
        <v>5466</v>
      </c>
      <c r="K1022" s="4" t="s">
        <v>298</v>
      </c>
      <c r="L1022" s="4" t="s">
        <v>552</v>
      </c>
      <c r="M1022" s="4" t="s">
        <v>2723</v>
      </c>
      <c r="N1022" s="4" t="s">
        <v>5467</v>
      </c>
      <c r="Q1022" s="7"/>
      <c r="R1022" s="7"/>
      <c r="Z1022" s="4" t="s">
        <v>364</v>
      </c>
      <c r="AA1022" s="7" t="s">
        <v>549</v>
      </c>
      <c r="AB1022" s="8" t="s">
        <v>955</v>
      </c>
      <c r="AC1022" s="4" t="s">
        <v>301</v>
      </c>
      <c r="AD1022" s="4" t="s">
        <v>375</v>
      </c>
      <c r="AE1022" s="7">
        <v>277.10000000000002</v>
      </c>
      <c r="AF1022" s="7">
        <v>3.5</v>
      </c>
      <c r="AG1022" s="9" t="s">
        <v>379</v>
      </c>
      <c r="AH1022" s="9" t="s">
        <v>372</v>
      </c>
      <c r="AI1022" s="9" t="s">
        <v>373</v>
      </c>
      <c r="AJ1022" s="9" t="s">
        <v>306</v>
      </c>
      <c r="AK1022" s="9" t="s">
        <v>307</v>
      </c>
      <c r="AL1022" s="9" t="s">
        <v>337</v>
      </c>
      <c r="AM1022" s="8">
        <v>4</v>
      </c>
      <c r="AN1022" s="4" t="s">
        <v>381</v>
      </c>
      <c r="AO1022" s="4" t="s">
        <v>402</v>
      </c>
      <c r="AP1022" s="4" t="s">
        <v>383</v>
      </c>
      <c r="AQ1022" s="7" t="s">
        <v>384</v>
      </c>
      <c r="AR1022" s="8" t="s">
        <v>827</v>
      </c>
      <c r="AS1022" s="7">
        <v>0</v>
      </c>
      <c r="AT1022" s="7">
        <v>0</v>
      </c>
      <c r="AU1022" s="9" t="s">
        <v>303</v>
      </c>
      <c r="AV1022" s="9" t="s">
        <v>406</v>
      </c>
      <c r="BA1022" s="8">
        <v>5</v>
      </c>
      <c r="BP1022" s="7">
        <f>1.24+11.3</f>
        <v>12.540000000000001</v>
      </c>
      <c r="BR1022" s="6">
        <f>(2*1.24+0.76*11.321)/(1.24+11.321)</f>
        <v>0.88241063609585235</v>
      </c>
      <c r="BS1022" s="6">
        <f>(0*1.24+0.22*11.321)/(1.24+11.321)</f>
        <v>0.19828198391847782</v>
      </c>
      <c r="BT1022" s="6">
        <f>(0*1.24+0.08*11.321)/(1.24+11.321)</f>
        <v>7.210253960671921E-2</v>
      </c>
      <c r="BU1022" s="6">
        <f>(19*1.24+4.54*11.321)/(1.24+11.321)</f>
        <v>5.9674659660855029</v>
      </c>
      <c r="BV1022" s="6">
        <f>(3.6*1.24+0.42*11.321)/(1.24+11.321)</f>
        <v>0.73392405063291144</v>
      </c>
      <c r="DZ1022" s="31"/>
      <c r="EH1022" s="10">
        <f t="shared" si="45"/>
        <v>0.11065429376641989</v>
      </c>
      <c r="EI1022" s="10">
        <f>BP1022*BS1022/100</f>
        <v>2.4864560783377117E-2</v>
      </c>
      <c r="EJ1022" s="10">
        <f>BP1022*BT1022/100</f>
        <v>9.0416584666825894E-3</v>
      </c>
      <c r="EK1022" s="10">
        <f t="shared" si="46"/>
        <v>7.4832023214712204E-2</v>
      </c>
      <c r="EL1022" s="6">
        <f>BP1022*BV1022</f>
        <v>9.20340759493671</v>
      </c>
      <c r="EY1022" s="6"/>
      <c r="FA1022" s="6"/>
      <c r="GP1022" s="32"/>
      <c r="GY1022" s="6" t="s">
        <v>309</v>
      </c>
      <c r="GZ1022" s="6" t="s">
        <v>1361</v>
      </c>
      <c r="HB1022" s="6" t="s">
        <v>5468</v>
      </c>
      <c r="HC1022" s="6" t="s">
        <v>627</v>
      </c>
      <c r="HD1022" s="8" t="s">
        <v>5469</v>
      </c>
      <c r="HE1022" s="8">
        <v>38892</v>
      </c>
      <c r="HF1022" s="8" t="s">
        <v>5470</v>
      </c>
      <c r="HG1022" s="8" t="s">
        <v>766</v>
      </c>
      <c r="HY1022" s="9"/>
      <c r="IB1022" s="8" t="s">
        <v>5469</v>
      </c>
      <c r="IC1022" s="8">
        <v>38892</v>
      </c>
      <c r="ID1022" s="8" t="s">
        <v>5470</v>
      </c>
      <c r="IE1022" s="8" t="s">
        <v>766</v>
      </c>
      <c r="IF1022" s="8" t="s">
        <v>319</v>
      </c>
      <c r="IR1022" s="9"/>
      <c r="JV1022" s="7" t="s">
        <v>5471</v>
      </c>
      <c r="JW1022" s="7" t="s">
        <v>2831</v>
      </c>
      <c r="JX1022" s="7" t="s">
        <v>320</v>
      </c>
      <c r="KG1022" s="4" t="s">
        <v>356</v>
      </c>
      <c r="KH1022" s="4" t="s">
        <v>1317</v>
      </c>
      <c r="KM1022" s="4" t="s">
        <v>471</v>
      </c>
      <c r="KN1022" s="4" t="s">
        <v>471</v>
      </c>
      <c r="KO1022" s="4" t="s">
        <v>350</v>
      </c>
      <c r="KP1022" s="5" t="s">
        <v>358</v>
      </c>
      <c r="KQ1022" s="5" t="s">
        <v>5472</v>
      </c>
      <c r="KR1022" s="5" t="s">
        <v>2728</v>
      </c>
      <c r="KS1022" s="5" t="s">
        <v>5473</v>
      </c>
      <c r="KT1022" s="5" t="s">
        <v>5474</v>
      </c>
    </row>
    <row r="1023" spans="1:306" ht="60" customHeight="1" x14ac:dyDescent="0.25">
      <c r="A1023" s="5" t="s">
        <v>5606</v>
      </c>
      <c r="B1023" s="4" t="s">
        <v>364</v>
      </c>
      <c r="C1023" s="7" t="s">
        <v>549</v>
      </c>
      <c r="D1023" s="7" t="s">
        <v>955</v>
      </c>
      <c r="E1023" s="4">
        <v>335933</v>
      </c>
      <c r="G1023" s="4" t="s">
        <v>330</v>
      </c>
      <c r="H1023" s="6">
        <v>117.15819999999999</v>
      </c>
      <c r="I1023" s="6">
        <v>-29.7745</v>
      </c>
      <c r="J1023" s="4" t="s">
        <v>5606</v>
      </c>
      <c r="K1023" s="4" t="s">
        <v>331</v>
      </c>
      <c r="L1023" s="4" t="s">
        <v>500</v>
      </c>
      <c r="M1023" s="4" t="s">
        <v>676</v>
      </c>
      <c r="N1023" s="4" t="s">
        <v>677</v>
      </c>
      <c r="O1023" s="7"/>
      <c r="Q1023" s="8"/>
      <c r="R1023" s="8"/>
      <c r="Z1023" s="4" t="s">
        <v>364</v>
      </c>
      <c r="AA1023" s="7" t="s">
        <v>549</v>
      </c>
      <c r="AB1023" s="7" t="s">
        <v>955</v>
      </c>
      <c r="AC1023" s="4" t="s">
        <v>301</v>
      </c>
      <c r="AD1023" s="4" t="s">
        <v>302</v>
      </c>
      <c r="AE1023" s="8">
        <v>2934</v>
      </c>
      <c r="AF1023" s="8">
        <v>6</v>
      </c>
      <c r="AG1023" s="9" t="s">
        <v>379</v>
      </c>
      <c r="AH1023" s="9" t="s">
        <v>372</v>
      </c>
      <c r="AI1023" s="9" t="s">
        <v>373</v>
      </c>
      <c r="AJ1023" s="9" t="s">
        <v>306</v>
      </c>
      <c r="AK1023" s="9" t="s">
        <v>307</v>
      </c>
      <c r="AL1023" s="9" t="s">
        <v>337</v>
      </c>
      <c r="AM1023" s="8">
        <v>4</v>
      </c>
      <c r="AR1023" s="7"/>
      <c r="AS1023" s="8"/>
      <c r="AT1023" s="8"/>
      <c r="BF1023" s="7"/>
      <c r="BG1023" s="8"/>
      <c r="BH1023" s="8"/>
      <c r="BR1023" s="7"/>
      <c r="BS1023" s="7"/>
      <c r="BT1023" s="7"/>
      <c r="BV1023" s="7"/>
      <c r="BW1023" s="7"/>
      <c r="BX1023" s="7"/>
      <c r="BY1023" s="7"/>
      <c r="BZ1023" s="7"/>
      <c r="CA1023" s="7"/>
      <c r="CB1023" s="7"/>
      <c r="CC1023" s="7"/>
      <c r="CD1023" s="7"/>
      <c r="CE1023" s="7"/>
      <c r="CF1023" s="7"/>
      <c r="CG1023" s="7"/>
      <c r="CH1023" s="7"/>
      <c r="CI1023" s="7"/>
      <c r="CJ1023" s="7"/>
      <c r="CK1023" s="7"/>
      <c r="CL1023" s="7"/>
      <c r="CM1023" s="7"/>
      <c r="CN1023" s="7"/>
      <c r="CO1023" s="7"/>
      <c r="CP1023" s="7"/>
      <c r="CQ1023" s="7"/>
      <c r="CR1023" s="7"/>
      <c r="CS1023" s="7"/>
      <c r="CT1023" s="7"/>
      <c r="CU1023" s="7"/>
      <c r="CV1023" s="7"/>
      <c r="CW1023" s="7"/>
      <c r="CX1023" s="7"/>
      <c r="CY1023" s="7"/>
      <c r="CZ1023" s="7"/>
      <c r="DA1023" s="7"/>
      <c r="DB1023" s="7"/>
      <c r="DC1023" s="7"/>
      <c r="DD1023" s="7"/>
      <c r="DE1023" s="7"/>
      <c r="DF1023" s="7"/>
      <c r="DG1023" s="7"/>
      <c r="DH1023" s="7"/>
      <c r="DI1023" s="7"/>
      <c r="DJ1023" s="7"/>
      <c r="DK1023" s="7"/>
      <c r="DL1023" s="7"/>
      <c r="DM1023" s="7"/>
      <c r="DN1023" s="7"/>
      <c r="DO1023" s="7"/>
      <c r="DP1023" s="7"/>
      <c r="DQ1023" s="7"/>
      <c r="DR1023" s="7"/>
      <c r="DS1023" s="7"/>
      <c r="DT1023" s="7"/>
      <c r="DU1023" s="7"/>
      <c r="DV1023" s="7"/>
      <c r="DW1023" s="7"/>
      <c r="DX1023" s="7"/>
      <c r="DY1023" s="7"/>
      <c r="DZ1023" s="31"/>
      <c r="EA1023" s="7"/>
      <c r="EB1023" s="7"/>
      <c r="EC1023" s="7"/>
      <c r="ED1023" s="7"/>
      <c r="EE1023" s="7"/>
      <c r="EF1023" s="7"/>
      <c r="EG1023" s="7"/>
      <c r="FA1023" s="6"/>
      <c r="GP1023" s="32"/>
      <c r="GY1023" s="6" t="s">
        <v>407</v>
      </c>
      <c r="HF1023" s="8" t="s">
        <v>1264</v>
      </c>
      <c r="HG1023" s="9" t="s">
        <v>389</v>
      </c>
      <c r="ID1023" s="8" t="s">
        <v>5607</v>
      </c>
      <c r="IE1023" s="9" t="s">
        <v>389</v>
      </c>
      <c r="IF1023" s="9" t="s">
        <v>319</v>
      </c>
      <c r="II1023" s="9" t="s">
        <v>1264</v>
      </c>
      <c r="IJ1023" s="9" t="s">
        <v>389</v>
      </c>
      <c r="IK1023" s="8" t="s">
        <v>319</v>
      </c>
      <c r="IM1023" s="9"/>
      <c r="IN1023" s="8" t="s">
        <v>5608</v>
      </c>
      <c r="IO1023" s="8" t="s">
        <v>507</v>
      </c>
      <c r="IP1023" s="8" t="s">
        <v>350</v>
      </c>
      <c r="IR1023" s="9"/>
      <c r="JV1023" s="7" t="s">
        <v>5609</v>
      </c>
      <c r="JW1023" s="7" t="s">
        <v>352</v>
      </c>
      <c r="JX1023" s="7" t="s">
        <v>320</v>
      </c>
      <c r="JY1023" s="7" t="s">
        <v>470</v>
      </c>
      <c r="JZ1023" s="7" t="s">
        <v>322</v>
      </c>
      <c r="KG1023" s="4" t="s">
        <v>323</v>
      </c>
      <c r="KM1023" s="4" t="s">
        <v>1439</v>
      </c>
      <c r="KN1023" s="4" t="s">
        <v>1439</v>
      </c>
      <c r="KP1023" s="5" t="s">
        <v>358</v>
      </c>
      <c r="KQ1023" s="5" t="s">
        <v>5610</v>
      </c>
      <c r="KR1023" s="5" t="s">
        <v>5611</v>
      </c>
      <c r="KT1023" s="5" t="s">
        <v>5612</v>
      </c>
    </row>
    <row r="1024" spans="1:306" ht="108" x14ac:dyDescent="0.25">
      <c r="A1024" s="5" t="s">
        <v>5840</v>
      </c>
      <c r="B1024" s="4" t="s">
        <v>364</v>
      </c>
      <c r="C1024" s="7" t="s">
        <v>549</v>
      </c>
      <c r="D1024" s="7" t="s">
        <v>955</v>
      </c>
      <c r="E1024" s="4">
        <v>334646</v>
      </c>
      <c r="G1024" s="4" t="s">
        <v>330</v>
      </c>
      <c r="H1024" s="6">
        <v>117.697</v>
      </c>
      <c r="I1024" s="6">
        <v>-27.0534</v>
      </c>
      <c r="J1024" s="4" t="s">
        <v>5840</v>
      </c>
      <c r="K1024" s="4" t="s">
        <v>331</v>
      </c>
      <c r="L1024" s="4" t="s">
        <v>500</v>
      </c>
      <c r="M1024" s="4" t="s">
        <v>676</v>
      </c>
      <c r="N1024" s="4" t="s">
        <v>677</v>
      </c>
      <c r="O1024" s="7"/>
      <c r="Q1024" s="8"/>
      <c r="R1024" s="8"/>
      <c r="Z1024" s="4" t="s">
        <v>364</v>
      </c>
      <c r="AA1024" s="7" t="s">
        <v>549</v>
      </c>
      <c r="AB1024" s="7" t="s">
        <v>955</v>
      </c>
      <c r="AC1024" s="4" t="s">
        <v>301</v>
      </c>
      <c r="AD1024" s="4" t="s">
        <v>302</v>
      </c>
      <c r="AE1024" s="8">
        <v>2752</v>
      </c>
      <c r="AF1024" s="8">
        <v>9</v>
      </c>
      <c r="AG1024" s="9" t="s">
        <v>379</v>
      </c>
      <c r="AH1024" s="9" t="s">
        <v>372</v>
      </c>
      <c r="AI1024" s="9" t="s">
        <v>373</v>
      </c>
      <c r="AJ1024" s="9" t="s">
        <v>306</v>
      </c>
      <c r="AK1024" s="9" t="s">
        <v>307</v>
      </c>
      <c r="AL1024" s="9" t="s">
        <v>337</v>
      </c>
      <c r="AM1024" s="8">
        <v>4</v>
      </c>
      <c r="AR1024" s="7"/>
      <c r="AS1024" s="8"/>
      <c r="AT1024" s="8"/>
      <c r="BF1024" s="7"/>
      <c r="BG1024" s="8"/>
      <c r="BH1024" s="8"/>
      <c r="BP1024" s="7">
        <v>0.64700000000000002</v>
      </c>
      <c r="BR1024" s="7">
        <v>2.4</v>
      </c>
      <c r="BS1024" s="7">
        <v>1.8</v>
      </c>
      <c r="BU1024" s="8">
        <v>20</v>
      </c>
      <c r="CK1024" s="6">
        <v>0.1</v>
      </c>
      <c r="DZ1024" s="31"/>
      <c r="EH1024" s="10">
        <f>BP1024*BR1024/100</f>
        <v>1.5528E-2</v>
      </c>
      <c r="EI1024" s="10">
        <f>BP1024*BS1024/100</f>
        <v>1.1646E-2</v>
      </c>
      <c r="EK1024" s="10">
        <f>BP1024*BU1024/1000</f>
        <v>1.2940000000000002E-2</v>
      </c>
      <c r="EZ1024" s="6">
        <f>1000*BP1024*CK1024/100</f>
        <v>0.64700000000000002</v>
      </c>
      <c r="FA1024" s="6"/>
      <c r="GP1024" s="32"/>
      <c r="GY1024" s="31" t="s">
        <v>407</v>
      </c>
      <c r="GZ1024" s="6" t="s">
        <v>994</v>
      </c>
      <c r="HA1024" s="6" t="s">
        <v>5841</v>
      </c>
      <c r="HB1024" s="6" t="s">
        <v>462</v>
      </c>
      <c r="HC1024" s="6" t="s">
        <v>627</v>
      </c>
      <c r="HD1024" s="8" t="s">
        <v>4089</v>
      </c>
      <c r="HE1024" s="8">
        <v>74804</v>
      </c>
      <c r="HF1024" s="8" t="s">
        <v>5842</v>
      </c>
      <c r="HG1024" s="9" t="s">
        <v>507</v>
      </c>
      <c r="IB1024" s="8" t="s">
        <v>4089</v>
      </c>
      <c r="IC1024" s="8">
        <v>74804</v>
      </c>
      <c r="ID1024" s="8" t="s">
        <v>5843</v>
      </c>
      <c r="IE1024" s="9" t="s">
        <v>507</v>
      </c>
      <c r="IF1024" s="8" t="s">
        <v>319</v>
      </c>
      <c r="IG1024" s="8" t="s">
        <v>4089</v>
      </c>
      <c r="IH1024" s="8">
        <v>74804</v>
      </c>
      <c r="II1024" s="8" t="s">
        <v>5844</v>
      </c>
      <c r="IJ1024" s="9" t="s">
        <v>507</v>
      </c>
      <c r="IK1024" s="8" t="s">
        <v>445</v>
      </c>
      <c r="IM1024" s="9"/>
      <c r="IR1024" s="9"/>
      <c r="JX1024" s="4" t="s">
        <v>322</v>
      </c>
      <c r="JY1024" s="4" t="s">
        <v>354</v>
      </c>
      <c r="JZ1024" s="4" t="s">
        <v>320</v>
      </c>
      <c r="KG1024" s="4" t="s">
        <v>323</v>
      </c>
      <c r="KM1024" s="4" t="s">
        <v>391</v>
      </c>
      <c r="KN1024" s="4" t="s">
        <v>391</v>
      </c>
      <c r="KP1024" s="5" t="s">
        <v>358</v>
      </c>
      <c r="KQ1024" s="5" t="s">
        <v>5845</v>
      </c>
      <c r="KR1024" s="5" t="s">
        <v>5846</v>
      </c>
      <c r="KS1024" s="5" t="s">
        <v>5847</v>
      </c>
      <c r="KT1024" s="5" t="s">
        <v>718</v>
      </c>
    </row>
    <row r="1025" spans="1:306" ht="36" x14ac:dyDescent="0.25">
      <c r="A1025" s="5" t="s">
        <v>6453</v>
      </c>
      <c r="B1025" s="4" t="s">
        <v>364</v>
      </c>
      <c r="C1025" s="7" t="s">
        <v>549</v>
      </c>
      <c r="D1025" s="7" t="s">
        <v>955</v>
      </c>
      <c r="E1025" s="4">
        <v>558255</v>
      </c>
      <c r="G1025" s="4" t="s">
        <v>330</v>
      </c>
      <c r="H1025" s="6">
        <v>118.803717914</v>
      </c>
      <c r="I1025" s="6">
        <v>-20.767817964999999</v>
      </c>
      <c r="J1025" s="4" t="s">
        <v>2746</v>
      </c>
      <c r="K1025" s="4" t="s">
        <v>331</v>
      </c>
      <c r="L1025" s="4" t="s">
        <v>368</v>
      </c>
      <c r="M1025" s="4" t="s">
        <v>369</v>
      </c>
      <c r="O1025" s="7"/>
      <c r="Q1025" s="8"/>
      <c r="R1025" s="8"/>
      <c r="Z1025" s="4" t="s">
        <v>364</v>
      </c>
      <c r="AA1025" s="7" t="s">
        <v>549</v>
      </c>
      <c r="AB1025" s="7" t="s">
        <v>955</v>
      </c>
      <c r="AC1025" s="4" t="s">
        <v>301</v>
      </c>
      <c r="AD1025" s="4" t="s">
        <v>302</v>
      </c>
      <c r="AE1025" s="8">
        <v>3253</v>
      </c>
      <c r="AF1025" s="8">
        <v>4</v>
      </c>
      <c r="AG1025" s="9" t="s">
        <v>379</v>
      </c>
      <c r="AH1025" s="9" t="s">
        <v>372</v>
      </c>
      <c r="AI1025" s="9" t="s">
        <v>373</v>
      </c>
      <c r="AJ1025" s="9" t="s">
        <v>306</v>
      </c>
      <c r="AK1025" s="9" t="s">
        <v>307</v>
      </c>
      <c r="AL1025" s="9" t="s">
        <v>337</v>
      </c>
      <c r="AM1025" s="8">
        <v>4</v>
      </c>
      <c r="AR1025" s="7"/>
      <c r="AS1025" s="8"/>
      <c r="AT1025" s="8"/>
      <c r="BF1025" s="7"/>
      <c r="BG1025" s="8"/>
      <c r="BH1025" s="8"/>
      <c r="BP1025" s="7">
        <v>1.4</v>
      </c>
      <c r="BQ1025" s="7"/>
      <c r="BR1025" s="7"/>
      <c r="BS1025" s="7">
        <v>3.4</v>
      </c>
      <c r="BT1025" s="7">
        <v>1.4</v>
      </c>
      <c r="BU1025" s="8">
        <v>105</v>
      </c>
      <c r="BV1025" s="7">
        <v>0.7</v>
      </c>
      <c r="DZ1025" s="31"/>
      <c r="EI1025" s="10">
        <f>BP1025*BS1025/100</f>
        <v>4.7599999999999996E-2</v>
      </c>
      <c r="EJ1025" s="10">
        <f>BP1025*BT1025/100</f>
        <v>1.9599999999999996E-2</v>
      </c>
      <c r="EK1025" s="10">
        <f>BP1025*BU1025/1000</f>
        <v>0.14699999999999999</v>
      </c>
      <c r="EL1025" s="6">
        <f>BP1025*BV1025</f>
        <v>0.97999999999999987</v>
      </c>
      <c r="FA1025" s="6"/>
      <c r="GP1025" s="32"/>
      <c r="GY1025" s="31" t="s">
        <v>407</v>
      </c>
      <c r="GZ1025" s="6" t="s">
        <v>1386</v>
      </c>
      <c r="HA1025" s="6" t="s">
        <v>5538</v>
      </c>
      <c r="HC1025" s="6" t="s">
        <v>627</v>
      </c>
      <c r="HF1025" s="8" t="s">
        <v>2748</v>
      </c>
      <c r="HG1025" s="9" t="s">
        <v>1393</v>
      </c>
      <c r="ID1025" s="8" t="s">
        <v>2748</v>
      </c>
      <c r="IE1025" s="9" t="s">
        <v>1393</v>
      </c>
      <c r="IF1025" s="8" t="s">
        <v>319</v>
      </c>
      <c r="IM1025" s="9"/>
      <c r="IR1025" s="9"/>
      <c r="JV1025" s="7" t="s">
        <v>3825</v>
      </c>
      <c r="JW1025" s="7" t="s">
        <v>352</v>
      </c>
      <c r="JX1025" s="7" t="s">
        <v>320</v>
      </c>
      <c r="KG1025" s="4" t="s">
        <v>323</v>
      </c>
      <c r="KM1025" s="4" t="s">
        <v>391</v>
      </c>
      <c r="KN1025" s="4" t="s">
        <v>391</v>
      </c>
      <c r="KP1025" s="5" t="s">
        <v>2749</v>
      </c>
      <c r="KQ1025" s="5" t="s">
        <v>2750</v>
      </c>
      <c r="KR1025" s="5" t="s">
        <v>2751</v>
      </c>
      <c r="KS1025" s="5" t="s">
        <v>2752</v>
      </c>
      <c r="KT1025" s="5" t="s">
        <v>718</v>
      </c>
    </row>
    <row r="1026" spans="1:306" ht="132" customHeight="1" x14ac:dyDescent="0.25">
      <c r="A1026" s="5" t="s">
        <v>6652</v>
      </c>
      <c r="B1026" s="4" t="s">
        <v>364</v>
      </c>
      <c r="C1026" s="7" t="s">
        <v>549</v>
      </c>
      <c r="D1026" s="7" t="s">
        <v>955</v>
      </c>
      <c r="E1026" s="4">
        <v>755088</v>
      </c>
      <c r="G1026" s="4" t="s">
        <v>330</v>
      </c>
      <c r="H1026" s="6">
        <v>118.78061700000001</v>
      </c>
      <c r="I1026" s="6">
        <f>-(29+43/60)</f>
        <v>-29.716666666666665</v>
      </c>
      <c r="J1026" s="23" t="s">
        <v>676</v>
      </c>
      <c r="K1026" s="4" t="s">
        <v>331</v>
      </c>
      <c r="L1026" s="4" t="s">
        <v>500</v>
      </c>
      <c r="M1026" s="4" t="s">
        <v>676</v>
      </c>
      <c r="N1026" s="4" t="s">
        <v>677</v>
      </c>
      <c r="O1026" s="7"/>
      <c r="Q1026" s="8"/>
      <c r="R1026" s="8"/>
      <c r="Z1026" s="4" t="s">
        <v>364</v>
      </c>
      <c r="AA1026" s="7" t="s">
        <v>549</v>
      </c>
      <c r="AB1026" s="7" t="s">
        <v>955</v>
      </c>
      <c r="AC1026" s="4" t="s">
        <v>301</v>
      </c>
      <c r="AD1026" s="4" t="s">
        <v>302</v>
      </c>
      <c r="AE1026" s="8">
        <v>2814</v>
      </c>
      <c r="AF1026" s="8">
        <v>14</v>
      </c>
      <c r="AG1026" s="9" t="s">
        <v>379</v>
      </c>
      <c r="AH1026" s="9" t="s">
        <v>372</v>
      </c>
      <c r="AI1026" s="9" t="s">
        <v>373</v>
      </c>
      <c r="AJ1026" s="9" t="s">
        <v>306</v>
      </c>
      <c r="AK1026" s="9" t="s">
        <v>307</v>
      </c>
      <c r="AL1026" s="9" t="s">
        <v>337</v>
      </c>
      <c r="AM1026" s="8">
        <v>4</v>
      </c>
      <c r="AR1026" s="7"/>
      <c r="AS1026" s="8"/>
      <c r="AT1026" s="8"/>
      <c r="BF1026" s="7"/>
      <c r="BG1026" s="8"/>
      <c r="BH1026" s="8"/>
      <c r="BP1026" s="7">
        <v>20</v>
      </c>
      <c r="BQ1026" s="8"/>
      <c r="BS1026" s="8">
        <v>2</v>
      </c>
      <c r="DZ1026" s="31"/>
      <c r="EI1026" s="10">
        <f>BP1026*BS1026/100</f>
        <v>0.4</v>
      </c>
      <c r="FA1026" s="6"/>
      <c r="GP1026" s="32"/>
      <c r="GY1026" s="6" t="s">
        <v>309</v>
      </c>
      <c r="GZ1026" s="6" t="s">
        <v>1049</v>
      </c>
      <c r="HC1026" s="6" t="s">
        <v>627</v>
      </c>
      <c r="HD1026" s="8" t="s">
        <v>4992</v>
      </c>
      <c r="HE1026" s="8">
        <v>74802</v>
      </c>
      <c r="HF1026" s="8" t="s">
        <v>6653</v>
      </c>
      <c r="HG1026" s="9" t="s">
        <v>389</v>
      </c>
      <c r="IB1026" s="8" t="s">
        <v>4992</v>
      </c>
      <c r="IC1026" s="8">
        <v>74802</v>
      </c>
      <c r="ID1026" s="8" t="s">
        <v>6654</v>
      </c>
      <c r="IE1026" s="9" t="s">
        <v>389</v>
      </c>
      <c r="IF1026" s="8" t="s">
        <v>319</v>
      </c>
      <c r="IM1026" s="9"/>
      <c r="IR1026" s="9"/>
      <c r="JX1026" s="7" t="s">
        <v>320</v>
      </c>
      <c r="JY1026" s="7" t="s">
        <v>354</v>
      </c>
      <c r="JZ1026" s="7" t="s">
        <v>320</v>
      </c>
      <c r="KG1026" s="4" t="s">
        <v>323</v>
      </c>
      <c r="KM1026" s="4" t="s">
        <v>521</v>
      </c>
      <c r="KN1026" s="4" t="s">
        <v>521</v>
      </c>
      <c r="KP1026" s="5" t="s">
        <v>2341</v>
      </c>
      <c r="KQ1026" s="5" t="s">
        <v>6655</v>
      </c>
      <c r="KR1026" s="5" t="s">
        <v>6656</v>
      </c>
      <c r="KT1026" s="5" t="s">
        <v>6657</v>
      </c>
    </row>
    <row r="1027" spans="1:306" ht="144" x14ac:dyDescent="0.25">
      <c r="A1027" s="5" t="s">
        <v>7351</v>
      </c>
      <c r="B1027" s="4" t="s">
        <v>364</v>
      </c>
      <c r="C1027" s="7" t="s">
        <v>549</v>
      </c>
      <c r="D1027" s="7" t="s">
        <v>955</v>
      </c>
      <c r="E1027" s="4">
        <v>334568</v>
      </c>
      <c r="G1027" s="4" t="s">
        <v>330</v>
      </c>
      <c r="H1027" s="6">
        <v>119.204037548</v>
      </c>
      <c r="I1027" s="6">
        <v>-21.152216219</v>
      </c>
      <c r="J1027" s="4" t="s">
        <v>1310</v>
      </c>
      <c r="K1027" s="4" t="s">
        <v>331</v>
      </c>
      <c r="L1027" s="4" t="s">
        <v>368</v>
      </c>
      <c r="M1027" s="4" t="s">
        <v>369</v>
      </c>
      <c r="O1027" s="7"/>
      <c r="Q1027" s="8"/>
      <c r="R1027" s="8"/>
      <c r="Z1027" s="4" t="s">
        <v>364</v>
      </c>
      <c r="AA1027" s="7" t="s">
        <v>549</v>
      </c>
      <c r="AB1027" s="7" t="s">
        <v>955</v>
      </c>
      <c r="AC1027" s="4" t="s">
        <v>301</v>
      </c>
      <c r="AD1027" s="4" t="s">
        <v>375</v>
      </c>
      <c r="AE1027" s="8">
        <v>3238</v>
      </c>
      <c r="AF1027" s="8">
        <v>2</v>
      </c>
      <c r="AG1027" s="9" t="s">
        <v>379</v>
      </c>
      <c r="AH1027" s="9" t="s">
        <v>372</v>
      </c>
      <c r="AI1027" s="9" t="s">
        <v>373</v>
      </c>
      <c r="AJ1027" s="9" t="s">
        <v>306</v>
      </c>
      <c r="AK1027" s="9" t="s">
        <v>307</v>
      </c>
      <c r="AL1027" s="9" t="s">
        <v>337</v>
      </c>
      <c r="AM1027" s="8">
        <v>4</v>
      </c>
      <c r="AN1027" s="4" t="s">
        <v>381</v>
      </c>
      <c r="AO1027" s="4" t="s">
        <v>382</v>
      </c>
      <c r="AP1027" s="4" t="s">
        <v>383</v>
      </c>
      <c r="AQ1027" s="7" t="s">
        <v>384</v>
      </c>
      <c r="AR1027" s="8" t="s">
        <v>827</v>
      </c>
      <c r="AS1027" s="7">
        <v>0</v>
      </c>
      <c r="AT1027" s="7">
        <v>0</v>
      </c>
      <c r="AU1027" s="9" t="s">
        <v>303</v>
      </c>
      <c r="AV1027" s="9" t="s">
        <v>406</v>
      </c>
      <c r="BA1027" s="8">
        <v>5</v>
      </c>
      <c r="BF1027" s="7"/>
      <c r="BG1027" s="7"/>
      <c r="BH1027" s="7"/>
      <c r="BP1027" s="7">
        <v>13.798</v>
      </c>
      <c r="BQ1027" s="7"/>
      <c r="BR1027" s="7">
        <v>1.1000000000000001</v>
      </c>
      <c r="BS1027" s="7">
        <v>5.7</v>
      </c>
      <c r="BT1027" s="7">
        <v>0.3</v>
      </c>
      <c r="BU1027" s="7">
        <v>23.5</v>
      </c>
      <c r="BV1027" s="7">
        <v>0.2</v>
      </c>
      <c r="DZ1027" s="31"/>
      <c r="EH1027" s="10">
        <f>BP1027*BR1027/100</f>
        <v>0.15177800000000002</v>
      </c>
      <c r="EI1027" s="10">
        <f>BP1027*BS1027/100</f>
        <v>0.78648600000000002</v>
      </c>
      <c r="EJ1027" s="10">
        <f>BP1027*BT1027/100</f>
        <v>4.1394E-2</v>
      </c>
      <c r="EK1027" s="10">
        <f>BP1027*BU1027/1000</f>
        <v>0.32425300000000001</v>
      </c>
      <c r="EL1027" s="6">
        <f>BP1027*BV1027</f>
        <v>2.7596000000000003</v>
      </c>
      <c r="FA1027" s="6"/>
      <c r="GP1027" s="32"/>
      <c r="GY1027" s="6" t="s">
        <v>338</v>
      </c>
      <c r="GZ1027" s="6" t="s">
        <v>734</v>
      </c>
      <c r="HB1027" s="6" t="s">
        <v>6863</v>
      </c>
      <c r="HC1027" s="6" t="s">
        <v>627</v>
      </c>
      <c r="HD1027" s="8" t="s">
        <v>1311</v>
      </c>
      <c r="HE1027" s="8">
        <v>32223</v>
      </c>
      <c r="HF1027" s="8" t="s">
        <v>7352</v>
      </c>
      <c r="HG1027" s="9" t="s">
        <v>1393</v>
      </c>
      <c r="IB1027" s="8" t="s">
        <v>1311</v>
      </c>
      <c r="IC1027" s="8">
        <v>32223</v>
      </c>
      <c r="ID1027" s="8" t="s">
        <v>1313</v>
      </c>
      <c r="IE1027" s="9" t="s">
        <v>1393</v>
      </c>
      <c r="IF1027" s="8" t="s">
        <v>319</v>
      </c>
      <c r="IG1027" s="8" t="s">
        <v>1314</v>
      </c>
      <c r="IH1027" s="8">
        <v>69696</v>
      </c>
      <c r="II1027" s="8" t="s">
        <v>1315</v>
      </c>
      <c r="IJ1027" s="8" t="s">
        <v>792</v>
      </c>
      <c r="IK1027" s="8" t="s">
        <v>319</v>
      </c>
      <c r="IM1027" s="9"/>
      <c r="IR1027" s="9"/>
      <c r="JU1027" s="7" t="s">
        <v>1316</v>
      </c>
      <c r="JV1027" s="7" t="s">
        <v>7353</v>
      </c>
      <c r="JW1027" s="7" t="s">
        <v>352</v>
      </c>
      <c r="JX1027" s="7" t="s">
        <v>320</v>
      </c>
      <c r="KG1027" s="4" t="s">
        <v>356</v>
      </c>
      <c r="KH1027" s="4" t="s">
        <v>1317</v>
      </c>
      <c r="KM1027" s="4" t="s">
        <v>471</v>
      </c>
      <c r="KN1027" s="4" t="s">
        <v>471</v>
      </c>
      <c r="KP1027" s="5" t="s">
        <v>1318</v>
      </c>
      <c r="KQ1027" s="5" t="s">
        <v>7354</v>
      </c>
      <c r="KR1027" s="5" t="s">
        <v>1320</v>
      </c>
      <c r="KS1027" s="5" t="s">
        <v>7355</v>
      </c>
      <c r="KT1027" s="5" t="s">
        <v>7356</v>
      </c>
    </row>
    <row r="1028" spans="1:306" ht="72" x14ac:dyDescent="0.25">
      <c r="A1028" s="5" t="s">
        <v>8047</v>
      </c>
      <c r="B1028" s="4" t="s">
        <v>364</v>
      </c>
      <c r="C1028" s="7" t="s">
        <v>549</v>
      </c>
      <c r="D1028" s="7" t="s">
        <v>955</v>
      </c>
      <c r="E1028" s="4">
        <v>334389</v>
      </c>
      <c r="G1028" s="4" t="s">
        <v>330</v>
      </c>
      <c r="H1028" s="6">
        <v>116.92749999999999</v>
      </c>
      <c r="I1028" s="6">
        <v>-21.078800000000001</v>
      </c>
      <c r="J1028" s="4" t="s">
        <v>1006</v>
      </c>
      <c r="K1028" s="4" t="s">
        <v>331</v>
      </c>
      <c r="L1028" s="4" t="s">
        <v>368</v>
      </c>
      <c r="M1028" s="4" t="s">
        <v>666</v>
      </c>
      <c r="O1028" s="7"/>
      <c r="Q1028" s="8"/>
      <c r="R1028" s="8"/>
      <c r="Z1028" s="4" t="s">
        <v>364</v>
      </c>
      <c r="AA1028" s="7" t="s">
        <v>549</v>
      </c>
      <c r="AB1028" s="7" t="s">
        <v>955</v>
      </c>
      <c r="AC1028" s="4" t="s">
        <v>301</v>
      </c>
      <c r="AD1028" s="4" t="s">
        <v>375</v>
      </c>
      <c r="AE1028" s="8">
        <v>3114</v>
      </c>
      <c r="AF1028" s="8">
        <v>4</v>
      </c>
      <c r="AG1028" s="9" t="s">
        <v>379</v>
      </c>
      <c r="AH1028" s="9" t="s">
        <v>372</v>
      </c>
      <c r="AI1028" s="9" t="s">
        <v>373</v>
      </c>
      <c r="AJ1028" s="9" t="s">
        <v>306</v>
      </c>
      <c r="AK1028" s="9" t="s">
        <v>307</v>
      </c>
      <c r="AL1028" s="9" t="s">
        <v>337</v>
      </c>
      <c r="AM1028" s="8">
        <v>4</v>
      </c>
      <c r="AN1028" s="4" t="s">
        <v>381</v>
      </c>
      <c r="AO1028" s="4" t="s">
        <v>382</v>
      </c>
      <c r="AP1028" s="4" t="s">
        <v>383</v>
      </c>
      <c r="AQ1028" s="7" t="s">
        <v>384</v>
      </c>
      <c r="AR1028" s="8" t="s">
        <v>827</v>
      </c>
      <c r="AS1028" s="7">
        <v>0</v>
      </c>
      <c r="AT1028" s="7">
        <v>0</v>
      </c>
      <c r="AU1028" s="9" t="s">
        <v>303</v>
      </c>
      <c r="AV1028" s="9" t="s">
        <v>406</v>
      </c>
      <c r="BA1028" s="8">
        <v>5</v>
      </c>
      <c r="BF1028" s="7"/>
      <c r="BG1028" s="7"/>
      <c r="BH1028" s="7"/>
      <c r="BP1028" s="7">
        <v>2.649</v>
      </c>
      <c r="BQ1028" s="9"/>
      <c r="BR1028" s="6">
        <v>1.1399999999999999</v>
      </c>
      <c r="BS1028" s="6">
        <v>1.1399999999999999</v>
      </c>
      <c r="DZ1028" s="31"/>
      <c r="EH1028" s="10">
        <f>BP1028*BR1028/100</f>
        <v>3.0198599999999996E-2</v>
      </c>
      <c r="EI1028" s="10">
        <f>BP1028*BS1028/100</f>
        <v>3.0198599999999996E-2</v>
      </c>
      <c r="FA1028" s="6"/>
      <c r="GP1028" s="32"/>
      <c r="GY1028" s="6" t="s">
        <v>338</v>
      </c>
      <c r="GZ1028" s="6" t="s">
        <v>626</v>
      </c>
      <c r="HC1028" s="6" t="s">
        <v>627</v>
      </c>
      <c r="HD1028" s="9" t="s">
        <v>1008</v>
      </c>
      <c r="HE1028" s="8">
        <v>31017</v>
      </c>
      <c r="HF1028" s="8" t="s">
        <v>8048</v>
      </c>
      <c r="HG1028" s="9" t="s">
        <v>389</v>
      </c>
      <c r="HH1028" s="8" t="s">
        <v>1010</v>
      </c>
      <c r="HI1028" s="8">
        <v>31018</v>
      </c>
      <c r="HJ1028" s="9" t="s">
        <v>8049</v>
      </c>
      <c r="HK1028" s="9" t="s">
        <v>389</v>
      </c>
      <c r="IB1028" s="9" t="s">
        <v>1008</v>
      </c>
      <c r="IC1028" s="8">
        <v>31017</v>
      </c>
      <c r="ID1028" s="8" t="s">
        <v>8048</v>
      </c>
      <c r="IE1028" s="9" t="s">
        <v>389</v>
      </c>
      <c r="IF1028" s="7" t="s">
        <v>319</v>
      </c>
      <c r="IG1028" s="8" t="s">
        <v>1010</v>
      </c>
      <c r="IH1028" s="8">
        <v>31018</v>
      </c>
      <c r="II1028" s="9" t="s">
        <v>8049</v>
      </c>
      <c r="IJ1028" s="9" t="s">
        <v>389</v>
      </c>
      <c r="IK1028" s="8" t="s">
        <v>350</v>
      </c>
      <c r="IM1028" s="9"/>
      <c r="IR1028" s="9"/>
      <c r="JV1028" s="7" t="s">
        <v>8050</v>
      </c>
      <c r="JW1028" s="7" t="s">
        <v>2831</v>
      </c>
      <c r="JX1028" s="7" t="s">
        <v>322</v>
      </c>
      <c r="JY1028" s="7" t="s">
        <v>470</v>
      </c>
      <c r="JZ1028" s="7" t="s">
        <v>320</v>
      </c>
      <c r="KA1028" s="7" t="s">
        <v>354</v>
      </c>
      <c r="KB1028" s="7" t="s">
        <v>353</v>
      </c>
      <c r="KG1028" s="4" t="s">
        <v>323</v>
      </c>
      <c r="KM1028" s="4" t="s">
        <v>521</v>
      </c>
      <c r="KN1028" s="4" t="s">
        <v>521</v>
      </c>
      <c r="KP1028" s="5" t="s">
        <v>358</v>
      </c>
      <c r="KQ1028" s="5" t="s">
        <v>8051</v>
      </c>
      <c r="KR1028" s="5" t="s">
        <v>1014</v>
      </c>
      <c r="KS1028" s="5" t="s">
        <v>1012</v>
      </c>
      <c r="KT1028" s="5" t="s">
        <v>8052</v>
      </c>
    </row>
    <row r="1029" spans="1:306" ht="48" x14ac:dyDescent="0.2">
      <c r="A1029" s="5" t="s">
        <v>8053</v>
      </c>
      <c r="B1029" s="4" t="s">
        <v>364</v>
      </c>
      <c r="C1029" s="7" t="s">
        <v>549</v>
      </c>
      <c r="D1029" s="8" t="s">
        <v>955</v>
      </c>
      <c r="E1029" s="44">
        <v>859637</v>
      </c>
      <c r="F1029" s="4">
        <v>432991</v>
      </c>
      <c r="G1029" s="4" t="s">
        <v>773</v>
      </c>
      <c r="H1029" s="6">
        <v>142.67896407999999</v>
      </c>
      <c r="I1029" s="6">
        <v>-37.706248791999997</v>
      </c>
      <c r="J1029" s="4" t="s">
        <v>2061</v>
      </c>
      <c r="K1029" s="4" t="s">
        <v>298</v>
      </c>
      <c r="L1029" s="4" t="s">
        <v>400</v>
      </c>
      <c r="M1029" s="4" t="s">
        <v>2062</v>
      </c>
      <c r="Q1029" s="8"/>
      <c r="R1029" s="8"/>
      <c r="Z1029" s="4" t="s">
        <v>364</v>
      </c>
      <c r="AA1029" s="7" t="s">
        <v>549</v>
      </c>
      <c r="AB1029" s="8" t="s">
        <v>955</v>
      </c>
      <c r="AC1029" s="4" t="s">
        <v>301</v>
      </c>
      <c r="AD1029" s="4" t="s">
        <v>302</v>
      </c>
      <c r="AE1029" s="8">
        <v>501</v>
      </c>
      <c r="AF1029" s="8">
        <v>9</v>
      </c>
      <c r="AG1029" s="9" t="s">
        <v>379</v>
      </c>
      <c r="AH1029" s="9" t="s">
        <v>372</v>
      </c>
      <c r="AI1029" s="9" t="s">
        <v>373</v>
      </c>
      <c r="AJ1029" s="9" t="s">
        <v>306</v>
      </c>
      <c r="AK1029" s="9" t="s">
        <v>307</v>
      </c>
      <c r="AL1029" s="9" t="s">
        <v>337</v>
      </c>
      <c r="AM1029" s="8">
        <v>4</v>
      </c>
      <c r="BQ1029" s="7"/>
      <c r="BR1029" s="7"/>
      <c r="BS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7"/>
      <c r="CV1029" s="7"/>
      <c r="CW1029" s="7"/>
      <c r="CX1029" s="7"/>
      <c r="CY1029" s="7"/>
      <c r="CZ1029" s="7"/>
      <c r="DA1029" s="7"/>
      <c r="DB1029" s="7"/>
      <c r="DC1029" s="7"/>
      <c r="DD1029" s="7"/>
      <c r="DE1029" s="7"/>
      <c r="DF1029" s="7"/>
      <c r="DG1029" s="7"/>
      <c r="DH1029" s="7"/>
      <c r="DI1029" s="7"/>
      <c r="DJ1029" s="7"/>
      <c r="DK1029" s="7"/>
      <c r="DL1029" s="7"/>
      <c r="DM1029" s="7"/>
      <c r="DN1029" s="7"/>
      <c r="DO1029" s="7"/>
      <c r="DP1029" s="7"/>
      <c r="DQ1029" s="7"/>
      <c r="DR1029" s="7"/>
      <c r="DS1029" s="7"/>
      <c r="DT1029" s="7"/>
      <c r="DU1029" s="7"/>
      <c r="DV1029" s="7"/>
      <c r="DW1029" s="7"/>
      <c r="DX1029" s="7"/>
      <c r="DY1029" s="7"/>
      <c r="DZ1029" s="31"/>
      <c r="EA1029" s="7"/>
      <c r="EB1029" s="7"/>
      <c r="EC1029" s="7"/>
      <c r="ED1029" s="7"/>
      <c r="EE1029" s="7"/>
      <c r="EF1029" s="7"/>
      <c r="EG1029" s="7"/>
      <c r="EY1029" s="6"/>
      <c r="FA1029" s="6"/>
      <c r="GP1029" s="32"/>
      <c r="GY1029" s="6" t="s">
        <v>407</v>
      </c>
      <c r="HD1029" s="8" t="s">
        <v>2066</v>
      </c>
      <c r="HE1029" s="8">
        <v>24532</v>
      </c>
      <c r="HF1029" s="8" t="s">
        <v>2067</v>
      </c>
      <c r="HG1029" s="9" t="s">
        <v>415</v>
      </c>
      <c r="HQ1029" s="9"/>
      <c r="HY1029" s="9"/>
      <c r="IB1029" s="8" t="s">
        <v>2066</v>
      </c>
      <c r="IC1029" s="8">
        <v>24532</v>
      </c>
      <c r="ID1029" s="8" t="s">
        <v>2067</v>
      </c>
      <c r="IE1029" s="9" t="s">
        <v>415</v>
      </c>
      <c r="IF1029" s="8" t="s">
        <v>319</v>
      </c>
      <c r="JV1029" s="7" t="s">
        <v>8054</v>
      </c>
      <c r="JW1029" s="7" t="s">
        <v>352</v>
      </c>
      <c r="JX1029" s="7" t="s">
        <v>320</v>
      </c>
      <c r="KG1029" s="4" t="s">
        <v>323</v>
      </c>
      <c r="KM1029" s="4" t="s">
        <v>471</v>
      </c>
      <c r="KN1029" s="4" t="s">
        <v>471</v>
      </c>
      <c r="KP1029" s="5" t="s">
        <v>8055</v>
      </c>
      <c r="KQ1029" s="5" t="s">
        <v>8056</v>
      </c>
      <c r="KR1029" s="5" t="s">
        <v>8057</v>
      </c>
      <c r="KT1029" s="5" t="s">
        <v>8058</v>
      </c>
    </row>
    <row r="1030" spans="1:306" ht="132" x14ac:dyDescent="0.25">
      <c r="A1030" s="5" t="s">
        <v>988</v>
      </c>
      <c r="B1030" s="4" t="s">
        <v>364</v>
      </c>
      <c r="C1030" s="7" t="s">
        <v>549</v>
      </c>
      <c r="D1030" s="8" t="s">
        <v>989</v>
      </c>
      <c r="E1030" s="4">
        <v>595291</v>
      </c>
      <c r="G1030" s="4" t="s">
        <v>427</v>
      </c>
      <c r="H1030" s="6">
        <v>146.83944</v>
      </c>
      <c r="I1030" s="6">
        <v>-31.196739999999998</v>
      </c>
      <c r="J1030" s="4" t="s">
        <v>990</v>
      </c>
      <c r="K1030" s="4" t="s">
        <v>298</v>
      </c>
      <c r="L1030" s="4" t="s">
        <v>299</v>
      </c>
      <c r="M1030" s="4" t="s">
        <v>428</v>
      </c>
      <c r="N1030" s="4" t="s">
        <v>990</v>
      </c>
      <c r="Q1030" s="8"/>
      <c r="R1030" s="8"/>
      <c r="Z1030" s="4" t="s">
        <v>364</v>
      </c>
      <c r="AA1030" s="7" t="s">
        <v>549</v>
      </c>
      <c r="AB1030" s="8" t="s">
        <v>989</v>
      </c>
      <c r="AC1030" s="4" t="s">
        <v>301</v>
      </c>
      <c r="AD1030" s="4" t="s">
        <v>382</v>
      </c>
      <c r="AE1030" s="8">
        <v>479</v>
      </c>
      <c r="AF1030" s="8">
        <v>5</v>
      </c>
      <c r="AG1030" s="9" t="s">
        <v>379</v>
      </c>
      <c r="AH1030" s="9" t="s">
        <v>372</v>
      </c>
      <c r="AJ1030" s="9" t="s">
        <v>555</v>
      </c>
      <c r="AM1030" s="8">
        <v>4</v>
      </c>
      <c r="AN1030" s="4" t="s">
        <v>991</v>
      </c>
      <c r="AO1030" s="4" t="s">
        <v>382</v>
      </c>
      <c r="AP1030" s="4" t="s">
        <v>376</v>
      </c>
      <c r="AQ1030" s="7" t="s">
        <v>992</v>
      </c>
      <c r="AR1030" s="8" t="s">
        <v>993</v>
      </c>
      <c r="AS1030" s="7">
        <v>429.7</v>
      </c>
      <c r="AT1030" s="7">
        <v>6.9</v>
      </c>
      <c r="AU1030" s="9" t="s">
        <v>379</v>
      </c>
      <c r="AV1030" s="9" t="s">
        <v>335</v>
      </c>
      <c r="AW1030" s="9" t="s">
        <v>503</v>
      </c>
      <c r="AX1030" s="9" t="s">
        <v>306</v>
      </c>
      <c r="AY1030" s="9" t="s">
        <v>307</v>
      </c>
      <c r="AZ1030" s="9" t="s">
        <v>308</v>
      </c>
      <c r="BA1030" s="8">
        <v>5</v>
      </c>
      <c r="BB1030" s="4" t="s">
        <v>381</v>
      </c>
      <c r="BC1030" s="4" t="s">
        <v>402</v>
      </c>
      <c r="BD1030" s="4" t="s">
        <v>383</v>
      </c>
      <c r="BE1030" s="7" t="s">
        <v>384</v>
      </c>
      <c r="BF1030" s="8" t="s">
        <v>827</v>
      </c>
      <c r="BG1030" s="7">
        <v>0</v>
      </c>
      <c r="BH1030" s="7">
        <v>0</v>
      </c>
      <c r="BI1030" s="9" t="s">
        <v>303</v>
      </c>
      <c r="BJ1030" s="9" t="s">
        <v>406</v>
      </c>
      <c r="BO1030" s="8">
        <v>5</v>
      </c>
      <c r="BP1030" s="7">
        <v>0.72</v>
      </c>
      <c r="BR1030" s="7">
        <v>3.4</v>
      </c>
      <c r="BS1030" s="7"/>
      <c r="BU1030" s="7">
        <v>17</v>
      </c>
      <c r="BV1030" s="7">
        <v>1.1000000000000001</v>
      </c>
      <c r="BW1030" s="7"/>
      <c r="BX1030" s="7"/>
      <c r="BY1030" s="7"/>
      <c r="BZ1030" s="7"/>
      <c r="CA1030" s="7"/>
      <c r="CB1030" s="7"/>
      <c r="CC1030" s="7"/>
      <c r="CD1030" s="7"/>
      <c r="CE1030" s="7"/>
      <c r="CF1030" s="7"/>
      <c r="CG1030" s="7"/>
      <c r="CH1030" s="7"/>
      <c r="CI1030" s="7"/>
      <c r="CJ1030" s="7"/>
      <c r="CK1030" s="7"/>
      <c r="CL1030" s="7"/>
      <c r="CM1030" s="7"/>
      <c r="CN1030" s="7"/>
      <c r="CO1030" s="7"/>
      <c r="CP1030" s="7"/>
      <c r="CQ1030" s="7"/>
      <c r="CR1030" s="7"/>
      <c r="CS1030" s="7"/>
      <c r="CT1030" s="7"/>
      <c r="CU1030" s="7"/>
      <c r="CV1030" s="7"/>
      <c r="CW1030" s="7"/>
      <c r="CX1030" s="7"/>
      <c r="CY1030" s="7"/>
      <c r="CZ1030" s="7"/>
      <c r="DA1030" s="7"/>
      <c r="DB1030" s="7"/>
      <c r="DC1030" s="7"/>
      <c r="DD1030" s="7"/>
      <c r="DE1030" s="7"/>
      <c r="DF1030" s="7"/>
      <c r="DG1030" s="7"/>
      <c r="DH1030" s="7"/>
      <c r="DI1030" s="7"/>
      <c r="DJ1030" s="7"/>
      <c r="DK1030" s="7"/>
      <c r="DL1030" s="7"/>
      <c r="DM1030" s="7"/>
      <c r="DN1030" s="7"/>
      <c r="DO1030" s="7"/>
      <c r="DP1030" s="7"/>
      <c r="DQ1030" s="7"/>
      <c r="DR1030" s="7"/>
      <c r="DS1030" s="7"/>
      <c r="DT1030" s="7"/>
      <c r="DU1030" s="7"/>
      <c r="DV1030" s="7"/>
      <c r="DW1030" s="7"/>
      <c r="DX1030" s="7"/>
      <c r="DY1030" s="7"/>
      <c r="DZ1030" s="31"/>
      <c r="EA1030" s="7"/>
      <c r="EB1030" s="7"/>
      <c r="EC1030" s="7"/>
      <c r="ED1030" s="7"/>
      <c r="EE1030" s="7"/>
      <c r="EF1030" s="7"/>
      <c r="EG1030" s="7"/>
      <c r="EH1030" s="10">
        <f t="shared" ref="EH1030:EH1036" si="47">BP1030*BR1030/100</f>
        <v>2.4479999999999998E-2</v>
      </c>
      <c r="EK1030" s="10">
        <f>BP1030*BU1030/1000</f>
        <v>1.2240000000000001E-2</v>
      </c>
      <c r="EL1030" s="6">
        <f t="shared" ref="EL1030:EL1036" si="48">BP1030*BV1030</f>
        <v>0.79200000000000004</v>
      </c>
      <c r="EY1030" s="6"/>
      <c r="FA1030" s="6"/>
      <c r="GP1030" s="32"/>
      <c r="GY1030" s="6" t="s">
        <v>338</v>
      </c>
      <c r="GZ1030" s="6" t="s">
        <v>994</v>
      </c>
      <c r="HA1030" s="6" t="s">
        <v>436</v>
      </c>
      <c r="HB1030" s="6" t="s">
        <v>462</v>
      </c>
      <c r="HC1030" s="6" t="s">
        <v>627</v>
      </c>
      <c r="HD1030" s="8" t="s">
        <v>995</v>
      </c>
      <c r="HE1030" s="8">
        <v>73364</v>
      </c>
      <c r="HF1030" s="8" t="s">
        <v>996</v>
      </c>
      <c r="HG1030" s="9" t="s">
        <v>997</v>
      </c>
      <c r="HY1030" s="9"/>
      <c r="IB1030" s="8" t="s">
        <v>995</v>
      </c>
      <c r="IC1030" s="8">
        <v>73364</v>
      </c>
      <c r="ID1030" s="8" t="s">
        <v>998</v>
      </c>
      <c r="IE1030" s="9" t="s">
        <v>997</v>
      </c>
      <c r="IF1030" s="8" t="s">
        <v>319</v>
      </c>
      <c r="IW1030" s="8"/>
      <c r="JB1030" s="8"/>
      <c r="JV1030" s="7" t="s">
        <v>999</v>
      </c>
      <c r="JX1030" s="7" t="s">
        <v>320</v>
      </c>
      <c r="JY1030" s="7" t="s">
        <v>448</v>
      </c>
      <c r="JZ1030" s="7" t="s">
        <v>353</v>
      </c>
      <c r="KG1030" s="4" t="s">
        <v>323</v>
      </c>
      <c r="KM1030" s="4" t="s">
        <v>391</v>
      </c>
      <c r="KN1030" s="4" t="s">
        <v>391</v>
      </c>
      <c r="KP1030" s="18" t="s">
        <v>1000</v>
      </c>
      <c r="KQ1030" s="5" t="s">
        <v>1001</v>
      </c>
      <c r="KR1030" s="5" t="s">
        <v>1002</v>
      </c>
      <c r="KS1030" s="5" t="s">
        <v>1003</v>
      </c>
      <c r="KT1030" s="5" t="s">
        <v>1004</v>
      </c>
    </row>
    <row r="1031" spans="1:306" ht="132" x14ac:dyDescent="0.25">
      <c r="A1031" s="5" t="s">
        <v>1778</v>
      </c>
      <c r="B1031" s="4" t="s">
        <v>364</v>
      </c>
      <c r="C1031" s="7" t="s">
        <v>549</v>
      </c>
      <c r="D1031" s="8" t="s">
        <v>989</v>
      </c>
      <c r="E1031" s="4">
        <v>529220</v>
      </c>
      <c r="G1031" s="4" t="s">
        <v>427</v>
      </c>
      <c r="H1031" s="6">
        <v>146.68414000000001</v>
      </c>
      <c r="I1031" s="6">
        <v>-31.529026640000001</v>
      </c>
      <c r="J1031" s="4" t="s">
        <v>990</v>
      </c>
      <c r="K1031" s="4" t="s">
        <v>298</v>
      </c>
      <c r="L1031" s="4" t="s">
        <v>299</v>
      </c>
      <c r="M1031" s="4" t="s">
        <v>428</v>
      </c>
      <c r="N1031" s="4" t="s">
        <v>990</v>
      </c>
      <c r="Q1031" s="8"/>
      <c r="R1031" s="8"/>
      <c r="Z1031" s="4" t="s">
        <v>364</v>
      </c>
      <c r="AA1031" s="7" t="s">
        <v>549</v>
      </c>
      <c r="AB1031" s="8" t="s">
        <v>989</v>
      </c>
      <c r="AC1031" s="4" t="s">
        <v>301</v>
      </c>
      <c r="AD1031" s="4" t="s">
        <v>382</v>
      </c>
      <c r="AE1031" s="8">
        <v>479</v>
      </c>
      <c r="AF1031" s="8">
        <v>5</v>
      </c>
      <c r="AG1031" s="9" t="s">
        <v>379</v>
      </c>
      <c r="AH1031" s="9" t="s">
        <v>372</v>
      </c>
      <c r="AJ1031" s="9" t="s">
        <v>555</v>
      </c>
      <c r="AM1031" s="8">
        <v>4</v>
      </c>
      <c r="AN1031" s="4" t="s">
        <v>991</v>
      </c>
      <c r="AO1031" s="4" t="s">
        <v>382</v>
      </c>
      <c r="AP1031" s="4" t="s">
        <v>376</v>
      </c>
      <c r="AQ1031" s="7" t="s">
        <v>992</v>
      </c>
      <c r="AR1031" s="8" t="s">
        <v>993</v>
      </c>
      <c r="AS1031" s="8">
        <v>430</v>
      </c>
      <c r="AT1031" s="7"/>
      <c r="AU1031" s="9" t="s">
        <v>379</v>
      </c>
      <c r="AV1031" s="9" t="s">
        <v>380</v>
      </c>
      <c r="BA1031" s="8">
        <v>3</v>
      </c>
      <c r="BB1031" s="4" t="s">
        <v>381</v>
      </c>
      <c r="BC1031" s="4" t="s">
        <v>382</v>
      </c>
      <c r="BD1031" s="4" t="s">
        <v>383</v>
      </c>
      <c r="BE1031" s="7" t="s">
        <v>384</v>
      </c>
      <c r="BF1031" s="8" t="s">
        <v>827</v>
      </c>
      <c r="BG1031" s="7">
        <v>0</v>
      </c>
      <c r="BH1031" s="7">
        <v>0</v>
      </c>
      <c r="BI1031" s="9" t="s">
        <v>303</v>
      </c>
      <c r="BJ1031" s="9" t="s">
        <v>406</v>
      </c>
      <c r="BO1031" s="8">
        <v>5</v>
      </c>
      <c r="BP1031" s="7">
        <v>2</v>
      </c>
      <c r="BR1031" s="7">
        <v>1.1000000000000001</v>
      </c>
      <c r="BS1031" s="7"/>
      <c r="BU1031" s="8">
        <v>8</v>
      </c>
      <c r="BV1031" s="7">
        <v>0.1</v>
      </c>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7"/>
      <c r="DA1031" s="7"/>
      <c r="DB1031" s="7"/>
      <c r="DC1031" s="7"/>
      <c r="DD1031" s="7"/>
      <c r="DE1031" s="7"/>
      <c r="DF1031" s="7"/>
      <c r="DG1031" s="7"/>
      <c r="DH1031" s="7"/>
      <c r="DI1031" s="7"/>
      <c r="DJ1031" s="7"/>
      <c r="DK1031" s="7"/>
      <c r="DL1031" s="7"/>
      <c r="DM1031" s="7"/>
      <c r="DN1031" s="7"/>
      <c r="DO1031" s="7"/>
      <c r="DP1031" s="7"/>
      <c r="DQ1031" s="7"/>
      <c r="DR1031" s="7"/>
      <c r="DS1031" s="7"/>
      <c r="DT1031" s="7"/>
      <c r="DU1031" s="7"/>
      <c r="DV1031" s="7"/>
      <c r="DW1031" s="7"/>
      <c r="DX1031" s="7"/>
      <c r="DY1031" s="7"/>
      <c r="DZ1031" s="31"/>
      <c r="EA1031" s="7"/>
      <c r="EB1031" s="7"/>
      <c r="EC1031" s="7"/>
      <c r="ED1031" s="7"/>
      <c r="EE1031" s="7"/>
      <c r="EF1031" s="7"/>
      <c r="EG1031" s="7"/>
      <c r="EH1031" s="10">
        <f t="shared" si="47"/>
        <v>2.2000000000000002E-2</v>
      </c>
      <c r="EK1031" s="10">
        <f>BP1031*BU1031/1000</f>
        <v>1.6E-2</v>
      </c>
      <c r="EL1031" s="6">
        <f t="shared" si="48"/>
        <v>0.2</v>
      </c>
      <c r="EY1031" s="6"/>
      <c r="FA1031" s="6"/>
      <c r="GP1031" s="32"/>
      <c r="GY1031" s="6" t="s">
        <v>338</v>
      </c>
      <c r="GZ1031" s="6" t="s">
        <v>994</v>
      </c>
      <c r="HB1031" s="6" t="s">
        <v>1432</v>
      </c>
      <c r="HC1031" s="6" t="s">
        <v>627</v>
      </c>
      <c r="HD1031" s="8" t="s">
        <v>995</v>
      </c>
      <c r="HE1031" s="8">
        <v>73364</v>
      </c>
      <c r="HF1031" s="8" t="s">
        <v>996</v>
      </c>
      <c r="HG1031" s="9" t="s">
        <v>997</v>
      </c>
      <c r="HY1031" s="9"/>
      <c r="IB1031" s="8" t="s">
        <v>995</v>
      </c>
      <c r="IC1031" s="8">
        <v>73364</v>
      </c>
      <c r="ID1031" s="8" t="s">
        <v>998</v>
      </c>
      <c r="IE1031" s="9" t="s">
        <v>997</v>
      </c>
      <c r="IF1031" s="8" t="s">
        <v>319</v>
      </c>
      <c r="IW1031" s="8"/>
      <c r="JB1031" s="8"/>
      <c r="JV1031" s="7" t="s">
        <v>1779</v>
      </c>
      <c r="JW1031" s="7" t="s">
        <v>1779</v>
      </c>
      <c r="JX1031" s="7" t="s">
        <v>320</v>
      </c>
      <c r="KG1031" s="4" t="s">
        <v>323</v>
      </c>
      <c r="KM1031" s="4" t="s">
        <v>391</v>
      </c>
      <c r="KN1031" s="4" t="s">
        <v>391</v>
      </c>
      <c r="KO1031" s="4" t="s">
        <v>350</v>
      </c>
      <c r="KP1031" s="18" t="s">
        <v>1780</v>
      </c>
      <c r="KQ1031" s="5" t="s">
        <v>1781</v>
      </c>
      <c r="KR1031" s="5" t="s">
        <v>1002</v>
      </c>
      <c r="KS1031" s="5" t="s">
        <v>1782</v>
      </c>
      <c r="KT1031" s="5" t="s">
        <v>1783</v>
      </c>
    </row>
    <row r="1032" spans="1:306" ht="132" x14ac:dyDescent="0.25">
      <c r="A1032" s="5" t="s">
        <v>1784</v>
      </c>
      <c r="B1032" s="4" t="s">
        <v>364</v>
      </c>
      <c r="C1032" s="7" t="s">
        <v>549</v>
      </c>
      <c r="D1032" s="8" t="s">
        <v>989</v>
      </c>
      <c r="E1032" s="4">
        <v>556702</v>
      </c>
      <c r="G1032" s="4" t="s">
        <v>427</v>
      </c>
      <c r="H1032" s="6">
        <v>146.71562800000001</v>
      </c>
      <c r="I1032" s="6">
        <v>-31.38586776</v>
      </c>
      <c r="J1032" s="4" t="s">
        <v>990</v>
      </c>
      <c r="K1032" s="4" t="s">
        <v>298</v>
      </c>
      <c r="L1032" s="4" t="s">
        <v>299</v>
      </c>
      <c r="M1032" s="4" t="s">
        <v>428</v>
      </c>
      <c r="N1032" s="4" t="s">
        <v>990</v>
      </c>
      <c r="Q1032" s="8"/>
      <c r="R1032" s="8"/>
      <c r="Z1032" s="4" t="s">
        <v>364</v>
      </c>
      <c r="AA1032" s="7" t="s">
        <v>549</v>
      </c>
      <c r="AB1032" s="8" t="s">
        <v>989</v>
      </c>
      <c r="AC1032" s="4" t="s">
        <v>301</v>
      </c>
      <c r="AD1032" s="4" t="s">
        <v>382</v>
      </c>
      <c r="AE1032" s="8">
        <v>479</v>
      </c>
      <c r="AF1032" s="8">
        <v>5</v>
      </c>
      <c r="AG1032" s="9" t="s">
        <v>379</v>
      </c>
      <c r="AH1032" s="9" t="s">
        <v>372</v>
      </c>
      <c r="AJ1032" s="9" t="s">
        <v>555</v>
      </c>
      <c r="AM1032" s="8">
        <v>4</v>
      </c>
      <c r="AN1032" s="4" t="s">
        <v>991</v>
      </c>
      <c r="AO1032" s="4" t="s">
        <v>382</v>
      </c>
      <c r="AP1032" s="4" t="s">
        <v>383</v>
      </c>
      <c r="AQ1032" s="7" t="s">
        <v>384</v>
      </c>
      <c r="AR1032" s="8" t="s">
        <v>827</v>
      </c>
      <c r="AS1032" s="8">
        <v>430</v>
      </c>
      <c r="AT1032" s="7"/>
      <c r="AU1032" s="9" t="s">
        <v>379</v>
      </c>
      <c r="AV1032" s="9" t="s">
        <v>380</v>
      </c>
      <c r="BA1032" s="8">
        <v>3</v>
      </c>
      <c r="BB1032" s="4" t="s">
        <v>381</v>
      </c>
      <c r="BC1032" s="4" t="s">
        <v>402</v>
      </c>
      <c r="BD1032" s="4" t="s">
        <v>383</v>
      </c>
      <c r="BE1032" s="7" t="s">
        <v>384</v>
      </c>
      <c r="BF1032" s="8" t="s">
        <v>827</v>
      </c>
      <c r="BG1032" s="7">
        <v>0</v>
      </c>
      <c r="BH1032" s="7">
        <v>0</v>
      </c>
      <c r="BI1032" s="9" t="s">
        <v>303</v>
      </c>
      <c r="BJ1032" s="9" t="s">
        <v>406</v>
      </c>
      <c r="BO1032" s="8">
        <v>5</v>
      </c>
      <c r="BP1032" s="7">
        <v>2.2999999999999998</v>
      </c>
      <c r="BQ1032" s="7"/>
      <c r="BR1032" s="7">
        <v>1.5</v>
      </c>
      <c r="BS1032" s="7"/>
      <c r="BU1032" s="7">
        <v>5.2</v>
      </c>
      <c r="BV1032" s="7">
        <v>0.2</v>
      </c>
      <c r="BW1032" s="7"/>
      <c r="BX1032" s="7"/>
      <c r="BY1032" s="7"/>
      <c r="BZ1032" s="7"/>
      <c r="CA1032" s="7"/>
      <c r="CB1032" s="7"/>
      <c r="CC1032" s="7"/>
      <c r="CD1032" s="7"/>
      <c r="CE1032" s="7"/>
      <c r="CF1032" s="7"/>
      <c r="CG1032" s="7"/>
      <c r="CH1032" s="7"/>
      <c r="CI1032" s="7"/>
      <c r="CJ1032" s="7"/>
      <c r="CK1032" s="7"/>
      <c r="CL1032" s="7"/>
      <c r="CM1032" s="7"/>
      <c r="CN1032" s="7"/>
      <c r="CO1032" s="7"/>
      <c r="CP1032" s="7"/>
      <c r="CQ1032" s="7"/>
      <c r="CR1032" s="7"/>
      <c r="CS1032" s="7"/>
      <c r="CT1032" s="7"/>
      <c r="CU1032" s="7"/>
      <c r="CV1032" s="7"/>
      <c r="CW1032" s="7"/>
      <c r="CX1032" s="7"/>
      <c r="CY1032" s="7"/>
      <c r="CZ1032" s="7"/>
      <c r="DA1032" s="7"/>
      <c r="DB1032" s="7"/>
      <c r="DC1032" s="7"/>
      <c r="DD1032" s="7"/>
      <c r="DE1032" s="7"/>
      <c r="DF1032" s="7"/>
      <c r="DG1032" s="7"/>
      <c r="DH1032" s="7"/>
      <c r="DI1032" s="7"/>
      <c r="DJ1032" s="7"/>
      <c r="DK1032" s="7"/>
      <c r="DL1032" s="7"/>
      <c r="DM1032" s="7"/>
      <c r="DN1032" s="7"/>
      <c r="DO1032" s="7"/>
      <c r="DP1032" s="7"/>
      <c r="DQ1032" s="7"/>
      <c r="DR1032" s="7"/>
      <c r="DS1032" s="7"/>
      <c r="DT1032" s="7"/>
      <c r="DU1032" s="7"/>
      <c r="DV1032" s="7"/>
      <c r="DW1032" s="7"/>
      <c r="DX1032" s="7"/>
      <c r="DY1032" s="7"/>
      <c r="DZ1032" s="31"/>
      <c r="EA1032" s="7"/>
      <c r="EB1032" s="7"/>
      <c r="EC1032" s="7"/>
      <c r="ED1032" s="7"/>
      <c r="EE1032" s="7"/>
      <c r="EF1032" s="7"/>
      <c r="EG1032" s="7"/>
      <c r="EH1032" s="10">
        <f t="shared" si="47"/>
        <v>3.4499999999999996E-2</v>
      </c>
      <c r="EK1032" s="10">
        <f>BP1032*BU1032/1000</f>
        <v>1.1959999999999998E-2</v>
      </c>
      <c r="EL1032" s="6">
        <f t="shared" si="48"/>
        <v>0.45999999999999996</v>
      </c>
      <c r="EY1032" s="6"/>
      <c r="FA1032" s="6"/>
      <c r="GP1032" s="32"/>
      <c r="GY1032" s="6" t="s">
        <v>338</v>
      </c>
      <c r="GZ1032" s="6" t="s">
        <v>994</v>
      </c>
      <c r="HB1032" s="6" t="s">
        <v>1432</v>
      </c>
      <c r="HC1032" s="6" t="s">
        <v>627</v>
      </c>
      <c r="HD1032" s="8" t="s">
        <v>995</v>
      </c>
      <c r="HE1032" s="8">
        <v>73364</v>
      </c>
      <c r="HF1032" s="8" t="s">
        <v>996</v>
      </c>
      <c r="HG1032" s="9" t="s">
        <v>997</v>
      </c>
      <c r="HY1032" s="9"/>
      <c r="IB1032" s="8" t="s">
        <v>995</v>
      </c>
      <c r="IC1032" s="8">
        <v>73364</v>
      </c>
      <c r="ID1032" s="8" t="s">
        <v>998</v>
      </c>
      <c r="IE1032" s="9" t="s">
        <v>997</v>
      </c>
      <c r="IF1032" s="8" t="s">
        <v>319</v>
      </c>
      <c r="IW1032" s="8"/>
      <c r="JB1032" s="8"/>
      <c r="JV1032" s="7" t="s">
        <v>783</v>
      </c>
      <c r="JW1032" s="7" t="s">
        <v>352</v>
      </c>
      <c r="JX1032" s="7" t="s">
        <v>320</v>
      </c>
      <c r="KG1032" s="4" t="s">
        <v>323</v>
      </c>
      <c r="KM1032" s="4" t="s">
        <v>391</v>
      </c>
      <c r="KN1032" s="4" t="s">
        <v>391</v>
      </c>
      <c r="KO1032" s="4" t="s">
        <v>350</v>
      </c>
      <c r="KP1032" s="18" t="s">
        <v>1785</v>
      </c>
      <c r="KQ1032" s="5" t="s">
        <v>1781</v>
      </c>
      <c r="KR1032" s="5" t="s">
        <v>1002</v>
      </c>
      <c r="KS1032" s="5" t="s">
        <v>1782</v>
      </c>
      <c r="KT1032" s="5" t="s">
        <v>1786</v>
      </c>
    </row>
    <row r="1033" spans="1:306" ht="132" x14ac:dyDescent="0.25">
      <c r="A1033" s="5" t="s">
        <v>2015</v>
      </c>
      <c r="B1033" s="4" t="s">
        <v>364</v>
      </c>
      <c r="C1033" s="7" t="s">
        <v>549</v>
      </c>
      <c r="D1033" s="8" t="s">
        <v>989</v>
      </c>
      <c r="E1033" s="4">
        <v>467218</v>
      </c>
      <c r="G1033" s="4" t="s">
        <v>427</v>
      </c>
      <c r="H1033" s="6">
        <v>147.44800000000001</v>
      </c>
      <c r="I1033" s="6">
        <v>-32.220500000000001</v>
      </c>
      <c r="J1033" s="4" t="s">
        <v>2016</v>
      </c>
      <c r="K1033" s="4" t="s">
        <v>298</v>
      </c>
      <c r="L1033" s="4" t="s">
        <v>299</v>
      </c>
      <c r="M1033" s="4" t="s">
        <v>428</v>
      </c>
      <c r="N1033" s="4" t="s">
        <v>990</v>
      </c>
      <c r="Q1033" s="8"/>
      <c r="R1033" s="8"/>
      <c r="Z1033" s="4" t="s">
        <v>364</v>
      </c>
      <c r="AA1033" s="7" t="s">
        <v>549</v>
      </c>
      <c r="AB1033" s="8" t="s">
        <v>989</v>
      </c>
      <c r="AC1033" s="4" t="s">
        <v>301</v>
      </c>
      <c r="AD1033" s="4" t="s">
        <v>375</v>
      </c>
      <c r="AE1033" s="8">
        <v>479</v>
      </c>
      <c r="AF1033" s="8">
        <v>5</v>
      </c>
      <c r="AG1033" s="9" t="s">
        <v>379</v>
      </c>
      <c r="AH1033" s="9" t="s">
        <v>372</v>
      </c>
      <c r="AJ1033" s="9" t="s">
        <v>555</v>
      </c>
      <c r="AM1033" s="8">
        <v>4</v>
      </c>
      <c r="AN1033" s="4" t="s">
        <v>381</v>
      </c>
      <c r="AO1033" s="4" t="s">
        <v>382</v>
      </c>
      <c r="AP1033" s="4" t="s">
        <v>383</v>
      </c>
      <c r="AQ1033" s="7" t="s">
        <v>384</v>
      </c>
      <c r="AR1033" s="8" t="s">
        <v>827</v>
      </c>
      <c r="AS1033" s="7">
        <v>0</v>
      </c>
      <c r="AT1033" s="7">
        <v>0</v>
      </c>
      <c r="AU1033" s="9" t="s">
        <v>303</v>
      </c>
      <c r="AV1033" s="9" t="s">
        <v>406</v>
      </c>
      <c r="BA1033" s="8">
        <v>5</v>
      </c>
      <c r="BP1033" s="7">
        <v>2.68</v>
      </c>
      <c r="BR1033" s="6">
        <v>1.0900000000000001</v>
      </c>
      <c r="BU1033" s="6">
        <v>1.31</v>
      </c>
      <c r="BV1033" s="6">
        <v>0.39</v>
      </c>
      <c r="DZ1033" s="31"/>
      <c r="EH1033" s="10">
        <f t="shared" si="47"/>
        <v>2.9212000000000002E-2</v>
      </c>
      <c r="EK1033" s="10">
        <f>BP1033*BU1033/1000</f>
        <v>3.5108000000000001E-3</v>
      </c>
      <c r="EL1033" s="6">
        <f t="shared" si="48"/>
        <v>1.0452000000000001</v>
      </c>
      <c r="GP1033" s="32"/>
      <c r="GY1033" s="6" t="s">
        <v>338</v>
      </c>
      <c r="GZ1033" s="6" t="s">
        <v>1361</v>
      </c>
      <c r="HB1033" s="6" t="s">
        <v>462</v>
      </c>
      <c r="HC1033" s="6" t="s">
        <v>627</v>
      </c>
      <c r="HD1033" s="8" t="s">
        <v>995</v>
      </c>
      <c r="HE1033" s="8">
        <v>73364</v>
      </c>
      <c r="HF1033" s="8" t="s">
        <v>996</v>
      </c>
      <c r="HG1033" s="9" t="s">
        <v>997</v>
      </c>
      <c r="IB1033" s="8" t="s">
        <v>995</v>
      </c>
      <c r="IC1033" s="8">
        <v>73364</v>
      </c>
      <c r="ID1033" s="8" t="s">
        <v>998</v>
      </c>
      <c r="IE1033" s="9" t="s">
        <v>997</v>
      </c>
      <c r="IF1033" s="8" t="s">
        <v>319</v>
      </c>
      <c r="IW1033" s="8"/>
      <c r="JB1033" s="8"/>
      <c r="JX1033" s="7" t="s">
        <v>320</v>
      </c>
      <c r="JY1033" s="7" t="s">
        <v>354</v>
      </c>
      <c r="JZ1033" s="7" t="s">
        <v>353</v>
      </c>
      <c r="KG1033" s="4" t="s">
        <v>323</v>
      </c>
      <c r="KP1033" s="5" t="s">
        <v>358</v>
      </c>
      <c r="KQ1033" s="5" t="s">
        <v>2017</v>
      </c>
      <c r="KR1033" s="5" t="s">
        <v>2018</v>
      </c>
      <c r="KS1033" s="18" t="s">
        <v>2019</v>
      </c>
      <c r="KT1033" s="5" t="s">
        <v>2020</v>
      </c>
    </row>
    <row r="1034" spans="1:306" ht="120" x14ac:dyDescent="0.25">
      <c r="A1034" s="5" t="s">
        <v>2270</v>
      </c>
      <c r="B1034" s="4" t="s">
        <v>364</v>
      </c>
      <c r="C1034" s="7" t="s">
        <v>549</v>
      </c>
      <c r="D1034" s="8" t="s">
        <v>989</v>
      </c>
      <c r="E1034" s="4">
        <v>655862</v>
      </c>
      <c r="G1034" s="4" t="s">
        <v>427</v>
      </c>
      <c r="H1034" s="6">
        <v>147.05600000000001</v>
      </c>
      <c r="I1034" s="6">
        <v>-32.0413</v>
      </c>
      <c r="J1034" s="4" t="s">
        <v>1943</v>
      </c>
      <c r="K1034" s="4" t="s">
        <v>298</v>
      </c>
      <c r="L1034" s="4" t="s">
        <v>299</v>
      </c>
      <c r="M1034" s="4" t="s">
        <v>428</v>
      </c>
      <c r="N1034" s="4" t="s">
        <v>990</v>
      </c>
      <c r="Q1034" s="8"/>
      <c r="R1034" s="8"/>
      <c r="Z1034" s="4" t="s">
        <v>364</v>
      </c>
      <c r="AA1034" s="7" t="s">
        <v>549</v>
      </c>
      <c r="AB1034" s="8" t="s">
        <v>989</v>
      </c>
      <c r="AC1034" s="4" t="s">
        <v>301</v>
      </c>
      <c r="AD1034" s="4" t="s">
        <v>382</v>
      </c>
      <c r="AE1034" s="8">
        <v>479</v>
      </c>
      <c r="AF1034" s="8">
        <v>5</v>
      </c>
      <c r="AG1034" s="9" t="s">
        <v>379</v>
      </c>
      <c r="AH1034" s="9" t="s">
        <v>372</v>
      </c>
      <c r="AJ1034" s="9" t="s">
        <v>555</v>
      </c>
      <c r="AM1034" s="8">
        <v>4</v>
      </c>
      <c r="AN1034" s="4" t="s">
        <v>381</v>
      </c>
      <c r="AO1034" s="4" t="s">
        <v>382</v>
      </c>
      <c r="AP1034" s="4" t="s">
        <v>383</v>
      </c>
      <c r="AQ1034" s="7" t="s">
        <v>384</v>
      </c>
      <c r="AR1034" s="8" t="s">
        <v>827</v>
      </c>
      <c r="AS1034" s="7">
        <v>0</v>
      </c>
      <c r="AT1034" s="7">
        <v>0</v>
      </c>
      <c r="AU1034" s="9" t="s">
        <v>303</v>
      </c>
      <c r="AV1034" s="9" t="s">
        <v>406</v>
      </c>
      <c r="BA1034" s="8">
        <v>5</v>
      </c>
      <c r="BP1034" s="7">
        <v>2.02</v>
      </c>
      <c r="BR1034" s="6">
        <v>2.0299999999999998</v>
      </c>
      <c r="BV1034" s="7">
        <v>0.1</v>
      </c>
      <c r="DZ1034" s="31"/>
      <c r="EH1034" s="10">
        <f t="shared" si="47"/>
        <v>4.1006000000000001E-2</v>
      </c>
      <c r="EL1034" s="6">
        <f t="shared" si="48"/>
        <v>0.20200000000000001</v>
      </c>
      <c r="GP1034" s="32"/>
      <c r="GY1034" s="6" t="s">
        <v>338</v>
      </c>
      <c r="GZ1034" s="6" t="s">
        <v>994</v>
      </c>
      <c r="HB1034" s="6" t="s">
        <v>436</v>
      </c>
      <c r="HC1034" s="6" t="s">
        <v>627</v>
      </c>
      <c r="HD1034" s="8" t="s">
        <v>1198</v>
      </c>
      <c r="HE1034" s="8">
        <v>27158</v>
      </c>
      <c r="HF1034" s="8" t="s">
        <v>1199</v>
      </c>
      <c r="HG1034" s="9" t="s">
        <v>1200</v>
      </c>
      <c r="IB1034" s="8" t="s">
        <v>1198</v>
      </c>
      <c r="IC1034" s="8">
        <v>27158</v>
      </c>
      <c r="ID1034" s="8" t="s">
        <v>1944</v>
      </c>
      <c r="IE1034" s="9" t="s">
        <v>1200</v>
      </c>
      <c r="IF1034" s="8" t="s">
        <v>319</v>
      </c>
      <c r="IW1034" s="8"/>
      <c r="JB1034" s="8"/>
      <c r="JX1034" s="7" t="s">
        <v>320</v>
      </c>
      <c r="KG1034" s="4" t="s">
        <v>323</v>
      </c>
      <c r="KP1034" s="5" t="s">
        <v>2271</v>
      </c>
      <c r="KQ1034" s="5" t="s">
        <v>2272</v>
      </c>
      <c r="KR1034" s="5" t="s">
        <v>2018</v>
      </c>
      <c r="KS1034" s="5" t="s">
        <v>2271</v>
      </c>
      <c r="KT1034" s="5" t="s">
        <v>2273</v>
      </c>
    </row>
    <row r="1035" spans="1:306" ht="96" x14ac:dyDescent="0.2">
      <c r="A1035" s="5" t="s">
        <v>2596</v>
      </c>
      <c r="B1035" s="4" t="s">
        <v>364</v>
      </c>
      <c r="C1035" s="7" t="s">
        <v>549</v>
      </c>
      <c r="D1035" s="8" t="s">
        <v>989</v>
      </c>
      <c r="E1035" s="44">
        <v>859590</v>
      </c>
      <c r="F1035" s="4">
        <v>1140016</v>
      </c>
      <c r="G1035" s="4" t="s">
        <v>427</v>
      </c>
      <c r="H1035" s="6">
        <v>142.41900000000001</v>
      </c>
      <c r="I1035" s="6">
        <v>-31.264800000000001</v>
      </c>
      <c r="J1035" s="4" t="s">
        <v>2596</v>
      </c>
      <c r="K1035" s="4" t="s">
        <v>298</v>
      </c>
      <c r="L1035" s="4" t="s">
        <v>400</v>
      </c>
      <c r="M1035" s="4" t="s">
        <v>2597</v>
      </c>
      <c r="Q1035" s="7"/>
      <c r="R1035" s="7"/>
      <c r="Z1035" s="4" t="s">
        <v>364</v>
      </c>
      <c r="AA1035" s="7" t="s">
        <v>549</v>
      </c>
      <c r="AB1035" s="8" t="s">
        <v>989</v>
      </c>
      <c r="AC1035" s="4" t="s">
        <v>301</v>
      </c>
      <c r="AD1035" s="4" t="s">
        <v>375</v>
      </c>
      <c r="AE1035" s="7">
        <v>511.70000000000005</v>
      </c>
      <c r="AF1035" s="7">
        <v>3.5</v>
      </c>
      <c r="AG1035" s="9" t="s">
        <v>379</v>
      </c>
      <c r="AH1035" s="9" t="s">
        <v>372</v>
      </c>
      <c r="AI1035" s="9" t="s">
        <v>373</v>
      </c>
      <c r="AJ1035" s="9" t="s">
        <v>306</v>
      </c>
      <c r="AK1035" s="9" t="s">
        <v>307</v>
      </c>
      <c r="AL1035" s="9" t="s">
        <v>337</v>
      </c>
      <c r="AM1035" s="8">
        <v>4</v>
      </c>
      <c r="AS1035" s="7"/>
      <c r="AT1035" s="7"/>
      <c r="BP1035" s="7">
        <v>5.7533430000000001</v>
      </c>
      <c r="BR1035" s="6">
        <v>1.03</v>
      </c>
      <c r="BS1035" s="6">
        <v>0.35</v>
      </c>
      <c r="BU1035" s="6">
        <v>2.2999999999999998</v>
      </c>
      <c r="BV1035" s="6">
        <v>0.05</v>
      </c>
      <c r="DZ1035" s="31"/>
      <c r="EH1035" s="10">
        <f t="shared" si="47"/>
        <v>5.9259432899999999E-2</v>
      </c>
      <c r="EI1035" s="10">
        <f>BP1035*BS1035/100</f>
        <v>2.01367005E-2</v>
      </c>
      <c r="EK1035" s="6">
        <f>BP1035*BU1035/1000</f>
        <v>1.3232688899999999E-2</v>
      </c>
      <c r="EL1035" s="6">
        <f t="shared" si="48"/>
        <v>0.28766715000000004</v>
      </c>
      <c r="EY1035" s="6"/>
      <c r="FA1035" s="6"/>
      <c r="GP1035" s="32"/>
      <c r="GY1035" s="6" t="s">
        <v>338</v>
      </c>
      <c r="GZ1035" s="6" t="s">
        <v>994</v>
      </c>
      <c r="HB1035" s="6" t="s">
        <v>2598</v>
      </c>
      <c r="HC1035" s="6" t="s">
        <v>627</v>
      </c>
      <c r="HD1035" s="8" t="s">
        <v>2599</v>
      </c>
      <c r="HE1035" s="8">
        <v>35621</v>
      </c>
      <c r="HF1035" s="8" t="s">
        <v>2600</v>
      </c>
      <c r="HG1035" s="9" t="s">
        <v>418</v>
      </c>
      <c r="HY1035" s="9"/>
      <c r="IB1035" s="8" t="s">
        <v>2599</v>
      </c>
      <c r="IC1035" s="8">
        <v>35621</v>
      </c>
      <c r="ID1035" s="8" t="s">
        <v>2601</v>
      </c>
      <c r="IE1035" s="9" t="s">
        <v>418</v>
      </c>
      <c r="IF1035" s="8" t="s">
        <v>319</v>
      </c>
      <c r="IW1035" s="8"/>
      <c r="JB1035" s="8"/>
      <c r="JV1035" s="7" t="s">
        <v>2602</v>
      </c>
      <c r="JX1035" s="7" t="s">
        <v>320</v>
      </c>
      <c r="KG1035" s="4" t="s">
        <v>323</v>
      </c>
      <c r="KQ1035" s="5" t="s">
        <v>2603</v>
      </c>
      <c r="KS1035" s="5" t="s">
        <v>2604</v>
      </c>
      <c r="KT1035" s="5" t="s">
        <v>718</v>
      </c>
    </row>
    <row r="1036" spans="1:306" ht="144" x14ac:dyDescent="0.25">
      <c r="A1036" s="5" t="s">
        <v>2702</v>
      </c>
      <c r="B1036" s="4" t="s">
        <v>364</v>
      </c>
      <c r="C1036" s="7" t="s">
        <v>549</v>
      </c>
      <c r="D1036" s="8" t="s">
        <v>989</v>
      </c>
      <c r="E1036" s="4">
        <v>519582</v>
      </c>
      <c r="G1036" s="4" t="s">
        <v>330</v>
      </c>
      <c r="H1036" s="6">
        <v>119.32810000000001</v>
      </c>
      <c r="I1036" s="6">
        <v>-25.540600000000001</v>
      </c>
      <c r="J1036" s="4" t="s">
        <v>2703</v>
      </c>
      <c r="K1036" s="4" t="s">
        <v>331</v>
      </c>
      <c r="L1036" s="4" t="s">
        <v>2704</v>
      </c>
      <c r="Q1036" s="8"/>
      <c r="R1036" s="8"/>
      <c r="Z1036" s="4" t="s">
        <v>364</v>
      </c>
      <c r="AA1036" s="7" t="s">
        <v>549</v>
      </c>
      <c r="AB1036" s="8" t="s">
        <v>989</v>
      </c>
      <c r="AC1036" s="4" t="s">
        <v>301</v>
      </c>
      <c r="AD1036" s="4" t="s">
        <v>375</v>
      </c>
      <c r="AE1036" s="8">
        <v>2027.0000000000002</v>
      </c>
      <c r="AF1036" s="8">
        <v>7</v>
      </c>
      <c r="AG1036" s="9" t="s">
        <v>303</v>
      </c>
      <c r="AH1036" s="9" t="s">
        <v>304</v>
      </c>
      <c r="AI1036" s="9" t="s">
        <v>598</v>
      </c>
      <c r="AJ1036" s="9" t="s">
        <v>599</v>
      </c>
      <c r="AK1036" s="9" t="s">
        <v>600</v>
      </c>
      <c r="AM1036" s="8">
        <v>5</v>
      </c>
      <c r="AN1036" s="4" t="s">
        <v>381</v>
      </c>
      <c r="AO1036" s="4" t="s">
        <v>382</v>
      </c>
      <c r="AP1036" s="4" t="s">
        <v>383</v>
      </c>
      <c r="AQ1036" s="7" t="s">
        <v>384</v>
      </c>
      <c r="AR1036" s="8" t="s">
        <v>827</v>
      </c>
      <c r="AS1036" s="7">
        <v>0</v>
      </c>
      <c r="AT1036" s="7">
        <v>0</v>
      </c>
      <c r="AU1036" s="9" t="s">
        <v>303</v>
      </c>
      <c r="AV1036" s="9" t="s">
        <v>406</v>
      </c>
      <c r="BA1036" s="8">
        <v>5</v>
      </c>
      <c r="BF1036" s="7"/>
      <c r="BG1036" s="8"/>
      <c r="BH1036" s="8"/>
      <c r="BP1036" s="7">
        <v>14.5</v>
      </c>
      <c r="BQ1036" s="7"/>
      <c r="BR1036" s="7">
        <v>4.3</v>
      </c>
      <c r="BS1036" s="8"/>
      <c r="BV1036" s="7">
        <v>1.2</v>
      </c>
      <c r="BW1036" s="7"/>
      <c r="BX1036" s="7"/>
      <c r="BY1036" s="7"/>
      <c r="BZ1036" s="7"/>
      <c r="CA1036" s="7"/>
      <c r="CB1036" s="7"/>
      <c r="CC1036" s="7"/>
      <c r="CD1036" s="7"/>
      <c r="CE1036" s="7"/>
      <c r="CF1036" s="7"/>
      <c r="CG1036" s="7"/>
      <c r="CH1036" s="7"/>
      <c r="CI1036" s="7"/>
      <c r="CJ1036" s="7"/>
      <c r="CK1036" s="7"/>
      <c r="CL1036" s="7"/>
      <c r="CM1036" s="7"/>
      <c r="CN1036" s="7"/>
      <c r="CO1036" s="7"/>
      <c r="CP1036" s="7"/>
      <c r="CQ1036" s="7"/>
      <c r="CR1036" s="7"/>
      <c r="CS1036" s="7"/>
      <c r="CT1036" s="7"/>
      <c r="CU1036" s="7"/>
      <c r="CV1036" s="7"/>
      <c r="CW1036" s="7"/>
      <c r="CX1036" s="7"/>
      <c r="CY1036" s="7"/>
      <c r="CZ1036" s="7"/>
      <c r="DA1036" s="7"/>
      <c r="DB1036" s="7"/>
      <c r="DC1036" s="7"/>
      <c r="DD1036" s="7"/>
      <c r="DE1036" s="7"/>
      <c r="DF1036" s="7"/>
      <c r="DG1036" s="7"/>
      <c r="DH1036" s="7"/>
      <c r="DI1036" s="7"/>
      <c r="DJ1036" s="7"/>
      <c r="DK1036" s="7"/>
      <c r="DL1036" s="7"/>
      <c r="DM1036" s="7"/>
      <c r="DN1036" s="7"/>
      <c r="DO1036" s="7"/>
      <c r="DP1036" s="7"/>
      <c r="DQ1036" s="7"/>
      <c r="DR1036" s="7"/>
      <c r="DS1036" s="7"/>
      <c r="DT1036" s="7"/>
      <c r="DU1036" s="7"/>
      <c r="DV1036" s="7"/>
      <c r="DW1036" s="7"/>
      <c r="DX1036" s="7"/>
      <c r="DY1036" s="7"/>
      <c r="DZ1036" s="31"/>
      <c r="EA1036" s="7"/>
      <c r="EB1036" s="7"/>
      <c r="EC1036" s="7"/>
      <c r="ED1036" s="7"/>
      <c r="EE1036" s="7"/>
      <c r="EF1036" s="7"/>
      <c r="EG1036" s="7"/>
      <c r="EH1036" s="10">
        <f t="shared" si="47"/>
        <v>0.62349999999999994</v>
      </c>
      <c r="EL1036" s="7">
        <f t="shared" si="48"/>
        <v>17.399999999999999</v>
      </c>
      <c r="FA1036" s="6"/>
      <c r="GP1036" s="32"/>
      <c r="GY1036" s="6" t="s">
        <v>338</v>
      </c>
      <c r="GZ1036" s="6" t="s">
        <v>994</v>
      </c>
      <c r="HA1036" s="6" t="s">
        <v>436</v>
      </c>
      <c r="HC1036" s="6" t="s">
        <v>2705</v>
      </c>
      <c r="HD1036" s="8" t="s">
        <v>2706</v>
      </c>
      <c r="HE1036" s="8">
        <v>24332</v>
      </c>
      <c r="HF1036" s="8" t="s">
        <v>2707</v>
      </c>
      <c r="HG1036" s="9" t="s">
        <v>538</v>
      </c>
      <c r="IB1036" s="8" t="s">
        <v>2706</v>
      </c>
      <c r="IC1036" s="8">
        <v>24332</v>
      </c>
      <c r="ID1036" s="8" t="s">
        <v>2708</v>
      </c>
      <c r="IE1036" s="9" t="s">
        <v>538</v>
      </c>
      <c r="IF1036" s="8" t="s">
        <v>319</v>
      </c>
      <c r="II1036" s="8" t="s">
        <v>658</v>
      </c>
      <c r="IJ1036" s="8" t="s">
        <v>538</v>
      </c>
      <c r="IK1036" s="8" t="s">
        <v>350</v>
      </c>
      <c r="IM1036" s="9"/>
      <c r="IR1036" s="9"/>
      <c r="JV1036" s="7" t="s">
        <v>2709</v>
      </c>
      <c r="JW1036" s="7" t="s">
        <v>2551</v>
      </c>
      <c r="JX1036" s="7" t="s">
        <v>320</v>
      </c>
      <c r="JY1036" s="7" t="s">
        <v>470</v>
      </c>
      <c r="JZ1036" s="7" t="s">
        <v>322</v>
      </c>
      <c r="KA1036" s="7" t="s">
        <v>354</v>
      </c>
      <c r="KB1036" s="7" t="s">
        <v>353</v>
      </c>
      <c r="KG1036" s="4" t="s">
        <v>323</v>
      </c>
      <c r="KM1036" s="4" t="s">
        <v>391</v>
      </c>
      <c r="KN1036" s="4" t="s">
        <v>391</v>
      </c>
      <c r="KP1036" s="5" t="s">
        <v>1956</v>
      </c>
      <c r="KQ1036" s="5" t="s">
        <v>2710</v>
      </c>
      <c r="KR1036" s="5" t="s">
        <v>2711</v>
      </c>
      <c r="KS1036" s="5" t="s">
        <v>2712</v>
      </c>
      <c r="KT1036" s="5" t="s">
        <v>2713</v>
      </c>
    </row>
    <row r="1037" spans="1:306" ht="48" x14ac:dyDescent="0.25">
      <c r="A1037" s="5" t="s">
        <v>2737</v>
      </c>
      <c r="B1037" s="4" t="s">
        <v>364</v>
      </c>
      <c r="C1037" s="7" t="s">
        <v>549</v>
      </c>
      <c r="D1037" s="8" t="s">
        <v>989</v>
      </c>
      <c r="E1037" s="4">
        <v>335466</v>
      </c>
      <c r="G1037" s="4" t="s">
        <v>479</v>
      </c>
      <c r="H1037" s="6">
        <v>144.5162</v>
      </c>
      <c r="I1037" s="6">
        <v>-16.095300000000002</v>
      </c>
      <c r="J1037" s="4" t="s">
        <v>2738</v>
      </c>
      <c r="K1037" s="4" t="s">
        <v>298</v>
      </c>
      <c r="L1037" s="4" t="s">
        <v>1018</v>
      </c>
      <c r="M1037" s="4" t="s">
        <v>1019</v>
      </c>
      <c r="Q1037" s="8"/>
      <c r="R1037" s="8"/>
      <c r="Z1037" s="4" t="s">
        <v>364</v>
      </c>
      <c r="AA1037" s="7" t="s">
        <v>549</v>
      </c>
      <c r="AB1037" s="8" t="s">
        <v>989</v>
      </c>
      <c r="AC1037" s="4" t="s">
        <v>301</v>
      </c>
      <c r="AD1037" s="4" t="s">
        <v>382</v>
      </c>
      <c r="AE1037" s="8">
        <v>388</v>
      </c>
      <c r="AF1037" s="8">
        <v>28</v>
      </c>
      <c r="AG1037" s="9" t="s">
        <v>379</v>
      </c>
      <c r="AH1037" s="9" t="s">
        <v>372</v>
      </c>
      <c r="AJ1037" s="9" t="s">
        <v>555</v>
      </c>
      <c r="AM1037" s="8">
        <v>4</v>
      </c>
      <c r="AN1037" s="4" t="s">
        <v>381</v>
      </c>
      <c r="AO1037" s="4" t="s">
        <v>375</v>
      </c>
      <c r="AP1037" s="4" t="s">
        <v>383</v>
      </c>
      <c r="AQ1037" s="7" t="s">
        <v>384</v>
      </c>
      <c r="AR1037" s="8" t="s">
        <v>827</v>
      </c>
      <c r="AS1037" s="7">
        <v>0</v>
      </c>
      <c r="AT1037" s="7">
        <v>0</v>
      </c>
      <c r="AU1037" s="9" t="s">
        <v>303</v>
      </c>
      <c r="AV1037" s="9" t="s">
        <v>406</v>
      </c>
      <c r="BA1037" s="8">
        <v>5</v>
      </c>
      <c r="BP1037" s="7">
        <v>1.623</v>
      </c>
      <c r="BQ1037" s="9"/>
      <c r="BR1037" s="7">
        <v>1.1000000000000001</v>
      </c>
      <c r="DZ1037" s="31"/>
      <c r="EH1037" s="10">
        <f>0.018+1.623*1.1/100</f>
        <v>3.5852999999999996E-2</v>
      </c>
      <c r="EY1037" s="6"/>
      <c r="FA1037" s="6"/>
      <c r="GP1037" s="32"/>
      <c r="GY1037" s="6" t="s">
        <v>435</v>
      </c>
      <c r="GZ1037" s="6" t="s">
        <v>994</v>
      </c>
      <c r="HC1037" s="6" t="s">
        <v>2705</v>
      </c>
      <c r="HD1037" s="8" t="s">
        <v>1023</v>
      </c>
      <c r="HE1037" s="8">
        <v>8404</v>
      </c>
      <c r="HF1037" s="8" t="s">
        <v>2739</v>
      </c>
      <c r="HG1037" s="9" t="s">
        <v>1025</v>
      </c>
      <c r="HY1037" s="9"/>
      <c r="IB1037" s="8" t="s">
        <v>1023</v>
      </c>
      <c r="IC1037" s="8">
        <v>8404</v>
      </c>
      <c r="ID1037" s="8" t="s">
        <v>2740</v>
      </c>
      <c r="IE1037" s="8" t="s">
        <v>1025</v>
      </c>
      <c r="IF1037" s="8" t="s">
        <v>810</v>
      </c>
      <c r="IR1037" s="9"/>
      <c r="JX1037" s="7" t="s">
        <v>320</v>
      </c>
      <c r="JY1037" s="7" t="s">
        <v>448</v>
      </c>
      <c r="JZ1037" s="7" t="s">
        <v>322</v>
      </c>
      <c r="KG1037" s="4" t="s">
        <v>323</v>
      </c>
      <c r="KM1037" s="4" t="s">
        <v>836</v>
      </c>
      <c r="KN1037" s="4" t="s">
        <v>836</v>
      </c>
      <c r="KO1037" s="4" t="s">
        <v>350</v>
      </c>
      <c r="KP1037" s="5" t="s">
        <v>358</v>
      </c>
      <c r="KQ1037" s="5" t="s">
        <v>2741</v>
      </c>
      <c r="KR1037" s="5" t="s">
        <v>2742</v>
      </c>
      <c r="KS1037" s="5" t="s">
        <v>2743</v>
      </c>
      <c r="KT1037" s="5" t="s">
        <v>2744</v>
      </c>
    </row>
    <row r="1038" spans="1:306" ht="48" x14ac:dyDescent="0.25">
      <c r="A1038" s="5" t="s">
        <v>3151</v>
      </c>
      <c r="B1038" s="4" t="s">
        <v>364</v>
      </c>
      <c r="C1038" s="7" t="s">
        <v>549</v>
      </c>
      <c r="D1038" s="8" t="s">
        <v>989</v>
      </c>
      <c r="E1038" s="4">
        <v>652969</v>
      </c>
      <c r="G1038" s="4" t="s">
        <v>330</v>
      </c>
      <c r="H1038" s="6">
        <v>122.837997</v>
      </c>
      <c r="I1038" s="6">
        <v>-31.286421000000001</v>
      </c>
      <c r="K1038" s="4" t="s">
        <v>331</v>
      </c>
      <c r="L1038" s="4" t="s">
        <v>500</v>
      </c>
      <c r="M1038" s="4" t="s">
        <v>3152</v>
      </c>
      <c r="Q1038" s="8"/>
      <c r="R1038" s="8"/>
      <c r="Z1038" s="4" t="s">
        <v>364</v>
      </c>
      <c r="AA1038" s="7" t="s">
        <v>549</v>
      </c>
      <c r="AB1038" s="8" t="s">
        <v>989</v>
      </c>
      <c r="AC1038" s="4" t="s">
        <v>301</v>
      </c>
      <c r="AD1038" s="4" t="s">
        <v>302</v>
      </c>
      <c r="AE1038" s="8">
        <v>2680</v>
      </c>
      <c r="AF1038" s="8">
        <v>4</v>
      </c>
      <c r="AG1038" s="9" t="s">
        <v>379</v>
      </c>
      <c r="AH1038" s="9" t="s">
        <v>380</v>
      </c>
      <c r="AI1038" s="9" t="s">
        <v>373</v>
      </c>
      <c r="AJ1038" s="9" t="s">
        <v>306</v>
      </c>
      <c r="AK1038" s="9" t="s">
        <v>307</v>
      </c>
      <c r="AL1038" s="9" t="s">
        <v>337</v>
      </c>
      <c r="AM1038" s="8">
        <v>4</v>
      </c>
      <c r="BP1038" s="7">
        <v>2.1459999999999999</v>
      </c>
      <c r="BS1038" s="6">
        <v>3.47</v>
      </c>
      <c r="DZ1038" s="31"/>
      <c r="EI1038" s="10">
        <f>BP1038*BS1038/100</f>
        <v>7.4466199999999996E-2</v>
      </c>
      <c r="GP1038" s="32"/>
      <c r="GY1038" s="6" t="s">
        <v>309</v>
      </c>
      <c r="GZ1038" s="6" t="s">
        <v>1049</v>
      </c>
      <c r="HC1038" s="6" t="s">
        <v>3153</v>
      </c>
      <c r="HD1038" s="8" t="s">
        <v>3154</v>
      </c>
      <c r="HF1038" s="8" t="s">
        <v>3155</v>
      </c>
      <c r="HG1038" s="9" t="s">
        <v>507</v>
      </c>
      <c r="HH1038" s="9" t="s">
        <v>3156</v>
      </c>
      <c r="HJ1038" s="9" t="s">
        <v>3157</v>
      </c>
      <c r="HK1038" s="9" t="s">
        <v>507</v>
      </c>
      <c r="IB1038" s="9" t="s">
        <v>3156</v>
      </c>
      <c r="ID1038" s="9" t="s">
        <v>3157</v>
      </c>
      <c r="IE1038" s="9" t="s">
        <v>507</v>
      </c>
      <c r="IF1038" s="8" t="s">
        <v>1578</v>
      </c>
      <c r="JV1038" s="7" t="s">
        <v>3158</v>
      </c>
      <c r="JW1038" s="7" t="s">
        <v>3159</v>
      </c>
      <c r="JX1038" s="7" t="s">
        <v>3160</v>
      </c>
      <c r="JY1038" s="7" t="s">
        <v>470</v>
      </c>
      <c r="JZ1038" s="7" t="s">
        <v>2351</v>
      </c>
      <c r="KA1038" s="7" t="s">
        <v>354</v>
      </c>
      <c r="KB1038" s="7" t="s">
        <v>3161</v>
      </c>
      <c r="KC1038" s="7" t="s">
        <v>354</v>
      </c>
      <c r="KD1038" s="7" t="s">
        <v>3162</v>
      </c>
      <c r="KG1038" s="4" t="s">
        <v>323</v>
      </c>
      <c r="KM1038" s="4" t="s">
        <v>702</v>
      </c>
      <c r="KN1038" s="4" t="s">
        <v>702</v>
      </c>
      <c r="KO1038" s="4" t="s">
        <v>350</v>
      </c>
      <c r="KP1038" s="5" t="s">
        <v>358</v>
      </c>
      <c r="KQ1038" s="5" t="s">
        <v>3163</v>
      </c>
      <c r="KR1038" s="5" t="s">
        <v>3164</v>
      </c>
      <c r="KS1038" s="5" t="s">
        <v>3163</v>
      </c>
      <c r="KT1038" s="5" t="s">
        <v>3165</v>
      </c>
    </row>
    <row r="1039" spans="1:306" ht="180" x14ac:dyDescent="0.2">
      <c r="A1039" s="5" t="s">
        <v>3211</v>
      </c>
      <c r="B1039" s="4" t="s">
        <v>364</v>
      </c>
      <c r="C1039" s="7" t="s">
        <v>549</v>
      </c>
      <c r="D1039" s="7" t="s">
        <v>989</v>
      </c>
      <c r="E1039" s="44">
        <v>516436</v>
      </c>
      <c r="G1039" s="4" t="s">
        <v>330</v>
      </c>
      <c r="H1039" s="6">
        <v>117.846</v>
      </c>
      <c r="I1039" s="6">
        <v>-21.097999999999999</v>
      </c>
      <c r="K1039" s="4" t="s">
        <v>331</v>
      </c>
      <c r="L1039" s="4" t="s">
        <v>368</v>
      </c>
      <c r="M1039" s="4" t="s">
        <v>666</v>
      </c>
      <c r="O1039" s="7"/>
      <c r="Q1039" s="8"/>
      <c r="R1039" s="8"/>
      <c r="Z1039" s="4" t="s">
        <v>364</v>
      </c>
      <c r="AA1039" s="7" t="s">
        <v>549</v>
      </c>
      <c r="AB1039" s="7" t="s">
        <v>989</v>
      </c>
      <c r="AC1039" s="4" t="s">
        <v>301</v>
      </c>
      <c r="AD1039" s="4" t="s">
        <v>375</v>
      </c>
      <c r="AE1039" s="8">
        <f>(3017+2943)/2</f>
        <v>2980</v>
      </c>
      <c r="AF1039" s="8">
        <f>(3017-2943)/2</f>
        <v>37</v>
      </c>
      <c r="AG1039" s="9" t="s">
        <v>379</v>
      </c>
      <c r="AH1039" s="9" t="s">
        <v>460</v>
      </c>
      <c r="AI1039" s="9" t="s">
        <v>373</v>
      </c>
      <c r="AJ1039" s="9" t="s">
        <v>306</v>
      </c>
      <c r="AK1039" s="9" t="s">
        <v>307</v>
      </c>
      <c r="AM1039" s="8">
        <v>2</v>
      </c>
      <c r="AN1039" s="4" t="s">
        <v>381</v>
      </c>
      <c r="AO1039" s="4" t="s">
        <v>382</v>
      </c>
      <c r="AP1039" s="4" t="s">
        <v>383</v>
      </c>
      <c r="AQ1039" s="7" t="s">
        <v>384</v>
      </c>
      <c r="AR1039" s="8" t="s">
        <v>827</v>
      </c>
      <c r="AS1039" s="7">
        <v>0</v>
      </c>
      <c r="AT1039" s="7">
        <v>0</v>
      </c>
      <c r="AU1039" s="9" t="s">
        <v>303</v>
      </c>
      <c r="AV1039" s="9" t="s">
        <v>406</v>
      </c>
      <c r="BA1039" s="8">
        <v>5</v>
      </c>
      <c r="BP1039" s="7">
        <v>0.59</v>
      </c>
      <c r="BR1039" s="6">
        <v>2.5499999999999998</v>
      </c>
      <c r="BS1039" s="6">
        <v>3.9</v>
      </c>
      <c r="BT1039" s="6">
        <v>0.27</v>
      </c>
      <c r="BU1039" s="8">
        <v>41</v>
      </c>
      <c r="BV1039" s="6">
        <v>0.98</v>
      </c>
      <c r="DZ1039" s="31"/>
      <c r="EH1039" s="10">
        <f t="shared" ref="EH1039:EH1047" si="49">BP1039*BR1039/100</f>
        <v>1.5044999999999998E-2</v>
      </c>
      <c r="EI1039" s="10">
        <f>BP1039*BS1039/100</f>
        <v>2.3009999999999996E-2</v>
      </c>
      <c r="EJ1039" s="10">
        <f>BP1039*BT1039/100</f>
        <v>1.593E-3</v>
      </c>
      <c r="EK1039" s="10">
        <f>BP1039*BU1039/1000</f>
        <v>2.4189999999999996E-2</v>
      </c>
      <c r="EL1039" s="6">
        <f>BP1039*BV1039</f>
        <v>0.57819999999999994</v>
      </c>
      <c r="GP1039" s="32"/>
      <c r="GY1039" s="6" t="s">
        <v>338</v>
      </c>
      <c r="GZ1039" s="6" t="s">
        <v>626</v>
      </c>
      <c r="HA1039" s="6" t="s">
        <v>436</v>
      </c>
      <c r="HB1039" s="6" t="s">
        <v>3051</v>
      </c>
      <c r="HC1039" s="6" t="s">
        <v>627</v>
      </c>
      <c r="HD1039" s="9" t="s">
        <v>3212</v>
      </c>
      <c r="HE1039" s="8">
        <v>4460</v>
      </c>
      <c r="HF1039" s="8" t="s">
        <v>3213</v>
      </c>
      <c r="HG1039" s="9" t="s">
        <v>389</v>
      </c>
      <c r="IB1039" s="9" t="s">
        <v>3212</v>
      </c>
      <c r="IC1039" s="8">
        <v>4460</v>
      </c>
      <c r="ID1039" s="8" t="s">
        <v>3214</v>
      </c>
      <c r="IE1039" s="9" t="s">
        <v>389</v>
      </c>
      <c r="IF1039" s="9" t="s">
        <v>319</v>
      </c>
      <c r="JV1039" s="7" t="s">
        <v>783</v>
      </c>
      <c r="JX1039" s="7" t="s">
        <v>320</v>
      </c>
      <c r="JY1039" s="7" t="s">
        <v>321</v>
      </c>
      <c r="JZ1039" s="7" t="s">
        <v>322</v>
      </c>
      <c r="KP1039" s="5" t="s">
        <v>2343</v>
      </c>
      <c r="KQ1039" s="5" t="s">
        <v>3215</v>
      </c>
      <c r="KR1039" s="5" t="s">
        <v>3216</v>
      </c>
      <c r="KS1039" s="5" t="s">
        <v>3217</v>
      </c>
      <c r="KT1039" s="5" t="s">
        <v>3218</v>
      </c>
    </row>
    <row r="1040" spans="1:306" ht="132" x14ac:dyDescent="0.2">
      <c r="A1040" s="5" t="s">
        <v>3882</v>
      </c>
      <c r="B1040" s="4" t="s">
        <v>364</v>
      </c>
      <c r="C1040" s="7" t="s">
        <v>549</v>
      </c>
      <c r="D1040" s="8" t="s">
        <v>989</v>
      </c>
      <c r="E1040" s="44">
        <v>859610</v>
      </c>
      <c r="F1040" s="4">
        <v>1122969</v>
      </c>
      <c r="G1040" s="4" t="s">
        <v>427</v>
      </c>
      <c r="H1040" s="6">
        <v>146.84777777799999</v>
      </c>
      <c r="I1040" s="6">
        <v>-31.221944444399998</v>
      </c>
      <c r="J1040" s="4" t="s">
        <v>990</v>
      </c>
      <c r="K1040" s="4" t="s">
        <v>298</v>
      </c>
      <c r="L1040" s="4" t="s">
        <v>299</v>
      </c>
      <c r="M1040" s="4" t="s">
        <v>428</v>
      </c>
      <c r="N1040" s="4" t="s">
        <v>990</v>
      </c>
      <c r="Q1040" s="8"/>
      <c r="R1040" s="8"/>
      <c r="Z1040" s="4" t="s">
        <v>364</v>
      </c>
      <c r="AA1040" s="7" t="s">
        <v>549</v>
      </c>
      <c r="AB1040" s="8" t="s">
        <v>989</v>
      </c>
      <c r="AC1040" s="4" t="s">
        <v>301</v>
      </c>
      <c r="AD1040" s="4" t="s">
        <v>382</v>
      </c>
      <c r="AE1040" s="8">
        <v>479</v>
      </c>
      <c r="AF1040" s="8">
        <v>5</v>
      </c>
      <c r="AG1040" s="9" t="s">
        <v>379</v>
      </c>
      <c r="AH1040" s="9" t="s">
        <v>372</v>
      </c>
      <c r="AJ1040" s="9" t="s">
        <v>555</v>
      </c>
      <c r="AM1040" s="8">
        <v>4</v>
      </c>
      <c r="AN1040" s="4" t="s">
        <v>991</v>
      </c>
      <c r="AO1040" s="4" t="s">
        <v>382</v>
      </c>
      <c r="AP1040" s="4" t="s">
        <v>383</v>
      </c>
      <c r="AQ1040" s="7" t="s">
        <v>384</v>
      </c>
      <c r="AR1040" s="8" t="s">
        <v>827</v>
      </c>
      <c r="AS1040" s="8">
        <v>430</v>
      </c>
      <c r="AT1040" s="7"/>
      <c r="AU1040" s="9" t="s">
        <v>379</v>
      </c>
      <c r="AV1040" s="9" t="s">
        <v>380</v>
      </c>
      <c r="BA1040" s="8">
        <v>3</v>
      </c>
      <c r="BB1040" s="4" t="s">
        <v>381</v>
      </c>
      <c r="BC1040" s="4" t="s">
        <v>375</v>
      </c>
      <c r="BD1040" s="4" t="s">
        <v>383</v>
      </c>
      <c r="BE1040" s="7" t="s">
        <v>384</v>
      </c>
      <c r="BF1040" s="8" t="s">
        <v>827</v>
      </c>
      <c r="BG1040" s="7">
        <v>0</v>
      </c>
      <c r="BH1040" s="7">
        <v>0</v>
      </c>
      <c r="BI1040" s="9" t="s">
        <v>303</v>
      </c>
      <c r="BJ1040" s="9" t="s">
        <v>406</v>
      </c>
      <c r="BO1040" s="8">
        <v>5</v>
      </c>
      <c r="BP1040" s="7">
        <v>2.5019999999999998</v>
      </c>
      <c r="BR1040" s="6">
        <v>0.56999999999999995</v>
      </c>
      <c r="BS1040" s="7"/>
      <c r="BV1040" s="7"/>
      <c r="BW1040" s="7"/>
      <c r="BX1040" s="7"/>
      <c r="BY1040" s="7"/>
      <c r="BZ1040" s="7"/>
      <c r="CA1040" s="7"/>
      <c r="CB1040" s="7"/>
      <c r="CC1040" s="7"/>
      <c r="CD1040" s="7"/>
      <c r="CE1040" s="7"/>
      <c r="CF1040" s="7"/>
      <c r="CG1040" s="7"/>
      <c r="CH1040" s="7"/>
      <c r="CI1040" s="7"/>
      <c r="CJ1040" s="7"/>
      <c r="CK1040" s="7"/>
      <c r="CL1040" s="7"/>
      <c r="CM1040" s="7"/>
      <c r="CN1040" s="7"/>
      <c r="CO1040" s="7"/>
      <c r="CP1040" s="7"/>
      <c r="CQ1040" s="7"/>
      <c r="CR1040" s="7"/>
      <c r="CS1040" s="7"/>
      <c r="CT1040" s="7"/>
      <c r="CU1040" s="7"/>
      <c r="CV1040" s="7"/>
      <c r="CW1040" s="7"/>
      <c r="CX1040" s="7"/>
      <c r="CY1040" s="7"/>
      <c r="CZ1040" s="7"/>
      <c r="DA1040" s="7"/>
      <c r="DB1040" s="7"/>
      <c r="DC1040" s="7"/>
      <c r="DD1040" s="7"/>
      <c r="DE1040" s="7"/>
      <c r="DF1040" s="7"/>
      <c r="DG1040" s="7"/>
      <c r="DH1040" s="7"/>
      <c r="DI1040" s="7"/>
      <c r="DJ1040" s="7"/>
      <c r="DK1040" s="7"/>
      <c r="DL1040" s="7"/>
      <c r="DM1040" s="7"/>
      <c r="DN1040" s="7"/>
      <c r="DO1040" s="7"/>
      <c r="DP1040" s="7"/>
      <c r="DQ1040" s="7"/>
      <c r="DR1040" s="7"/>
      <c r="DS1040" s="7"/>
      <c r="DT1040" s="7"/>
      <c r="DU1040" s="7"/>
      <c r="DV1040" s="7"/>
      <c r="DW1040" s="7"/>
      <c r="DX1040" s="7"/>
      <c r="DY1040" s="7"/>
      <c r="DZ1040" s="31"/>
      <c r="EA1040" s="7"/>
      <c r="EB1040" s="7"/>
      <c r="EC1040" s="7"/>
      <c r="ED1040" s="7"/>
      <c r="EE1040" s="7"/>
      <c r="EF1040" s="7"/>
      <c r="EG1040" s="7"/>
      <c r="EH1040" s="10">
        <f t="shared" si="49"/>
        <v>1.4261399999999997E-2</v>
      </c>
      <c r="EY1040" s="6"/>
      <c r="FA1040" s="6"/>
      <c r="GP1040" s="32"/>
      <c r="GY1040" s="6" t="s">
        <v>309</v>
      </c>
      <c r="GZ1040" s="6" t="s">
        <v>994</v>
      </c>
      <c r="HC1040" s="6" t="s">
        <v>2705</v>
      </c>
      <c r="HD1040" s="8" t="s">
        <v>995</v>
      </c>
      <c r="HE1040" s="8">
        <v>73364</v>
      </c>
      <c r="HF1040" s="8" t="s">
        <v>996</v>
      </c>
      <c r="HG1040" s="9" t="s">
        <v>997</v>
      </c>
      <c r="HY1040" s="9"/>
      <c r="IB1040" s="8" t="s">
        <v>995</v>
      </c>
      <c r="IC1040" s="8">
        <v>73364</v>
      </c>
      <c r="ID1040" s="8" t="s">
        <v>998</v>
      </c>
      <c r="IE1040" s="9" t="s">
        <v>997</v>
      </c>
      <c r="IF1040" s="8" t="s">
        <v>319</v>
      </c>
      <c r="IW1040" s="8"/>
      <c r="JB1040" s="8"/>
      <c r="JX1040" s="7" t="s">
        <v>320</v>
      </c>
      <c r="KG1040" s="4" t="s">
        <v>323</v>
      </c>
      <c r="KM1040" s="4" t="s">
        <v>391</v>
      </c>
      <c r="KN1040" s="4" t="s">
        <v>391</v>
      </c>
      <c r="KO1040" s="4" t="s">
        <v>350</v>
      </c>
      <c r="KP1040" s="18" t="s">
        <v>3883</v>
      </c>
      <c r="KQ1040" s="5" t="s">
        <v>3884</v>
      </c>
      <c r="KR1040" s="5" t="s">
        <v>1002</v>
      </c>
      <c r="KS1040" s="5" t="s">
        <v>3885</v>
      </c>
      <c r="KT1040" s="5" t="s">
        <v>3886</v>
      </c>
    </row>
    <row r="1041" spans="1:306" ht="144" x14ac:dyDescent="0.25">
      <c r="A1041" s="5" t="s">
        <v>4159</v>
      </c>
      <c r="B1041" s="4" t="s">
        <v>364</v>
      </c>
      <c r="C1041" s="7" t="s">
        <v>549</v>
      </c>
      <c r="D1041" s="7" t="s">
        <v>989</v>
      </c>
      <c r="E1041" s="4">
        <v>334572</v>
      </c>
      <c r="G1041" s="4" t="s">
        <v>330</v>
      </c>
      <c r="H1041" s="6">
        <v>118.62130000000001</v>
      </c>
      <c r="I1041" s="6">
        <v>-25.361699999999999</v>
      </c>
      <c r="J1041" s="4" t="s">
        <v>4159</v>
      </c>
      <c r="K1041" s="4" t="s">
        <v>331</v>
      </c>
      <c r="L1041" s="4" t="s">
        <v>2704</v>
      </c>
      <c r="O1041" s="7"/>
      <c r="Q1041" s="8"/>
      <c r="R1041" s="8"/>
      <c r="Z1041" s="4" t="s">
        <v>364</v>
      </c>
      <c r="AA1041" s="7" t="s">
        <v>549</v>
      </c>
      <c r="AB1041" s="7" t="s">
        <v>989</v>
      </c>
      <c r="AC1041" s="4" t="s">
        <v>301</v>
      </c>
      <c r="AD1041" s="4" t="s">
        <v>375</v>
      </c>
      <c r="AE1041" s="8">
        <v>1922</v>
      </c>
      <c r="AF1041" s="8">
        <v>35</v>
      </c>
      <c r="AG1041" s="9" t="s">
        <v>303</v>
      </c>
      <c r="AH1041" s="9" t="s">
        <v>304</v>
      </c>
      <c r="AI1041" s="9" t="s">
        <v>2032</v>
      </c>
      <c r="AJ1041" s="9" t="s">
        <v>599</v>
      </c>
      <c r="AK1041" s="9" t="s">
        <v>1081</v>
      </c>
      <c r="AM1041" s="8">
        <v>5</v>
      </c>
      <c r="AN1041" s="4" t="s">
        <v>381</v>
      </c>
      <c r="AO1041" s="4" t="s">
        <v>382</v>
      </c>
      <c r="AP1041" s="4" t="s">
        <v>383</v>
      </c>
      <c r="AQ1041" s="7" t="s">
        <v>384</v>
      </c>
      <c r="AR1041" s="8" t="s">
        <v>827</v>
      </c>
      <c r="AS1041" s="7">
        <v>0</v>
      </c>
      <c r="AT1041" s="7">
        <v>0</v>
      </c>
      <c r="AU1041" s="9" t="s">
        <v>303</v>
      </c>
      <c r="AV1041" s="9" t="s">
        <v>406</v>
      </c>
      <c r="BA1041" s="8">
        <v>5</v>
      </c>
      <c r="BF1041" s="7"/>
      <c r="BG1041" s="8"/>
      <c r="BH1041" s="8"/>
      <c r="BP1041" s="7">
        <f>3.299+12.85</f>
        <v>16.149000000000001</v>
      </c>
      <c r="BR1041" s="6">
        <f>(3.299*1.7+12.85*1)/16.15</f>
        <v>1.1429287925696596</v>
      </c>
      <c r="BS1041" s="16"/>
      <c r="BV1041" s="6">
        <f>(3.299*2.9+12.85*0.1)/16.15</f>
        <v>0.67195665634674928</v>
      </c>
      <c r="DZ1041" s="31"/>
      <c r="EH1041" s="10">
        <f t="shared" si="49"/>
        <v>0.18457157071207433</v>
      </c>
      <c r="EL1041" s="6">
        <f>BP1041*BV1041</f>
        <v>10.851428043343654</v>
      </c>
      <c r="FA1041" s="6"/>
      <c r="GP1041" s="32"/>
      <c r="GY1041" s="6" t="s">
        <v>435</v>
      </c>
      <c r="GZ1041" s="6" t="s">
        <v>1361</v>
      </c>
      <c r="HC1041" s="6" t="s">
        <v>2705</v>
      </c>
      <c r="HD1041" s="8" t="s">
        <v>4160</v>
      </c>
      <c r="HE1041" s="8">
        <v>13894</v>
      </c>
      <c r="HF1041" s="8" t="s">
        <v>4161</v>
      </c>
      <c r="HG1041" s="9" t="s">
        <v>538</v>
      </c>
      <c r="IB1041" s="8" t="s">
        <v>4160</v>
      </c>
      <c r="IC1041" s="8">
        <v>13894</v>
      </c>
      <c r="ID1041" s="8" t="s">
        <v>4161</v>
      </c>
      <c r="IE1041" s="8" t="s">
        <v>538</v>
      </c>
      <c r="IF1041" s="8" t="s">
        <v>319</v>
      </c>
      <c r="IM1041" s="9"/>
      <c r="IR1041" s="9"/>
      <c r="JV1041" s="7" t="s">
        <v>4162</v>
      </c>
      <c r="JW1041" s="7" t="s">
        <v>352</v>
      </c>
      <c r="JX1041" s="7" t="s">
        <v>320</v>
      </c>
      <c r="KG1041" s="4" t="s">
        <v>323</v>
      </c>
      <c r="KM1041" s="4" t="s">
        <v>391</v>
      </c>
      <c r="KN1041" s="4" t="s">
        <v>391</v>
      </c>
      <c r="KP1041" s="5" t="s">
        <v>358</v>
      </c>
      <c r="KQ1041" s="5" t="s">
        <v>4163</v>
      </c>
      <c r="KR1041" s="5" t="s">
        <v>4164</v>
      </c>
      <c r="KS1041" s="5" t="s">
        <v>4165</v>
      </c>
      <c r="KT1041" s="5" t="s">
        <v>4166</v>
      </c>
    </row>
    <row r="1042" spans="1:306" ht="132" x14ac:dyDescent="0.25">
      <c r="A1042" s="5" t="s">
        <v>4822</v>
      </c>
      <c r="B1042" s="4" t="s">
        <v>364</v>
      </c>
      <c r="C1042" s="7" t="s">
        <v>549</v>
      </c>
      <c r="D1042" s="8" t="s">
        <v>989</v>
      </c>
      <c r="E1042" s="4">
        <v>556701</v>
      </c>
      <c r="G1042" s="4" t="s">
        <v>427</v>
      </c>
      <c r="H1042" s="6">
        <v>146.84888888899999</v>
      </c>
      <c r="I1042" s="6">
        <v>-31.226388888900001</v>
      </c>
      <c r="J1042" s="4" t="s">
        <v>990</v>
      </c>
      <c r="K1042" s="4" t="s">
        <v>298</v>
      </c>
      <c r="L1042" s="4" t="s">
        <v>299</v>
      </c>
      <c r="M1042" s="4" t="s">
        <v>428</v>
      </c>
      <c r="N1042" s="4" t="s">
        <v>990</v>
      </c>
      <c r="Q1042" s="8"/>
      <c r="R1042" s="8"/>
      <c r="Z1042" s="4" t="s">
        <v>364</v>
      </c>
      <c r="AA1042" s="7" t="s">
        <v>549</v>
      </c>
      <c r="AB1042" s="8" t="s">
        <v>989</v>
      </c>
      <c r="AC1042" s="4" t="s">
        <v>301</v>
      </c>
      <c r="AD1042" s="4" t="s">
        <v>382</v>
      </c>
      <c r="AE1042" s="8">
        <v>479</v>
      </c>
      <c r="AF1042" s="8">
        <v>5</v>
      </c>
      <c r="AG1042" s="9" t="s">
        <v>379</v>
      </c>
      <c r="AH1042" s="9" t="s">
        <v>372</v>
      </c>
      <c r="AJ1042" s="9" t="s">
        <v>555</v>
      </c>
      <c r="AM1042" s="8">
        <v>4</v>
      </c>
      <c r="AN1042" s="4" t="s">
        <v>991</v>
      </c>
      <c r="AO1042" s="4" t="s">
        <v>382</v>
      </c>
      <c r="AP1042" s="4" t="s">
        <v>383</v>
      </c>
      <c r="AQ1042" s="7" t="s">
        <v>384</v>
      </c>
      <c r="AR1042" s="8" t="s">
        <v>827</v>
      </c>
      <c r="AS1042" s="8">
        <v>430</v>
      </c>
      <c r="AT1042" s="7"/>
      <c r="AU1042" s="9" t="s">
        <v>379</v>
      </c>
      <c r="AV1042" s="9" t="s">
        <v>380</v>
      </c>
      <c r="BA1042" s="8">
        <v>3</v>
      </c>
      <c r="BB1042" s="4" t="s">
        <v>381</v>
      </c>
      <c r="BC1042" s="4" t="s">
        <v>375</v>
      </c>
      <c r="BD1042" s="4" t="s">
        <v>383</v>
      </c>
      <c r="BE1042" s="7" t="s">
        <v>384</v>
      </c>
      <c r="BF1042" s="8" t="s">
        <v>827</v>
      </c>
      <c r="BG1042" s="7">
        <v>0</v>
      </c>
      <c r="BH1042" s="7">
        <v>0</v>
      </c>
      <c r="BI1042" s="9" t="s">
        <v>303</v>
      </c>
      <c r="BJ1042" s="9" t="s">
        <v>406</v>
      </c>
      <c r="BO1042" s="8">
        <v>5</v>
      </c>
      <c r="BP1042" s="7">
        <f>1.915+0.748</f>
        <v>2.6630000000000003</v>
      </c>
      <c r="BR1042" s="6">
        <f>(1.04*1.915+0.95*0.748)/(1.915+0.748)</f>
        <v>1.0147202403304543</v>
      </c>
      <c r="BS1042" s="7"/>
      <c r="BV1042" s="7"/>
      <c r="BW1042" s="7"/>
      <c r="BX1042" s="7"/>
      <c r="BY1042" s="7"/>
      <c r="BZ1042" s="7"/>
      <c r="CA1042" s="7"/>
      <c r="CB1042" s="7"/>
      <c r="CC1042" s="7"/>
      <c r="CD1042" s="7"/>
      <c r="CE1042" s="7"/>
      <c r="CF1042" s="7"/>
      <c r="CG1042" s="7"/>
      <c r="CH1042" s="7"/>
      <c r="CI1042" s="7"/>
      <c r="CJ1042" s="7"/>
      <c r="CK1042" s="7"/>
      <c r="CL1042" s="7"/>
      <c r="CM1042" s="7"/>
      <c r="CN1042" s="7"/>
      <c r="CO1042" s="7"/>
      <c r="CP1042" s="7"/>
      <c r="CQ1042" s="7"/>
      <c r="CR1042" s="7"/>
      <c r="CS1042" s="7"/>
      <c r="CT1042" s="7"/>
      <c r="CU1042" s="7"/>
      <c r="CV1042" s="7"/>
      <c r="CW1042" s="7"/>
      <c r="CX1042" s="7"/>
      <c r="CY1042" s="7"/>
      <c r="CZ1042" s="7"/>
      <c r="DA1042" s="7"/>
      <c r="DB1042" s="7"/>
      <c r="DC1042" s="7"/>
      <c r="DD1042" s="7"/>
      <c r="DE1042" s="7"/>
      <c r="DF1042" s="7"/>
      <c r="DG1042" s="7"/>
      <c r="DH1042" s="7"/>
      <c r="DI1042" s="7"/>
      <c r="DJ1042" s="7"/>
      <c r="DK1042" s="7"/>
      <c r="DL1042" s="7"/>
      <c r="DM1042" s="7"/>
      <c r="DN1042" s="7"/>
      <c r="DO1042" s="7"/>
      <c r="DP1042" s="7"/>
      <c r="DQ1042" s="7"/>
      <c r="DR1042" s="7"/>
      <c r="DS1042" s="7"/>
      <c r="DT1042" s="7"/>
      <c r="DU1042" s="7"/>
      <c r="DV1042" s="7"/>
      <c r="DW1042" s="7"/>
      <c r="DX1042" s="7"/>
      <c r="DY1042" s="7"/>
      <c r="DZ1042" s="31"/>
      <c r="EA1042" s="7"/>
      <c r="EB1042" s="7"/>
      <c r="EC1042" s="7"/>
      <c r="ED1042" s="7"/>
      <c r="EE1042" s="7"/>
      <c r="EF1042" s="7"/>
      <c r="EG1042" s="7"/>
      <c r="EH1042" s="10">
        <f t="shared" si="49"/>
        <v>2.7022000000000001E-2</v>
      </c>
      <c r="EY1042" s="6"/>
      <c r="FA1042" s="6"/>
      <c r="GP1042" s="32"/>
      <c r="GY1042" s="6" t="s">
        <v>309</v>
      </c>
      <c r="GZ1042" s="6" t="s">
        <v>994</v>
      </c>
      <c r="HC1042" s="6" t="s">
        <v>2705</v>
      </c>
      <c r="HD1042" s="8" t="s">
        <v>995</v>
      </c>
      <c r="HE1042" s="8">
        <v>73364</v>
      </c>
      <c r="HF1042" s="8" t="s">
        <v>996</v>
      </c>
      <c r="HG1042" s="9" t="s">
        <v>997</v>
      </c>
      <c r="HY1042" s="9"/>
      <c r="IB1042" s="8" t="s">
        <v>995</v>
      </c>
      <c r="IC1042" s="8">
        <v>73364</v>
      </c>
      <c r="ID1042" s="8" t="s">
        <v>998</v>
      </c>
      <c r="IE1042" s="9" t="s">
        <v>997</v>
      </c>
      <c r="IF1042" s="8" t="s">
        <v>319</v>
      </c>
      <c r="IW1042" s="8"/>
      <c r="JB1042" s="8"/>
      <c r="JV1042" s="7" t="s">
        <v>1779</v>
      </c>
      <c r="JW1042" s="7" t="s">
        <v>1779</v>
      </c>
      <c r="JX1042" s="7" t="s">
        <v>320</v>
      </c>
      <c r="KG1042" s="4" t="s">
        <v>323</v>
      </c>
      <c r="KM1042" s="4" t="s">
        <v>391</v>
      </c>
      <c r="KN1042" s="4" t="s">
        <v>391</v>
      </c>
      <c r="KO1042" s="4" t="s">
        <v>350</v>
      </c>
      <c r="KP1042" s="18" t="s">
        <v>4823</v>
      </c>
      <c r="KQ1042" s="5" t="s">
        <v>3884</v>
      </c>
      <c r="KR1042" s="5" t="s">
        <v>1002</v>
      </c>
      <c r="KS1042" s="5" t="s">
        <v>3885</v>
      </c>
      <c r="KT1042" s="5" t="s">
        <v>4824</v>
      </c>
    </row>
    <row r="1043" spans="1:306" ht="156" x14ac:dyDescent="0.25">
      <c r="A1043" s="5" t="s">
        <v>5373</v>
      </c>
      <c r="B1043" s="4" t="s">
        <v>364</v>
      </c>
      <c r="C1043" s="7" t="s">
        <v>549</v>
      </c>
      <c r="D1043" s="8" t="s">
        <v>989</v>
      </c>
      <c r="E1043" s="4">
        <v>336057</v>
      </c>
      <c r="G1043" s="4" t="s">
        <v>773</v>
      </c>
      <c r="H1043" s="6">
        <v>142.85742209899999</v>
      </c>
      <c r="I1043" s="6">
        <v>-37.309305459000001</v>
      </c>
      <c r="J1043" s="4" t="s">
        <v>2061</v>
      </c>
      <c r="K1043" s="4" t="s">
        <v>298</v>
      </c>
      <c r="L1043" s="4" t="s">
        <v>400</v>
      </c>
      <c r="M1043" s="4" t="s">
        <v>2062</v>
      </c>
      <c r="Q1043" s="8"/>
      <c r="R1043" s="8"/>
      <c r="Z1043" s="4" t="s">
        <v>364</v>
      </c>
      <c r="AA1043" s="7" t="s">
        <v>549</v>
      </c>
      <c r="AB1043" s="8" t="s">
        <v>989</v>
      </c>
      <c r="AC1043" s="4" t="s">
        <v>301</v>
      </c>
      <c r="AD1043" s="4" t="s">
        <v>375</v>
      </c>
      <c r="AE1043" s="8">
        <v>518</v>
      </c>
      <c r="AF1043" s="8">
        <v>52</v>
      </c>
      <c r="AG1043" s="9" t="s">
        <v>379</v>
      </c>
      <c r="AH1043" s="9" t="s">
        <v>690</v>
      </c>
      <c r="AM1043" s="8">
        <v>3</v>
      </c>
      <c r="AN1043" s="4" t="s">
        <v>381</v>
      </c>
      <c r="AO1043" s="4" t="s">
        <v>402</v>
      </c>
      <c r="AP1043" s="4" t="s">
        <v>383</v>
      </c>
      <c r="AQ1043" s="7" t="s">
        <v>384</v>
      </c>
      <c r="AR1043" s="8" t="s">
        <v>827</v>
      </c>
      <c r="AS1043" s="7">
        <v>0</v>
      </c>
      <c r="AT1043" s="7">
        <v>0</v>
      </c>
      <c r="AU1043" s="9" t="s">
        <v>303</v>
      </c>
      <c r="AV1043" s="9" t="s">
        <v>406</v>
      </c>
      <c r="BA1043" s="8">
        <v>5</v>
      </c>
      <c r="BP1043" s="7">
        <v>1.0089999999999999</v>
      </c>
      <c r="BQ1043" s="7"/>
      <c r="BR1043" s="7">
        <v>2.2000000000000002</v>
      </c>
      <c r="BS1043" s="7">
        <v>0.2</v>
      </c>
      <c r="BU1043" s="7">
        <v>5.6</v>
      </c>
      <c r="BV1043" s="7">
        <v>0.4</v>
      </c>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CV1043" s="7"/>
      <c r="CW1043" s="7"/>
      <c r="CX1043" s="7"/>
      <c r="CY1043" s="7"/>
      <c r="CZ1043" s="7"/>
      <c r="DA1043" s="7"/>
      <c r="DB1043" s="7"/>
      <c r="DC1043" s="7"/>
      <c r="DD1043" s="7"/>
      <c r="DE1043" s="7"/>
      <c r="DF1043" s="7"/>
      <c r="DG1043" s="7"/>
      <c r="DH1043" s="7"/>
      <c r="DI1043" s="7"/>
      <c r="DJ1043" s="7"/>
      <c r="DK1043" s="7"/>
      <c r="DL1043" s="7"/>
      <c r="DM1043" s="7"/>
      <c r="DN1043" s="7"/>
      <c r="DO1043" s="7"/>
      <c r="DP1043" s="7"/>
      <c r="DQ1043" s="7"/>
      <c r="DR1043" s="7"/>
      <c r="DS1043" s="7"/>
      <c r="DT1043" s="7"/>
      <c r="DU1043" s="7"/>
      <c r="DV1043" s="7"/>
      <c r="DW1043" s="7"/>
      <c r="DX1043" s="7"/>
      <c r="DY1043" s="7"/>
      <c r="DZ1043" s="31"/>
      <c r="EA1043" s="7"/>
      <c r="EB1043" s="7"/>
      <c r="EC1043" s="7"/>
      <c r="ED1043" s="7"/>
      <c r="EE1043" s="7"/>
      <c r="EF1043" s="7"/>
      <c r="EG1043" s="7"/>
      <c r="EH1043" s="10">
        <f t="shared" si="49"/>
        <v>2.2197999999999999E-2</v>
      </c>
      <c r="EI1043" s="10">
        <f>BP1043*BS1043/100</f>
        <v>2.0179999999999998E-3</v>
      </c>
      <c r="EK1043" s="10">
        <f>BP1043*BU1043/1000</f>
        <v>5.650399999999999E-3</v>
      </c>
      <c r="EL1043" s="6">
        <f>BP1043*BV1043</f>
        <v>0.40359999999999996</v>
      </c>
      <c r="EY1043" s="6"/>
      <c r="FA1043" s="6"/>
      <c r="GP1043" s="32"/>
      <c r="GY1043" s="6" t="s">
        <v>338</v>
      </c>
      <c r="GZ1043" s="6" t="s">
        <v>994</v>
      </c>
      <c r="HA1043" s="6" t="s">
        <v>436</v>
      </c>
      <c r="HB1043" s="6" t="s">
        <v>1386</v>
      </c>
      <c r="HC1043" s="6" t="s">
        <v>627</v>
      </c>
      <c r="HD1043" s="8" t="s">
        <v>778</v>
      </c>
      <c r="HE1043" s="8">
        <v>37578</v>
      </c>
      <c r="HF1043" s="8" t="s">
        <v>779</v>
      </c>
      <c r="HG1043" s="8" t="s">
        <v>698</v>
      </c>
      <c r="HH1043" s="8" t="s">
        <v>5374</v>
      </c>
      <c r="HI1043" s="8">
        <v>37531</v>
      </c>
      <c r="HJ1043" s="9" t="s">
        <v>5375</v>
      </c>
      <c r="HK1043" s="9" t="s">
        <v>698</v>
      </c>
      <c r="HL1043" s="8" t="s">
        <v>5376</v>
      </c>
      <c r="HM1043" s="8">
        <v>37571</v>
      </c>
      <c r="HN1043" s="9" t="s">
        <v>5377</v>
      </c>
      <c r="HQ1043" s="9"/>
      <c r="HY1043" s="9"/>
      <c r="IB1043" s="8" t="s">
        <v>5374</v>
      </c>
      <c r="IC1043" s="8">
        <v>37531</v>
      </c>
      <c r="ID1043" s="9" t="s">
        <v>5375</v>
      </c>
      <c r="IE1043" s="9" t="s">
        <v>698</v>
      </c>
      <c r="IF1043" s="8" t="s">
        <v>319</v>
      </c>
      <c r="JX1043" s="7" t="s">
        <v>322</v>
      </c>
      <c r="JY1043" s="7" t="s">
        <v>354</v>
      </c>
      <c r="JZ1043" s="7" t="s">
        <v>320</v>
      </c>
      <c r="KA1043" s="7" t="s">
        <v>470</v>
      </c>
      <c r="KB1043" s="7" t="s">
        <v>353</v>
      </c>
      <c r="KG1043" s="4" t="s">
        <v>323</v>
      </c>
      <c r="KM1043" s="4" t="s">
        <v>391</v>
      </c>
      <c r="KN1043" s="4" t="s">
        <v>702</v>
      </c>
      <c r="KP1043" s="5" t="s">
        <v>5378</v>
      </c>
      <c r="KQ1043" s="5" t="s">
        <v>5379</v>
      </c>
      <c r="KR1043" s="5" t="s">
        <v>5380</v>
      </c>
      <c r="KS1043" s="5" t="s">
        <v>5378</v>
      </c>
      <c r="KT1043" s="5" t="s">
        <v>5381</v>
      </c>
    </row>
    <row r="1044" spans="1:306" ht="96" x14ac:dyDescent="0.25">
      <c r="A1044" s="5" t="s">
        <v>5810</v>
      </c>
      <c r="B1044" s="4" t="s">
        <v>364</v>
      </c>
      <c r="C1044" s="7" t="s">
        <v>549</v>
      </c>
      <c r="D1044" s="8" t="s">
        <v>989</v>
      </c>
      <c r="E1044" s="4">
        <v>333887</v>
      </c>
      <c r="G1044" s="4" t="s">
        <v>479</v>
      </c>
      <c r="H1044" s="6">
        <v>145.33430000000001</v>
      </c>
      <c r="I1044" s="6">
        <v>-16.700900000000001</v>
      </c>
      <c r="J1044" s="4" t="s">
        <v>2738</v>
      </c>
      <c r="K1044" s="4" t="s">
        <v>298</v>
      </c>
      <c r="L1044" s="4" t="s">
        <v>1018</v>
      </c>
      <c r="M1044" s="4" t="s">
        <v>1019</v>
      </c>
      <c r="Q1044" s="8"/>
      <c r="R1044" s="8"/>
      <c r="Z1044" s="4" t="s">
        <v>364</v>
      </c>
      <c r="AA1044" s="7" t="s">
        <v>549</v>
      </c>
      <c r="AB1044" s="8" t="s">
        <v>989</v>
      </c>
      <c r="AC1044" s="4" t="s">
        <v>301</v>
      </c>
      <c r="AE1044" s="8">
        <v>388</v>
      </c>
      <c r="AF1044" s="8">
        <v>28</v>
      </c>
      <c r="AG1044" s="9" t="s">
        <v>379</v>
      </c>
      <c r="AH1044" s="9" t="s">
        <v>372</v>
      </c>
      <c r="AJ1044" s="9" t="s">
        <v>555</v>
      </c>
      <c r="AM1044" s="8">
        <v>4</v>
      </c>
      <c r="BP1044" s="7">
        <v>6.4000000000000001E-2</v>
      </c>
      <c r="BQ1044" s="9"/>
      <c r="BR1044" s="7">
        <f>(8.7*0.044+3*0.02)/0.064</f>
        <v>6.9187499999999993</v>
      </c>
      <c r="DZ1044" s="31"/>
      <c r="EH1044" s="10">
        <f t="shared" si="49"/>
        <v>4.4279999999999996E-3</v>
      </c>
      <c r="EY1044" s="6"/>
      <c r="FA1044" s="6"/>
      <c r="GP1044" s="32"/>
      <c r="GY1044" s="6" t="s">
        <v>309</v>
      </c>
      <c r="GZ1044" s="6" t="s">
        <v>994</v>
      </c>
      <c r="HC1044" s="6" t="s">
        <v>2705</v>
      </c>
      <c r="HD1044" s="8" t="s">
        <v>1023</v>
      </c>
      <c r="HE1044" s="8">
        <v>8404</v>
      </c>
      <c r="HF1044" s="8" t="s">
        <v>2739</v>
      </c>
      <c r="HG1044" s="9" t="s">
        <v>1025</v>
      </c>
      <c r="HY1044" s="9"/>
      <c r="IB1044" s="8" t="s">
        <v>1023</v>
      </c>
      <c r="IC1044" s="8">
        <v>8404</v>
      </c>
      <c r="ID1044" s="8" t="s">
        <v>2740</v>
      </c>
      <c r="IE1044" s="8" t="s">
        <v>1025</v>
      </c>
      <c r="IF1044" s="8" t="s">
        <v>810</v>
      </c>
      <c r="IR1044" s="9"/>
      <c r="JV1044" s="7" t="s">
        <v>3825</v>
      </c>
      <c r="JW1044" s="7" t="s">
        <v>352</v>
      </c>
      <c r="JX1044" s="7" t="s">
        <v>320</v>
      </c>
      <c r="JY1044" s="7" t="s">
        <v>448</v>
      </c>
      <c r="JZ1044" s="7" t="s">
        <v>322</v>
      </c>
      <c r="KG1044" s="4" t="s">
        <v>323</v>
      </c>
      <c r="KM1044" s="4" t="s">
        <v>836</v>
      </c>
      <c r="KN1044" s="4" t="s">
        <v>836</v>
      </c>
      <c r="KO1044" s="4" t="s">
        <v>350</v>
      </c>
      <c r="KP1044" s="5" t="s">
        <v>358</v>
      </c>
      <c r="KQ1044" s="5" t="s">
        <v>5811</v>
      </c>
      <c r="KR1044" s="5" t="s">
        <v>2742</v>
      </c>
      <c r="KS1044" s="18" t="s">
        <v>5812</v>
      </c>
      <c r="KT1044" s="5" t="s">
        <v>5813</v>
      </c>
    </row>
    <row r="1045" spans="1:306" ht="132" x14ac:dyDescent="0.25">
      <c r="A1045" s="5" t="s">
        <v>5906</v>
      </c>
      <c r="B1045" s="4" t="s">
        <v>364</v>
      </c>
      <c r="C1045" s="7" t="s">
        <v>549</v>
      </c>
      <c r="D1045" s="8" t="s">
        <v>989</v>
      </c>
      <c r="E1045" s="4">
        <v>467216</v>
      </c>
      <c r="G1045" s="4" t="s">
        <v>427</v>
      </c>
      <c r="H1045" s="6">
        <v>147.35759999999999</v>
      </c>
      <c r="I1045" s="6">
        <v>-32.234200000000001</v>
      </c>
      <c r="J1045" s="4" t="s">
        <v>2016</v>
      </c>
      <c r="K1045" s="4" t="s">
        <v>298</v>
      </c>
      <c r="L1045" s="4" t="s">
        <v>299</v>
      </c>
      <c r="M1045" s="4" t="s">
        <v>428</v>
      </c>
      <c r="N1045" s="4" t="s">
        <v>990</v>
      </c>
      <c r="Q1045" s="8"/>
      <c r="R1045" s="8"/>
      <c r="Z1045" s="4" t="s">
        <v>364</v>
      </c>
      <c r="AA1045" s="7" t="s">
        <v>549</v>
      </c>
      <c r="AB1045" s="8" t="s">
        <v>989</v>
      </c>
      <c r="AC1045" s="4" t="s">
        <v>301</v>
      </c>
      <c r="AD1045" s="4" t="s">
        <v>375</v>
      </c>
      <c r="AE1045" s="8">
        <v>479</v>
      </c>
      <c r="AF1045" s="8">
        <v>5</v>
      </c>
      <c r="AG1045" s="9" t="s">
        <v>379</v>
      </c>
      <c r="AH1045" s="9" t="s">
        <v>372</v>
      </c>
      <c r="AJ1045" s="9" t="s">
        <v>555</v>
      </c>
      <c r="AM1045" s="8">
        <v>4</v>
      </c>
      <c r="AN1045" s="4" t="s">
        <v>381</v>
      </c>
      <c r="AO1045" s="4" t="s">
        <v>382</v>
      </c>
      <c r="AP1045" s="4" t="s">
        <v>383</v>
      </c>
      <c r="AQ1045" s="7" t="s">
        <v>384</v>
      </c>
      <c r="AR1045" s="8" t="s">
        <v>827</v>
      </c>
      <c r="AS1045" s="7">
        <v>0</v>
      </c>
      <c r="AT1045" s="7">
        <v>0</v>
      </c>
      <c r="AU1045" s="9" t="s">
        <v>303</v>
      </c>
      <c r="AV1045" s="9" t="s">
        <v>406</v>
      </c>
      <c r="BA1045" s="8">
        <v>5</v>
      </c>
      <c r="BP1045" s="7">
        <v>7.18</v>
      </c>
      <c r="BR1045" s="6">
        <v>0.59</v>
      </c>
      <c r="BU1045" s="6">
        <v>1.88</v>
      </c>
      <c r="BV1045" s="6">
        <v>0.16</v>
      </c>
      <c r="DZ1045" s="31"/>
      <c r="EH1045" s="10">
        <f t="shared" si="49"/>
        <v>4.236199999999999E-2</v>
      </c>
      <c r="EK1045" s="10">
        <f>BP1045*BU1045/1000</f>
        <v>1.3498399999999999E-2</v>
      </c>
      <c r="EL1045" s="6">
        <f>BP1045*BV1045</f>
        <v>1.1488</v>
      </c>
      <c r="GP1045" s="32"/>
      <c r="GY1045" s="6" t="s">
        <v>338</v>
      </c>
      <c r="GZ1045" s="6" t="s">
        <v>994</v>
      </c>
      <c r="HA1045" s="6" t="s">
        <v>436</v>
      </c>
      <c r="HB1045" s="6" t="s">
        <v>462</v>
      </c>
      <c r="HC1045" s="6" t="s">
        <v>627</v>
      </c>
      <c r="HD1045" s="8" t="s">
        <v>995</v>
      </c>
      <c r="HE1045" s="8">
        <v>73364</v>
      </c>
      <c r="HF1045" s="8" t="s">
        <v>996</v>
      </c>
      <c r="HG1045" s="9" t="s">
        <v>997</v>
      </c>
      <c r="IB1045" s="8" t="s">
        <v>995</v>
      </c>
      <c r="IC1045" s="8">
        <v>73364</v>
      </c>
      <c r="ID1045" s="8" t="s">
        <v>998</v>
      </c>
      <c r="IE1045" s="9" t="s">
        <v>997</v>
      </c>
      <c r="IF1045" s="8" t="s">
        <v>319</v>
      </c>
      <c r="IW1045" s="8"/>
      <c r="JB1045" s="8"/>
      <c r="JX1045" s="7" t="s">
        <v>320</v>
      </c>
      <c r="JY1045" s="7" t="s">
        <v>354</v>
      </c>
      <c r="JZ1045" s="7" t="s">
        <v>353</v>
      </c>
      <c r="KG1045" s="4" t="s">
        <v>323</v>
      </c>
      <c r="KP1045" s="5" t="s">
        <v>358</v>
      </c>
      <c r="KQ1045" s="5" t="s">
        <v>2017</v>
      </c>
      <c r="KS1045" s="18" t="s">
        <v>2019</v>
      </c>
      <c r="KT1045" s="5" t="s">
        <v>2020</v>
      </c>
    </row>
    <row r="1046" spans="1:306" ht="132" x14ac:dyDescent="0.25">
      <c r="A1046" s="5" t="s">
        <v>6071</v>
      </c>
      <c r="B1046" s="4" t="s">
        <v>364</v>
      </c>
      <c r="C1046" s="7" t="s">
        <v>549</v>
      </c>
      <c r="D1046" s="8" t="s">
        <v>989</v>
      </c>
      <c r="E1046" s="4">
        <v>334834</v>
      </c>
      <c r="G1046" s="4" t="s">
        <v>427</v>
      </c>
      <c r="H1046" s="6">
        <v>146.86963</v>
      </c>
      <c r="I1046" s="6">
        <v>-31.25874</v>
      </c>
      <c r="J1046" s="4" t="s">
        <v>990</v>
      </c>
      <c r="K1046" s="4" t="s">
        <v>298</v>
      </c>
      <c r="L1046" s="4" t="s">
        <v>299</v>
      </c>
      <c r="M1046" s="4" t="s">
        <v>428</v>
      </c>
      <c r="N1046" s="4" t="s">
        <v>990</v>
      </c>
      <c r="Q1046" s="8"/>
      <c r="R1046" s="8"/>
      <c r="Z1046" s="4" t="s">
        <v>364</v>
      </c>
      <c r="AA1046" s="7" t="s">
        <v>549</v>
      </c>
      <c r="AB1046" s="8" t="s">
        <v>989</v>
      </c>
      <c r="AC1046" s="4" t="s">
        <v>301</v>
      </c>
      <c r="AD1046" s="4" t="s">
        <v>382</v>
      </c>
      <c r="AE1046" s="8">
        <v>479</v>
      </c>
      <c r="AF1046" s="8">
        <v>5</v>
      </c>
      <c r="AG1046" s="9" t="s">
        <v>379</v>
      </c>
      <c r="AH1046" s="9" t="s">
        <v>372</v>
      </c>
      <c r="AJ1046" s="9" t="s">
        <v>555</v>
      </c>
      <c r="AM1046" s="8">
        <v>4</v>
      </c>
      <c r="AN1046" s="4" t="s">
        <v>991</v>
      </c>
      <c r="AO1046" s="4" t="s">
        <v>382</v>
      </c>
      <c r="AP1046" s="4" t="s">
        <v>383</v>
      </c>
      <c r="AQ1046" s="7" t="s">
        <v>384</v>
      </c>
      <c r="AR1046" s="8" t="s">
        <v>827</v>
      </c>
      <c r="AS1046" s="8">
        <v>430</v>
      </c>
      <c r="AT1046" s="7"/>
      <c r="AU1046" s="9" t="s">
        <v>379</v>
      </c>
      <c r="AV1046" s="9" t="s">
        <v>380</v>
      </c>
      <c r="BA1046" s="8">
        <v>3</v>
      </c>
      <c r="BB1046" s="4" t="s">
        <v>381</v>
      </c>
      <c r="BC1046" s="4" t="s">
        <v>375</v>
      </c>
      <c r="BD1046" s="4" t="s">
        <v>383</v>
      </c>
      <c r="BE1046" s="7" t="s">
        <v>384</v>
      </c>
      <c r="BF1046" s="8" t="s">
        <v>827</v>
      </c>
      <c r="BG1046" s="7">
        <v>0</v>
      </c>
      <c r="BH1046" s="7">
        <v>0</v>
      </c>
      <c r="BI1046" s="9" t="s">
        <v>303</v>
      </c>
      <c r="BJ1046" s="9" t="s">
        <v>406</v>
      </c>
      <c r="BO1046" s="8">
        <v>5</v>
      </c>
      <c r="BP1046" s="7">
        <f>6.1+0.57+5.1</f>
        <v>11.77</v>
      </c>
      <c r="BR1046" s="7">
        <f>(1.69*6.1+1.5*0.57+1.5*5.1)/(6.1+0.57+5.1)</f>
        <v>1.5984706881903143</v>
      </c>
      <c r="BS1046" s="7"/>
      <c r="BU1046" s="7">
        <f>(0*6.1+5*0.57+5*5.1)/(6.1+0.57+5.1)</f>
        <v>2.4086661002548855</v>
      </c>
      <c r="BV1046" s="7">
        <f>(0*6.1+0.3*0.57+0.3*5.1)/(6.1+0.57+5.1)</f>
        <v>0.1445199660152931</v>
      </c>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s="7"/>
      <c r="CW1046" s="7"/>
      <c r="CX1046" s="7"/>
      <c r="CY1046" s="7"/>
      <c r="CZ1046" s="7"/>
      <c r="DA1046" s="7"/>
      <c r="DB1046" s="7"/>
      <c r="DC1046" s="7"/>
      <c r="DD1046" s="7"/>
      <c r="DE1046" s="7"/>
      <c r="DF1046" s="7"/>
      <c r="DG1046" s="7"/>
      <c r="DH1046" s="7"/>
      <c r="DI1046" s="7"/>
      <c r="DJ1046" s="7"/>
      <c r="DK1046" s="7"/>
      <c r="DL1046" s="7"/>
      <c r="DM1046" s="7"/>
      <c r="DN1046" s="7"/>
      <c r="DO1046" s="7"/>
      <c r="DP1046" s="7"/>
      <c r="DQ1046" s="7"/>
      <c r="DR1046" s="7"/>
      <c r="DS1046" s="7"/>
      <c r="DT1046" s="7"/>
      <c r="DU1046" s="7"/>
      <c r="DV1046" s="7"/>
      <c r="DW1046" s="7"/>
      <c r="DX1046" s="7"/>
      <c r="DY1046" s="7"/>
      <c r="DZ1046" s="31"/>
      <c r="EA1046" s="7"/>
      <c r="EB1046" s="7"/>
      <c r="EC1046" s="7"/>
      <c r="ED1046" s="7"/>
      <c r="EE1046" s="7"/>
      <c r="EF1046" s="7"/>
      <c r="EG1046" s="7"/>
      <c r="EH1046" s="10">
        <f t="shared" si="49"/>
        <v>0.18814</v>
      </c>
      <c r="EK1046" s="10">
        <f>BP1046*BU1046/1000</f>
        <v>2.835E-2</v>
      </c>
      <c r="EL1046" s="6">
        <f>BP1046*BV1046</f>
        <v>1.7009999999999996</v>
      </c>
      <c r="EY1046" s="6"/>
      <c r="FA1046" s="6"/>
      <c r="GP1046" s="32"/>
      <c r="GY1046" s="6" t="s">
        <v>435</v>
      </c>
      <c r="GZ1046" s="6" t="s">
        <v>994</v>
      </c>
      <c r="HB1046" s="6" t="s">
        <v>1432</v>
      </c>
      <c r="HC1046" s="6" t="s">
        <v>627</v>
      </c>
      <c r="HD1046" s="8" t="s">
        <v>995</v>
      </c>
      <c r="HE1046" s="8">
        <v>73364</v>
      </c>
      <c r="HF1046" s="8" t="s">
        <v>996</v>
      </c>
      <c r="HG1046" s="9" t="s">
        <v>997</v>
      </c>
      <c r="HY1046" s="9"/>
      <c r="IB1046" s="8" t="s">
        <v>995</v>
      </c>
      <c r="IC1046" s="8">
        <v>73364</v>
      </c>
      <c r="ID1046" s="8" t="s">
        <v>998</v>
      </c>
      <c r="IE1046" s="9" t="s">
        <v>997</v>
      </c>
      <c r="IF1046" s="8" t="s">
        <v>319</v>
      </c>
      <c r="IW1046" s="8"/>
      <c r="JB1046" s="8"/>
      <c r="JV1046" s="7" t="s">
        <v>6072</v>
      </c>
      <c r="JW1046" s="7" t="s">
        <v>352</v>
      </c>
      <c r="JX1046" s="7" t="s">
        <v>320</v>
      </c>
      <c r="JY1046" s="7" t="s">
        <v>448</v>
      </c>
      <c r="JZ1046" s="7" t="s">
        <v>353</v>
      </c>
      <c r="KG1046" s="4" t="s">
        <v>323</v>
      </c>
      <c r="KM1046" s="4" t="s">
        <v>391</v>
      </c>
      <c r="KN1046" s="4" t="s">
        <v>391</v>
      </c>
      <c r="KO1046" s="4" t="s">
        <v>350</v>
      </c>
      <c r="KP1046" s="18" t="s">
        <v>6073</v>
      </c>
      <c r="KQ1046" s="5" t="s">
        <v>6074</v>
      </c>
      <c r="KR1046" s="5" t="s">
        <v>1002</v>
      </c>
      <c r="KS1046" s="5" t="s">
        <v>6075</v>
      </c>
      <c r="KT1046" s="5" t="s">
        <v>6076</v>
      </c>
    </row>
    <row r="1047" spans="1:306" ht="132" x14ac:dyDescent="0.25">
      <c r="A1047" s="5" t="s">
        <v>6284</v>
      </c>
      <c r="B1047" s="4" t="s">
        <v>364</v>
      </c>
      <c r="C1047" s="7" t="s">
        <v>549</v>
      </c>
      <c r="D1047" s="8" t="s">
        <v>989</v>
      </c>
      <c r="E1047" s="4">
        <v>556700</v>
      </c>
      <c r="G1047" s="4" t="s">
        <v>427</v>
      </c>
      <c r="H1047" s="6">
        <v>146.84721999999999</v>
      </c>
      <c r="I1047" s="6">
        <v>-31.217559999999999</v>
      </c>
      <c r="J1047" s="4" t="s">
        <v>990</v>
      </c>
      <c r="K1047" s="4" t="s">
        <v>298</v>
      </c>
      <c r="L1047" s="4" t="s">
        <v>299</v>
      </c>
      <c r="M1047" s="4" t="s">
        <v>428</v>
      </c>
      <c r="N1047" s="4" t="s">
        <v>990</v>
      </c>
      <c r="Q1047" s="8"/>
      <c r="R1047" s="8"/>
      <c r="Z1047" s="4" t="s">
        <v>364</v>
      </c>
      <c r="AA1047" s="7" t="s">
        <v>549</v>
      </c>
      <c r="AB1047" s="8" t="s">
        <v>989</v>
      </c>
      <c r="AC1047" s="4" t="s">
        <v>301</v>
      </c>
      <c r="AD1047" s="4" t="s">
        <v>382</v>
      </c>
      <c r="AE1047" s="8">
        <v>479</v>
      </c>
      <c r="AF1047" s="8">
        <v>5</v>
      </c>
      <c r="AG1047" s="9" t="s">
        <v>379</v>
      </c>
      <c r="AH1047" s="9" t="s">
        <v>372</v>
      </c>
      <c r="AJ1047" s="9" t="s">
        <v>555</v>
      </c>
      <c r="AM1047" s="8">
        <v>4</v>
      </c>
      <c r="AN1047" s="4" t="s">
        <v>991</v>
      </c>
      <c r="AO1047" s="4" t="s">
        <v>382</v>
      </c>
      <c r="AP1047" s="4" t="s">
        <v>383</v>
      </c>
      <c r="AQ1047" s="7" t="s">
        <v>384</v>
      </c>
      <c r="AR1047" s="8" t="s">
        <v>827</v>
      </c>
      <c r="AS1047" s="8">
        <v>430</v>
      </c>
      <c r="AT1047" s="7"/>
      <c r="AU1047" s="9" t="s">
        <v>379</v>
      </c>
      <c r="AV1047" s="9" t="s">
        <v>380</v>
      </c>
      <c r="BA1047" s="8">
        <v>3</v>
      </c>
      <c r="BB1047" s="4" t="s">
        <v>381</v>
      </c>
      <c r="BC1047" s="4" t="s">
        <v>382</v>
      </c>
      <c r="BD1047" s="4" t="s">
        <v>383</v>
      </c>
      <c r="BE1047" s="7" t="s">
        <v>384</v>
      </c>
      <c r="BF1047" s="8" t="s">
        <v>827</v>
      </c>
      <c r="BG1047" s="7">
        <v>0</v>
      </c>
      <c r="BH1047" s="7">
        <v>0</v>
      </c>
      <c r="BI1047" s="9" t="s">
        <v>303</v>
      </c>
      <c r="BJ1047" s="9" t="s">
        <v>406</v>
      </c>
      <c r="BO1047" s="8">
        <v>5</v>
      </c>
      <c r="BP1047" s="7">
        <f>0.157+0.966+1.312</f>
        <v>2.4350000000000001</v>
      </c>
      <c r="BR1047" s="6">
        <f>(0.77*0.157+0.82*0.966+0.96*1.312)/(0.157+0.966+1.312)</f>
        <v>0.89220944558521564</v>
      </c>
      <c r="BS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s="7"/>
      <c r="CW1047" s="7"/>
      <c r="CX1047" s="7"/>
      <c r="CY1047" s="7"/>
      <c r="CZ1047" s="7"/>
      <c r="DA1047" s="7"/>
      <c r="DB1047" s="7"/>
      <c r="DC1047" s="7"/>
      <c r="DD1047" s="7"/>
      <c r="DE1047" s="7"/>
      <c r="DF1047" s="7"/>
      <c r="DG1047" s="7"/>
      <c r="DH1047" s="7"/>
      <c r="DI1047" s="7"/>
      <c r="DJ1047" s="7"/>
      <c r="DK1047" s="7"/>
      <c r="DL1047" s="7"/>
      <c r="DM1047" s="7"/>
      <c r="DN1047" s="7"/>
      <c r="DO1047" s="7"/>
      <c r="DP1047" s="7"/>
      <c r="DQ1047" s="7"/>
      <c r="DR1047" s="7"/>
      <c r="DS1047" s="7"/>
      <c r="DT1047" s="7"/>
      <c r="DU1047" s="7"/>
      <c r="DV1047" s="7"/>
      <c r="DW1047" s="7"/>
      <c r="DX1047" s="7"/>
      <c r="DY1047" s="7"/>
      <c r="DZ1047" s="31"/>
      <c r="EA1047" s="7"/>
      <c r="EB1047" s="7"/>
      <c r="EC1047" s="7"/>
      <c r="ED1047" s="7"/>
      <c r="EE1047" s="7"/>
      <c r="EF1047" s="7"/>
      <c r="EG1047" s="7"/>
      <c r="EH1047" s="10">
        <f t="shared" si="49"/>
        <v>2.1725299999999999E-2</v>
      </c>
      <c r="EY1047" s="6"/>
      <c r="FA1047" s="6"/>
      <c r="GP1047" s="32"/>
      <c r="GY1047" s="6" t="s">
        <v>309</v>
      </c>
      <c r="GZ1047" s="6" t="s">
        <v>994</v>
      </c>
      <c r="HC1047" s="6" t="s">
        <v>2705</v>
      </c>
      <c r="HD1047" s="8" t="s">
        <v>995</v>
      </c>
      <c r="HE1047" s="8">
        <v>73364</v>
      </c>
      <c r="HF1047" s="8" t="s">
        <v>996</v>
      </c>
      <c r="HG1047" s="9" t="s">
        <v>997</v>
      </c>
      <c r="HY1047" s="9"/>
      <c r="IB1047" s="8" t="s">
        <v>995</v>
      </c>
      <c r="IC1047" s="8">
        <v>73364</v>
      </c>
      <c r="ID1047" s="8" t="s">
        <v>998</v>
      </c>
      <c r="IE1047" s="9" t="s">
        <v>997</v>
      </c>
      <c r="IF1047" s="8" t="s">
        <v>319</v>
      </c>
      <c r="IW1047" s="8"/>
      <c r="JB1047" s="8"/>
      <c r="JX1047" s="7" t="s">
        <v>320</v>
      </c>
      <c r="JY1047" s="7" t="s">
        <v>448</v>
      </c>
      <c r="JZ1047" s="7" t="s">
        <v>353</v>
      </c>
      <c r="KG1047" s="4" t="s">
        <v>323</v>
      </c>
      <c r="KM1047" s="4" t="s">
        <v>391</v>
      </c>
      <c r="KN1047" s="4" t="s">
        <v>391</v>
      </c>
      <c r="KO1047" s="4" t="s">
        <v>350</v>
      </c>
      <c r="KP1047" s="18" t="s">
        <v>6285</v>
      </c>
      <c r="KQ1047" s="5" t="s">
        <v>3884</v>
      </c>
      <c r="KR1047" s="5" t="s">
        <v>1002</v>
      </c>
      <c r="KS1047" s="5" t="s">
        <v>3885</v>
      </c>
      <c r="KT1047" s="5" t="s">
        <v>6286</v>
      </c>
    </row>
    <row r="1048" spans="1:306" ht="48" x14ac:dyDescent="0.2">
      <c r="A1048" s="5" t="s">
        <v>6386</v>
      </c>
      <c r="B1048" s="4" t="s">
        <v>364</v>
      </c>
      <c r="C1048" s="7" t="s">
        <v>549</v>
      </c>
      <c r="D1048" s="8" t="s">
        <v>989</v>
      </c>
      <c r="E1048" s="44">
        <v>859622</v>
      </c>
      <c r="F1048" s="4">
        <v>1154631</v>
      </c>
      <c r="G1048" s="4" t="s">
        <v>479</v>
      </c>
      <c r="H1048" s="6">
        <v>144.24619999999999</v>
      </c>
      <c r="I1048" s="6">
        <v>-16.604500000000002</v>
      </c>
      <c r="J1048" s="4" t="s">
        <v>2738</v>
      </c>
      <c r="K1048" s="4" t="s">
        <v>298</v>
      </c>
      <c r="L1048" s="4" t="s">
        <v>1018</v>
      </c>
      <c r="M1048" s="4" t="s">
        <v>1019</v>
      </c>
      <c r="Q1048" s="8"/>
      <c r="R1048" s="8"/>
      <c r="Z1048" s="4" t="s">
        <v>364</v>
      </c>
      <c r="AA1048" s="7" t="s">
        <v>549</v>
      </c>
      <c r="AB1048" s="8" t="s">
        <v>989</v>
      </c>
      <c r="AC1048" s="4" t="s">
        <v>301</v>
      </c>
      <c r="AE1048" s="8">
        <v>388</v>
      </c>
      <c r="AF1048" s="8">
        <v>28</v>
      </c>
      <c r="AG1048" s="9" t="s">
        <v>379</v>
      </c>
      <c r="AH1048" s="9" t="s">
        <v>372</v>
      </c>
      <c r="AJ1048" s="9" t="s">
        <v>555</v>
      </c>
      <c r="AM1048" s="8">
        <v>4</v>
      </c>
      <c r="BP1048" s="7">
        <v>8.7999999999999995E-2</v>
      </c>
      <c r="BQ1048" s="9"/>
      <c r="BR1048" s="7">
        <f>100*EH1048/BP1048</f>
        <v>9.0159090909090907</v>
      </c>
      <c r="DZ1048" s="31"/>
      <c r="EH1048" s="10">
        <v>7.9340000000000001E-3</v>
      </c>
      <c r="EK1048" s="10">
        <v>9.7E-5</v>
      </c>
      <c r="EY1048" s="6"/>
      <c r="FA1048" s="6"/>
      <c r="GP1048" s="32"/>
      <c r="GY1048" s="6" t="s">
        <v>309</v>
      </c>
      <c r="GZ1048" s="6" t="s">
        <v>994</v>
      </c>
      <c r="HB1048" s="6" t="s">
        <v>2504</v>
      </c>
      <c r="HC1048" s="6" t="s">
        <v>627</v>
      </c>
      <c r="HD1048" s="8" t="s">
        <v>1023</v>
      </c>
      <c r="HE1048" s="8">
        <v>8404</v>
      </c>
      <c r="HF1048" s="8" t="s">
        <v>2739</v>
      </c>
      <c r="HG1048" s="9" t="s">
        <v>1025</v>
      </c>
      <c r="HY1048" s="9"/>
      <c r="IB1048" s="8" t="s">
        <v>1023</v>
      </c>
      <c r="IC1048" s="8">
        <v>8404</v>
      </c>
      <c r="ID1048" s="8" t="s">
        <v>2740</v>
      </c>
      <c r="IE1048" s="8" t="s">
        <v>1025</v>
      </c>
      <c r="IF1048" s="8" t="s">
        <v>810</v>
      </c>
      <c r="IR1048" s="9"/>
      <c r="JV1048" s="7" t="s">
        <v>6387</v>
      </c>
      <c r="JW1048" s="7" t="s">
        <v>352</v>
      </c>
      <c r="JX1048" s="7" t="s">
        <v>320</v>
      </c>
      <c r="KG1048" s="4" t="s">
        <v>323</v>
      </c>
      <c r="KM1048" s="4" t="s">
        <v>836</v>
      </c>
      <c r="KN1048" s="4" t="s">
        <v>836</v>
      </c>
      <c r="KO1048" s="4" t="s">
        <v>350</v>
      </c>
      <c r="KP1048" s="18" t="s">
        <v>6388</v>
      </c>
      <c r="KQ1048" s="5" t="s">
        <v>2741</v>
      </c>
      <c r="KR1048" s="5" t="s">
        <v>2742</v>
      </c>
      <c r="KS1048" s="5" t="s">
        <v>6389</v>
      </c>
      <c r="KT1048" s="5" t="s">
        <v>6390</v>
      </c>
    </row>
    <row r="1049" spans="1:306" ht="132" x14ac:dyDescent="0.25">
      <c r="A1049" s="5" t="s">
        <v>7686</v>
      </c>
      <c r="B1049" s="4" t="s">
        <v>364</v>
      </c>
      <c r="C1049" s="7" t="s">
        <v>549</v>
      </c>
      <c r="D1049" s="8" t="s">
        <v>989</v>
      </c>
      <c r="E1049" s="4">
        <v>335156</v>
      </c>
      <c r="G1049" s="4" t="s">
        <v>427</v>
      </c>
      <c r="H1049" s="6">
        <v>146.7216</v>
      </c>
      <c r="I1049" s="6">
        <v>-31.395600000000002</v>
      </c>
      <c r="J1049" s="4" t="s">
        <v>990</v>
      </c>
      <c r="K1049" s="4" t="s">
        <v>298</v>
      </c>
      <c r="L1049" s="4" t="s">
        <v>299</v>
      </c>
      <c r="M1049" s="4" t="s">
        <v>428</v>
      </c>
      <c r="N1049" s="4" t="s">
        <v>990</v>
      </c>
      <c r="Q1049" s="8"/>
      <c r="R1049" s="8"/>
      <c r="Z1049" s="4" t="s">
        <v>364</v>
      </c>
      <c r="AA1049" s="7" t="s">
        <v>549</v>
      </c>
      <c r="AB1049" s="8" t="s">
        <v>989</v>
      </c>
      <c r="AC1049" s="4" t="s">
        <v>301</v>
      </c>
      <c r="AD1049" s="4" t="s">
        <v>382</v>
      </c>
      <c r="AE1049" s="8">
        <v>479</v>
      </c>
      <c r="AF1049" s="8">
        <v>5</v>
      </c>
      <c r="AG1049" s="9" t="s">
        <v>379</v>
      </c>
      <c r="AH1049" s="9" t="s">
        <v>372</v>
      </c>
      <c r="AJ1049" s="9" t="s">
        <v>555</v>
      </c>
      <c r="AM1049" s="8">
        <v>4</v>
      </c>
      <c r="AN1049" s="4" t="s">
        <v>991</v>
      </c>
      <c r="AO1049" s="4" t="s">
        <v>382</v>
      </c>
      <c r="AP1049" s="4" t="s">
        <v>376</v>
      </c>
      <c r="AQ1049" s="7" t="s">
        <v>992</v>
      </c>
      <c r="AR1049" s="8" t="s">
        <v>993</v>
      </c>
      <c r="AS1049" s="8">
        <v>430</v>
      </c>
      <c r="AT1049" s="7"/>
      <c r="AU1049" s="9" t="s">
        <v>379</v>
      </c>
      <c r="AV1049" s="9" t="s">
        <v>380</v>
      </c>
      <c r="BA1049" s="8">
        <v>3</v>
      </c>
      <c r="BP1049" s="7">
        <v>26.13</v>
      </c>
      <c r="BR1049" s="6">
        <v>2.56</v>
      </c>
      <c r="BS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s="7"/>
      <c r="CW1049" s="7"/>
      <c r="CX1049" s="7"/>
      <c r="CY1049" s="7"/>
      <c r="CZ1049" s="7"/>
      <c r="DA1049" s="7"/>
      <c r="DB1049" s="7"/>
      <c r="DC1049" s="7"/>
      <c r="DD1049" s="7"/>
      <c r="DE1049" s="7"/>
      <c r="DF1049" s="7"/>
      <c r="DG1049" s="7"/>
      <c r="DH1049" s="7"/>
      <c r="DI1049" s="7"/>
      <c r="DJ1049" s="7"/>
      <c r="DK1049" s="7"/>
      <c r="DL1049" s="7"/>
      <c r="DM1049" s="7"/>
      <c r="DN1049" s="7"/>
      <c r="DO1049" s="7"/>
      <c r="DP1049" s="7"/>
      <c r="DQ1049" s="7"/>
      <c r="DR1049" s="7"/>
      <c r="DS1049" s="7"/>
      <c r="DT1049" s="7"/>
      <c r="DU1049" s="7"/>
      <c r="DV1049" s="7"/>
      <c r="DW1049" s="7"/>
      <c r="DX1049" s="7"/>
      <c r="DY1049" s="7"/>
      <c r="DZ1049" s="31"/>
      <c r="EA1049" s="7"/>
      <c r="EB1049" s="7"/>
      <c r="EC1049" s="7"/>
      <c r="ED1049" s="7"/>
      <c r="EE1049" s="7"/>
      <c r="EF1049" s="7"/>
      <c r="EG1049" s="7"/>
      <c r="EH1049" s="10">
        <f>BP1049*BR1049/100</f>
        <v>0.66892799999999997</v>
      </c>
      <c r="EY1049" s="6"/>
      <c r="FA1049" s="6"/>
      <c r="GP1049" s="32"/>
      <c r="GY1049" s="6" t="s">
        <v>309</v>
      </c>
      <c r="GZ1049" s="6" t="s">
        <v>994</v>
      </c>
      <c r="HB1049" s="6" t="s">
        <v>462</v>
      </c>
      <c r="HC1049" s="6" t="s">
        <v>627</v>
      </c>
      <c r="HD1049" s="8" t="s">
        <v>995</v>
      </c>
      <c r="HE1049" s="8">
        <v>73364</v>
      </c>
      <c r="HF1049" s="8" t="s">
        <v>996</v>
      </c>
      <c r="HG1049" s="9" t="s">
        <v>997</v>
      </c>
      <c r="HY1049" s="9"/>
      <c r="IB1049" s="8" t="s">
        <v>995</v>
      </c>
      <c r="IC1049" s="8">
        <v>73364</v>
      </c>
      <c r="ID1049" s="8" t="s">
        <v>998</v>
      </c>
      <c r="IE1049" s="9" t="s">
        <v>997</v>
      </c>
      <c r="IF1049" s="8" t="s">
        <v>319</v>
      </c>
      <c r="IW1049" s="8"/>
      <c r="JB1049" s="8"/>
      <c r="JV1049" s="7" t="s">
        <v>7687</v>
      </c>
      <c r="JW1049" s="7" t="s">
        <v>352</v>
      </c>
      <c r="JX1049" s="7" t="s">
        <v>320</v>
      </c>
      <c r="JY1049" s="7" t="s">
        <v>448</v>
      </c>
      <c r="JZ1049" s="7" t="s">
        <v>322</v>
      </c>
      <c r="KA1049" s="7" t="s">
        <v>321</v>
      </c>
      <c r="KB1049" s="7" t="s">
        <v>353</v>
      </c>
      <c r="KG1049" s="4" t="s">
        <v>323</v>
      </c>
      <c r="KM1049" s="4" t="s">
        <v>391</v>
      </c>
      <c r="KN1049" s="4" t="s">
        <v>391</v>
      </c>
      <c r="KO1049" s="4" t="s">
        <v>350</v>
      </c>
      <c r="KP1049" s="18" t="s">
        <v>7688</v>
      </c>
      <c r="KQ1049" s="5" t="s">
        <v>7689</v>
      </c>
      <c r="KR1049" s="5" t="s">
        <v>1002</v>
      </c>
      <c r="KS1049" s="5" t="s">
        <v>7690</v>
      </c>
      <c r="KT1049" s="5" t="s">
        <v>7691</v>
      </c>
    </row>
    <row r="1050" spans="1:306" ht="72" x14ac:dyDescent="0.25">
      <c r="A1050" s="5" t="s">
        <v>1185</v>
      </c>
      <c r="B1050" s="4" t="s">
        <v>364</v>
      </c>
      <c r="C1050" s="7" t="s">
        <v>549</v>
      </c>
      <c r="D1050" s="8" t="s">
        <v>1186</v>
      </c>
      <c r="E1050" s="38">
        <v>557970</v>
      </c>
      <c r="G1050" s="4" t="s">
        <v>530</v>
      </c>
      <c r="H1050" s="6">
        <v>135.31050340300001</v>
      </c>
      <c r="I1050" s="6">
        <v>-23.410216986999998</v>
      </c>
      <c r="J1050" s="4" t="s">
        <v>1185</v>
      </c>
      <c r="K1050" s="4" t="s">
        <v>481</v>
      </c>
      <c r="L1050" s="4" t="s">
        <v>580</v>
      </c>
      <c r="M1050" s="4" t="s">
        <v>1070</v>
      </c>
      <c r="Q1050" s="8"/>
      <c r="R1050" s="8"/>
      <c r="Z1050" s="4" t="s">
        <v>364</v>
      </c>
      <c r="AA1050" s="7" t="s">
        <v>549</v>
      </c>
      <c r="AB1050" s="8" t="s">
        <v>1186</v>
      </c>
      <c r="AC1050" s="4" t="s">
        <v>301</v>
      </c>
      <c r="AD1050" s="4" t="s">
        <v>302</v>
      </c>
      <c r="AE1050" s="8">
        <v>500</v>
      </c>
      <c r="AF1050" s="8">
        <v>20</v>
      </c>
      <c r="AG1050" s="9" t="s">
        <v>379</v>
      </c>
      <c r="AH1050" s="9" t="s">
        <v>460</v>
      </c>
      <c r="AM1050" s="8">
        <v>3</v>
      </c>
      <c r="BP1050" s="7">
        <v>26.5</v>
      </c>
      <c r="BR1050" s="6">
        <v>0.56999999999999995</v>
      </c>
      <c r="CK1050" s="6">
        <v>0.05</v>
      </c>
      <c r="DZ1050" s="31"/>
      <c r="EH1050" s="10">
        <f>BP1050*BR1050/100</f>
        <v>0.15104999999999999</v>
      </c>
      <c r="EZ1050" s="8">
        <f>1000*BP1050*CK1050/100</f>
        <v>13.25</v>
      </c>
      <c r="GP1050" s="32"/>
      <c r="GY1050" s="6" t="s">
        <v>338</v>
      </c>
      <c r="GZ1050" s="6" t="s">
        <v>1187</v>
      </c>
      <c r="HC1050" s="6" t="s">
        <v>1188</v>
      </c>
      <c r="HD1050" s="8" t="s">
        <v>1189</v>
      </c>
      <c r="HE1050" s="8">
        <v>16087</v>
      </c>
      <c r="HF1050" s="8" t="s">
        <v>1190</v>
      </c>
      <c r="HG1050" s="8" t="s">
        <v>698</v>
      </c>
      <c r="IB1050" s="8" t="s">
        <v>1189</v>
      </c>
      <c r="IC1050" s="8">
        <v>16087</v>
      </c>
      <c r="ID1050" s="8" t="s">
        <v>1190</v>
      </c>
      <c r="IE1050" s="8" t="s">
        <v>698</v>
      </c>
      <c r="IF1050" s="8" t="s">
        <v>319</v>
      </c>
      <c r="IW1050" s="8"/>
      <c r="JB1050" s="8"/>
      <c r="JV1050" s="7" t="s">
        <v>1191</v>
      </c>
      <c r="JX1050" s="7" t="s">
        <v>320</v>
      </c>
      <c r="JY1050" s="7" t="s">
        <v>470</v>
      </c>
      <c r="JZ1050" s="7" t="s">
        <v>322</v>
      </c>
      <c r="KA1050" s="7" t="s">
        <v>354</v>
      </c>
      <c r="KB1050" s="7" t="s">
        <v>353</v>
      </c>
      <c r="KG1050" s="4" t="s">
        <v>323</v>
      </c>
      <c r="KM1050" s="4" t="s">
        <v>1192</v>
      </c>
      <c r="KN1050" s="4" t="s">
        <v>888</v>
      </c>
      <c r="KO1050" s="4" t="s">
        <v>350</v>
      </c>
      <c r="KP1050" s="5" t="s">
        <v>1193</v>
      </c>
      <c r="KQ1050" s="5" t="s">
        <v>1194</v>
      </c>
      <c r="KR1050" s="5" t="s">
        <v>1194</v>
      </c>
      <c r="KS1050" s="5" t="s">
        <v>1195</v>
      </c>
      <c r="KT1050" s="5" t="s">
        <v>1196</v>
      </c>
    </row>
    <row r="1051" spans="1:306" ht="132" x14ac:dyDescent="0.25">
      <c r="A1051" s="5" t="s">
        <v>2722</v>
      </c>
      <c r="B1051" s="4" t="s">
        <v>364</v>
      </c>
      <c r="C1051" s="7" t="s">
        <v>549</v>
      </c>
      <c r="D1051" s="8" t="s">
        <v>1186</v>
      </c>
      <c r="G1051" s="4" t="s">
        <v>479</v>
      </c>
      <c r="H1051" s="6">
        <v>149.82130618799999</v>
      </c>
      <c r="I1051" s="6">
        <v>-23.029753150000001</v>
      </c>
      <c r="K1051" s="4" t="s">
        <v>298</v>
      </c>
      <c r="L1051" s="4" t="s">
        <v>552</v>
      </c>
      <c r="M1051" s="4" t="s">
        <v>2723</v>
      </c>
      <c r="Q1051" s="8"/>
      <c r="Z1051" s="4" t="s">
        <v>364</v>
      </c>
      <c r="AA1051" s="7" t="s">
        <v>549</v>
      </c>
      <c r="AB1051" s="8" t="s">
        <v>1186</v>
      </c>
      <c r="AC1051" s="4" t="s">
        <v>301</v>
      </c>
      <c r="AD1051" s="4" t="s">
        <v>375</v>
      </c>
      <c r="AE1051" s="8">
        <v>277</v>
      </c>
      <c r="AG1051" s="9" t="s">
        <v>379</v>
      </c>
      <c r="AH1051" s="9" t="s">
        <v>380</v>
      </c>
      <c r="AN1051" s="4" t="s">
        <v>381</v>
      </c>
      <c r="AO1051" s="4" t="s">
        <v>402</v>
      </c>
      <c r="AP1051" s="4" t="s">
        <v>383</v>
      </c>
      <c r="AQ1051" s="7" t="s">
        <v>384</v>
      </c>
      <c r="AR1051" s="8" t="s">
        <v>827</v>
      </c>
      <c r="AS1051" s="7">
        <v>0</v>
      </c>
      <c r="AT1051" s="7">
        <v>0</v>
      </c>
      <c r="AU1051" s="9" t="s">
        <v>379</v>
      </c>
      <c r="AV1051" s="9" t="s">
        <v>406</v>
      </c>
      <c r="BA1051" s="8">
        <v>5</v>
      </c>
      <c r="BP1051" s="7">
        <v>4.16</v>
      </c>
      <c r="BR1051" s="6">
        <v>1.29</v>
      </c>
      <c r="BS1051" s="6">
        <v>1.5</v>
      </c>
      <c r="BT1051" s="6">
        <v>0.03</v>
      </c>
      <c r="BU1051" s="7">
        <v>8</v>
      </c>
      <c r="BV1051" s="6">
        <v>0.22</v>
      </c>
      <c r="DZ1051" s="31"/>
      <c r="EH1051" s="10">
        <f>BP1051*BR1051/100</f>
        <v>5.3664000000000003E-2</v>
      </c>
      <c r="EI1051" s="10">
        <f>BP1051*BS1051/100</f>
        <v>6.2400000000000004E-2</v>
      </c>
      <c r="EJ1051" s="10">
        <f>BP1051*BT1051/100</f>
        <v>1.248E-3</v>
      </c>
      <c r="EK1051" s="10">
        <f>BP1051*BU1051/1000</f>
        <v>3.3280000000000004E-2</v>
      </c>
      <c r="EL1051" s="6">
        <f>BP1051*BV1051</f>
        <v>0.91520000000000001</v>
      </c>
      <c r="GP1051" s="32"/>
      <c r="GY1051" s="6" t="s">
        <v>338</v>
      </c>
      <c r="GZ1051" s="6" t="s">
        <v>626</v>
      </c>
      <c r="HB1051" s="6" t="s">
        <v>1007</v>
      </c>
      <c r="HC1051" s="6" t="s">
        <v>627</v>
      </c>
      <c r="HD1051" s="8" t="s">
        <v>2724</v>
      </c>
      <c r="HE1051" s="8">
        <v>16306</v>
      </c>
      <c r="HF1051" s="8" t="s">
        <v>2725</v>
      </c>
      <c r="HG1051" s="9" t="s">
        <v>2726</v>
      </c>
      <c r="IB1051" s="8" t="s">
        <v>2724</v>
      </c>
      <c r="IC1051" s="8">
        <v>16306</v>
      </c>
      <c r="ID1051" s="8" t="s">
        <v>2725</v>
      </c>
      <c r="IE1051" s="9" t="s">
        <v>2726</v>
      </c>
      <c r="IF1051" s="8" t="s">
        <v>319</v>
      </c>
      <c r="KP1051" s="5" t="s">
        <v>2727</v>
      </c>
      <c r="KQ1051" s="5" t="s">
        <v>2727</v>
      </c>
      <c r="KR1051" s="5" t="s">
        <v>2728</v>
      </c>
      <c r="KS1051" s="5" t="s">
        <v>2727</v>
      </c>
      <c r="KT1051" s="5" t="s">
        <v>2729</v>
      </c>
    </row>
    <row r="1052" spans="1:306" ht="72" x14ac:dyDescent="0.25">
      <c r="A1052" s="5" t="s">
        <v>1582</v>
      </c>
      <c r="B1052" s="4" t="s">
        <v>364</v>
      </c>
      <c r="C1052" s="7" t="s">
        <v>549</v>
      </c>
      <c r="D1052" s="8" t="s">
        <v>1583</v>
      </c>
      <c r="E1052" s="38">
        <v>636224</v>
      </c>
      <c r="G1052" s="4" t="s">
        <v>530</v>
      </c>
      <c r="H1052" s="6">
        <v>136.07171</v>
      </c>
      <c r="I1052" s="6">
        <v>-22.720040000000001</v>
      </c>
      <c r="K1052" s="4" t="s">
        <v>481</v>
      </c>
      <c r="L1052" s="4" t="s">
        <v>1498</v>
      </c>
      <c r="Q1052" s="8"/>
      <c r="R1052" s="8"/>
      <c r="Z1052" s="4" t="s">
        <v>364</v>
      </c>
      <c r="AA1052" s="7" t="s">
        <v>549</v>
      </c>
      <c r="AB1052" s="8" t="s">
        <v>1583</v>
      </c>
      <c r="AC1052" s="4" t="s">
        <v>301</v>
      </c>
      <c r="AD1052" s="4" t="s">
        <v>375</v>
      </c>
      <c r="AE1052" s="8">
        <v>1788</v>
      </c>
      <c r="AF1052" s="8">
        <v>6</v>
      </c>
      <c r="AG1052" s="9" t="s">
        <v>379</v>
      </c>
      <c r="AH1052" s="9" t="s">
        <v>372</v>
      </c>
      <c r="AI1052" s="9" t="s">
        <v>373</v>
      </c>
      <c r="AJ1052" s="9" t="s">
        <v>306</v>
      </c>
      <c r="AK1052" s="9" t="s">
        <v>307</v>
      </c>
      <c r="AL1052" s="9" t="s">
        <v>337</v>
      </c>
      <c r="AM1052" s="8">
        <v>3</v>
      </c>
      <c r="AN1052" s="4" t="s">
        <v>381</v>
      </c>
      <c r="AO1052" s="4" t="s">
        <v>382</v>
      </c>
      <c r="AP1052" s="4" t="s">
        <v>383</v>
      </c>
      <c r="AQ1052" s="7" t="s">
        <v>384</v>
      </c>
      <c r="AR1052" s="8" t="s">
        <v>827</v>
      </c>
      <c r="AS1052" s="7">
        <v>0</v>
      </c>
      <c r="AT1052" s="7">
        <v>0</v>
      </c>
      <c r="AU1052" s="9" t="s">
        <v>303</v>
      </c>
      <c r="AV1052" s="9" t="s">
        <v>406</v>
      </c>
      <c r="BA1052" s="8">
        <v>5</v>
      </c>
      <c r="BP1052" s="7">
        <v>0.23</v>
      </c>
      <c r="BR1052" s="7">
        <v>2</v>
      </c>
      <c r="DZ1052" s="31"/>
      <c r="EH1052" s="10">
        <f>BP1052*BR1052/100</f>
        <v>4.5999999999999999E-3</v>
      </c>
      <c r="GP1052" s="32"/>
      <c r="GY1052" s="6" t="s">
        <v>338</v>
      </c>
      <c r="GZ1052" s="6" t="s">
        <v>994</v>
      </c>
      <c r="HC1052" s="6" t="s">
        <v>1584</v>
      </c>
      <c r="HD1052" s="8" t="s">
        <v>1585</v>
      </c>
      <c r="HE1052" s="8">
        <v>28387</v>
      </c>
      <c r="HF1052" s="8" t="s">
        <v>1586</v>
      </c>
      <c r="HG1052" s="9" t="s">
        <v>538</v>
      </c>
      <c r="JX1052" s="7" t="s">
        <v>353</v>
      </c>
      <c r="JY1052" s="7" t="s">
        <v>321</v>
      </c>
      <c r="JZ1052" s="7" t="s">
        <v>320</v>
      </c>
      <c r="KP1052" s="18" t="s">
        <v>1587</v>
      </c>
      <c r="KQ1052" s="18" t="s">
        <v>1588</v>
      </c>
      <c r="KR1052" s="5" t="s">
        <v>1589</v>
      </c>
      <c r="KS1052" s="5" t="s">
        <v>1590</v>
      </c>
      <c r="KT1052" s="5" t="s">
        <v>1591</v>
      </c>
    </row>
    <row r="1053" spans="1:306" ht="96" x14ac:dyDescent="0.25">
      <c r="A1053" s="5" t="s">
        <v>1856</v>
      </c>
      <c r="B1053" s="4" t="s">
        <v>364</v>
      </c>
      <c r="C1053" s="7" t="s">
        <v>549</v>
      </c>
      <c r="D1053" s="8" t="s">
        <v>1583</v>
      </c>
      <c r="E1053" s="4">
        <v>333428</v>
      </c>
      <c r="G1053" s="4" t="s">
        <v>427</v>
      </c>
      <c r="H1053" s="6">
        <v>149.53540000000001</v>
      </c>
      <c r="I1053" s="6">
        <v>-33.961599999999997</v>
      </c>
      <c r="K1053" s="4" t="s">
        <v>298</v>
      </c>
      <c r="L1053" s="4" t="s">
        <v>299</v>
      </c>
      <c r="M1053" s="4" t="s">
        <v>1359</v>
      </c>
      <c r="N1053" s="4" t="s">
        <v>1545</v>
      </c>
      <c r="Q1053" s="8"/>
      <c r="R1053" s="8"/>
      <c r="Z1053" s="4" t="s">
        <v>364</v>
      </c>
      <c r="AA1053" s="7" t="s">
        <v>549</v>
      </c>
      <c r="AB1053" s="8" t="s">
        <v>1583</v>
      </c>
      <c r="AC1053" s="4" t="s">
        <v>301</v>
      </c>
      <c r="AD1053" s="4" t="s">
        <v>375</v>
      </c>
      <c r="AE1053" s="8">
        <v>421</v>
      </c>
      <c r="AF1053" s="8"/>
      <c r="AG1053" s="9" t="s">
        <v>379</v>
      </c>
      <c r="AH1053" s="9" t="s">
        <v>304</v>
      </c>
      <c r="AI1053" s="9" t="s">
        <v>1118</v>
      </c>
      <c r="AJ1053" s="9" t="s">
        <v>1080</v>
      </c>
      <c r="AK1053" s="9" t="s">
        <v>600</v>
      </c>
      <c r="AM1053" s="8">
        <v>2</v>
      </c>
      <c r="AS1053" s="7"/>
      <c r="AT1053" s="7"/>
      <c r="BP1053" s="7">
        <f>0.469626+1.68</f>
        <v>2.149626</v>
      </c>
      <c r="BQ1053" s="7"/>
      <c r="BR1053" s="7">
        <f>100*((15120+19443)/1000000)/(0.429626+1.68)</f>
        <v>1.638347271032875</v>
      </c>
      <c r="BS1053" s="7">
        <f>0.2*1.68/(0.469626+1.68)</f>
        <v>0.15630625978658613</v>
      </c>
      <c r="BU1053" s="8">
        <f>7*1.68/(0.469626+1.68)</f>
        <v>5.4707190925305147</v>
      </c>
      <c r="BV1053" s="7">
        <f>0.1*1.68/(0.469626+1.68)</f>
        <v>7.8153129893293066E-2</v>
      </c>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7"/>
      <c r="DA1053" s="7"/>
      <c r="DB1053" s="7"/>
      <c r="DC1053" s="7"/>
      <c r="DD1053" s="7"/>
      <c r="DE1053" s="7"/>
      <c r="DF1053" s="7"/>
      <c r="DG1053" s="7"/>
      <c r="DH1053" s="7"/>
      <c r="DI1053" s="7"/>
      <c r="DJ1053" s="7"/>
      <c r="DK1053" s="7"/>
      <c r="DL1053" s="7"/>
      <c r="DM1053" s="7"/>
      <c r="DN1053" s="7"/>
      <c r="DO1053" s="7"/>
      <c r="DP1053" s="7"/>
      <c r="DQ1053" s="7"/>
      <c r="DR1053" s="7"/>
      <c r="DS1053" s="7"/>
      <c r="DT1053" s="7"/>
      <c r="DU1053" s="7"/>
      <c r="DV1053" s="7"/>
      <c r="DW1053" s="7"/>
      <c r="DX1053" s="7"/>
      <c r="DY1053" s="7"/>
      <c r="DZ1053" s="31"/>
      <c r="EA1053" s="7"/>
      <c r="EB1053" s="7"/>
      <c r="EC1053" s="7"/>
      <c r="ED1053" s="7"/>
      <c r="EE1053" s="7"/>
      <c r="EF1053" s="7"/>
      <c r="EG1053" s="7"/>
      <c r="EH1053" s="9">
        <f>BP1053*BR1053/100</f>
        <v>3.5218338908413152E-2</v>
      </c>
      <c r="EI1053" s="10">
        <f>BP1053*BS1053/100</f>
        <v>3.3600000000000001E-3</v>
      </c>
      <c r="EJ1053" s="4"/>
      <c r="EK1053" s="9">
        <f>BP1053*BU1053/1000</f>
        <v>1.176E-2</v>
      </c>
      <c r="EL1053" s="6">
        <f>BP1053*BV1053</f>
        <v>0.16800000000000001</v>
      </c>
      <c r="EY1053" s="6"/>
      <c r="FA1053" s="6"/>
      <c r="GP1053" s="32"/>
      <c r="GY1053" s="6" t="s">
        <v>435</v>
      </c>
      <c r="GZ1053" s="6" t="s">
        <v>994</v>
      </c>
      <c r="HB1053" s="6" t="s">
        <v>1857</v>
      </c>
      <c r="HD1053" s="8" t="s">
        <v>1858</v>
      </c>
      <c r="HE1053" s="8">
        <v>16213</v>
      </c>
      <c r="HF1053" s="8" t="s">
        <v>1859</v>
      </c>
      <c r="HG1053" s="9" t="s">
        <v>440</v>
      </c>
      <c r="HY1053" s="9"/>
      <c r="IB1053" s="8" t="s">
        <v>1858</v>
      </c>
      <c r="IC1053" s="8">
        <v>16213</v>
      </c>
      <c r="ID1053" s="8" t="s">
        <v>1859</v>
      </c>
      <c r="IE1053" s="9" t="s">
        <v>440</v>
      </c>
      <c r="IF1053" s="8" t="s">
        <v>445</v>
      </c>
      <c r="IW1053" s="8"/>
      <c r="JB1053" s="8"/>
      <c r="JX1053" s="7" t="s">
        <v>322</v>
      </c>
      <c r="JY1053" s="7" t="s">
        <v>448</v>
      </c>
      <c r="JZ1053" s="7" t="s">
        <v>320</v>
      </c>
      <c r="KG1053" s="4" t="s">
        <v>323</v>
      </c>
      <c r="KP1053" s="5" t="s">
        <v>358</v>
      </c>
      <c r="KQ1053" s="5" t="s">
        <v>1860</v>
      </c>
      <c r="KR1053" s="5" t="s">
        <v>1861</v>
      </c>
      <c r="KS1053" s="5" t="s">
        <v>1862</v>
      </c>
      <c r="KT1053" s="5" t="s">
        <v>1863</v>
      </c>
    </row>
    <row r="1054" spans="1:306" ht="36" x14ac:dyDescent="0.25">
      <c r="A1054" s="5" t="s">
        <v>2338</v>
      </c>
      <c r="B1054" s="4" t="s">
        <v>364</v>
      </c>
      <c r="C1054" s="7" t="s">
        <v>549</v>
      </c>
      <c r="D1054" s="7" t="s">
        <v>1583</v>
      </c>
      <c r="E1054" s="38">
        <v>859641</v>
      </c>
      <c r="G1054" s="4" t="s">
        <v>330</v>
      </c>
      <c r="H1054" s="6">
        <f>120+39/60+50/3600</f>
        <v>120.66388888888889</v>
      </c>
      <c r="I1054" s="6">
        <f>-(21+55/60+50/3600)</f>
        <v>-21.930555555555557</v>
      </c>
      <c r="J1054" s="4" t="s">
        <v>2338</v>
      </c>
      <c r="K1054" s="4" t="s">
        <v>331</v>
      </c>
      <c r="L1054" s="4" t="s">
        <v>368</v>
      </c>
      <c r="M1054" s="4" t="s">
        <v>1210</v>
      </c>
      <c r="O1054" s="7"/>
      <c r="Q1054" s="8"/>
      <c r="R1054" s="8"/>
      <c r="Z1054" s="4" t="s">
        <v>364</v>
      </c>
      <c r="AA1054" s="7" t="s">
        <v>549</v>
      </c>
      <c r="AB1054" s="7" t="s">
        <v>1583</v>
      </c>
      <c r="AC1054" s="4" t="s">
        <v>301</v>
      </c>
      <c r="AD1054" s="4" t="s">
        <v>302</v>
      </c>
      <c r="AE1054" s="8">
        <v>2905</v>
      </c>
      <c r="AF1054" s="8"/>
      <c r="AG1054" s="9" t="s">
        <v>303</v>
      </c>
      <c r="AH1054" s="9" t="s">
        <v>304</v>
      </c>
      <c r="AI1054" s="9" t="s">
        <v>1118</v>
      </c>
      <c r="AJ1054" s="9" t="s">
        <v>1080</v>
      </c>
      <c r="AK1054" s="9" t="s">
        <v>600</v>
      </c>
      <c r="AM1054" s="8">
        <v>2</v>
      </c>
      <c r="AR1054" s="7"/>
      <c r="AS1054" s="8"/>
      <c r="AT1054" s="8"/>
      <c r="BF1054" s="7"/>
      <c r="BG1054" s="8"/>
      <c r="BH1054" s="8"/>
      <c r="DZ1054" s="31"/>
      <c r="FA1054" s="6"/>
      <c r="GP1054" s="32"/>
      <c r="GY1054" s="6" t="s">
        <v>407</v>
      </c>
      <c r="HD1054" s="8" t="s">
        <v>2339</v>
      </c>
      <c r="HE1054" s="8">
        <v>12410</v>
      </c>
      <c r="HF1054" s="8" t="s">
        <v>2340</v>
      </c>
      <c r="HG1054" s="9" t="s">
        <v>389</v>
      </c>
      <c r="IM1054" s="9"/>
      <c r="IR1054" s="9"/>
      <c r="JX1054" s="7" t="s">
        <v>320</v>
      </c>
      <c r="KG1054" s="4" t="s">
        <v>323</v>
      </c>
      <c r="KM1054" s="4" t="s">
        <v>391</v>
      </c>
      <c r="KN1054" s="4" t="s">
        <v>391</v>
      </c>
      <c r="KP1054" s="5" t="s">
        <v>2341</v>
      </c>
      <c r="KQ1054" s="5" t="s">
        <v>2342</v>
      </c>
      <c r="KR1054" s="5" t="s">
        <v>2343</v>
      </c>
    </row>
    <row r="1055" spans="1:306" ht="132" x14ac:dyDescent="0.25">
      <c r="A1055" s="5" t="s">
        <v>2936</v>
      </c>
      <c r="B1055" s="4" t="s">
        <v>364</v>
      </c>
      <c r="C1055" s="7" t="s">
        <v>549</v>
      </c>
      <c r="D1055" s="8" t="s">
        <v>1583</v>
      </c>
      <c r="E1055" s="4">
        <v>407941</v>
      </c>
      <c r="G1055" s="4" t="s">
        <v>530</v>
      </c>
      <c r="H1055" s="6">
        <v>134.02500000000001</v>
      </c>
      <c r="I1055" s="6">
        <v>-23.010300000000001</v>
      </c>
      <c r="J1055" s="4" t="s">
        <v>2262</v>
      </c>
      <c r="K1055" s="4" t="s">
        <v>481</v>
      </c>
      <c r="L1055" s="4" t="s">
        <v>1498</v>
      </c>
      <c r="M1055" s="4" t="s">
        <v>2263</v>
      </c>
      <c r="Q1055" s="8"/>
      <c r="R1055" s="8"/>
      <c r="Z1055" s="4" t="s">
        <v>364</v>
      </c>
      <c r="AA1055" s="7" t="s">
        <v>549</v>
      </c>
      <c r="AB1055" s="8" t="s">
        <v>1583</v>
      </c>
      <c r="AC1055" s="4" t="s">
        <v>301</v>
      </c>
      <c r="AD1055" s="4" t="s">
        <v>302</v>
      </c>
      <c r="AE1055" s="8">
        <v>1802</v>
      </c>
      <c r="AF1055" s="8">
        <v>5</v>
      </c>
      <c r="AG1055" s="9" t="s">
        <v>379</v>
      </c>
      <c r="AH1055" s="9" t="s">
        <v>372</v>
      </c>
      <c r="AI1055" s="9" t="s">
        <v>373</v>
      </c>
      <c r="AJ1055" s="9" t="s">
        <v>306</v>
      </c>
      <c r="AK1055" s="9" t="s">
        <v>307</v>
      </c>
      <c r="AL1055" s="9" t="s">
        <v>337</v>
      </c>
      <c r="AM1055" s="8">
        <v>4</v>
      </c>
      <c r="AN1055" s="4" t="s">
        <v>381</v>
      </c>
      <c r="AO1055" s="4" t="s">
        <v>402</v>
      </c>
      <c r="AP1055" s="4" t="s">
        <v>383</v>
      </c>
      <c r="AQ1055" s="7" t="s">
        <v>384</v>
      </c>
      <c r="AR1055" s="7" t="s">
        <v>827</v>
      </c>
      <c r="AS1055" s="7">
        <v>0</v>
      </c>
      <c r="AT1055" s="7">
        <v>0</v>
      </c>
      <c r="AU1055" s="9" t="s">
        <v>303</v>
      </c>
      <c r="AV1055" s="9" t="s">
        <v>406</v>
      </c>
      <c r="BA1055" s="8">
        <v>5</v>
      </c>
      <c r="BQ1055" s="7"/>
      <c r="BR1055" s="7"/>
      <c r="BS1055" s="7"/>
      <c r="DZ1055" s="31"/>
      <c r="EY1055" s="6"/>
      <c r="FA1055" s="6"/>
      <c r="GP1055" s="32"/>
      <c r="GY1055" s="6" t="s">
        <v>407</v>
      </c>
      <c r="HD1055" s="8" t="s">
        <v>2937</v>
      </c>
      <c r="HE1055" s="8">
        <v>20788</v>
      </c>
      <c r="HF1055" s="8" t="s">
        <v>2938</v>
      </c>
      <c r="HG1055" s="9" t="s">
        <v>538</v>
      </c>
      <c r="HY1055" s="9"/>
      <c r="ID1055" s="8" t="s">
        <v>2939</v>
      </c>
      <c r="IE1055" s="8" t="s">
        <v>538</v>
      </c>
      <c r="IF1055" s="8" t="s">
        <v>329</v>
      </c>
      <c r="IW1055" s="8"/>
      <c r="JB1055" s="8"/>
      <c r="JU1055" s="7" t="s">
        <v>2266</v>
      </c>
      <c r="JV1055" s="7" t="s">
        <v>2940</v>
      </c>
      <c r="JW1055" s="7" t="s">
        <v>352</v>
      </c>
      <c r="JX1055" s="7" t="s">
        <v>320</v>
      </c>
      <c r="KG1055" s="4" t="s">
        <v>323</v>
      </c>
      <c r="KM1055" s="4" t="s">
        <v>888</v>
      </c>
      <c r="KN1055" s="4" t="s">
        <v>888</v>
      </c>
      <c r="KP1055" s="5" t="s">
        <v>2268</v>
      </c>
      <c r="KQ1055" s="5" t="s">
        <v>2268</v>
      </c>
      <c r="KR1055" s="5" t="s">
        <v>2268</v>
      </c>
      <c r="KT1055" s="5" t="s">
        <v>2941</v>
      </c>
    </row>
    <row r="1056" spans="1:306" ht="228" x14ac:dyDescent="0.25">
      <c r="A1056" s="5" t="s">
        <v>3238</v>
      </c>
      <c r="B1056" s="4" t="s">
        <v>364</v>
      </c>
      <c r="C1056" s="7" t="s">
        <v>549</v>
      </c>
      <c r="D1056" s="8" t="s">
        <v>1583</v>
      </c>
      <c r="E1056" s="4">
        <v>455617</v>
      </c>
      <c r="G1056" s="4" t="s">
        <v>530</v>
      </c>
      <c r="H1056" s="6">
        <v>133.32220000000001</v>
      </c>
      <c r="I1056" s="6">
        <v>-19.927399999999999</v>
      </c>
      <c r="J1056" s="4" t="s">
        <v>3239</v>
      </c>
      <c r="K1056" s="4" t="s">
        <v>481</v>
      </c>
      <c r="L1056" s="4" t="s">
        <v>843</v>
      </c>
      <c r="Q1056" s="8"/>
      <c r="R1056" s="8"/>
      <c r="Z1056" s="4" t="s">
        <v>364</v>
      </c>
      <c r="AA1056" s="7" t="s">
        <v>549</v>
      </c>
      <c r="AB1056" s="8" t="s">
        <v>1583</v>
      </c>
      <c r="AC1056" s="4" t="s">
        <v>301</v>
      </c>
      <c r="AD1056" s="4" t="s">
        <v>302</v>
      </c>
      <c r="AE1056" s="8">
        <v>1724</v>
      </c>
      <c r="AF1056" s="8">
        <v>77</v>
      </c>
      <c r="AG1056" s="9" t="s">
        <v>379</v>
      </c>
      <c r="AH1056" s="9" t="s">
        <v>335</v>
      </c>
      <c r="AI1056" s="9" t="s">
        <v>3240</v>
      </c>
      <c r="AJ1056" s="9" t="s">
        <v>306</v>
      </c>
      <c r="AK1056" s="9" t="s">
        <v>1903</v>
      </c>
      <c r="AL1056" s="9" t="s">
        <v>308</v>
      </c>
      <c r="AM1056" s="8">
        <v>3</v>
      </c>
      <c r="AN1056" s="4" t="s">
        <v>381</v>
      </c>
      <c r="AO1056" s="4" t="s">
        <v>382</v>
      </c>
      <c r="AP1056" s="4" t="s">
        <v>383</v>
      </c>
      <c r="AQ1056" s="7" t="s">
        <v>384</v>
      </c>
      <c r="AR1056" s="8" t="s">
        <v>827</v>
      </c>
      <c r="BP1056" s="7">
        <v>11.868</v>
      </c>
      <c r="BS1056" s="6">
        <v>3.24</v>
      </c>
      <c r="BT1056" s="6">
        <v>2</v>
      </c>
      <c r="BU1056" s="7">
        <v>11.14</v>
      </c>
      <c r="DZ1056" s="31"/>
      <c r="EH1056" s="10">
        <v>2.0480399999999999E-2</v>
      </c>
      <c r="EI1056" s="10">
        <v>0.38452320000000001</v>
      </c>
      <c r="EJ1056" s="10">
        <v>0.23736000000000002</v>
      </c>
      <c r="EK1056" s="10">
        <v>3.9401759999999994E-2</v>
      </c>
      <c r="GP1056" s="32"/>
      <c r="GY1056" s="6" t="s">
        <v>338</v>
      </c>
      <c r="GZ1056" s="6" t="s">
        <v>461</v>
      </c>
      <c r="HB1056" s="6" t="s">
        <v>1988</v>
      </c>
      <c r="HC1056" s="6" t="s">
        <v>3241</v>
      </c>
      <c r="HD1056" s="8" t="s">
        <v>3242</v>
      </c>
      <c r="HE1056" s="8">
        <v>23318</v>
      </c>
      <c r="HF1056" s="8" t="s">
        <v>3243</v>
      </c>
      <c r="HG1056" s="9" t="s">
        <v>538</v>
      </c>
      <c r="IB1056" s="8" t="s">
        <v>849</v>
      </c>
      <c r="IC1056" s="8">
        <v>39127</v>
      </c>
      <c r="ID1056" s="8" t="s">
        <v>850</v>
      </c>
      <c r="IE1056" s="8" t="s">
        <v>538</v>
      </c>
      <c r="IF1056" s="8" t="s">
        <v>445</v>
      </c>
      <c r="IG1056" s="8" t="s">
        <v>851</v>
      </c>
      <c r="IH1056" s="8">
        <v>72693</v>
      </c>
      <c r="II1056" s="8" t="s">
        <v>852</v>
      </c>
      <c r="IJ1056" s="8" t="s">
        <v>538</v>
      </c>
      <c r="IK1056" s="8" t="s">
        <v>445</v>
      </c>
      <c r="IW1056" s="8"/>
      <c r="JB1056" s="8"/>
      <c r="JV1056" s="7" t="s">
        <v>3244</v>
      </c>
      <c r="JX1056" s="7" t="s">
        <v>320</v>
      </c>
      <c r="JY1056" s="7" t="s">
        <v>470</v>
      </c>
      <c r="JZ1056" s="7" t="s">
        <v>353</v>
      </c>
      <c r="KG1056" s="4" t="s">
        <v>323</v>
      </c>
      <c r="KM1056" s="4" t="s">
        <v>836</v>
      </c>
      <c r="KN1056" s="4" t="s">
        <v>836</v>
      </c>
      <c r="KP1056" s="5" t="s">
        <v>358</v>
      </c>
      <c r="KQ1056" s="5" t="s">
        <v>3245</v>
      </c>
      <c r="KR1056" s="5" t="s">
        <v>3246</v>
      </c>
      <c r="KS1056" s="5" t="s">
        <v>3247</v>
      </c>
      <c r="KT1056" s="5" t="s">
        <v>3248</v>
      </c>
    </row>
    <row r="1057" spans="1:306" ht="36" x14ac:dyDescent="0.25">
      <c r="A1057" s="5" t="s">
        <v>3399</v>
      </c>
      <c r="B1057" s="4" t="s">
        <v>364</v>
      </c>
      <c r="C1057" s="7" t="s">
        <v>549</v>
      </c>
      <c r="D1057" s="8" t="s">
        <v>1583</v>
      </c>
      <c r="E1057" s="4">
        <v>335112</v>
      </c>
      <c r="G1057" s="4" t="s">
        <v>427</v>
      </c>
      <c r="H1057" s="6">
        <v>149.05109999999999</v>
      </c>
      <c r="I1057" s="6">
        <v>-32.665100000000002</v>
      </c>
      <c r="J1057" s="4" t="s">
        <v>2286</v>
      </c>
      <c r="K1057" s="4" t="s">
        <v>298</v>
      </c>
      <c r="L1057" s="4" t="s">
        <v>299</v>
      </c>
      <c r="M1057" s="4" t="s">
        <v>1359</v>
      </c>
      <c r="N1057" s="4" t="s">
        <v>1545</v>
      </c>
      <c r="Q1057" s="8"/>
      <c r="R1057" s="8"/>
      <c r="S1057" s="7"/>
      <c r="T1057" s="7"/>
      <c r="Z1057" s="4" t="s">
        <v>364</v>
      </c>
      <c r="AA1057" s="7" t="s">
        <v>549</v>
      </c>
      <c r="AB1057" s="8" t="s">
        <v>1583</v>
      </c>
      <c r="AC1057" s="4" t="s">
        <v>301</v>
      </c>
      <c r="AD1057" s="4" t="s">
        <v>375</v>
      </c>
      <c r="AE1057" s="8">
        <v>420</v>
      </c>
      <c r="AF1057" s="8"/>
      <c r="AG1057" s="7" t="s">
        <v>379</v>
      </c>
      <c r="AH1057" s="7" t="s">
        <v>380</v>
      </c>
      <c r="AM1057" s="8">
        <v>3</v>
      </c>
      <c r="AS1057" s="7"/>
      <c r="AT1057" s="7"/>
      <c r="BP1057" s="7">
        <v>3.6</v>
      </c>
      <c r="BR1057" s="6">
        <v>0.82</v>
      </c>
      <c r="BS1057" s="7"/>
      <c r="BT1057" s="7"/>
      <c r="BV1057" s="6">
        <v>0.27</v>
      </c>
      <c r="DZ1057" s="31"/>
      <c r="EH1057" s="10">
        <f>BP1057*BR1057/100</f>
        <v>2.9520000000000001E-2</v>
      </c>
      <c r="EL1057" s="6">
        <f>BP1057*BV1057</f>
        <v>0.97200000000000009</v>
      </c>
      <c r="EY1057" s="6"/>
      <c r="FA1057" s="6"/>
      <c r="GP1057" s="32"/>
      <c r="GY1057" s="6" t="s">
        <v>338</v>
      </c>
      <c r="GZ1057" s="6" t="s">
        <v>994</v>
      </c>
      <c r="HA1057" s="6" t="s">
        <v>436</v>
      </c>
      <c r="HC1057" s="6" t="s">
        <v>3241</v>
      </c>
      <c r="HD1057" s="8" t="s">
        <v>2287</v>
      </c>
      <c r="HE1057" s="8">
        <v>7410</v>
      </c>
      <c r="HF1057" s="8" t="s">
        <v>2288</v>
      </c>
      <c r="HG1057" s="9" t="s">
        <v>1025</v>
      </c>
      <c r="HY1057" s="9"/>
      <c r="IB1057" s="8" t="s">
        <v>2287</v>
      </c>
      <c r="IC1057" s="8">
        <v>7410</v>
      </c>
      <c r="ID1057" s="8" t="s">
        <v>2288</v>
      </c>
      <c r="IE1057" s="9" t="s">
        <v>1025</v>
      </c>
      <c r="IF1057" s="8" t="s">
        <v>319</v>
      </c>
      <c r="IW1057" s="8"/>
      <c r="JB1057" s="8"/>
      <c r="JV1057" s="7" t="s">
        <v>3400</v>
      </c>
      <c r="JW1057" s="7" t="s">
        <v>352</v>
      </c>
      <c r="JX1057" s="7" t="s">
        <v>320</v>
      </c>
      <c r="KG1057" s="4" t="s">
        <v>323</v>
      </c>
      <c r="KP1057" s="5" t="s">
        <v>358</v>
      </c>
      <c r="KQ1057" s="5" t="s">
        <v>3401</v>
      </c>
      <c r="KS1057" s="5" t="s">
        <v>3402</v>
      </c>
      <c r="KT1057" s="5" t="s">
        <v>3403</v>
      </c>
    </row>
    <row r="1058" spans="1:306" ht="72" x14ac:dyDescent="0.25">
      <c r="A1058" s="5" t="s">
        <v>3866</v>
      </c>
      <c r="B1058" s="4" t="s">
        <v>364</v>
      </c>
      <c r="C1058" s="7" t="s">
        <v>549</v>
      </c>
      <c r="D1058" s="8" t="s">
        <v>1583</v>
      </c>
      <c r="E1058" s="4">
        <v>466857</v>
      </c>
      <c r="G1058" s="4" t="s">
        <v>427</v>
      </c>
      <c r="H1058" s="6">
        <v>149.1643</v>
      </c>
      <c r="I1058" s="6">
        <v>-36.116300000000003</v>
      </c>
      <c r="K1058" s="4" t="s">
        <v>298</v>
      </c>
      <c r="L1058" s="4" t="s">
        <v>299</v>
      </c>
      <c r="M1058" s="4" t="s">
        <v>1359</v>
      </c>
      <c r="N1058" s="4" t="s">
        <v>1987</v>
      </c>
      <c r="Q1058" s="7"/>
      <c r="R1058" s="7"/>
      <c r="Z1058" s="4" t="s">
        <v>364</v>
      </c>
      <c r="AA1058" s="7" t="s">
        <v>549</v>
      </c>
      <c r="AB1058" s="8" t="s">
        <v>1583</v>
      </c>
      <c r="AC1058" s="4" t="s">
        <v>301</v>
      </c>
      <c r="AD1058" s="4" t="s">
        <v>375</v>
      </c>
      <c r="AE1058" s="7">
        <v>425.1</v>
      </c>
      <c r="AF1058" s="7">
        <v>3.2</v>
      </c>
      <c r="AG1058" s="9" t="s">
        <v>379</v>
      </c>
      <c r="AH1058" s="9" t="s">
        <v>372</v>
      </c>
      <c r="AI1058" s="9" t="s">
        <v>373</v>
      </c>
      <c r="AJ1058" s="9" t="s">
        <v>306</v>
      </c>
      <c r="AL1058" s="9" t="s">
        <v>337</v>
      </c>
      <c r="AM1058" s="8">
        <v>4</v>
      </c>
      <c r="AS1058" s="7"/>
      <c r="AT1058" s="7"/>
      <c r="BP1058" s="7">
        <v>1.22</v>
      </c>
      <c r="BR1058" s="7">
        <v>0.5</v>
      </c>
      <c r="BS1058" s="7">
        <v>0.7</v>
      </c>
      <c r="BT1058" s="7">
        <v>0.4</v>
      </c>
      <c r="BU1058" s="7">
        <v>8.1</v>
      </c>
      <c r="BV1058" s="7">
        <v>0.8</v>
      </c>
      <c r="DZ1058" s="31"/>
      <c r="EH1058" s="10">
        <f>BP1058*BR1058/100</f>
        <v>6.0999999999999995E-3</v>
      </c>
      <c r="EI1058" s="10">
        <f t="shared" ref="EI1058:EI1067" si="50">BP1058*BS1058/100</f>
        <v>8.539999999999999E-3</v>
      </c>
      <c r="EJ1058" s="10">
        <f t="shared" ref="EJ1058:EJ1066" si="51">BP1058*BT1058/100</f>
        <v>4.8799999999999998E-3</v>
      </c>
      <c r="EK1058" s="10">
        <f t="shared" ref="EK1058:EK1066" si="52">BP1058*BU1058/1000</f>
        <v>9.8820000000000002E-3</v>
      </c>
      <c r="EL1058" s="6">
        <f>BP1058*BV1058</f>
        <v>0.97599999999999998</v>
      </c>
      <c r="EY1058" s="6"/>
      <c r="FA1058" s="6"/>
      <c r="GP1058" s="32"/>
      <c r="GY1058" s="6" t="s">
        <v>338</v>
      </c>
      <c r="GZ1058" s="6" t="s">
        <v>1528</v>
      </c>
      <c r="HA1058" s="6" t="s">
        <v>1049</v>
      </c>
      <c r="HB1058" s="6" t="s">
        <v>2547</v>
      </c>
      <c r="HC1058" s="6" t="s">
        <v>3241</v>
      </c>
      <c r="HD1058" s="8" t="s">
        <v>3867</v>
      </c>
      <c r="HE1058" s="8">
        <v>4334</v>
      </c>
      <c r="HF1058" s="8" t="s">
        <v>3868</v>
      </c>
      <c r="HG1058" s="9" t="s">
        <v>1025</v>
      </c>
      <c r="HY1058" s="9"/>
      <c r="IB1058" s="8" t="s">
        <v>3867</v>
      </c>
      <c r="IC1058" s="8">
        <v>4334</v>
      </c>
      <c r="ID1058" s="8" t="s">
        <v>3869</v>
      </c>
      <c r="IE1058" s="9" t="s">
        <v>1025</v>
      </c>
      <c r="IF1058" s="9" t="s">
        <v>319</v>
      </c>
      <c r="IH1058" s="9"/>
      <c r="II1058" s="9"/>
      <c r="IJ1058" s="9"/>
      <c r="IK1058" s="9"/>
      <c r="IM1058" s="9"/>
      <c r="IW1058" s="8"/>
      <c r="JB1058" s="8"/>
      <c r="JV1058" s="7" t="s">
        <v>1779</v>
      </c>
      <c r="JX1058" s="7" t="s">
        <v>320</v>
      </c>
      <c r="JY1058" s="7" t="s">
        <v>354</v>
      </c>
      <c r="JZ1058" s="7" t="s">
        <v>353</v>
      </c>
      <c r="KG1058" s="4" t="s">
        <v>356</v>
      </c>
      <c r="KH1058" s="4" t="s">
        <v>357</v>
      </c>
      <c r="KP1058" s="5" t="s">
        <v>358</v>
      </c>
      <c r="KQ1058" s="5" t="s">
        <v>3870</v>
      </c>
      <c r="KR1058" s="5" t="s">
        <v>1994</v>
      </c>
      <c r="KS1058" s="5" t="s">
        <v>3871</v>
      </c>
      <c r="KT1058" s="5" t="s">
        <v>718</v>
      </c>
    </row>
    <row r="1059" spans="1:306" ht="180" x14ac:dyDescent="0.25">
      <c r="A1059" s="5" t="s">
        <v>4196</v>
      </c>
      <c r="B1059" s="4" t="s">
        <v>364</v>
      </c>
      <c r="C1059" s="7" t="s">
        <v>549</v>
      </c>
      <c r="D1059" s="8" t="s">
        <v>1583</v>
      </c>
      <c r="E1059" s="4">
        <v>336109</v>
      </c>
      <c r="G1059" s="4" t="s">
        <v>530</v>
      </c>
      <c r="H1059" s="6">
        <v>131.55199999999999</v>
      </c>
      <c r="I1059" s="6">
        <v>-13.5137</v>
      </c>
      <c r="J1059" s="4" t="s">
        <v>4197</v>
      </c>
      <c r="K1059" s="4" t="s">
        <v>481</v>
      </c>
      <c r="L1059" s="4" t="s">
        <v>532</v>
      </c>
      <c r="Q1059" s="8"/>
      <c r="R1059" s="8"/>
      <c r="Z1059" s="4" t="s">
        <v>364</v>
      </c>
      <c r="AA1059" s="7" t="s">
        <v>549</v>
      </c>
      <c r="AB1059" s="8" t="s">
        <v>1583</v>
      </c>
      <c r="AC1059" s="4" t="s">
        <v>301</v>
      </c>
      <c r="AD1059" s="4" t="s">
        <v>375</v>
      </c>
      <c r="AE1059" s="8">
        <v>1863</v>
      </c>
      <c r="AF1059" s="8">
        <v>2</v>
      </c>
      <c r="AG1059" s="9" t="s">
        <v>379</v>
      </c>
      <c r="AH1059" s="9" t="s">
        <v>372</v>
      </c>
      <c r="AI1059" s="9" t="s">
        <v>373</v>
      </c>
      <c r="AJ1059" s="9" t="s">
        <v>306</v>
      </c>
      <c r="AK1059" s="9" t="s">
        <v>307</v>
      </c>
      <c r="AL1059" s="9" t="s">
        <v>337</v>
      </c>
      <c r="AM1059" s="8">
        <v>4</v>
      </c>
      <c r="AN1059" s="4" t="s">
        <v>381</v>
      </c>
      <c r="AO1059" s="4" t="s">
        <v>382</v>
      </c>
      <c r="AP1059" s="4" t="s">
        <v>383</v>
      </c>
      <c r="AQ1059" s="7" t="s">
        <v>384</v>
      </c>
      <c r="AR1059" s="7" t="s">
        <v>433</v>
      </c>
      <c r="AS1059" s="7">
        <v>0</v>
      </c>
      <c r="AT1059" s="7">
        <v>0</v>
      </c>
      <c r="AU1059" s="9" t="s">
        <v>303</v>
      </c>
      <c r="AV1059" s="9" t="s">
        <v>406</v>
      </c>
      <c r="BA1059" s="8">
        <v>5</v>
      </c>
      <c r="BP1059" s="7">
        <f>0.01+0.025+2.53</f>
        <v>2.5649999999999999</v>
      </c>
      <c r="BR1059" s="6">
        <f>(0*0.01+0*0.025+2.53*0.26)/(0.01+0.025+2.53)</f>
        <v>0.2564522417153996</v>
      </c>
      <c r="BS1059" s="6">
        <f>(0*0.01+0*0.025+2.53*4.71)/(0.01+0.025+2.53)</f>
        <v>4.6457309941520464</v>
      </c>
      <c r="BT1059" s="6">
        <f>(0*0.01+0*0.025+2.53*0.78)/(0.01+0.025+2.53)</f>
        <v>0.76935672514619879</v>
      </c>
      <c r="BU1059" s="8">
        <f>(250*0.01+360*0.025+2.53*122)/(0.01+0.025+2.53)</f>
        <v>124.81871345029239</v>
      </c>
      <c r="BV1059" s="6">
        <f>(9*0.01+7*0.025+2.53*2.1)/(0.01+0.025+2.53)</f>
        <v>2.1746588693957114</v>
      </c>
      <c r="DZ1059" s="31"/>
      <c r="EH1059" s="10">
        <f>BP1059*BR1059/100</f>
        <v>6.5779999999999996E-3</v>
      </c>
      <c r="EI1059" s="10">
        <f t="shared" si="50"/>
        <v>0.11916299999999998</v>
      </c>
      <c r="EJ1059" s="10">
        <f t="shared" si="51"/>
        <v>1.9733999999999998E-2</v>
      </c>
      <c r="EK1059" s="6">
        <f t="shared" si="52"/>
        <v>0.32015999999999994</v>
      </c>
      <c r="EL1059" s="7">
        <f>BP1059*BV1059</f>
        <v>5.5779999999999994</v>
      </c>
      <c r="GP1059" s="32"/>
      <c r="GY1059" s="6" t="s">
        <v>435</v>
      </c>
      <c r="GZ1059" s="6" t="s">
        <v>1857</v>
      </c>
      <c r="HB1059" s="6" t="s">
        <v>4198</v>
      </c>
      <c r="HC1059" s="6" t="s">
        <v>3241</v>
      </c>
      <c r="HD1059" s="8" t="s">
        <v>3183</v>
      </c>
      <c r="HE1059" s="8">
        <v>27066</v>
      </c>
      <c r="HF1059" s="8" t="s">
        <v>4199</v>
      </c>
      <c r="HG1059" s="4" t="s">
        <v>538</v>
      </c>
      <c r="IB1059" s="8" t="s">
        <v>1682</v>
      </c>
      <c r="IC1059" s="8">
        <v>27961</v>
      </c>
      <c r="ID1059" s="8" t="s">
        <v>4200</v>
      </c>
      <c r="IE1059" s="8" t="s">
        <v>538</v>
      </c>
      <c r="IF1059" s="8" t="s">
        <v>445</v>
      </c>
      <c r="IW1059" s="8"/>
      <c r="JB1059" s="8"/>
      <c r="JV1059" s="7" t="s">
        <v>4201</v>
      </c>
      <c r="KP1059" s="5" t="s">
        <v>358</v>
      </c>
      <c r="KQ1059" s="5" t="s">
        <v>4202</v>
      </c>
      <c r="KR1059" s="5" t="s">
        <v>4203</v>
      </c>
      <c r="KS1059" s="5" t="s">
        <v>4204</v>
      </c>
      <c r="KT1059" s="5" t="s">
        <v>4205</v>
      </c>
    </row>
    <row r="1060" spans="1:306" ht="36" x14ac:dyDescent="0.25">
      <c r="A1060" s="5" t="s">
        <v>4307</v>
      </c>
      <c r="B1060" s="4" t="s">
        <v>364</v>
      </c>
      <c r="C1060" s="7" t="s">
        <v>549</v>
      </c>
      <c r="D1060" s="8" t="s">
        <v>1583</v>
      </c>
      <c r="E1060" s="4">
        <v>336272</v>
      </c>
      <c r="G1060" s="4" t="s">
        <v>427</v>
      </c>
      <c r="H1060" s="6">
        <v>149.4187</v>
      </c>
      <c r="I1060" s="6">
        <v>-34.104999999999997</v>
      </c>
      <c r="J1060" s="4" t="s">
        <v>4308</v>
      </c>
      <c r="K1060" s="4" t="s">
        <v>298</v>
      </c>
      <c r="L1060" s="4" t="s">
        <v>299</v>
      </c>
      <c r="M1060" s="4" t="s">
        <v>1359</v>
      </c>
      <c r="N1060" s="4" t="s">
        <v>1545</v>
      </c>
      <c r="Q1060" s="8"/>
      <c r="R1060" s="8"/>
      <c r="S1060" s="7"/>
      <c r="T1060" s="7"/>
      <c r="Z1060" s="4" t="s">
        <v>364</v>
      </c>
      <c r="AA1060" s="7" t="s">
        <v>549</v>
      </c>
      <c r="AB1060" s="8" t="s">
        <v>1583</v>
      </c>
      <c r="AC1060" s="4" t="s">
        <v>301</v>
      </c>
      <c r="AD1060" s="4" t="s">
        <v>375</v>
      </c>
      <c r="AE1060" s="8">
        <v>420</v>
      </c>
      <c r="AF1060" s="8"/>
      <c r="AG1060" s="7" t="s">
        <v>379</v>
      </c>
      <c r="AH1060" s="7" t="s">
        <v>380</v>
      </c>
      <c r="AM1060" s="8">
        <v>3</v>
      </c>
      <c r="AS1060" s="7"/>
      <c r="AT1060" s="7"/>
      <c r="BP1060" s="7">
        <v>0.63600000000000001</v>
      </c>
      <c r="BQ1060" s="9"/>
      <c r="BR1060" s="7">
        <v>0.5</v>
      </c>
      <c r="BS1060" s="7">
        <v>4.4000000000000004</v>
      </c>
      <c r="BT1060" s="7">
        <v>1</v>
      </c>
      <c r="BU1060" s="8">
        <v>15</v>
      </c>
      <c r="DZ1060" s="31"/>
      <c r="EH1060" s="10">
        <f>BP1060*BR1060/100</f>
        <v>3.1800000000000001E-3</v>
      </c>
      <c r="EI1060" s="10">
        <f t="shared" si="50"/>
        <v>2.7984000000000005E-2</v>
      </c>
      <c r="EJ1060" s="10">
        <f t="shared" si="51"/>
        <v>6.3600000000000002E-3</v>
      </c>
      <c r="EK1060" s="10">
        <f t="shared" si="52"/>
        <v>9.5400000000000016E-3</v>
      </c>
      <c r="EY1060" s="6"/>
      <c r="FA1060" s="6"/>
      <c r="GP1060" s="32"/>
      <c r="GY1060" s="6" t="s">
        <v>338</v>
      </c>
      <c r="GZ1060" s="6" t="s">
        <v>734</v>
      </c>
      <c r="HA1060" s="6" t="s">
        <v>339</v>
      </c>
      <c r="HB1060" s="6" t="s">
        <v>462</v>
      </c>
      <c r="HC1060" s="6" t="s">
        <v>3241</v>
      </c>
      <c r="HD1060" s="8" t="s">
        <v>4309</v>
      </c>
      <c r="HE1060" s="8">
        <v>9206</v>
      </c>
      <c r="HF1060" s="8" t="s">
        <v>4310</v>
      </c>
      <c r="HG1060" s="8" t="s">
        <v>1025</v>
      </c>
      <c r="HY1060" s="9"/>
      <c r="IB1060" s="8" t="s">
        <v>4309</v>
      </c>
      <c r="IC1060" s="8">
        <v>9206</v>
      </c>
      <c r="ID1060" s="8" t="s">
        <v>4310</v>
      </c>
      <c r="IE1060" s="8" t="s">
        <v>1025</v>
      </c>
      <c r="IF1060" s="8" t="s">
        <v>319</v>
      </c>
      <c r="IW1060" s="8"/>
      <c r="JB1060" s="8"/>
      <c r="JW1060" s="7" t="s">
        <v>1772</v>
      </c>
      <c r="JX1060" s="7" t="s">
        <v>320</v>
      </c>
      <c r="KG1060" s="4" t="s">
        <v>323</v>
      </c>
      <c r="KM1060" s="4" t="s">
        <v>391</v>
      </c>
      <c r="KN1060" s="4" t="s">
        <v>391</v>
      </c>
      <c r="KO1060" s="4" t="s">
        <v>350</v>
      </c>
      <c r="KP1060" s="5" t="s">
        <v>358</v>
      </c>
      <c r="KQ1060" s="5" t="s">
        <v>4311</v>
      </c>
      <c r="KS1060" s="5" t="s">
        <v>2553</v>
      </c>
      <c r="KT1060" s="5" t="s">
        <v>4312</v>
      </c>
    </row>
    <row r="1061" spans="1:306" ht="84" x14ac:dyDescent="0.25">
      <c r="A1061" s="5" t="s">
        <v>4554</v>
      </c>
      <c r="B1061" s="4" t="s">
        <v>364</v>
      </c>
      <c r="C1061" s="7" t="s">
        <v>549</v>
      </c>
      <c r="D1061" s="8" t="s">
        <v>1583</v>
      </c>
      <c r="E1061" s="4">
        <v>333497</v>
      </c>
      <c r="G1061" s="4" t="s">
        <v>427</v>
      </c>
      <c r="H1061" s="6">
        <v>149.261</v>
      </c>
      <c r="I1061" s="6">
        <v>-33.778300000000002</v>
      </c>
      <c r="J1061" s="4" t="s">
        <v>2433</v>
      </c>
      <c r="K1061" s="4" t="s">
        <v>298</v>
      </c>
      <c r="L1061" s="4" t="s">
        <v>299</v>
      </c>
      <c r="M1061" s="4" t="s">
        <v>1359</v>
      </c>
      <c r="N1061" s="4" t="s">
        <v>1545</v>
      </c>
      <c r="Q1061" s="8"/>
      <c r="R1061" s="8"/>
      <c r="Z1061" s="4" t="s">
        <v>364</v>
      </c>
      <c r="AA1061" s="7" t="s">
        <v>549</v>
      </c>
      <c r="AB1061" s="8" t="s">
        <v>1583</v>
      </c>
      <c r="AC1061" s="4" t="s">
        <v>301</v>
      </c>
      <c r="AD1061" s="4" t="s">
        <v>375</v>
      </c>
      <c r="AE1061" s="8">
        <v>420</v>
      </c>
      <c r="AF1061" s="8"/>
      <c r="AG1061" s="9" t="s">
        <v>379</v>
      </c>
      <c r="AH1061" s="9" t="s">
        <v>1156</v>
      </c>
      <c r="AM1061" s="8">
        <v>3</v>
      </c>
      <c r="AN1061" s="4" t="s">
        <v>381</v>
      </c>
      <c r="AO1061" s="4" t="s">
        <v>382</v>
      </c>
      <c r="AP1061" s="4" t="s">
        <v>383</v>
      </c>
      <c r="AQ1061" s="7" t="s">
        <v>384</v>
      </c>
      <c r="AR1061" s="8" t="s">
        <v>1048</v>
      </c>
      <c r="AS1061" s="7">
        <v>0</v>
      </c>
      <c r="AT1061" s="7">
        <v>0</v>
      </c>
      <c r="AU1061" s="9" t="s">
        <v>303</v>
      </c>
      <c r="AV1061" s="9" t="s">
        <v>406</v>
      </c>
      <c r="BA1061" s="8">
        <v>5</v>
      </c>
      <c r="BP1061" s="7">
        <v>38.9</v>
      </c>
      <c r="BS1061" s="6">
        <v>1.1000000000000001</v>
      </c>
      <c r="BT1061" s="6">
        <v>0.47</v>
      </c>
      <c r="BU1061" s="6">
        <v>34.26</v>
      </c>
      <c r="BV1061" s="6">
        <v>0.12</v>
      </c>
      <c r="DZ1061" s="31"/>
      <c r="EI1061" s="10">
        <f t="shared" si="50"/>
        <v>0.4279</v>
      </c>
      <c r="EJ1061" s="10">
        <f t="shared" si="51"/>
        <v>0.18282999999999996</v>
      </c>
      <c r="EK1061" s="10">
        <f t="shared" si="52"/>
        <v>1.332714</v>
      </c>
      <c r="EL1061" s="6">
        <f t="shared" ref="EL1061:EL1066" si="53">BP1061*BV1061</f>
        <v>4.6679999999999993</v>
      </c>
      <c r="EY1061" s="6"/>
      <c r="FA1061" s="6"/>
      <c r="GP1061" s="32"/>
      <c r="GY1061" s="6" t="s">
        <v>338</v>
      </c>
      <c r="GZ1061" s="6" t="s">
        <v>1386</v>
      </c>
      <c r="HA1061" s="6" t="s">
        <v>339</v>
      </c>
      <c r="HB1061" s="6" t="s">
        <v>436</v>
      </c>
      <c r="HC1061" s="6" t="s">
        <v>3241</v>
      </c>
      <c r="HD1061" s="8" t="s">
        <v>4309</v>
      </c>
      <c r="HE1061" s="8">
        <v>9206</v>
      </c>
      <c r="HF1061" s="8" t="s">
        <v>4555</v>
      </c>
      <c r="HG1061" s="8" t="s">
        <v>1025</v>
      </c>
      <c r="HY1061" s="9"/>
      <c r="IB1061" s="8" t="s">
        <v>4309</v>
      </c>
      <c r="IC1061" s="8">
        <v>9206</v>
      </c>
      <c r="ID1061" s="8" t="s">
        <v>4555</v>
      </c>
      <c r="IE1061" s="8" t="s">
        <v>1025</v>
      </c>
      <c r="IF1061" s="8" t="s">
        <v>319</v>
      </c>
      <c r="IW1061" s="8"/>
      <c r="JB1061" s="8"/>
      <c r="JV1061" s="7" t="s">
        <v>4556</v>
      </c>
      <c r="JW1061" s="7" t="s">
        <v>352</v>
      </c>
      <c r="JX1061" s="7" t="s">
        <v>320</v>
      </c>
      <c r="KG1061" s="4" t="s">
        <v>356</v>
      </c>
      <c r="KH1061" s="4" t="s">
        <v>357</v>
      </c>
      <c r="KM1061" s="4" t="s">
        <v>391</v>
      </c>
      <c r="KN1061" s="4" t="s">
        <v>391</v>
      </c>
      <c r="KO1061" s="4" t="s">
        <v>350</v>
      </c>
      <c r="KP1061" s="5" t="s">
        <v>358</v>
      </c>
      <c r="KQ1061" s="5" t="s">
        <v>4557</v>
      </c>
      <c r="KS1061" s="5" t="s">
        <v>4558</v>
      </c>
      <c r="KT1061" s="5" t="s">
        <v>4559</v>
      </c>
    </row>
    <row r="1062" spans="1:306" ht="84" x14ac:dyDescent="0.25">
      <c r="A1062" s="5" t="s">
        <v>4853</v>
      </c>
      <c r="B1062" s="4" t="s">
        <v>364</v>
      </c>
      <c r="C1062" s="7" t="s">
        <v>549</v>
      </c>
      <c r="D1062" s="8" t="s">
        <v>1583</v>
      </c>
      <c r="E1062" s="4">
        <v>333403</v>
      </c>
      <c r="G1062" s="4" t="s">
        <v>427</v>
      </c>
      <c r="H1062" s="6">
        <v>149.2672</v>
      </c>
      <c r="I1062" s="6">
        <v>-33.261299999999999</v>
      </c>
      <c r="J1062" s="4" t="s">
        <v>2754</v>
      </c>
      <c r="K1062" s="4" t="s">
        <v>298</v>
      </c>
      <c r="L1062" s="4" t="s">
        <v>299</v>
      </c>
      <c r="M1062" s="4" t="s">
        <v>1359</v>
      </c>
      <c r="N1062" s="4" t="s">
        <v>1545</v>
      </c>
      <c r="Q1062" s="8"/>
      <c r="R1062" s="8"/>
      <c r="Z1062" s="4" t="s">
        <v>364</v>
      </c>
      <c r="AA1062" s="7" t="s">
        <v>549</v>
      </c>
      <c r="AB1062" s="8" t="s">
        <v>1583</v>
      </c>
      <c r="AC1062" s="4" t="s">
        <v>301</v>
      </c>
      <c r="AD1062" s="4" t="s">
        <v>375</v>
      </c>
      <c r="AE1062" s="8">
        <v>417</v>
      </c>
      <c r="AF1062" s="8">
        <v>4</v>
      </c>
      <c r="AG1062" s="9" t="s">
        <v>379</v>
      </c>
      <c r="AH1062" s="9" t="s">
        <v>372</v>
      </c>
      <c r="AI1062" s="9" t="s">
        <v>373</v>
      </c>
      <c r="AJ1062" s="9" t="s">
        <v>306</v>
      </c>
      <c r="AK1062" s="9" t="s">
        <v>307</v>
      </c>
      <c r="AL1062" s="9" t="s">
        <v>337</v>
      </c>
      <c r="AM1062" s="8">
        <v>3</v>
      </c>
      <c r="AS1062" s="7"/>
      <c r="AT1062" s="7"/>
      <c r="BP1062" s="7">
        <v>6.2</v>
      </c>
      <c r="BR1062" s="7">
        <v>0.2</v>
      </c>
      <c r="BS1062" s="7">
        <v>2.7</v>
      </c>
      <c r="BT1062" s="7">
        <v>1.6</v>
      </c>
      <c r="BU1062" s="7">
        <v>80</v>
      </c>
      <c r="BV1062" s="7">
        <v>2</v>
      </c>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s="7"/>
      <c r="CW1062" s="7"/>
      <c r="CX1062" s="7"/>
      <c r="CY1062" s="7"/>
      <c r="CZ1062" s="7"/>
      <c r="DA1062" s="7"/>
      <c r="DB1062" s="7"/>
      <c r="DC1062" s="7"/>
      <c r="DD1062" s="7"/>
      <c r="DE1062" s="7"/>
      <c r="DF1062" s="7"/>
      <c r="DG1062" s="7"/>
      <c r="DH1062" s="7"/>
      <c r="DI1062" s="7"/>
      <c r="DJ1062" s="7"/>
      <c r="DK1062" s="7"/>
      <c r="DL1062" s="7"/>
      <c r="DM1062" s="7"/>
      <c r="DN1062" s="7"/>
      <c r="DO1062" s="7"/>
      <c r="DP1062" s="7"/>
      <c r="DQ1062" s="7"/>
      <c r="DR1062" s="7"/>
      <c r="DS1062" s="7"/>
      <c r="DT1062" s="7"/>
      <c r="DU1062" s="7"/>
      <c r="DV1062" s="7"/>
      <c r="DW1062" s="7"/>
      <c r="DX1062" s="7"/>
      <c r="DY1062" s="7"/>
      <c r="DZ1062" s="31"/>
      <c r="EA1062" s="7"/>
      <c r="EB1062" s="7"/>
      <c r="EC1062" s="7"/>
      <c r="ED1062" s="7"/>
      <c r="EE1062" s="7"/>
      <c r="EF1062" s="7"/>
      <c r="EG1062" s="7"/>
      <c r="EH1062" s="10">
        <f>BP1062*BR1062/100</f>
        <v>1.2400000000000001E-2</v>
      </c>
      <c r="EI1062" s="10">
        <f t="shared" si="50"/>
        <v>0.16740000000000002</v>
      </c>
      <c r="EJ1062" s="10">
        <f t="shared" si="51"/>
        <v>9.920000000000001E-2</v>
      </c>
      <c r="EK1062" s="10">
        <f t="shared" si="52"/>
        <v>0.496</v>
      </c>
      <c r="EL1062" s="6">
        <f t="shared" si="53"/>
        <v>12.4</v>
      </c>
      <c r="EY1062" s="6"/>
      <c r="FA1062" s="6"/>
      <c r="GP1062" s="32"/>
      <c r="GY1062" s="6" t="s">
        <v>338</v>
      </c>
      <c r="GZ1062" s="6" t="s">
        <v>4854</v>
      </c>
      <c r="HA1062" s="6" t="s">
        <v>3051</v>
      </c>
      <c r="HB1062" s="6" t="s">
        <v>994</v>
      </c>
      <c r="HC1062" s="6" t="s">
        <v>3241</v>
      </c>
      <c r="HD1062" s="8" t="s">
        <v>4855</v>
      </c>
      <c r="HE1062" s="8">
        <v>29659</v>
      </c>
      <c r="HF1062" s="8" t="s">
        <v>4856</v>
      </c>
      <c r="HG1062" s="9" t="s">
        <v>2517</v>
      </c>
      <c r="HY1062" s="9"/>
      <c r="IB1062" s="8" t="s">
        <v>4855</v>
      </c>
      <c r="IC1062" s="8">
        <v>29659</v>
      </c>
      <c r="ID1062" s="8" t="s">
        <v>4856</v>
      </c>
      <c r="IE1062" s="9" t="s">
        <v>2517</v>
      </c>
      <c r="IF1062" s="8" t="s">
        <v>319</v>
      </c>
      <c r="IG1062" s="8" t="s">
        <v>4857</v>
      </c>
      <c r="IH1062" s="8">
        <v>13397</v>
      </c>
      <c r="II1062" s="8" t="s">
        <v>4858</v>
      </c>
      <c r="IJ1062" s="8" t="s">
        <v>1760</v>
      </c>
      <c r="IK1062" s="8" t="s">
        <v>350</v>
      </c>
      <c r="IW1062" s="8"/>
      <c r="JB1062" s="8"/>
      <c r="JV1062" s="7" t="s">
        <v>4859</v>
      </c>
      <c r="JW1062" s="7" t="s">
        <v>352</v>
      </c>
      <c r="JX1062" s="7" t="s">
        <v>320</v>
      </c>
      <c r="JY1062" s="7" t="s">
        <v>354</v>
      </c>
      <c r="JZ1062" s="7" t="s">
        <v>322</v>
      </c>
      <c r="KG1062" s="4" t="s">
        <v>4860</v>
      </c>
      <c r="KH1062" s="4" t="s">
        <v>1317</v>
      </c>
      <c r="KM1062" s="4" t="s">
        <v>391</v>
      </c>
      <c r="KN1062" s="4" t="s">
        <v>391</v>
      </c>
      <c r="KO1062" s="4" t="s">
        <v>350</v>
      </c>
      <c r="KP1062" s="5" t="s">
        <v>358</v>
      </c>
      <c r="KQ1062" s="5" t="s">
        <v>4861</v>
      </c>
      <c r="KR1062" s="5" t="s">
        <v>4862</v>
      </c>
      <c r="KS1062" s="5" t="s">
        <v>4863</v>
      </c>
      <c r="KT1062" s="5" t="s">
        <v>4864</v>
      </c>
    </row>
    <row r="1063" spans="1:306" ht="84" x14ac:dyDescent="0.25">
      <c r="A1063" s="5" t="s">
        <v>4969</v>
      </c>
      <c r="B1063" s="4" t="s">
        <v>476</v>
      </c>
      <c r="C1063" s="7" t="s">
        <v>1557</v>
      </c>
      <c r="D1063" s="8" t="s">
        <v>1503</v>
      </c>
      <c r="E1063" s="4">
        <v>527949</v>
      </c>
      <c r="G1063" s="4" t="s">
        <v>427</v>
      </c>
      <c r="H1063" s="6">
        <v>146.1</v>
      </c>
      <c r="I1063" s="6">
        <v>-32.412999999999997</v>
      </c>
      <c r="J1063" s="4" t="s">
        <v>4969</v>
      </c>
      <c r="K1063" s="4" t="s">
        <v>298</v>
      </c>
      <c r="L1063" s="4" t="s">
        <v>299</v>
      </c>
      <c r="M1063" s="4" t="s">
        <v>428</v>
      </c>
      <c r="N1063" s="4" t="s">
        <v>1757</v>
      </c>
      <c r="Q1063" s="8"/>
      <c r="R1063" s="8"/>
      <c r="S1063" s="4"/>
      <c r="T1063" s="4"/>
      <c r="U1063" s="4"/>
      <c r="V1063" s="4"/>
      <c r="W1063" s="4"/>
      <c r="X1063" s="4"/>
      <c r="Z1063" s="4" t="s">
        <v>364</v>
      </c>
      <c r="AA1063" s="7" t="s">
        <v>549</v>
      </c>
      <c r="AB1063" s="8" t="s">
        <v>1583</v>
      </c>
      <c r="AC1063" s="4" t="s">
        <v>301</v>
      </c>
      <c r="AD1063" s="4" t="s">
        <v>382</v>
      </c>
      <c r="AE1063" s="8">
        <v>433</v>
      </c>
      <c r="AF1063" s="8"/>
      <c r="AG1063" s="4" t="s">
        <v>303</v>
      </c>
      <c r="AH1063" s="4" t="s">
        <v>304</v>
      </c>
      <c r="AI1063" s="4" t="s">
        <v>1118</v>
      </c>
      <c r="AJ1063" s="4" t="s">
        <v>1080</v>
      </c>
      <c r="AK1063" s="4" t="s">
        <v>600</v>
      </c>
      <c r="AL1063" s="4"/>
      <c r="AM1063" s="8">
        <v>2</v>
      </c>
      <c r="AN1063" s="4" t="s">
        <v>301</v>
      </c>
      <c r="AO1063" s="4" t="s">
        <v>375</v>
      </c>
      <c r="AP1063" s="4" t="s">
        <v>476</v>
      </c>
      <c r="AQ1063" s="7" t="s">
        <v>1557</v>
      </c>
      <c r="AR1063" s="8" t="s">
        <v>1503</v>
      </c>
      <c r="AS1063" s="8">
        <v>403</v>
      </c>
      <c r="AT1063" s="8"/>
      <c r="AU1063" s="4" t="s">
        <v>334</v>
      </c>
      <c r="AV1063" s="4" t="s">
        <v>380</v>
      </c>
      <c r="AW1063" s="4"/>
      <c r="AX1063" s="4"/>
      <c r="AY1063" s="4"/>
      <c r="AZ1063" s="4"/>
      <c r="BA1063" s="8">
        <v>2</v>
      </c>
      <c r="BP1063" s="7">
        <f>6.34+0.67</f>
        <v>7.01</v>
      </c>
      <c r="BQ1063" s="7"/>
      <c r="BR1063" s="6">
        <f>(1.92*6.34+0.38*0.67)/(6.34+0.67)</f>
        <v>1.7728102710413693</v>
      </c>
      <c r="BS1063" s="6">
        <f>(0.12*6.34+4.21*0.67)/(6.34+0.67)</f>
        <v>0.51091298145506425</v>
      </c>
      <c r="BT1063" s="6">
        <f>(0.19*6.34+3.56*0.67)/(6.34+0.67)</f>
        <v>0.51209700427960059</v>
      </c>
      <c r="BU1063" s="8">
        <f>(26*6.34+52*0.67)/(6.34+0.67)</f>
        <v>28.485021398002853</v>
      </c>
      <c r="BV1063" s="6">
        <f>(0.35*6.34+0.67*0.67)/(6.34+0.67)</f>
        <v>0.38058487874465052</v>
      </c>
      <c r="BW1063" s="4"/>
      <c r="BX1063" s="4"/>
      <c r="BY1063" s="4"/>
      <c r="BZ1063" s="4"/>
      <c r="CA1063" s="4"/>
      <c r="CB1063" s="4"/>
      <c r="CC1063" s="4"/>
      <c r="CD1063" s="4"/>
      <c r="CE1063" s="4"/>
      <c r="CF1063" s="4"/>
      <c r="CG1063" s="4"/>
      <c r="CH1063" s="4"/>
      <c r="CI1063" s="4"/>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31"/>
      <c r="EA1063" s="4"/>
      <c r="EB1063" s="4"/>
      <c r="EC1063" s="4"/>
      <c r="ED1063" s="4"/>
      <c r="EE1063" s="4"/>
      <c r="EF1063" s="4"/>
      <c r="EG1063" s="4"/>
      <c r="EH1063" s="10">
        <f>BP1063*BR1063/100</f>
        <v>0.12427399999999998</v>
      </c>
      <c r="EI1063" s="10">
        <f t="shared" si="50"/>
        <v>3.5815E-2</v>
      </c>
      <c r="EJ1063" s="10">
        <f t="shared" si="51"/>
        <v>3.5897999999999999E-2</v>
      </c>
      <c r="EK1063" s="6">
        <f t="shared" si="52"/>
        <v>0.19968</v>
      </c>
      <c r="EL1063" s="6">
        <f t="shared" si="53"/>
        <v>2.6678999999999999</v>
      </c>
      <c r="EY1063" s="6"/>
      <c r="FA1063" s="6"/>
      <c r="GP1063" s="32"/>
      <c r="GY1063" s="6" t="s">
        <v>338</v>
      </c>
      <c r="GZ1063" s="6" t="s">
        <v>994</v>
      </c>
      <c r="HA1063" s="6" t="s">
        <v>436</v>
      </c>
      <c r="HB1063" s="6" t="s">
        <v>1951</v>
      </c>
      <c r="HC1063" s="6" t="s">
        <v>3241</v>
      </c>
      <c r="HD1063" s="4" t="s">
        <v>4970</v>
      </c>
      <c r="HE1063" s="8">
        <v>16866</v>
      </c>
      <c r="HF1063" s="4" t="s">
        <v>4971</v>
      </c>
      <c r="HG1063" s="4" t="s">
        <v>782</v>
      </c>
      <c r="HH1063" s="4" t="s">
        <v>4972</v>
      </c>
      <c r="HJ1063" s="4" t="s">
        <v>4973</v>
      </c>
      <c r="HK1063" s="4" t="s">
        <v>782</v>
      </c>
      <c r="HL1063" s="4"/>
      <c r="HN1063" s="4"/>
      <c r="HO1063" s="4"/>
      <c r="HP1063" s="4"/>
      <c r="HR1063" s="4"/>
      <c r="HS1063" s="4"/>
      <c r="HT1063" s="4"/>
      <c r="HU1063" s="4"/>
      <c r="HV1063" s="4"/>
      <c r="HW1063" s="4"/>
      <c r="HX1063" s="4"/>
      <c r="HY1063" s="4"/>
      <c r="HZ1063" s="4"/>
      <c r="IA1063" s="4"/>
      <c r="IB1063" s="4" t="s">
        <v>1625</v>
      </c>
      <c r="ID1063" s="4" t="s">
        <v>4974</v>
      </c>
      <c r="IE1063" s="4"/>
      <c r="IF1063" s="4"/>
      <c r="IG1063" s="4"/>
      <c r="IH1063" s="4"/>
      <c r="II1063" s="4"/>
      <c r="IJ1063" s="4"/>
      <c r="IK1063" s="4"/>
      <c r="IL1063" s="4"/>
      <c r="IN1063" s="4"/>
      <c r="IO1063" s="4"/>
      <c r="IP1063" s="4"/>
      <c r="IQ1063" s="4"/>
      <c r="IS1063" s="4"/>
      <c r="IT1063" s="4"/>
      <c r="IU1063" s="4"/>
      <c r="IV1063" s="4"/>
      <c r="IW1063" s="8"/>
      <c r="IX1063" s="4"/>
      <c r="IY1063" s="4"/>
      <c r="IZ1063" s="4"/>
      <c r="JA1063" s="4"/>
      <c r="JB1063" s="8"/>
      <c r="JC1063" s="4"/>
      <c r="JD1063" s="4"/>
      <c r="JE1063" s="4"/>
      <c r="JF1063" s="4"/>
      <c r="JG1063" s="4"/>
      <c r="JH1063" s="4"/>
      <c r="JI1063" s="4"/>
      <c r="JJ1063" s="4"/>
      <c r="JK1063" s="4"/>
      <c r="JL1063" s="4"/>
      <c r="JM1063" s="4"/>
      <c r="JN1063" s="4"/>
      <c r="JO1063" s="4"/>
      <c r="JP1063" s="4"/>
      <c r="JQ1063" s="4"/>
      <c r="JR1063" s="4"/>
      <c r="JS1063" s="4"/>
      <c r="JT1063" s="4"/>
      <c r="JU1063" s="4"/>
      <c r="JV1063" s="4" t="s">
        <v>4975</v>
      </c>
      <c r="JW1063" s="4" t="s">
        <v>352</v>
      </c>
      <c r="JX1063" s="4" t="s">
        <v>320</v>
      </c>
      <c r="JY1063" s="4" t="s">
        <v>470</v>
      </c>
      <c r="JZ1063" s="4" t="s">
        <v>322</v>
      </c>
      <c r="KA1063" s="4" t="s">
        <v>354</v>
      </c>
      <c r="KB1063" s="4" t="s">
        <v>353</v>
      </c>
      <c r="KC1063" s="4"/>
      <c r="KD1063" s="4"/>
      <c r="KE1063" s="4"/>
      <c r="KF1063" s="4"/>
      <c r="KG1063" s="4" t="s">
        <v>323</v>
      </c>
      <c r="KM1063" s="4" t="s">
        <v>391</v>
      </c>
      <c r="KN1063" s="4" t="s">
        <v>391</v>
      </c>
      <c r="KP1063" s="5" t="s">
        <v>3066</v>
      </c>
      <c r="KQ1063" s="5" t="s">
        <v>4976</v>
      </c>
      <c r="KR1063" s="5" t="s">
        <v>4977</v>
      </c>
      <c r="KS1063" s="5" t="s">
        <v>4978</v>
      </c>
      <c r="KT1063" s="5" t="s">
        <v>4979</v>
      </c>
    </row>
    <row r="1064" spans="1:306" ht="72" x14ac:dyDescent="0.25">
      <c r="A1064" s="5" t="s">
        <v>5128</v>
      </c>
      <c r="B1064" s="4" t="s">
        <v>364</v>
      </c>
      <c r="C1064" s="7" t="s">
        <v>549</v>
      </c>
      <c r="D1064" s="8" t="s">
        <v>1583</v>
      </c>
      <c r="E1064" s="4">
        <v>334088</v>
      </c>
      <c r="G1064" s="4" t="s">
        <v>427</v>
      </c>
      <c r="H1064" s="6">
        <v>146.00788963100001</v>
      </c>
      <c r="I1064" s="6">
        <v>-32.427224803999998</v>
      </c>
      <c r="K1064" s="4" t="s">
        <v>298</v>
      </c>
      <c r="L1064" s="4" t="s">
        <v>299</v>
      </c>
      <c r="M1064" s="4" t="s">
        <v>428</v>
      </c>
      <c r="N1064" s="4" t="s">
        <v>1757</v>
      </c>
      <c r="Q1064" s="8"/>
      <c r="R1064" s="8"/>
      <c r="S1064" s="4"/>
      <c r="T1064" s="4"/>
      <c r="U1064" s="4"/>
      <c r="V1064" s="4"/>
      <c r="W1064" s="4"/>
      <c r="X1064" s="4"/>
      <c r="Z1064" s="4" t="s">
        <v>364</v>
      </c>
      <c r="AA1064" s="7" t="s">
        <v>549</v>
      </c>
      <c r="AB1064" s="8" t="s">
        <v>1583</v>
      </c>
      <c r="AC1064" s="4" t="s">
        <v>301</v>
      </c>
      <c r="AD1064" s="4" t="s">
        <v>375</v>
      </c>
      <c r="AE1064" s="8">
        <v>411</v>
      </c>
      <c r="AF1064" s="8">
        <v>5</v>
      </c>
      <c r="AG1064" s="4" t="s">
        <v>379</v>
      </c>
      <c r="AH1064" s="4" t="s">
        <v>372</v>
      </c>
      <c r="AI1064" s="4" t="s">
        <v>373</v>
      </c>
      <c r="AJ1064" s="4" t="s">
        <v>306</v>
      </c>
      <c r="AK1064" s="4" t="s">
        <v>307</v>
      </c>
      <c r="AL1064" s="4" t="s">
        <v>308</v>
      </c>
      <c r="AM1064" s="8">
        <v>3</v>
      </c>
      <c r="AN1064" s="4" t="s">
        <v>381</v>
      </c>
      <c r="AO1064" s="4" t="s">
        <v>382</v>
      </c>
      <c r="AP1064" s="4" t="s">
        <v>383</v>
      </c>
      <c r="AQ1064" s="7" t="s">
        <v>384</v>
      </c>
      <c r="AR1064" s="8" t="s">
        <v>1048</v>
      </c>
      <c r="AS1064" s="7">
        <v>0</v>
      </c>
      <c r="AT1064" s="7">
        <v>0</v>
      </c>
      <c r="AU1064" s="9" t="s">
        <v>303</v>
      </c>
      <c r="AV1064" s="9" t="s">
        <v>406</v>
      </c>
      <c r="BA1064" s="8">
        <v>5</v>
      </c>
      <c r="BP1064" s="7">
        <v>1.61</v>
      </c>
      <c r="BQ1064" s="7"/>
      <c r="BS1064" s="6">
        <v>0.92</v>
      </c>
      <c r="BT1064" s="6">
        <v>0.61</v>
      </c>
      <c r="BU1064" s="8">
        <v>25</v>
      </c>
      <c r="BV1064" s="4">
        <v>0.98</v>
      </c>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31"/>
      <c r="EA1064" s="4"/>
      <c r="EB1064" s="4"/>
      <c r="EC1064" s="4"/>
      <c r="ED1064" s="4"/>
      <c r="EE1064" s="4"/>
      <c r="EF1064" s="4"/>
      <c r="EG1064" s="4"/>
      <c r="EI1064" s="10">
        <f t="shared" si="50"/>
        <v>1.4812000000000001E-2</v>
      </c>
      <c r="EJ1064" s="10">
        <f t="shared" si="51"/>
        <v>9.8210000000000016E-3</v>
      </c>
      <c r="EK1064" s="6">
        <f t="shared" si="52"/>
        <v>4.0250000000000001E-2</v>
      </c>
      <c r="EL1064" s="6">
        <f t="shared" si="53"/>
        <v>1.5778000000000001</v>
      </c>
      <c r="EY1064" s="6"/>
      <c r="FA1064" s="6"/>
      <c r="GP1064" s="32"/>
      <c r="GY1064" s="6" t="s">
        <v>338</v>
      </c>
      <c r="GZ1064" s="6" t="s">
        <v>4854</v>
      </c>
      <c r="HA1064" s="6" t="s">
        <v>3051</v>
      </c>
      <c r="HC1064" s="6" t="s">
        <v>3241</v>
      </c>
      <c r="HD1064" s="4" t="s">
        <v>5129</v>
      </c>
      <c r="HE1064" s="8">
        <v>25281</v>
      </c>
      <c r="HF1064" s="4" t="s">
        <v>5130</v>
      </c>
      <c r="HG1064" s="4" t="s">
        <v>3276</v>
      </c>
      <c r="HH1064" s="4" t="s">
        <v>5131</v>
      </c>
      <c r="HI1064" s="8">
        <v>381</v>
      </c>
      <c r="HJ1064" s="4" t="s">
        <v>5132</v>
      </c>
      <c r="HK1064" s="4" t="s">
        <v>3276</v>
      </c>
      <c r="HL1064" s="4"/>
      <c r="HN1064" s="4"/>
      <c r="HO1064" s="4"/>
      <c r="HP1064" s="4"/>
      <c r="HR1064" s="4"/>
      <c r="HS1064" s="4"/>
      <c r="HT1064" s="4"/>
      <c r="HU1064" s="4"/>
      <c r="HV1064" s="4"/>
      <c r="HW1064" s="4"/>
      <c r="HX1064" s="4"/>
      <c r="HY1064" s="4"/>
      <c r="HZ1064" s="4"/>
      <c r="IA1064" s="4"/>
      <c r="IB1064" s="4" t="s">
        <v>5129</v>
      </c>
      <c r="IC1064" s="8">
        <v>25281</v>
      </c>
      <c r="ID1064" s="4" t="s">
        <v>5130</v>
      </c>
      <c r="IE1064" s="4" t="s">
        <v>3276</v>
      </c>
      <c r="IF1064" s="4" t="s">
        <v>319</v>
      </c>
      <c r="IG1064" s="4"/>
      <c r="IH1064" s="4"/>
      <c r="II1064" s="4"/>
      <c r="IJ1064" s="4"/>
      <c r="IK1064" s="4"/>
      <c r="IL1064" s="4"/>
      <c r="IN1064" s="4"/>
      <c r="IO1064" s="4"/>
      <c r="IP1064" s="4"/>
      <c r="IQ1064" s="4"/>
      <c r="IS1064" s="4"/>
      <c r="IT1064" s="4"/>
      <c r="IU1064" s="4"/>
      <c r="IV1064" s="4"/>
      <c r="IW1064" s="8"/>
      <c r="IX1064" s="4"/>
      <c r="IY1064" s="4"/>
      <c r="IZ1064" s="4"/>
      <c r="JA1064" s="4"/>
      <c r="JB1064" s="8"/>
      <c r="JC1064" s="4"/>
      <c r="JD1064" s="4"/>
      <c r="JE1064" s="4"/>
      <c r="JF1064" s="4"/>
      <c r="JG1064" s="4"/>
      <c r="JH1064" s="4"/>
      <c r="JI1064" s="4"/>
      <c r="JJ1064" s="4"/>
      <c r="JK1064" s="4"/>
      <c r="JL1064" s="4"/>
      <c r="JM1064" s="4"/>
      <c r="JN1064" s="4"/>
      <c r="JO1064" s="4"/>
      <c r="JP1064" s="4"/>
      <c r="JQ1064" s="4"/>
      <c r="JR1064" s="4"/>
      <c r="JS1064" s="4"/>
      <c r="JT1064" s="4"/>
      <c r="JU1064" s="4"/>
      <c r="JV1064" s="4"/>
      <c r="JW1064" s="4"/>
      <c r="JX1064" s="4" t="s">
        <v>320</v>
      </c>
      <c r="JY1064" s="4" t="s">
        <v>354</v>
      </c>
      <c r="JZ1064" s="4" t="s">
        <v>322</v>
      </c>
      <c r="KA1064" s="4"/>
      <c r="KB1064" s="4"/>
      <c r="KC1064" s="4"/>
      <c r="KD1064" s="4"/>
      <c r="KE1064" s="4"/>
      <c r="KF1064" s="4"/>
      <c r="KG1064" s="4" t="s">
        <v>323</v>
      </c>
      <c r="KM1064" s="4" t="s">
        <v>391</v>
      </c>
      <c r="KN1064" s="4" t="s">
        <v>391</v>
      </c>
      <c r="KP1064" s="5" t="s">
        <v>5133</v>
      </c>
      <c r="KQ1064" s="5" t="s">
        <v>5134</v>
      </c>
      <c r="KR1064" s="5" t="s">
        <v>5135</v>
      </c>
      <c r="KS1064" s="5" t="s">
        <v>5136</v>
      </c>
      <c r="KT1064" s="5" t="s">
        <v>5137</v>
      </c>
    </row>
    <row r="1065" spans="1:306" ht="180" x14ac:dyDescent="0.25">
      <c r="A1065" s="5" t="s">
        <v>5408</v>
      </c>
      <c r="B1065" s="4" t="s">
        <v>364</v>
      </c>
      <c r="C1065" s="7" t="s">
        <v>549</v>
      </c>
      <c r="D1065" s="8" t="s">
        <v>1583</v>
      </c>
      <c r="E1065" s="4">
        <v>335374</v>
      </c>
      <c r="G1065" s="4" t="s">
        <v>530</v>
      </c>
      <c r="H1065" s="6">
        <v>131.54900000000001</v>
      </c>
      <c r="I1065" s="6">
        <v>-13.541700000000001</v>
      </c>
      <c r="J1065" s="4" t="s">
        <v>4197</v>
      </c>
      <c r="K1065" s="4" t="s">
        <v>481</v>
      </c>
      <c r="L1065" s="4" t="s">
        <v>532</v>
      </c>
      <c r="Q1065" s="8"/>
      <c r="R1065" s="8"/>
      <c r="Z1065" s="4" t="s">
        <v>364</v>
      </c>
      <c r="AA1065" s="7" t="s">
        <v>549</v>
      </c>
      <c r="AB1065" s="8" t="s">
        <v>1583</v>
      </c>
      <c r="AC1065" s="4" t="s">
        <v>301</v>
      </c>
      <c r="AD1065" s="4" t="s">
        <v>375</v>
      </c>
      <c r="AE1065" s="8">
        <v>1863</v>
      </c>
      <c r="AF1065" s="8">
        <v>2</v>
      </c>
      <c r="AG1065" s="9" t="s">
        <v>379</v>
      </c>
      <c r="AH1065" s="9" t="s">
        <v>372</v>
      </c>
      <c r="AI1065" s="9" t="s">
        <v>373</v>
      </c>
      <c r="AJ1065" s="9" t="s">
        <v>306</v>
      </c>
      <c r="AK1065" s="9" t="s">
        <v>307</v>
      </c>
      <c r="AL1065" s="9" t="s">
        <v>337</v>
      </c>
      <c r="AM1065" s="8">
        <v>4</v>
      </c>
      <c r="AN1065" s="4" t="s">
        <v>381</v>
      </c>
      <c r="AO1065" s="4" t="s">
        <v>382</v>
      </c>
      <c r="AP1065" s="4" t="s">
        <v>383</v>
      </c>
      <c r="AQ1065" s="7" t="s">
        <v>384</v>
      </c>
      <c r="AR1065" s="7" t="s">
        <v>433</v>
      </c>
      <c r="AS1065" s="7">
        <v>0</v>
      </c>
      <c r="AT1065" s="7">
        <v>0</v>
      </c>
      <c r="AU1065" s="9" t="s">
        <v>303</v>
      </c>
      <c r="AV1065" s="9" t="s">
        <v>406</v>
      </c>
      <c r="BA1065" s="8">
        <v>5</v>
      </c>
      <c r="BP1065" s="7">
        <f>1.545+0.11</f>
        <v>1.655</v>
      </c>
      <c r="BR1065" s="6">
        <f>(0.22*1.545+0*0.11)/(1.545+0.11)</f>
        <v>0.20537764350453169</v>
      </c>
      <c r="BS1065" s="6">
        <f>(3.76*1.545+0*0.11)/(1.545+0.11)</f>
        <v>3.5100906344410872</v>
      </c>
      <c r="BT1065" s="6">
        <f>(1.12*1.545+0*0.11)/(1.545+0.11)</f>
        <v>1.0455589123867071</v>
      </c>
      <c r="BU1065" s="8">
        <f>(127*1.545+230*0.11)/(1.545+0.11)</f>
        <v>133.84592145015105</v>
      </c>
      <c r="BV1065" s="6">
        <f>(1.34*1.545+7*0.11)/(1.545+0.11)</f>
        <v>1.7161933534743203</v>
      </c>
      <c r="DZ1065" s="31"/>
      <c r="EH1065" s="10">
        <f>BP1065*BR1065/100</f>
        <v>3.3989999999999997E-3</v>
      </c>
      <c r="EI1065" s="10">
        <f t="shared" si="50"/>
        <v>5.8091999999999998E-2</v>
      </c>
      <c r="EJ1065" s="10">
        <f t="shared" si="51"/>
        <v>1.7304E-2</v>
      </c>
      <c r="EK1065" s="6">
        <f t="shared" si="52"/>
        <v>0.22151499999999999</v>
      </c>
      <c r="EL1065" s="7">
        <f t="shared" si="53"/>
        <v>2.8403</v>
      </c>
      <c r="GP1065" s="32"/>
      <c r="GY1065" s="6" t="s">
        <v>435</v>
      </c>
      <c r="GZ1065" s="6" t="s">
        <v>5409</v>
      </c>
      <c r="HB1065" s="6" t="s">
        <v>1728</v>
      </c>
      <c r="HC1065" s="6" t="s">
        <v>3241</v>
      </c>
      <c r="HD1065" s="8" t="s">
        <v>3183</v>
      </c>
      <c r="HE1065" s="8">
        <v>27066</v>
      </c>
      <c r="HF1065" s="8" t="s">
        <v>4199</v>
      </c>
      <c r="HG1065" s="4" t="s">
        <v>538</v>
      </c>
      <c r="IB1065" s="8" t="s">
        <v>1682</v>
      </c>
      <c r="IC1065" s="8">
        <v>27961</v>
      </c>
      <c r="ID1065" s="8" t="s">
        <v>4200</v>
      </c>
      <c r="IE1065" s="8" t="s">
        <v>538</v>
      </c>
      <c r="IF1065" s="8" t="s">
        <v>445</v>
      </c>
      <c r="IW1065" s="8"/>
      <c r="JB1065" s="8"/>
      <c r="JV1065" s="7" t="s">
        <v>4201</v>
      </c>
      <c r="KP1065" s="5" t="s">
        <v>358</v>
      </c>
      <c r="KQ1065" s="5" t="s">
        <v>5410</v>
      </c>
      <c r="KR1065" s="5" t="s">
        <v>4203</v>
      </c>
      <c r="KS1065" s="5" t="s">
        <v>4204</v>
      </c>
      <c r="KT1065" s="5" t="s">
        <v>5411</v>
      </c>
    </row>
    <row r="1066" spans="1:306" ht="60" x14ac:dyDescent="0.25">
      <c r="A1066" s="5" t="s">
        <v>5420</v>
      </c>
      <c r="B1066" s="4" t="s">
        <v>364</v>
      </c>
      <c r="C1066" s="7" t="s">
        <v>549</v>
      </c>
      <c r="D1066" s="8" t="s">
        <v>1583</v>
      </c>
      <c r="E1066" s="4">
        <v>333790</v>
      </c>
      <c r="G1066" s="4" t="s">
        <v>427</v>
      </c>
      <c r="H1066" s="6">
        <v>149.19429</v>
      </c>
      <c r="I1066" s="6">
        <v>-33.28492</v>
      </c>
      <c r="J1066" s="4" t="s">
        <v>2433</v>
      </c>
      <c r="K1066" s="4" t="s">
        <v>298</v>
      </c>
      <c r="L1066" s="4" t="s">
        <v>299</v>
      </c>
      <c r="M1066" s="4" t="s">
        <v>1359</v>
      </c>
      <c r="N1066" s="4" t="s">
        <v>1545</v>
      </c>
      <c r="Q1066" s="8"/>
      <c r="R1066" s="8"/>
      <c r="Z1066" s="4" t="s">
        <v>364</v>
      </c>
      <c r="AA1066" s="7" t="s">
        <v>549</v>
      </c>
      <c r="AB1066" s="8" t="s">
        <v>1583</v>
      </c>
      <c r="AC1066" s="4" t="s">
        <v>301</v>
      </c>
      <c r="AD1066" s="4" t="s">
        <v>375</v>
      </c>
      <c r="AE1066" s="8">
        <v>420</v>
      </c>
      <c r="AF1066" s="8"/>
      <c r="AG1066" s="9" t="s">
        <v>379</v>
      </c>
      <c r="AH1066" s="9" t="s">
        <v>1156</v>
      </c>
      <c r="AM1066" s="8">
        <v>3</v>
      </c>
      <c r="AS1066" s="7"/>
      <c r="AT1066" s="7"/>
      <c r="BP1066" s="7">
        <v>0.82499999999999996</v>
      </c>
      <c r="BR1066" s="6">
        <v>1.05</v>
      </c>
      <c r="BS1066" s="6">
        <v>3.67</v>
      </c>
      <c r="BT1066" s="6">
        <v>1.05</v>
      </c>
      <c r="BU1066" s="7">
        <v>2.5</v>
      </c>
      <c r="BV1066" s="6">
        <v>0.4</v>
      </c>
      <c r="DZ1066" s="31"/>
      <c r="EH1066" s="10">
        <f>BP1066*BR1066/100</f>
        <v>8.6625000000000001E-3</v>
      </c>
      <c r="EI1066" s="10">
        <f t="shared" si="50"/>
        <v>3.0277499999999999E-2</v>
      </c>
      <c r="EJ1066" s="10">
        <f t="shared" si="51"/>
        <v>8.6625000000000001E-3</v>
      </c>
      <c r="EK1066" s="10">
        <f t="shared" si="52"/>
        <v>2.0625000000000001E-3</v>
      </c>
      <c r="EL1066" s="6">
        <f t="shared" si="53"/>
        <v>0.33</v>
      </c>
      <c r="EY1066" s="6"/>
      <c r="FA1066" s="6"/>
      <c r="GP1066" s="32"/>
      <c r="GY1066" s="6" t="s">
        <v>309</v>
      </c>
      <c r="GZ1066" s="6" t="s">
        <v>734</v>
      </c>
      <c r="HA1066" s="6" t="s">
        <v>5313</v>
      </c>
      <c r="HB1066" s="6" t="s">
        <v>462</v>
      </c>
      <c r="HC1066" s="6" t="s">
        <v>3241</v>
      </c>
      <c r="HD1066" s="8" t="s">
        <v>4855</v>
      </c>
      <c r="HE1066" s="8">
        <v>29659</v>
      </c>
      <c r="HF1066" s="8" t="s">
        <v>4856</v>
      </c>
      <c r="HG1066" s="9" t="s">
        <v>2517</v>
      </c>
      <c r="HY1066" s="9"/>
      <c r="IB1066" s="8" t="s">
        <v>4855</v>
      </c>
      <c r="IC1066" s="8">
        <v>29659</v>
      </c>
      <c r="ID1066" s="8" t="s">
        <v>4856</v>
      </c>
      <c r="IE1066" s="9" t="s">
        <v>2517</v>
      </c>
      <c r="IF1066" s="8" t="s">
        <v>319</v>
      </c>
      <c r="IG1066" s="8" t="s">
        <v>4857</v>
      </c>
      <c r="IH1066" s="8">
        <v>13397</v>
      </c>
      <c r="II1066" s="8" t="s">
        <v>4858</v>
      </c>
      <c r="IJ1066" s="8" t="s">
        <v>1760</v>
      </c>
      <c r="IK1066" s="8" t="s">
        <v>350</v>
      </c>
      <c r="IW1066" s="8"/>
      <c r="JB1066" s="8"/>
      <c r="JV1066" s="7" t="s">
        <v>5421</v>
      </c>
      <c r="JW1066" s="7" t="s">
        <v>352</v>
      </c>
      <c r="JX1066" s="7" t="s">
        <v>322</v>
      </c>
      <c r="JY1066" s="7" t="s">
        <v>354</v>
      </c>
      <c r="JZ1066" s="7" t="s">
        <v>320</v>
      </c>
      <c r="KG1066" s="4" t="s">
        <v>323</v>
      </c>
      <c r="KM1066" s="4" t="s">
        <v>391</v>
      </c>
      <c r="KN1066" s="4" t="s">
        <v>391</v>
      </c>
      <c r="KO1066" s="4" t="s">
        <v>350</v>
      </c>
      <c r="KP1066" s="18" t="s">
        <v>5422</v>
      </c>
      <c r="KQ1066" s="5" t="s">
        <v>5423</v>
      </c>
      <c r="KS1066" s="5" t="s">
        <v>1552</v>
      </c>
      <c r="KT1066" s="5" t="s">
        <v>4864</v>
      </c>
    </row>
    <row r="1067" spans="1:306" ht="168" x14ac:dyDescent="0.25">
      <c r="A1067" s="5" t="s">
        <v>6430</v>
      </c>
      <c r="B1067" s="4" t="s">
        <v>364</v>
      </c>
      <c r="C1067" s="7" t="s">
        <v>549</v>
      </c>
      <c r="D1067" s="8" t="s">
        <v>1583</v>
      </c>
      <c r="E1067" s="4">
        <v>407943</v>
      </c>
      <c r="G1067" s="4" t="s">
        <v>530</v>
      </c>
      <c r="H1067" s="6">
        <v>134.858656</v>
      </c>
      <c r="I1067" s="6">
        <v>-23.124669999999998</v>
      </c>
      <c r="J1067" s="4" t="s">
        <v>6430</v>
      </c>
      <c r="K1067" s="4" t="s">
        <v>481</v>
      </c>
      <c r="L1067" s="4" t="s">
        <v>1498</v>
      </c>
      <c r="M1067" s="4" t="s">
        <v>6431</v>
      </c>
      <c r="Q1067" s="8"/>
      <c r="R1067" s="8"/>
      <c r="Z1067" s="4" t="s">
        <v>364</v>
      </c>
      <c r="AA1067" s="7" t="s">
        <v>549</v>
      </c>
      <c r="AB1067" s="8" t="s">
        <v>1583</v>
      </c>
      <c r="AC1067" s="4" t="s">
        <v>301</v>
      </c>
      <c r="AD1067" s="4" t="s">
        <v>375</v>
      </c>
      <c r="AE1067" s="8">
        <v>1765</v>
      </c>
      <c r="AF1067" s="8">
        <v>4</v>
      </c>
      <c r="AG1067" s="9" t="s">
        <v>379</v>
      </c>
      <c r="AH1067" s="9" t="s">
        <v>372</v>
      </c>
      <c r="AI1067" s="9" t="s">
        <v>373</v>
      </c>
      <c r="AJ1067" s="9" t="s">
        <v>306</v>
      </c>
      <c r="AK1067" s="9" t="s">
        <v>307</v>
      </c>
      <c r="AL1067" s="9" t="s">
        <v>337</v>
      </c>
      <c r="AM1067" s="8">
        <v>4</v>
      </c>
      <c r="AN1067" s="4" t="s">
        <v>381</v>
      </c>
      <c r="AO1067" s="4" t="s">
        <v>382</v>
      </c>
      <c r="AP1067" s="4" t="s">
        <v>383</v>
      </c>
      <c r="AQ1067" s="7" t="s">
        <v>384</v>
      </c>
      <c r="AR1067" s="7" t="s">
        <v>827</v>
      </c>
      <c r="AS1067" s="7">
        <v>0</v>
      </c>
      <c r="AT1067" s="7">
        <v>0</v>
      </c>
      <c r="AU1067" s="9" t="s">
        <v>303</v>
      </c>
      <c r="AV1067" s="9" t="s">
        <v>406</v>
      </c>
      <c r="BA1067" s="8">
        <v>5</v>
      </c>
      <c r="BP1067" s="7">
        <v>25</v>
      </c>
      <c r="BQ1067" s="7"/>
      <c r="BR1067" s="7">
        <v>0.5</v>
      </c>
      <c r="BS1067" s="7">
        <v>1</v>
      </c>
      <c r="DZ1067" s="31"/>
      <c r="EH1067" s="10">
        <f>BP1067*BR1067/100</f>
        <v>0.125</v>
      </c>
      <c r="EI1067" s="10">
        <f t="shared" si="50"/>
        <v>0.25</v>
      </c>
      <c r="EY1067" s="6"/>
      <c r="FA1067" s="6"/>
      <c r="GP1067" s="32"/>
      <c r="GY1067" s="6" t="s">
        <v>309</v>
      </c>
      <c r="GZ1067" s="6" t="s">
        <v>626</v>
      </c>
      <c r="HC1067" s="6" t="s">
        <v>3241</v>
      </c>
      <c r="HD1067" s="8" t="s">
        <v>6432</v>
      </c>
      <c r="HE1067" s="8">
        <v>3012</v>
      </c>
      <c r="HF1067" s="8" t="s">
        <v>6433</v>
      </c>
      <c r="HG1067" s="9" t="s">
        <v>538</v>
      </c>
      <c r="HY1067" s="9"/>
      <c r="ID1067" s="8" t="s">
        <v>6434</v>
      </c>
      <c r="IE1067" s="8" t="s">
        <v>538</v>
      </c>
      <c r="IF1067" s="8" t="s">
        <v>329</v>
      </c>
      <c r="IW1067" s="8"/>
      <c r="JB1067" s="8"/>
      <c r="JV1067" s="7" t="s">
        <v>6435</v>
      </c>
      <c r="JW1067" s="7" t="s">
        <v>352</v>
      </c>
      <c r="JX1067" s="7" t="s">
        <v>320</v>
      </c>
      <c r="JY1067" s="7" t="s">
        <v>448</v>
      </c>
      <c r="JZ1067" s="7" t="s">
        <v>322</v>
      </c>
      <c r="KG1067" s="4" t="s">
        <v>323</v>
      </c>
      <c r="KM1067" s="4" t="s">
        <v>888</v>
      </c>
      <c r="KN1067" s="4" t="s">
        <v>888</v>
      </c>
      <c r="KP1067" s="5" t="s">
        <v>2268</v>
      </c>
      <c r="KQ1067" s="5" t="s">
        <v>6436</v>
      </c>
      <c r="KR1067" s="5" t="s">
        <v>2268</v>
      </c>
      <c r="KS1067" s="5" t="s">
        <v>2268</v>
      </c>
      <c r="KT1067" s="5" t="s">
        <v>6437</v>
      </c>
    </row>
    <row r="1068" spans="1:306" ht="120" x14ac:dyDescent="0.25">
      <c r="A1068" s="5" t="s">
        <v>6587</v>
      </c>
      <c r="B1068" s="4" t="s">
        <v>364</v>
      </c>
      <c r="C1068" s="7" t="s">
        <v>549</v>
      </c>
      <c r="D1068" s="8" t="s">
        <v>1583</v>
      </c>
      <c r="E1068" s="4">
        <v>335134</v>
      </c>
      <c r="G1068" s="4" t="s">
        <v>427</v>
      </c>
      <c r="H1068" s="6">
        <v>149.42160000000001</v>
      </c>
      <c r="I1068" s="6">
        <v>-34.113500000000002</v>
      </c>
      <c r="J1068" s="4" t="s">
        <v>4308</v>
      </c>
      <c r="K1068" s="4" t="s">
        <v>298</v>
      </c>
      <c r="L1068" s="4" t="s">
        <v>299</v>
      </c>
      <c r="M1068" s="4" t="s">
        <v>1359</v>
      </c>
      <c r="N1068" s="4" t="s">
        <v>1545</v>
      </c>
      <c r="Q1068" s="8"/>
      <c r="R1068" s="8"/>
      <c r="S1068" s="7"/>
      <c r="T1068" s="7"/>
      <c r="Z1068" s="4" t="s">
        <v>364</v>
      </c>
      <c r="AA1068" s="7" t="s">
        <v>549</v>
      </c>
      <c r="AB1068" s="8" t="s">
        <v>1583</v>
      </c>
      <c r="AC1068" s="4" t="s">
        <v>301</v>
      </c>
      <c r="AD1068" s="4" t="s">
        <v>375</v>
      </c>
      <c r="AE1068" s="8">
        <v>420</v>
      </c>
      <c r="AF1068" s="8"/>
      <c r="AG1068" s="7" t="s">
        <v>379</v>
      </c>
      <c r="AH1068" s="7" t="s">
        <v>380</v>
      </c>
      <c r="AM1068" s="8">
        <v>3</v>
      </c>
      <c r="AN1068" s="4" t="s">
        <v>381</v>
      </c>
      <c r="AO1068" s="4" t="s">
        <v>402</v>
      </c>
      <c r="AP1068" s="4" t="s">
        <v>383</v>
      </c>
      <c r="AQ1068" s="7" t="s">
        <v>384</v>
      </c>
      <c r="AR1068" s="8" t="s">
        <v>1048</v>
      </c>
      <c r="AS1068" s="7">
        <v>0</v>
      </c>
      <c r="AT1068" s="7">
        <v>0</v>
      </c>
      <c r="AU1068" s="9" t="s">
        <v>303</v>
      </c>
      <c r="AV1068" s="9" t="s">
        <v>406</v>
      </c>
      <c r="BA1068" s="8">
        <v>5</v>
      </c>
      <c r="BP1068" s="7">
        <v>0.89500000000000002</v>
      </c>
      <c r="BQ1068" s="9"/>
      <c r="BR1068" s="6">
        <v>0.8</v>
      </c>
      <c r="BS1068" s="6">
        <v>3.94</v>
      </c>
      <c r="BT1068" s="6">
        <v>0.73</v>
      </c>
      <c r="BU1068" s="8">
        <v>16</v>
      </c>
      <c r="DZ1068" s="31"/>
      <c r="EH1068" s="10">
        <f>BP1068*BR1068/100+0.0006</f>
        <v>7.7600000000000004E-3</v>
      </c>
      <c r="EI1068" s="10">
        <f>BP1068*BS1068/100+0.004</f>
        <v>3.9263000000000006E-2</v>
      </c>
      <c r="EJ1068" s="10">
        <f>BP1068*BT1068/100</f>
        <v>6.5335000000000002E-3</v>
      </c>
      <c r="EK1068" s="10">
        <f>BP1068*BU1068/1000</f>
        <v>1.4320000000000001E-2</v>
      </c>
      <c r="EY1068" s="6"/>
      <c r="FA1068" s="6"/>
      <c r="GP1068" s="32"/>
      <c r="GY1068" s="6" t="s">
        <v>338</v>
      </c>
      <c r="GZ1068" s="6" t="s">
        <v>734</v>
      </c>
      <c r="HB1068" s="6" t="s">
        <v>2547</v>
      </c>
      <c r="HC1068" s="6" t="s">
        <v>3241</v>
      </c>
      <c r="HD1068" s="8" t="s">
        <v>4309</v>
      </c>
      <c r="HE1068" s="8">
        <v>9206</v>
      </c>
      <c r="HF1068" s="8" t="s">
        <v>6588</v>
      </c>
      <c r="HG1068" s="8" t="s">
        <v>1025</v>
      </c>
      <c r="HH1068" s="9" t="s">
        <v>6589</v>
      </c>
      <c r="HI1068" s="8">
        <v>70030</v>
      </c>
      <c r="HJ1068" s="9" t="s">
        <v>6590</v>
      </c>
      <c r="HK1068" s="9" t="s">
        <v>1760</v>
      </c>
      <c r="HY1068" s="9"/>
      <c r="IB1068" s="8" t="s">
        <v>4309</v>
      </c>
      <c r="IC1068" s="8">
        <v>9206</v>
      </c>
      <c r="ID1068" s="8" t="s">
        <v>6588</v>
      </c>
      <c r="IE1068" s="8" t="s">
        <v>1025</v>
      </c>
      <c r="IF1068" s="8" t="s">
        <v>319</v>
      </c>
      <c r="IW1068" s="8"/>
      <c r="JB1068" s="8"/>
      <c r="JV1068" s="7" t="s">
        <v>2289</v>
      </c>
      <c r="JW1068" s="7" t="s">
        <v>352</v>
      </c>
      <c r="JX1068" s="7" t="s">
        <v>320</v>
      </c>
      <c r="JY1068" s="7" t="s">
        <v>448</v>
      </c>
      <c r="JZ1068" s="7" t="s">
        <v>322</v>
      </c>
      <c r="KA1068" s="7" t="s">
        <v>6591</v>
      </c>
      <c r="KB1068" s="7" t="s">
        <v>738</v>
      </c>
      <c r="KG1068" s="4" t="s">
        <v>323</v>
      </c>
      <c r="KM1068" s="4" t="s">
        <v>391</v>
      </c>
      <c r="KN1068" s="4" t="s">
        <v>391</v>
      </c>
      <c r="KO1068" s="4" t="s">
        <v>350</v>
      </c>
      <c r="KP1068" s="5" t="s">
        <v>358</v>
      </c>
      <c r="KQ1068" s="5" t="s">
        <v>6592</v>
      </c>
      <c r="KS1068" s="5" t="s">
        <v>6593</v>
      </c>
      <c r="KT1068" s="5" t="s">
        <v>6594</v>
      </c>
    </row>
    <row r="1069" spans="1:306" ht="96" x14ac:dyDescent="0.25">
      <c r="A1069" s="5" t="s">
        <v>7362</v>
      </c>
      <c r="B1069" s="4" t="s">
        <v>364</v>
      </c>
      <c r="C1069" s="7" t="s">
        <v>549</v>
      </c>
      <c r="D1069" s="8" t="s">
        <v>1583</v>
      </c>
      <c r="E1069" s="4">
        <v>336121</v>
      </c>
      <c r="G1069" s="4" t="s">
        <v>427</v>
      </c>
      <c r="H1069" s="6">
        <v>149.8903</v>
      </c>
      <c r="I1069" s="6">
        <v>-33.289400000000001</v>
      </c>
      <c r="J1069" s="4" t="s">
        <v>7362</v>
      </c>
      <c r="K1069" s="4" t="s">
        <v>298</v>
      </c>
      <c r="L1069" s="4" t="s">
        <v>299</v>
      </c>
      <c r="M1069" s="4" t="s">
        <v>1359</v>
      </c>
      <c r="N1069" s="4" t="s">
        <v>1545</v>
      </c>
      <c r="Q1069" s="8"/>
      <c r="R1069" s="8"/>
      <c r="Z1069" s="4" t="s">
        <v>364</v>
      </c>
      <c r="AA1069" s="7" t="s">
        <v>549</v>
      </c>
      <c r="AB1069" s="8" t="s">
        <v>1583</v>
      </c>
      <c r="AC1069" s="4" t="s">
        <v>301</v>
      </c>
      <c r="AD1069" s="4" t="s">
        <v>375</v>
      </c>
      <c r="AE1069" s="8">
        <v>420</v>
      </c>
      <c r="AF1069" s="8">
        <v>5</v>
      </c>
      <c r="AG1069" s="9" t="s">
        <v>379</v>
      </c>
      <c r="AH1069" s="9" t="s">
        <v>372</v>
      </c>
      <c r="AI1069" s="9" t="s">
        <v>373</v>
      </c>
      <c r="AJ1069" s="9" t="s">
        <v>306</v>
      </c>
      <c r="AK1069" s="9" t="s">
        <v>307</v>
      </c>
      <c r="AL1069" s="9" t="s">
        <v>337</v>
      </c>
      <c r="AM1069" s="8">
        <v>4</v>
      </c>
      <c r="AN1069" s="4" t="s">
        <v>381</v>
      </c>
      <c r="AO1069" s="4" t="s">
        <v>402</v>
      </c>
      <c r="AP1069" s="4" t="s">
        <v>383</v>
      </c>
      <c r="AQ1069" s="7" t="s">
        <v>384</v>
      </c>
      <c r="AR1069" s="8" t="s">
        <v>1048</v>
      </c>
      <c r="AS1069" s="7">
        <v>0</v>
      </c>
      <c r="AT1069" s="7">
        <v>0</v>
      </c>
      <c r="AU1069" s="9" t="s">
        <v>303</v>
      </c>
      <c r="AV1069" s="9" t="s">
        <v>406</v>
      </c>
      <c r="BA1069" s="8">
        <v>5</v>
      </c>
      <c r="BP1069" s="7">
        <f>0.25+1.5</f>
        <v>1.75</v>
      </c>
      <c r="BQ1069" s="7"/>
      <c r="BR1069" s="6">
        <f>100*(1.5*0.39/100+0.001045)/1.75</f>
        <v>0.39399999999999996</v>
      </c>
      <c r="BS1069" s="7">
        <f>100*(1.5*3.7/100)/1.75</f>
        <v>3.1714285714285717</v>
      </c>
      <c r="BT1069" s="7">
        <f>100*(1.5*2.1/100)/1.75</f>
        <v>1.8</v>
      </c>
      <c r="BU1069" s="8">
        <f>(1.5*24+89.7)/1.75</f>
        <v>71.828571428571436</v>
      </c>
      <c r="BV1069" s="6">
        <f>(1.5*0.17+0.31)/1.75</f>
        <v>0.32285714285714284</v>
      </c>
      <c r="DZ1069" s="31"/>
      <c r="EH1069" s="10">
        <f>BP1069*BR1069/100</f>
        <v>6.8949999999999992E-3</v>
      </c>
      <c r="EI1069" s="10">
        <f>BP1069*BS1069/100</f>
        <v>5.5500000000000008E-2</v>
      </c>
      <c r="EJ1069" s="10">
        <f>BP1069*BT1069/100</f>
        <v>3.15E-2</v>
      </c>
      <c r="EK1069" s="10">
        <f>BP1069*BU1069/1000</f>
        <v>0.12570000000000001</v>
      </c>
      <c r="EL1069" s="6">
        <f>BP1069*BV1069</f>
        <v>0.56499999999999995</v>
      </c>
      <c r="EY1069" s="6"/>
      <c r="FA1069" s="6"/>
      <c r="GP1069" s="32"/>
      <c r="GY1069" s="6" t="s">
        <v>435</v>
      </c>
      <c r="GZ1069" s="6" t="s">
        <v>1386</v>
      </c>
      <c r="HA1069" s="6" t="s">
        <v>1728</v>
      </c>
      <c r="HB1069" s="6" t="s">
        <v>436</v>
      </c>
      <c r="HC1069" s="6" t="s">
        <v>3241</v>
      </c>
      <c r="HD1069" s="8" t="s">
        <v>4023</v>
      </c>
      <c r="HE1069" s="8">
        <v>30854</v>
      </c>
      <c r="HF1069" s="8" t="s">
        <v>4024</v>
      </c>
      <c r="HG1069" s="8" t="s">
        <v>444</v>
      </c>
      <c r="HY1069" s="9"/>
      <c r="IB1069" s="8" t="s">
        <v>4023</v>
      </c>
      <c r="IC1069" s="8">
        <v>30854</v>
      </c>
      <c r="ID1069" s="8" t="s">
        <v>4024</v>
      </c>
      <c r="IE1069" s="8" t="s">
        <v>444</v>
      </c>
      <c r="IF1069" s="8" t="s">
        <v>319</v>
      </c>
      <c r="II1069" s="8" t="s">
        <v>7363</v>
      </c>
      <c r="IW1069" s="8"/>
      <c r="JB1069" s="8"/>
      <c r="JV1069" s="7" t="s">
        <v>1779</v>
      </c>
      <c r="JX1069" s="7" t="s">
        <v>320</v>
      </c>
      <c r="JY1069" s="7" t="s">
        <v>448</v>
      </c>
      <c r="JZ1069" s="7" t="s">
        <v>322</v>
      </c>
      <c r="KG1069" s="4" t="s">
        <v>323</v>
      </c>
      <c r="KM1069" s="4" t="s">
        <v>911</v>
      </c>
      <c r="KN1069" s="4" t="s">
        <v>911</v>
      </c>
      <c r="KO1069" s="4" t="s">
        <v>350</v>
      </c>
      <c r="KP1069" s="5" t="s">
        <v>358</v>
      </c>
      <c r="KQ1069" s="5" t="s">
        <v>7364</v>
      </c>
      <c r="KR1069" s="5" t="s">
        <v>7365</v>
      </c>
      <c r="KS1069" s="5" t="s">
        <v>7366</v>
      </c>
      <c r="KT1069" s="5" t="s">
        <v>7367</v>
      </c>
    </row>
    <row r="1070" spans="1:306" ht="36" x14ac:dyDescent="0.25">
      <c r="A1070" s="5" t="s">
        <v>7994</v>
      </c>
      <c r="B1070" s="4" t="s">
        <v>364</v>
      </c>
      <c r="C1070" s="7" t="s">
        <v>549</v>
      </c>
      <c r="D1070" s="8" t="s">
        <v>1583</v>
      </c>
      <c r="E1070" s="4">
        <v>336259</v>
      </c>
      <c r="G1070" s="4" t="s">
        <v>427</v>
      </c>
      <c r="H1070" s="6">
        <v>149.45760000000001</v>
      </c>
      <c r="I1070" s="6">
        <v>-34.808300000000003</v>
      </c>
      <c r="J1070" s="4" t="s">
        <v>2433</v>
      </c>
      <c r="K1070" s="4" t="s">
        <v>298</v>
      </c>
      <c r="L1070" s="4" t="s">
        <v>299</v>
      </c>
      <c r="M1070" s="4" t="s">
        <v>1359</v>
      </c>
      <c r="N1070" s="4" t="s">
        <v>1545</v>
      </c>
      <c r="Q1070" s="8"/>
      <c r="R1070" s="8"/>
      <c r="Z1070" s="4" t="s">
        <v>364</v>
      </c>
      <c r="AA1070" s="7" t="s">
        <v>549</v>
      </c>
      <c r="AB1070" s="8" t="s">
        <v>1583</v>
      </c>
      <c r="AC1070" s="4" t="s">
        <v>301</v>
      </c>
      <c r="AD1070" s="4" t="s">
        <v>375</v>
      </c>
      <c r="AE1070" s="8">
        <v>423</v>
      </c>
      <c r="AF1070" s="8"/>
      <c r="AG1070" s="9" t="s">
        <v>379</v>
      </c>
      <c r="AH1070" s="9" t="s">
        <v>1156</v>
      </c>
      <c r="AM1070" s="8">
        <v>3</v>
      </c>
      <c r="AS1070" s="7"/>
      <c r="AT1070" s="7"/>
      <c r="BP1070" s="7">
        <v>1.5</v>
      </c>
      <c r="BQ1070" s="7"/>
      <c r="BR1070" s="7">
        <v>0.5</v>
      </c>
      <c r="BS1070" s="7">
        <v>5.5</v>
      </c>
      <c r="BT1070" s="7">
        <v>3</v>
      </c>
      <c r="BU1070" s="8">
        <v>33</v>
      </c>
      <c r="DZ1070" s="31"/>
      <c r="EH1070" s="10">
        <f>BP1070*BR1070/100</f>
        <v>7.4999999999999997E-3</v>
      </c>
      <c r="EI1070" s="10">
        <f>BP1070*BS1070/100</f>
        <v>8.2500000000000004E-2</v>
      </c>
      <c r="EJ1070" s="10">
        <f>BP1070*BT1070/100</f>
        <v>4.4999999999999998E-2</v>
      </c>
      <c r="EK1070" s="10">
        <f>BP1070*BU1070/1000</f>
        <v>4.9500000000000002E-2</v>
      </c>
      <c r="EY1070" s="6"/>
      <c r="FA1070" s="6"/>
      <c r="GP1070" s="32"/>
      <c r="GY1070" s="6" t="s">
        <v>309</v>
      </c>
      <c r="GZ1070" s="6" t="s">
        <v>461</v>
      </c>
      <c r="HA1070" s="6" t="s">
        <v>994</v>
      </c>
      <c r="HB1070" s="6" t="s">
        <v>462</v>
      </c>
      <c r="HC1070" s="6" t="s">
        <v>3241</v>
      </c>
      <c r="HD1070" s="8" t="s">
        <v>7995</v>
      </c>
      <c r="HE1070" s="8">
        <v>35791</v>
      </c>
      <c r="HF1070" s="8" t="s">
        <v>7996</v>
      </c>
      <c r="HG1070" s="9" t="s">
        <v>1991</v>
      </c>
      <c r="HY1070" s="9"/>
      <c r="IB1070" s="8" t="s">
        <v>7995</v>
      </c>
      <c r="IC1070" s="8">
        <v>35791</v>
      </c>
      <c r="ID1070" s="8" t="s">
        <v>7996</v>
      </c>
      <c r="IE1070" s="9" t="s">
        <v>1991</v>
      </c>
      <c r="IF1070" s="8" t="s">
        <v>319</v>
      </c>
      <c r="IW1070" s="8"/>
      <c r="JB1070" s="8"/>
      <c r="JW1070" s="7" t="s">
        <v>7997</v>
      </c>
      <c r="JX1070" s="7" t="s">
        <v>320</v>
      </c>
      <c r="KG1070" s="4" t="s">
        <v>323</v>
      </c>
      <c r="KM1070" s="4" t="s">
        <v>391</v>
      </c>
      <c r="KN1070" s="4" t="s">
        <v>391</v>
      </c>
      <c r="KO1070" s="4" t="s">
        <v>350</v>
      </c>
      <c r="KP1070" s="5" t="s">
        <v>358</v>
      </c>
      <c r="KQ1070" s="5" t="s">
        <v>7998</v>
      </c>
      <c r="KS1070" s="5" t="s">
        <v>2553</v>
      </c>
      <c r="KT1070" s="5" t="s">
        <v>7999</v>
      </c>
    </row>
    <row r="1071" spans="1:306" ht="60" x14ac:dyDescent="0.25">
      <c r="A1071" s="5" t="s">
        <v>363</v>
      </c>
      <c r="B1071" s="4" t="s">
        <v>376</v>
      </c>
      <c r="C1071" s="7" t="s">
        <v>377</v>
      </c>
      <c r="D1071" s="7" t="s">
        <v>378</v>
      </c>
      <c r="E1071" s="4">
        <v>446901</v>
      </c>
      <c r="G1071" s="4" t="s">
        <v>330</v>
      </c>
      <c r="H1071" s="6">
        <v>119.1058</v>
      </c>
      <c r="I1071" s="6">
        <v>-21.143799999999999</v>
      </c>
      <c r="J1071" s="4" t="s">
        <v>367</v>
      </c>
      <c r="K1071" s="4" t="s">
        <v>331</v>
      </c>
      <c r="L1071" s="4" t="s">
        <v>368</v>
      </c>
      <c r="M1071" s="4" t="s">
        <v>369</v>
      </c>
      <c r="O1071" s="7"/>
      <c r="Q1071" s="8"/>
      <c r="R1071" s="8"/>
      <c r="Z1071" s="4" t="s">
        <v>364</v>
      </c>
      <c r="AA1071" s="7" t="s">
        <v>365</v>
      </c>
      <c r="AB1071" s="7" t="s">
        <v>366</v>
      </c>
      <c r="AC1071" s="4" t="s">
        <v>370</v>
      </c>
      <c r="AD1071" s="4" t="s">
        <v>371</v>
      </c>
      <c r="AE1071" s="8">
        <v>3016</v>
      </c>
      <c r="AF1071" s="8">
        <v>5</v>
      </c>
      <c r="AG1071" s="9" t="s">
        <v>303</v>
      </c>
      <c r="AH1071" s="9" t="s">
        <v>372</v>
      </c>
      <c r="AI1071" s="9" t="s">
        <v>373</v>
      </c>
      <c r="AJ1071" s="9" t="s">
        <v>306</v>
      </c>
      <c r="AK1071" s="9" t="s">
        <v>307</v>
      </c>
      <c r="AL1071" s="9" t="s">
        <v>337</v>
      </c>
      <c r="AM1071" s="8">
        <v>5</v>
      </c>
      <c r="AN1071" s="4" t="s">
        <v>374</v>
      </c>
      <c r="AO1071" s="4" t="s">
        <v>375</v>
      </c>
      <c r="AP1071" s="4" t="s">
        <v>376</v>
      </c>
      <c r="AQ1071" s="7" t="s">
        <v>377</v>
      </c>
      <c r="AR1071" s="7" t="s">
        <v>378</v>
      </c>
      <c r="AS1071" s="8">
        <v>2009</v>
      </c>
      <c r="AT1071" s="8"/>
      <c r="AU1071" s="9" t="s">
        <v>379</v>
      </c>
      <c r="AV1071" s="9" t="s">
        <v>380</v>
      </c>
      <c r="BA1071" s="8">
        <v>2</v>
      </c>
      <c r="BB1071" s="4" t="s">
        <v>381</v>
      </c>
      <c r="BC1071" s="4" t="s">
        <v>382</v>
      </c>
      <c r="BD1071" s="4" t="s">
        <v>383</v>
      </c>
      <c r="BE1071" s="7" t="s">
        <v>384</v>
      </c>
      <c r="BF1071" s="7" t="s">
        <v>385</v>
      </c>
      <c r="BG1071" s="8"/>
      <c r="BH1071" s="8"/>
      <c r="BR1071" s="7"/>
      <c r="BS1071" s="7"/>
      <c r="BT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7"/>
      <c r="DA1071" s="7"/>
      <c r="DB1071" s="7"/>
      <c r="DC1071" s="7"/>
      <c r="DD1071" s="7"/>
      <c r="DE1071" s="7"/>
      <c r="DF1071" s="7"/>
      <c r="DG1071" s="7"/>
      <c r="DH1071" s="7"/>
      <c r="DI1071" s="7"/>
      <c r="DJ1071" s="7"/>
      <c r="DK1071" s="7"/>
      <c r="DL1071" s="7"/>
      <c r="DM1071" s="7"/>
      <c r="DN1071" s="7"/>
      <c r="DO1071" s="7"/>
      <c r="DP1071" s="7"/>
      <c r="DQ1071" s="7"/>
      <c r="DR1071" s="7"/>
      <c r="DS1071" s="7"/>
      <c r="DT1071" s="7"/>
      <c r="DU1071" s="7"/>
      <c r="DV1071" s="7"/>
      <c r="DW1071" s="7"/>
      <c r="DX1071" s="7"/>
      <c r="DY1071" s="7"/>
      <c r="DZ1071" s="31"/>
      <c r="EA1071" s="7"/>
      <c r="EB1071" s="7"/>
      <c r="EC1071" s="7"/>
      <c r="ED1071" s="7"/>
      <c r="EE1071" s="7"/>
      <c r="EF1071" s="7"/>
      <c r="EG1071" s="7"/>
      <c r="EL1071" s="8"/>
      <c r="EY1071" s="8">
        <v>11</v>
      </c>
      <c r="FA1071" s="6"/>
      <c r="GP1071" s="32"/>
      <c r="GY1071" s="6" t="s">
        <v>338</v>
      </c>
      <c r="GZ1071" s="6" t="s">
        <v>386</v>
      </c>
      <c r="HD1071" s="8" t="s">
        <v>387</v>
      </c>
      <c r="HE1071" s="8">
        <v>4132</v>
      </c>
      <c r="HF1071" s="8" t="s">
        <v>388</v>
      </c>
      <c r="HG1071" s="9" t="s">
        <v>389</v>
      </c>
      <c r="IE1071" s="9"/>
      <c r="IF1071" s="9"/>
      <c r="IM1071" s="9"/>
      <c r="IR1071" s="9"/>
      <c r="JX1071" s="7" t="s">
        <v>390</v>
      </c>
      <c r="JY1071" s="7" t="s">
        <v>354</v>
      </c>
      <c r="JZ1071" s="7" t="s">
        <v>355</v>
      </c>
      <c r="KA1071" s="7" t="s">
        <v>354</v>
      </c>
      <c r="KB1071" s="7" t="s">
        <v>353</v>
      </c>
      <c r="KG1071" s="4" t="s">
        <v>323</v>
      </c>
      <c r="KM1071" s="4" t="s">
        <v>391</v>
      </c>
      <c r="KN1071" s="4" t="s">
        <v>391</v>
      </c>
      <c r="KP1071" s="5" t="s">
        <v>358</v>
      </c>
      <c r="KQ1071" s="5" t="s">
        <v>392</v>
      </c>
      <c r="KR1071" s="5" t="s">
        <v>393</v>
      </c>
      <c r="KS1071" s="5" t="s">
        <v>394</v>
      </c>
      <c r="KT1071" s="5" t="s">
        <v>395</v>
      </c>
    </row>
    <row r="1072" spans="1:306" ht="60" x14ac:dyDescent="0.25">
      <c r="A1072" s="5" t="s">
        <v>1421</v>
      </c>
      <c r="B1072" s="4" t="s">
        <v>364</v>
      </c>
      <c r="C1072" s="7" t="s">
        <v>365</v>
      </c>
      <c r="D1072" s="8" t="s">
        <v>366</v>
      </c>
      <c r="G1072" s="4" t="s">
        <v>593</v>
      </c>
      <c r="K1072" s="4" t="s">
        <v>595</v>
      </c>
      <c r="L1072" s="4" t="s">
        <v>1422</v>
      </c>
      <c r="Q1072" s="8"/>
      <c r="R1072" s="8"/>
      <c r="S1072" s="4"/>
      <c r="T1072" s="4"/>
      <c r="Z1072" s="4" t="s">
        <v>364</v>
      </c>
      <c r="AA1072" s="7" t="s">
        <v>365</v>
      </c>
      <c r="AB1072" s="8" t="s">
        <v>366</v>
      </c>
      <c r="AC1072" s="4" t="s">
        <v>301</v>
      </c>
      <c r="AE1072" s="8">
        <v>1693</v>
      </c>
      <c r="AF1072" s="8">
        <v>3</v>
      </c>
      <c r="AG1072" s="4" t="s">
        <v>303</v>
      </c>
      <c r="AH1072" s="4" t="s">
        <v>372</v>
      </c>
      <c r="AI1072" s="9" t="s">
        <v>373</v>
      </c>
      <c r="AJ1072" s="9" t="s">
        <v>306</v>
      </c>
      <c r="AK1072" s="9" t="s">
        <v>307</v>
      </c>
      <c r="AM1072" s="8">
        <v>5</v>
      </c>
      <c r="DZ1072" s="31"/>
      <c r="EB1072" s="10"/>
      <c r="EY1072" s="6"/>
      <c r="FA1072" s="6"/>
      <c r="GP1072" s="32"/>
      <c r="GY1072" s="6" t="s">
        <v>407</v>
      </c>
      <c r="GZ1072" s="6" t="s">
        <v>386</v>
      </c>
      <c r="HD1072" s="8" t="s">
        <v>1421</v>
      </c>
      <c r="HE1072" s="8">
        <v>29845</v>
      </c>
      <c r="HF1072" s="8" t="s">
        <v>1423</v>
      </c>
      <c r="HG1072" s="9" t="s">
        <v>538</v>
      </c>
      <c r="HY1072" s="9"/>
      <c r="IM1072" s="9"/>
      <c r="JX1072" s="7" t="s">
        <v>355</v>
      </c>
      <c r="JY1072" s="7" t="s">
        <v>354</v>
      </c>
      <c r="JZ1072" s="7" t="s">
        <v>353</v>
      </c>
      <c r="KG1072" s="4" t="s">
        <v>323</v>
      </c>
      <c r="KM1072" s="4" t="s">
        <v>522</v>
      </c>
      <c r="KN1072" s="4" t="s">
        <v>1192</v>
      </c>
      <c r="KQ1072" s="5" t="s">
        <v>1424</v>
      </c>
      <c r="KR1072" s="5" t="s">
        <v>1425</v>
      </c>
      <c r="KT1072" s="5" t="s">
        <v>1426</v>
      </c>
    </row>
    <row r="1073" spans="1:306" ht="60" x14ac:dyDescent="0.25">
      <c r="A1073" s="5" t="s">
        <v>1961</v>
      </c>
      <c r="B1073" s="4" t="s">
        <v>364</v>
      </c>
      <c r="C1073" s="7" t="s">
        <v>365</v>
      </c>
      <c r="D1073" s="7" t="s">
        <v>366</v>
      </c>
      <c r="E1073" s="4">
        <v>355333</v>
      </c>
      <c r="G1073" s="4" t="s">
        <v>330</v>
      </c>
      <c r="H1073" s="6">
        <v>117.0778</v>
      </c>
      <c r="I1073" s="6">
        <v>-20.709499999999998</v>
      </c>
      <c r="J1073" s="4" t="s">
        <v>1961</v>
      </c>
      <c r="K1073" s="4" t="s">
        <v>331</v>
      </c>
      <c r="L1073" s="4" t="s">
        <v>368</v>
      </c>
      <c r="M1073" s="4" t="s">
        <v>666</v>
      </c>
      <c r="O1073" s="7"/>
      <c r="Q1073" s="8"/>
      <c r="R1073" s="8"/>
      <c r="Z1073" s="4" t="s">
        <v>364</v>
      </c>
      <c r="AA1073" s="7" t="s">
        <v>365</v>
      </c>
      <c r="AB1073" s="7" t="s">
        <v>366</v>
      </c>
      <c r="AC1073" s="4" t="s">
        <v>301</v>
      </c>
      <c r="AD1073" s="4" t="s">
        <v>302</v>
      </c>
      <c r="AE1073" s="8">
        <v>3016</v>
      </c>
      <c r="AF1073" s="8">
        <v>5</v>
      </c>
      <c r="AG1073" s="9" t="s">
        <v>303</v>
      </c>
      <c r="AH1073" s="9" t="s">
        <v>372</v>
      </c>
      <c r="AI1073" s="9" t="s">
        <v>373</v>
      </c>
      <c r="AJ1073" s="9" t="s">
        <v>306</v>
      </c>
      <c r="AK1073" s="9" t="s">
        <v>307</v>
      </c>
      <c r="AL1073" s="9" t="s">
        <v>337</v>
      </c>
      <c r="AM1073" s="8">
        <v>5</v>
      </c>
      <c r="AR1073" s="7"/>
      <c r="AS1073" s="8"/>
      <c r="AT1073" s="8"/>
      <c r="BF1073" s="7"/>
      <c r="BG1073" s="8"/>
      <c r="BH1073" s="8"/>
      <c r="BR1073" s="7"/>
      <c r="BS1073" s="7"/>
      <c r="BT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7"/>
      <c r="DG1073" s="7"/>
      <c r="DH1073" s="7"/>
      <c r="DI1073" s="7"/>
      <c r="DJ1073" s="7"/>
      <c r="DK1073" s="7"/>
      <c r="DL1073" s="7"/>
      <c r="DM1073" s="7"/>
      <c r="DN1073" s="7"/>
      <c r="DO1073" s="7"/>
      <c r="DP1073" s="7"/>
      <c r="DQ1073" s="7"/>
      <c r="DR1073" s="7"/>
      <c r="DS1073" s="7"/>
      <c r="DT1073" s="7"/>
      <c r="DU1073" s="7"/>
      <c r="DV1073" s="7"/>
      <c r="DW1073" s="7"/>
      <c r="DX1073" s="7"/>
      <c r="DY1073" s="7"/>
      <c r="DZ1073" s="31"/>
      <c r="EA1073" s="7"/>
      <c r="EB1073" s="7"/>
      <c r="EC1073" s="7"/>
      <c r="ED1073" s="7"/>
      <c r="EE1073" s="7"/>
      <c r="EF1073" s="7"/>
      <c r="EG1073" s="7"/>
      <c r="EL1073" s="8"/>
      <c r="EY1073" s="8">
        <v>485</v>
      </c>
      <c r="FA1073" s="6"/>
      <c r="GP1073" s="32"/>
      <c r="GY1073" s="6" t="s">
        <v>309</v>
      </c>
      <c r="GZ1073" s="6" t="s">
        <v>386</v>
      </c>
      <c r="HD1073" s="8" t="s">
        <v>387</v>
      </c>
      <c r="HE1073" s="8">
        <v>4132</v>
      </c>
      <c r="HF1073" s="8" t="s">
        <v>388</v>
      </c>
      <c r="HG1073" s="9" t="s">
        <v>389</v>
      </c>
      <c r="IE1073" s="9"/>
      <c r="IF1073" s="9"/>
      <c r="IM1073" s="9"/>
      <c r="IR1073" s="9"/>
      <c r="JX1073" s="7" t="s">
        <v>353</v>
      </c>
      <c r="JY1073" s="7" t="s">
        <v>448</v>
      </c>
      <c r="JZ1073" s="7" t="s">
        <v>390</v>
      </c>
      <c r="KA1073" s="7" t="s">
        <v>470</v>
      </c>
      <c r="KB1073" s="7" t="s">
        <v>355</v>
      </c>
      <c r="KG1073" s="4" t="s">
        <v>323</v>
      </c>
      <c r="KM1073" s="4" t="s">
        <v>391</v>
      </c>
      <c r="KN1073" s="4" t="s">
        <v>391</v>
      </c>
      <c r="KP1073" s="5" t="s">
        <v>358</v>
      </c>
      <c r="KQ1073" s="5" t="s">
        <v>392</v>
      </c>
      <c r="KR1073" s="5" t="s">
        <v>393</v>
      </c>
      <c r="KS1073" s="5" t="s">
        <v>394</v>
      </c>
      <c r="KT1073" s="5" t="s">
        <v>1962</v>
      </c>
    </row>
    <row r="1074" spans="1:306" ht="60" x14ac:dyDescent="0.25">
      <c r="A1074" s="5" t="s">
        <v>2196</v>
      </c>
      <c r="B1074" s="4" t="s">
        <v>364</v>
      </c>
      <c r="C1074" s="7" t="s">
        <v>365</v>
      </c>
      <c r="D1074" s="8" t="s">
        <v>366</v>
      </c>
      <c r="E1074" s="8"/>
      <c r="F1074" s="8"/>
      <c r="G1074" s="8" t="s">
        <v>330</v>
      </c>
      <c r="J1074" s="4" t="s">
        <v>2197</v>
      </c>
      <c r="K1074" s="4" t="s">
        <v>331</v>
      </c>
      <c r="L1074" s="4" t="s">
        <v>368</v>
      </c>
      <c r="M1074" s="4" t="s">
        <v>2198</v>
      </c>
      <c r="Q1074" s="8"/>
      <c r="R1074" s="8"/>
      <c r="S1074" s="4"/>
      <c r="T1074" s="4"/>
      <c r="Z1074" s="4" t="s">
        <v>364</v>
      </c>
      <c r="AA1074" s="7" t="s">
        <v>365</v>
      </c>
      <c r="AB1074" s="8" t="s">
        <v>366</v>
      </c>
      <c r="AC1074" s="4" t="s">
        <v>301</v>
      </c>
      <c r="AD1074" s="4" t="s">
        <v>302</v>
      </c>
      <c r="AE1074" s="8">
        <v>3016</v>
      </c>
      <c r="AF1074" s="8">
        <v>5</v>
      </c>
      <c r="AG1074" s="4" t="s">
        <v>303</v>
      </c>
      <c r="AH1074" s="4" t="s">
        <v>372</v>
      </c>
      <c r="AI1074" s="9" t="s">
        <v>373</v>
      </c>
      <c r="AJ1074" s="9" t="s">
        <v>306</v>
      </c>
      <c r="AK1074" s="9" t="s">
        <v>307</v>
      </c>
      <c r="AL1074" s="9" t="s">
        <v>337</v>
      </c>
      <c r="AM1074" s="8">
        <v>5</v>
      </c>
      <c r="AS1074" s="8"/>
      <c r="AT1074" s="8"/>
      <c r="AU1074" s="4"/>
      <c r="AV1074" s="4"/>
      <c r="BG1074" s="8"/>
      <c r="BH1074" s="8"/>
      <c r="BI1074" s="4"/>
      <c r="BJ1074" s="4"/>
      <c r="DZ1074" s="31"/>
      <c r="FA1074" s="6"/>
      <c r="GP1074" s="32"/>
      <c r="GY1074" s="6" t="s">
        <v>407</v>
      </c>
      <c r="GZ1074" s="6" t="s">
        <v>386</v>
      </c>
      <c r="HD1074" s="8" t="s">
        <v>387</v>
      </c>
      <c r="HE1074" s="8">
        <v>4132</v>
      </c>
      <c r="HF1074" s="8" t="s">
        <v>388</v>
      </c>
      <c r="HG1074" s="9" t="s">
        <v>389</v>
      </c>
      <c r="IM1074" s="9"/>
      <c r="IR1074" s="9"/>
      <c r="KQ1074" s="5" t="s">
        <v>393</v>
      </c>
      <c r="KR1074" s="5" t="s">
        <v>393</v>
      </c>
      <c r="KT1074" s="5" t="s">
        <v>2199</v>
      </c>
    </row>
    <row r="1075" spans="1:306" ht="60" x14ac:dyDescent="0.25">
      <c r="A1075" s="5" t="s">
        <v>2405</v>
      </c>
      <c r="B1075" s="4" t="s">
        <v>383</v>
      </c>
      <c r="C1075" s="7" t="s">
        <v>384</v>
      </c>
      <c r="D1075" s="7" t="s">
        <v>385</v>
      </c>
      <c r="E1075" s="4">
        <v>573750</v>
      </c>
      <c r="G1075" s="4" t="s">
        <v>330</v>
      </c>
      <c r="H1075" s="6">
        <v>119.66494389</v>
      </c>
      <c r="I1075" s="6">
        <v>-21.47399811</v>
      </c>
      <c r="J1075" s="4" t="s">
        <v>2406</v>
      </c>
      <c r="K1075" s="4" t="s">
        <v>331</v>
      </c>
      <c r="L1075" s="4" t="s">
        <v>368</v>
      </c>
      <c r="M1075" s="4" t="s">
        <v>369</v>
      </c>
      <c r="O1075" s="7"/>
      <c r="Q1075" s="8"/>
      <c r="R1075" s="8"/>
      <c r="Z1075" s="4" t="s">
        <v>364</v>
      </c>
      <c r="AA1075" s="7" t="s">
        <v>365</v>
      </c>
      <c r="AB1075" s="7" t="s">
        <v>366</v>
      </c>
      <c r="AC1075" s="4" t="s">
        <v>370</v>
      </c>
      <c r="AD1075" s="4" t="s">
        <v>371</v>
      </c>
      <c r="AE1075" s="8">
        <v>3016</v>
      </c>
      <c r="AF1075" s="8">
        <v>5</v>
      </c>
      <c r="AG1075" s="9" t="s">
        <v>303</v>
      </c>
      <c r="AH1075" s="9" t="s">
        <v>372</v>
      </c>
      <c r="AI1075" s="9" t="s">
        <v>373</v>
      </c>
      <c r="AJ1075" s="9" t="s">
        <v>306</v>
      </c>
      <c r="AK1075" s="9" t="s">
        <v>307</v>
      </c>
      <c r="AL1075" s="9" t="s">
        <v>337</v>
      </c>
      <c r="AM1075" s="8">
        <v>5</v>
      </c>
      <c r="AN1075" s="4" t="s">
        <v>374</v>
      </c>
      <c r="AO1075" s="4" t="s">
        <v>382</v>
      </c>
      <c r="AP1075" s="4" t="s">
        <v>376</v>
      </c>
      <c r="AQ1075" s="7" t="s">
        <v>377</v>
      </c>
      <c r="AR1075" s="7" t="s">
        <v>378</v>
      </c>
      <c r="AS1075" s="8">
        <v>2009</v>
      </c>
      <c r="AT1075" s="8"/>
      <c r="AU1075" s="9" t="s">
        <v>379</v>
      </c>
      <c r="AV1075" s="9" t="s">
        <v>380</v>
      </c>
      <c r="BA1075" s="8">
        <v>2</v>
      </c>
      <c r="BB1075" s="4" t="s">
        <v>381</v>
      </c>
      <c r="BC1075" s="4" t="s">
        <v>375</v>
      </c>
      <c r="BD1075" s="4" t="s">
        <v>383</v>
      </c>
      <c r="BE1075" s="7" t="s">
        <v>384</v>
      </c>
      <c r="BF1075" s="7" t="s">
        <v>385</v>
      </c>
      <c r="BG1075" s="8"/>
      <c r="BH1075" s="8"/>
      <c r="BR1075" s="7"/>
      <c r="BS1075" s="7"/>
      <c r="BT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c r="CX1075" s="7"/>
      <c r="CY1075" s="7"/>
      <c r="CZ1075" s="7"/>
      <c r="DA1075" s="7"/>
      <c r="DB1075" s="7"/>
      <c r="DC1075" s="7"/>
      <c r="DD1075" s="7"/>
      <c r="DE1075" s="7"/>
      <c r="DF1075" s="7"/>
      <c r="DG1075" s="7"/>
      <c r="DH1075" s="7"/>
      <c r="DI1075" s="7"/>
      <c r="DJ1075" s="7"/>
      <c r="DK1075" s="7"/>
      <c r="DL1075" s="7"/>
      <c r="DM1075" s="7"/>
      <c r="DN1075" s="7"/>
      <c r="DO1075" s="7"/>
      <c r="DP1075" s="7"/>
      <c r="DQ1075" s="7"/>
      <c r="DR1075" s="7"/>
      <c r="DS1075" s="7"/>
      <c r="DT1075" s="7"/>
      <c r="DU1075" s="7"/>
      <c r="DV1075" s="7"/>
      <c r="DW1075" s="7"/>
      <c r="DX1075" s="7"/>
      <c r="DY1075" s="7"/>
      <c r="DZ1075" s="31"/>
      <c r="EA1075" s="7"/>
      <c r="EB1075" s="7"/>
      <c r="EC1075" s="7"/>
      <c r="ED1075" s="7"/>
      <c r="EE1075" s="7"/>
      <c r="EF1075" s="7"/>
      <c r="EG1075" s="7"/>
      <c r="EL1075" s="8"/>
      <c r="EY1075" s="8">
        <v>37</v>
      </c>
      <c r="FA1075" s="6"/>
      <c r="GP1075" s="32"/>
      <c r="GY1075" s="6" t="s">
        <v>338</v>
      </c>
      <c r="GZ1075" s="6" t="s">
        <v>386</v>
      </c>
      <c r="HD1075" s="8" t="s">
        <v>387</v>
      </c>
      <c r="HE1075" s="8">
        <v>4132</v>
      </c>
      <c r="HF1075" s="8" t="s">
        <v>388</v>
      </c>
      <c r="HG1075" s="9" t="s">
        <v>389</v>
      </c>
      <c r="IE1075" s="9"/>
      <c r="IF1075" s="9"/>
      <c r="IM1075" s="9"/>
      <c r="IR1075" s="9"/>
      <c r="JX1075" s="7" t="s">
        <v>390</v>
      </c>
      <c r="JY1075" s="7" t="s">
        <v>354</v>
      </c>
      <c r="JZ1075" s="7" t="s">
        <v>1663</v>
      </c>
      <c r="KA1075" s="7" t="s">
        <v>354</v>
      </c>
      <c r="KB1075" s="7" t="s">
        <v>353</v>
      </c>
      <c r="KG1075" s="4" t="s">
        <v>323</v>
      </c>
      <c r="KM1075" s="4" t="s">
        <v>391</v>
      </c>
      <c r="KN1075" s="4" t="s">
        <v>391</v>
      </c>
      <c r="KP1075" s="5" t="s">
        <v>358</v>
      </c>
      <c r="KQ1075" s="5" t="s">
        <v>392</v>
      </c>
      <c r="KR1075" s="5" t="s">
        <v>393</v>
      </c>
      <c r="KS1075" s="5" t="s">
        <v>394</v>
      </c>
      <c r="KT1075" s="5" t="s">
        <v>2407</v>
      </c>
    </row>
    <row r="1076" spans="1:306" ht="108" x14ac:dyDescent="0.25">
      <c r="A1076" s="5" t="s">
        <v>2428</v>
      </c>
      <c r="B1076" s="4" t="s">
        <v>364</v>
      </c>
      <c r="C1076" s="7" t="s">
        <v>365</v>
      </c>
      <c r="D1076" s="8" t="s">
        <v>366</v>
      </c>
      <c r="E1076" s="8"/>
      <c r="F1076" s="8"/>
      <c r="G1076" s="8" t="s">
        <v>330</v>
      </c>
      <c r="J1076" s="4" t="s">
        <v>2429</v>
      </c>
      <c r="K1076" s="4" t="s">
        <v>331</v>
      </c>
      <c r="L1076" s="4" t="s">
        <v>368</v>
      </c>
      <c r="M1076" s="4" t="s">
        <v>369</v>
      </c>
      <c r="Q1076" s="8"/>
      <c r="R1076" s="8"/>
      <c r="S1076" s="4"/>
      <c r="T1076" s="4"/>
      <c r="Z1076" s="4" t="s">
        <v>364</v>
      </c>
      <c r="AA1076" s="7" t="s">
        <v>365</v>
      </c>
      <c r="AB1076" s="8" t="s">
        <v>366</v>
      </c>
      <c r="AC1076" s="4" t="s">
        <v>301</v>
      </c>
      <c r="AD1076" s="4" t="s">
        <v>302</v>
      </c>
      <c r="AE1076" s="8">
        <v>3515</v>
      </c>
      <c r="AF1076" s="8">
        <v>3</v>
      </c>
      <c r="AG1076" s="4" t="s">
        <v>303</v>
      </c>
      <c r="AH1076" s="4" t="s">
        <v>372</v>
      </c>
      <c r="AI1076" s="9" t="s">
        <v>373</v>
      </c>
      <c r="AJ1076" s="9" t="s">
        <v>306</v>
      </c>
      <c r="AK1076" s="9" t="s">
        <v>307</v>
      </c>
      <c r="AL1076" s="9" t="s">
        <v>337</v>
      </c>
      <c r="AM1076" s="8">
        <v>5</v>
      </c>
      <c r="AS1076" s="8"/>
      <c r="AT1076" s="8"/>
      <c r="AU1076" s="4"/>
      <c r="AV1076" s="4"/>
      <c r="BG1076" s="8"/>
      <c r="BH1076" s="8"/>
      <c r="BI1076" s="4"/>
      <c r="BJ1076" s="4"/>
      <c r="DZ1076" s="31"/>
      <c r="FA1076" s="6"/>
      <c r="GP1076" s="32"/>
      <c r="GY1076" s="6" t="s">
        <v>407</v>
      </c>
      <c r="GZ1076" s="6" t="s">
        <v>386</v>
      </c>
      <c r="HD1076" s="8" t="s">
        <v>2428</v>
      </c>
      <c r="HE1076" s="8">
        <v>32211</v>
      </c>
      <c r="HF1076" s="8" t="s">
        <v>2430</v>
      </c>
      <c r="HG1076" s="9" t="s">
        <v>1393</v>
      </c>
      <c r="IM1076" s="9"/>
      <c r="IR1076" s="9"/>
      <c r="KQ1076" s="5" t="s">
        <v>2431</v>
      </c>
      <c r="KR1076" s="5" t="s">
        <v>2431</v>
      </c>
    </row>
    <row r="1077" spans="1:306" ht="132" x14ac:dyDescent="0.25">
      <c r="A1077" s="5" t="s">
        <v>2508</v>
      </c>
      <c r="B1077" s="4" t="s">
        <v>364</v>
      </c>
      <c r="C1077" s="7" t="s">
        <v>365</v>
      </c>
      <c r="D1077" s="8" t="s">
        <v>366</v>
      </c>
      <c r="G1077" s="4" t="s">
        <v>427</v>
      </c>
      <c r="K1077" s="4" t="s">
        <v>595</v>
      </c>
      <c r="L1077" s="4" t="s">
        <v>1422</v>
      </c>
      <c r="Q1077" s="8"/>
      <c r="R1077" s="8"/>
      <c r="Z1077" s="4" t="s">
        <v>364</v>
      </c>
      <c r="AA1077" s="7" t="s">
        <v>365</v>
      </c>
      <c r="AB1077" s="8" t="s">
        <v>366</v>
      </c>
      <c r="AC1077" s="4" t="s">
        <v>301</v>
      </c>
      <c r="AE1077" s="8">
        <v>1701</v>
      </c>
      <c r="AF1077" s="8">
        <v>3</v>
      </c>
      <c r="AG1077" s="9" t="s">
        <v>303</v>
      </c>
      <c r="AH1077" s="9" t="s">
        <v>372</v>
      </c>
      <c r="AI1077" s="9" t="s">
        <v>373</v>
      </c>
      <c r="AJ1077" s="9" t="s">
        <v>306</v>
      </c>
      <c r="AK1077" s="9" t="s">
        <v>307</v>
      </c>
      <c r="AM1077" s="8">
        <v>5</v>
      </c>
      <c r="DZ1077" s="31"/>
      <c r="EB1077" s="10"/>
      <c r="EY1077" s="6"/>
      <c r="FA1077" s="6"/>
      <c r="GP1077" s="32"/>
      <c r="GY1077" s="6" t="s">
        <v>407</v>
      </c>
      <c r="GZ1077" s="6" t="s">
        <v>386</v>
      </c>
      <c r="HD1077" s="8" t="s">
        <v>2508</v>
      </c>
      <c r="HE1077" s="8">
        <v>26261</v>
      </c>
      <c r="HF1077" s="8" t="s">
        <v>2509</v>
      </c>
      <c r="HG1077" s="9" t="s">
        <v>538</v>
      </c>
      <c r="HY1077" s="9"/>
      <c r="IM1077" s="9"/>
      <c r="JX1077" s="7" t="s">
        <v>353</v>
      </c>
      <c r="JY1077" s="7" t="s">
        <v>354</v>
      </c>
      <c r="JZ1077" s="7" t="s">
        <v>2510</v>
      </c>
      <c r="KG1077" s="4" t="s">
        <v>323</v>
      </c>
      <c r="KM1077" s="4" t="s">
        <v>702</v>
      </c>
      <c r="KN1077" s="4" t="s">
        <v>888</v>
      </c>
      <c r="KQ1077" s="5" t="s">
        <v>2511</v>
      </c>
      <c r="KR1077" s="5" t="s">
        <v>2511</v>
      </c>
      <c r="KT1077" s="5" t="s">
        <v>2512</v>
      </c>
    </row>
    <row r="1078" spans="1:306" ht="144" x14ac:dyDescent="0.25">
      <c r="A1078" s="5" t="s">
        <v>4682</v>
      </c>
      <c r="B1078" s="4" t="s">
        <v>364</v>
      </c>
      <c r="C1078" s="7" t="s">
        <v>365</v>
      </c>
      <c r="D1078" s="8" t="s">
        <v>366</v>
      </c>
      <c r="E1078" s="8"/>
      <c r="F1078" s="8"/>
      <c r="G1078" s="8" t="s">
        <v>330</v>
      </c>
      <c r="J1078" s="4" t="s">
        <v>4683</v>
      </c>
      <c r="K1078" s="4" t="s">
        <v>481</v>
      </c>
      <c r="L1078" s="4" t="s">
        <v>3050</v>
      </c>
      <c r="Q1078" s="8"/>
      <c r="R1078" s="8"/>
      <c r="Z1078" s="4" t="s">
        <v>364</v>
      </c>
      <c r="AA1078" s="7" t="s">
        <v>365</v>
      </c>
      <c r="AB1078" s="8" t="s">
        <v>366</v>
      </c>
      <c r="AC1078" s="4" t="s">
        <v>301</v>
      </c>
      <c r="AD1078" s="4" t="s">
        <v>302</v>
      </c>
      <c r="AE1078" s="8">
        <v>1843</v>
      </c>
      <c r="AF1078" s="8">
        <v>5</v>
      </c>
      <c r="AG1078" s="9" t="s">
        <v>303</v>
      </c>
      <c r="AH1078" s="9" t="s">
        <v>372</v>
      </c>
      <c r="AI1078" s="9" t="s">
        <v>373</v>
      </c>
      <c r="AJ1078" s="9" t="s">
        <v>306</v>
      </c>
      <c r="AK1078" s="9" t="s">
        <v>307</v>
      </c>
      <c r="AL1078" s="9" t="s">
        <v>337</v>
      </c>
      <c r="AM1078" s="8">
        <v>5</v>
      </c>
      <c r="AS1078" s="8"/>
      <c r="AT1078" s="8"/>
      <c r="BG1078" s="8"/>
      <c r="BH1078" s="8"/>
      <c r="DZ1078" s="31"/>
      <c r="FA1078" s="6"/>
      <c r="GP1078" s="32"/>
      <c r="GY1078" s="6" t="s">
        <v>407</v>
      </c>
      <c r="GZ1078" s="6" t="s">
        <v>386</v>
      </c>
      <c r="HD1078" s="8" t="s">
        <v>4682</v>
      </c>
      <c r="HE1078" s="8">
        <v>9793</v>
      </c>
      <c r="HF1078" s="8" t="s">
        <v>4684</v>
      </c>
      <c r="HG1078" s="9" t="s">
        <v>538</v>
      </c>
      <c r="IM1078" s="9"/>
      <c r="IR1078" s="9"/>
      <c r="KQ1078" s="5" t="s">
        <v>4685</v>
      </c>
      <c r="KR1078" s="5" t="s">
        <v>4685</v>
      </c>
      <c r="KT1078" s="5" t="s">
        <v>4686</v>
      </c>
    </row>
    <row r="1079" spans="1:306" ht="60" x14ac:dyDescent="0.25">
      <c r="A1079" s="5" t="s">
        <v>5166</v>
      </c>
      <c r="B1079" s="4" t="s">
        <v>383</v>
      </c>
      <c r="C1079" s="7" t="s">
        <v>384</v>
      </c>
      <c r="D1079" s="7" t="s">
        <v>385</v>
      </c>
      <c r="E1079" s="4">
        <v>336288</v>
      </c>
      <c r="G1079" s="4" t="s">
        <v>330</v>
      </c>
      <c r="H1079" s="6">
        <v>120.141479</v>
      </c>
      <c r="I1079" s="6">
        <v>-21.584334999999999</v>
      </c>
      <c r="J1079" s="4" t="s">
        <v>5166</v>
      </c>
      <c r="K1079" s="4" t="s">
        <v>331</v>
      </c>
      <c r="L1079" s="4" t="s">
        <v>368</v>
      </c>
      <c r="M1079" s="4" t="s">
        <v>369</v>
      </c>
      <c r="O1079" s="7"/>
      <c r="Q1079" s="8"/>
      <c r="R1079" s="8"/>
      <c r="Z1079" s="4" t="s">
        <v>364</v>
      </c>
      <c r="AA1079" s="7" t="s">
        <v>365</v>
      </c>
      <c r="AB1079" s="7" t="s">
        <v>366</v>
      </c>
      <c r="AC1079" s="4" t="s">
        <v>370</v>
      </c>
      <c r="AD1079" s="4" t="s">
        <v>371</v>
      </c>
      <c r="AE1079" s="8">
        <v>3016</v>
      </c>
      <c r="AF1079" s="8">
        <v>5</v>
      </c>
      <c r="AG1079" s="9" t="s">
        <v>303</v>
      </c>
      <c r="AH1079" s="9" t="s">
        <v>372</v>
      </c>
      <c r="AI1079" s="9" t="s">
        <v>373</v>
      </c>
      <c r="AJ1079" s="9" t="s">
        <v>306</v>
      </c>
      <c r="AK1079" s="9" t="s">
        <v>307</v>
      </c>
      <c r="AL1079" s="9" t="s">
        <v>337</v>
      </c>
      <c r="AM1079" s="8">
        <v>5</v>
      </c>
      <c r="AN1079" s="4" t="s">
        <v>381</v>
      </c>
      <c r="AO1079" s="4" t="s">
        <v>302</v>
      </c>
      <c r="AP1079" s="4" t="s">
        <v>383</v>
      </c>
      <c r="AQ1079" s="7" t="s">
        <v>384</v>
      </c>
      <c r="AR1079" s="7" t="s">
        <v>385</v>
      </c>
      <c r="AS1079" s="8"/>
      <c r="AT1079" s="8"/>
      <c r="BF1079" s="7"/>
      <c r="BG1079" s="8"/>
      <c r="BH1079" s="8"/>
      <c r="BR1079" s="7"/>
      <c r="BS1079" s="7"/>
      <c r="BT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c r="CX1079" s="7"/>
      <c r="CY1079" s="7"/>
      <c r="CZ1079" s="7"/>
      <c r="DA1079" s="7"/>
      <c r="DB1079" s="7"/>
      <c r="DC1079" s="7"/>
      <c r="DD1079" s="7"/>
      <c r="DE1079" s="7"/>
      <c r="DF1079" s="7"/>
      <c r="DG1079" s="7"/>
      <c r="DH1079" s="7"/>
      <c r="DI1079" s="7"/>
      <c r="DJ1079" s="7"/>
      <c r="DK1079" s="7"/>
      <c r="DL1079" s="7"/>
      <c r="DM1079" s="7"/>
      <c r="DN1079" s="7"/>
      <c r="DO1079" s="7"/>
      <c r="DP1079" s="7"/>
      <c r="DQ1079" s="7"/>
      <c r="DR1079" s="7"/>
      <c r="DS1079" s="7"/>
      <c r="DT1079" s="7"/>
      <c r="DU1079" s="7"/>
      <c r="DV1079" s="7"/>
      <c r="DW1079" s="7"/>
      <c r="DX1079" s="7"/>
      <c r="DY1079" s="7"/>
      <c r="DZ1079" s="31"/>
      <c r="EA1079" s="7"/>
      <c r="EB1079" s="7"/>
      <c r="EC1079" s="7"/>
      <c r="ED1079" s="7"/>
      <c r="EE1079" s="7"/>
      <c r="EF1079" s="7"/>
      <c r="EG1079" s="7"/>
      <c r="EL1079" s="8"/>
      <c r="EY1079" s="8">
        <v>136</v>
      </c>
      <c r="FA1079" s="6"/>
      <c r="GP1079" s="32"/>
      <c r="GY1079" s="6" t="s">
        <v>338</v>
      </c>
      <c r="GZ1079" s="6" t="s">
        <v>386</v>
      </c>
      <c r="HD1079" s="8" t="s">
        <v>387</v>
      </c>
      <c r="HE1079" s="8">
        <v>4132</v>
      </c>
      <c r="HF1079" s="8" t="s">
        <v>388</v>
      </c>
      <c r="HG1079" s="9" t="s">
        <v>389</v>
      </c>
      <c r="IE1079" s="9"/>
      <c r="IF1079" s="9"/>
      <c r="IM1079" s="9"/>
      <c r="IR1079" s="9"/>
      <c r="JX1079" s="7" t="s">
        <v>390</v>
      </c>
      <c r="JY1079" s="7" t="s">
        <v>354</v>
      </c>
      <c r="JZ1079" s="7" t="s">
        <v>1663</v>
      </c>
      <c r="KA1079" s="7" t="s">
        <v>354</v>
      </c>
      <c r="KB1079" s="7" t="s">
        <v>355</v>
      </c>
      <c r="KG1079" s="4" t="s">
        <v>323</v>
      </c>
      <c r="KM1079" s="4" t="s">
        <v>391</v>
      </c>
      <c r="KN1079" s="4" t="s">
        <v>391</v>
      </c>
      <c r="KP1079" s="5" t="s">
        <v>358</v>
      </c>
      <c r="KQ1079" s="5" t="s">
        <v>392</v>
      </c>
      <c r="KR1079" s="5" t="s">
        <v>393</v>
      </c>
      <c r="KS1079" s="5" t="s">
        <v>394</v>
      </c>
      <c r="KT1079" s="5" t="s">
        <v>5167</v>
      </c>
    </row>
    <row r="1080" spans="1:306" ht="60" x14ac:dyDescent="0.25">
      <c r="A1080" s="5" t="s">
        <v>5206</v>
      </c>
      <c r="B1080" s="4" t="s">
        <v>364</v>
      </c>
      <c r="C1080" s="7" t="s">
        <v>365</v>
      </c>
      <c r="D1080" s="7" t="s">
        <v>366</v>
      </c>
      <c r="E1080" s="4">
        <v>568313</v>
      </c>
      <c r="G1080" s="4" t="s">
        <v>330</v>
      </c>
      <c r="H1080" s="6">
        <v>116.525086</v>
      </c>
      <c r="I1080" s="6">
        <v>-20.873051</v>
      </c>
      <c r="J1080" s="4" t="s">
        <v>5206</v>
      </c>
      <c r="K1080" s="4" t="s">
        <v>331</v>
      </c>
      <c r="L1080" s="4" t="s">
        <v>368</v>
      </c>
      <c r="M1080" s="4" t="s">
        <v>666</v>
      </c>
      <c r="O1080" s="7"/>
      <c r="Q1080" s="8"/>
      <c r="R1080" s="8"/>
      <c r="Z1080" s="4" t="s">
        <v>364</v>
      </c>
      <c r="AA1080" s="7" t="s">
        <v>365</v>
      </c>
      <c r="AB1080" s="7" t="s">
        <v>366</v>
      </c>
      <c r="AC1080" s="4" t="s">
        <v>301</v>
      </c>
      <c r="AD1080" s="4" t="s">
        <v>302</v>
      </c>
      <c r="AE1080" s="8">
        <v>3016</v>
      </c>
      <c r="AF1080" s="8">
        <v>5</v>
      </c>
      <c r="AG1080" s="9" t="s">
        <v>303</v>
      </c>
      <c r="AH1080" s="9" t="s">
        <v>372</v>
      </c>
      <c r="AI1080" s="9" t="s">
        <v>373</v>
      </c>
      <c r="AJ1080" s="9" t="s">
        <v>306</v>
      </c>
      <c r="AK1080" s="9" t="s">
        <v>307</v>
      </c>
      <c r="AL1080" s="9" t="s">
        <v>337</v>
      </c>
      <c r="AM1080" s="8">
        <v>5</v>
      </c>
      <c r="AR1080" s="7"/>
      <c r="AS1080" s="8"/>
      <c r="AT1080" s="8"/>
      <c r="BF1080" s="7"/>
      <c r="BG1080" s="8"/>
      <c r="BH1080" s="8"/>
      <c r="BR1080" s="7"/>
      <c r="BS1080" s="7"/>
      <c r="BT1080" s="7"/>
      <c r="BV1080" s="7"/>
      <c r="BW1080" s="7"/>
      <c r="BX1080" s="7"/>
      <c r="BY1080" s="7"/>
      <c r="BZ1080" s="7"/>
      <c r="CA1080" s="7"/>
      <c r="CB1080" s="7"/>
      <c r="CC1080" s="7"/>
      <c r="CD1080" s="7"/>
      <c r="CE1080" s="7"/>
      <c r="CF1080" s="7"/>
      <c r="CG1080" s="7"/>
      <c r="CH1080" s="7"/>
      <c r="CI1080" s="7"/>
      <c r="CJ1080" s="7"/>
      <c r="CK1080" s="7"/>
      <c r="CL1080" s="7"/>
      <c r="CM1080" s="7"/>
      <c r="CN1080" s="7"/>
      <c r="CO1080" s="7"/>
      <c r="CP1080" s="7"/>
      <c r="CQ1080" s="7"/>
      <c r="CR1080" s="7"/>
      <c r="CS1080" s="7"/>
      <c r="CT1080" s="7"/>
      <c r="CU1080" s="7"/>
      <c r="CV1080" s="7"/>
      <c r="CW1080" s="7"/>
      <c r="CX1080" s="7"/>
      <c r="CY1080" s="7"/>
      <c r="CZ1080" s="7"/>
      <c r="DA1080" s="7"/>
      <c r="DB1080" s="7"/>
      <c r="DC1080" s="7"/>
      <c r="DD1080" s="7"/>
      <c r="DE1080" s="7"/>
      <c r="DF1080" s="7"/>
      <c r="DG1080" s="7"/>
      <c r="DH1080" s="7"/>
      <c r="DI1080" s="7"/>
      <c r="DJ1080" s="7"/>
      <c r="DK1080" s="7"/>
      <c r="DL1080" s="7"/>
      <c r="DM1080" s="7"/>
      <c r="DN1080" s="7"/>
      <c r="DO1080" s="7"/>
      <c r="DP1080" s="7"/>
      <c r="DQ1080" s="7"/>
      <c r="DR1080" s="7"/>
      <c r="DS1080" s="7"/>
      <c r="DT1080" s="7"/>
      <c r="DU1080" s="7"/>
      <c r="DV1080" s="7"/>
      <c r="DW1080" s="7"/>
      <c r="DX1080" s="7"/>
      <c r="DY1080" s="7"/>
      <c r="DZ1080" s="31"/>
      <c r="EA1080" s="7"/>
      <c r="EB1080" s="7"/>
      <c r="EC1080" s="7"/>
      <c r="ED1080" s="7"/>
      <c r="EE1080" s="7"/>
      <c r="EF1080" s="7"/>
      <c r="EG1080" s="7"/>
      <c r="EL1080" s="8"/>
      <c r="EY1080" s="8">
        <v>90</v>
      </c>
      <c r="FA1080" s="6"/>
      <c r="GP1080" s="32"/>
      <c r="GY1080" s="6" t="s">
        <v>309</v>
      </c>
      <c r="GZ1080" s="6" t="s">
        <v>386</v>
      </c>
      <c r="HD1080" s="8" t="s">
        <v>387</v>
      </c>
      <c r="HE1080" s="8">
        <v>4132</v>
      </c>
      <c r="HF1080" s="8" t="s">
        <v>388</v>
      </c>
      <c r="HG1080" s="9" t="s">
        <v>389</v>
      </c>
      <c r="IE1080" s="9"/>
      <c r="IF1080" s="9"/>
      <c r="IM1080" s="9"/>
      <c r="IR1080" s="9"/>
      <c r="JX1080" s="7" t="s">
        <v>353</v>
      </c>
      <c r="JY1080" s="7" t="s">
        <v>448</v>
      </c>
      <c r="JZ1080" s="7" t="s">
        <v>390</v>
      </c>
      <c r="KA1080" s="7" t="s">
        <v>470</v>
      </c>
      <c r="KB1080" s="7" t="s">
        <v>355</v>
      </c>
      <c r="KG1080" s="4" t="s">
        <v>323</v>
      </c>
      <c r="KM1080" s="4" t="s">
        <v>391</v>
      </c>
      <c r="KN1080" s="4" t="s">
        <v>391</v>
      </c>
      <c r="KP1080" s="5" t="s">
        <v>358</v>
      </c>
      <c r="KQ1080" s="5" t="s">
        <v>392</v>
      </c>
      <c r="KR1080" s="5" t="s">
        <v>393</v>
      </c>
      <c r="KS1080" s="5" t="s">
        <v>394</v>
      </c>
      <c r="KT1080" s="5" t="s">
        <v>1962</v>
      </c>
    </row>
    <row r="1081" spans="1:306" ht="144" x14ac:dyDescent="0.25">
      <c r="A1081" s="5" t="s">
        <v>5625</v>
      </c>
      <c r="B1081" s="4" t="s">
        <v>376</v>
      </c>
      <c r="C1081" s="7" t="s">
        <v>377</v>
      </c>
      <c r="D1081" s="7" t="s">
        <v>378</v>
      </c>
      <c r="E1081" s="4">
        <v>334819</v>
      </c>
      <c r="G1081" s="4" t="s">
        <v>330</v>
      </c>
      <c r="H1081" s="6">
        <v>119.534724</v>
      </c>
      <c r="I1081" s="6">
        <v>-20.351724000000001</v>
      </c>
      <c r="J1081" s="4" t="s">
        <v>5626</v>
      </c>
      <c r="K1081" s="4" t="s">
        <v>331</v>
      </c>
      <c r="L1081" s="4" t="s">
        <v>368</v>
      </c>
      <c r="M1081" s="4" t="s">
        <v>369</v>
      </c>
      <c r="O1081" s="7"/>
      <c r="Q1081" s="8"/>
      <c r="R1081" s="8"/>
      <c r="Z1081" s="4" t="s">
        <v>364</v>
      </c>
      <c r="AA1081" s="7" t="s">
        <v>365</v>
      </c>
      <c r="AB1081" s="7" t="s">
        <v>366</v>
      </c>
      <c r="AC1081" s="4" t="s">
        <v>370</v>
      </c>
      <c r="AD1081" s="4" t="s">
        <v>371</v>
      </c>
      <c r="AE1081" s="8">
        <v>3016</v>
      </c>
      <c r="AF1081" s="8">
        <v>5</v>
      </c>
      <c r="AG1081" s="9" t="s">
        <v>303</v>
      </c>
      <c r="AH1081" s="9" t="s">
        <v>372</v>
      </c>
      <c r="AI1081" s="9" t="s">
        <v>373</v>
      </c>
      <c r="AJ1081" s="9" t="s">
        <v>306</v>
      </c>
      <c r="AK1081" s="9" t="s">
        <v>307</v>
      </c>
      <c r="AL1081" s="9" t="s">
        <v>337</v>
      </c>
      <c r="AM1081" s="8">
        <v>5</v>
      </c>
      <c r="AN1081" s="4" t="s">
        <v>374</v>
      </c>
      <c r="AO1081" s="4" t="s">
        <v>375</v>
      </c>
      <c r="AP1081" s="4" t="s">
        <v>376</v>
      </c>
      <c r="AQ1081" s="7" t="s">
        <v>377</v>
      </c>
      <c r="AR1081" s="7" t="s">
        <v>378</v>
      </c>
      <c r="AS1081" s="8">
        <v>2249</v>
      </c>
      <c r="AT1081" s="8">
        <v>19</v>
      </c>
      <c r="AU1081" s="9" t="s">
        <v>379</v>
      </c>
      <c r="AV1081" s="9" t="s">
        <v>335</v>
      </c>
      <c r="AW1081" s="9" t="s">
        <v>336</v>
      </c>
      <c r="AX1081" s="9" t="s">
        <v>306</v>
      </c>
      <c r="AY1081" s="9" t="s">
        <v>307</v>
      </c>
      <c r="AZ1081" s="9" t="s">
        <v>337</v>
      </c>
      <c r="BA1081" s="8">
        <v>4</v>
      </c>
      <c r="BB1081" s="4" t="s">
        <v>381</v>
      </c>
      <c r="BC1081" s="4" t="s">
        <v>382</v>
      </c>
      <c r="BD1081" s="4" t="s">
        <v>383</v>
      </c>
      <c r="BE1081" s="7" t="s">
        <v>384</v>
      </c>
      <c r="BF1081" s="7" t="s">
        <v>385</v>
      </c>
      <c r="BG1081" s="7"/>
      <c r="BH1081" s="7"/>
      <c r="BR1081" s="7"/>
      <c r="BS1081" s="7"/>
      <c r="BT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c r="CX1081" s="7"/>
      <c r="CY1081" s="7"/>
      <c r="CZ1081" s="7"/>
      <c r="DA1081" s="7"/>
      <c r="DB1081" s="7"/>
      <c r="DC1081" s="7"/>
      <c r="DD1081" s="7"/>
      <c r="DE1081" s="7"/>
      <c r="DF1081" s="7"/>
      <c r="DG1081" s="7"/>
      <c r="DH1081" s="7"/>
      <c r="DI1081" s="7"/>
      <c r="DJ1081" s="7"/>
      <c r="DK1081" s="7"/>
      <c r="DL1081" s="7"/>
      <c r="DM1081" s="7"/>
      <c r="DN1081" s="7"/>
      <c r="DO1081" s="7"/>
      <c r="DP1081" s="7"/>
      <c r="DQ1081" s="7"/>
      <c r="DR1081" s="7"/>
      <c r="DS1081" s="7"/>
      <c r="DT1081" s="7"/>
      <c r="DU1081" s="7"/>
      <c r="DV1081" s="7"/>
      <c r="DW1081" s="7"/>
      <c r="DX1081" s="7"/>
      <c r="DY1081" s="7"/>
      <c r="DZ1081" s="31"/>
      <c r="EA1081" s="7"/>
      <c r="EB1081" s="7"/>
      <c r="EC1081" s="7"/>
      <c r="ED1081" s="7"/>
      <c r="EE1081" s="7"/>
      <c r="EF1081" s="7"/>
      <c r="EG1081" s="7"/>
      <c r="EL1081" s="8"/>
      <c r="EY1081" s="8">
        <v>122</v>
      </c>
      <c r="FA1081" s="6"/>
      <c r="GP1081" s="32"/>
      <c r="GY1081" s="6" t="s">
        <v>338</v>
      </c>
      <c r="GZ1081" s="6" t="s">
        <v>386</v>
      </c>
      <c r="HD1081" s="8" t="s">
        <v>387</v>
      </c>
      <c r="HE1081" s="8">
        <v>4132</v>
      </c>
      <c r="HF1081" s="8" t="s">
        <v>388</v>
      </c>
      <c r="HG1081" s="9" t="s">
        <v>389</v>
      </c>
      <c r="HH1081" s="9" t="s">
        <v>5627</v>
      </c>
      <c r="HJ1081" s="8" t="s">
        <v>5628</v>
      </c>
      <c r="HK1081" s="9" t="s">
        <v>5629</v>
      </c>
      <c r="HL1081" s="9" t="s">
        <v>5630</v>
      </c>
      <c r="HN1081" s="9" t="s">
        <v>5631</v>
      </c>
      <c r="HO1081" s="9" t="s">
        <v>5629</v>
      </c>
      <c r="HP1081" s="9" t="s">
        <v>5632</v>
      </c>
      <c r="HR1081" s="9" t="s">
        <v>5631</v>
      </c>
      <c r="HS1081" s="9" t="s">
        <v>5629</v>
      </c>
      <c r="IB1081" s="9" t="s">
        <v>5627</v>
      </c>
      <c r="ID1081" s="8" t="s">
        <v>5628</v>
      </c>
      <c r="IE1081" s="9" t="s">
        <v>5629</v>
      </c>
      <c r="IF1081" s="9" t="s">
        <v>445</v>
      </c>
      <c r="IG1081" s="9" t="s">
        <v>5630</v>
      </c>
      <c r="II1081" s="9" t="s">
        <v>5631</v>
      </c>
      <c r="IJ1081" s="9" t="s">
        <v>5629</v>
      </c>
      <c r="IK1081" s="9" t="s">
        <v>445</v>
      </c>
      <c r="IL1081" s="9" t="s">
        <v>5633</v>
      </c>
      <c r="IM1081" s="8">
        <v>1809</v>
      </c>
      <c r="IN1081" s="9" t="s">
        <v>5634</v>
      </c>
      <c r="IO1081" s="9" t="s">
        <v>5629</v>
      </c>
      <c r="IP1081" s="9" t="s">
        <v>445</v>
      </c>
      <c r="IQ1081" s="9" t="s">
        <v>5632</v>
      </c>
      <c r="IS1081" s="9" t="s">
        <v>5631</v>
      </c>
      <c r="IT1081" s="9" t="s">
        <v>5629</v>
      </c>
      <c r="IU1081" s="9" t="s">
        <v>445</v>
      </c>
      <c r="IV1081" s="9" t="s">
        <v>5635</v>
      </c>
      <c r="IX1081" s="9" t="s">
        <v>5636</v>
      </c>
      <c r="IY1081" s="9" t="s">
        <v>538</v>
      </c>
      <c r="IZ1081" s="9" t="s">
        <v>350</v>
      </c>
      <c r="JX1081" s="7" t="s">
        <v>355</v>
      </c>
      <c r="JY1081" s="7" t="s">
        <v>354</v>
      </c>
      <c r="JZ1081" s="7" t="s">
        <v>390</v>
      </c>
      <c r="KA1081" s="7" t="s">
        <v>354</v>
      </c>
      <c r="KB1081" s="7" t="s">
        <v>1663</v>
      </c>
      <c r="KG1081" s="4" t="s">
        <v>323</v>
      </c>
      <c r="KM1081" s="4" t="s">
        <v>391</v>
      </c>
      <c r="KN1081" s="4" t="s">
        <v>391</v>
      </c>
      <c r="KP1081" s="5" t="s">
        <v>358</v>
      </c>
      <c r="KQ1081" s="5" t="s">
        <v>5637</v>
      </c>
      <c r="KR1081" s="5" t="s">
        <v>393</v>
      </c>
      <c r="KS1081" s="5" t="s">
        <v>394</v>
      </c>
      <c r="KT1081" s="14" t="s">
        <v>5638</v>
      </c>
    </row>
    <row r="1082" spans="1:306" ht="72" x14ac:dyDescent="0.25">
      <c r="A1082" s="5" t="s">
        <v>5875</v>
      </c>
      <c r="B1082" s="4" t="s">
        <v>364</v>
      </c>
      <c r="C1082" s="7" t="s">
        <v>365</v>
      </c>
      <c r="D1082" s="7" t="s">
        <v>366</v>
      </c>
      <c r="E1082" s="4">
        <v>512505</v>
      </c>
      <c r="G1082" s="4" t="s">
        <v>330</v>
      </c>
      <c r="H1082" s="6">
        <v>117.19234254200001</v>
      </c>
      <c r="I1082" s="6">
        <v>-20.924465008999999</v>
      </c>
      <c r="J1082" s="4" t="s">
        <v>5875</v>
      </c>
      <c r="K1082" s="4" t="s">
        <v>331</v>
      </c>
      <c r="L1082" s="4" t="s">
        <v>368</v>
      </c>
      <c r="M1082" s="4" t="s">
        <v>666</v>
      </c>
      <c r="O1082" s="7"/>
      <c r="Q1082" s="8"/>
      <c r="R1082" s="8"/>
      <c r="Z1082" s="4" t="s">
        <v>364</v>
      </c>
      <c r="AA1082" s="7" t="s">
        <v>365</v>
      </c>
      <c r="AB1082" s="7" t="s">
        <v>366</v>
      </c>
      <c r="AC1082" s="4" t="s">
        <v>301</v>
      </c>
      <c r="AD1082" s="4" t="s">
        <v>302</v>
      </c>
      <c r="AE1082" s="8">
        <v>3016</v>
      </c>
      <c r="AF1082" s="8">
        <v>5</v>
      </c>
      <c r="AG1082" s="9" t="s">
        <v>303</v>
      </c>
      <c r="AH1082" s="9" t="s">
        <v>372</v>
      </c>
      <c r="AI1082" s="9" t="s">
        <v>373</v>
      </c>
      <c r="AJ1082" s="9" t="s">
        <v>306</v>
      </c>
      <c r="AK1082" s="9" t="s">
        <v>307</v>
      </c>
      <c r="AL1082" s="9" t="s">
        <v>337</v>
      </c>
      <c r="AM1082" s="8">
        <v>5</v>
      </c>
      <c r="AR1082" s="7"/>
      <c r="AS1082" s="8"/>
      <c r="AT1082" s="8"/>
      <c r="BF1082" s="7"/>
      <c r="BG1082" s="8"/>
      <c r="BH1082" s="8"/>
      <c r="BR1082" s="7"/>
      <c r="BS1082" s="7"/>
      <c r="BT1082" s="7"/>
      <c r="BV1082" s="7"/>
      <c r="BW1082" s="7"/>
      <c r="BX1082" s="7"/>
      <c r="BY1082" s="7"/>
      <c r="BZ1082" s="7"/>
      <c r="CA1082" s="7"/>
      <c r="CB1082" s="7"/>
      <c r="CC1082" s="7"/>
      <c r="CD1082" s="7"/>
      <c r="CE1082" s="7"/>
      <c r="CF1082" s="7"/>
      <c r="CG1082" s="7"/>
      <c r="CH1082" s="7"/>
      <c r="CI1082" s="7"/>
      <c r="CJ1082" s="7"/>
      <c r="CK1082" s="7"/>
      <c r="CL1082" s="7"/>
      <c r="CM1082" s="7"/>
      <c r="CN1082" s="7"/>
      <c r="CO1082" s="7"/>
      <c r="CP1082" s="7"/>
      <c r="CQ1082" s="7"/>
      <c r="CR1082" s="7"/>
      <c r="CS1082" s="7"/>
      <c r="CT1082" s="7"/>
      <c r="CU1082" s="7"/>
      <c r="CV1082" s="7"/>
      <c r="CW1082" s="7"/>
      <c r="CX1082" s="7"/>
      <c r="CY1082" s="7"/>
      <c r="CZ1082" s="7"/>
      <c r="DA1082" s="7"/>
      <c r="DB1082" s="7"/>
      <c r="DC1082" s="7"/>
      <c r="DD1082" s="7"/>
      <c r="DE1082" s="7"/>
      <c r="DF1082" s="7"/>
      <c r="DG1082" s="7"/>
      <c r="DH1082" s="7"/>
      <c r="DI1082" s="7"/>
      <c r="DJ1082" s="7"/>
      <c r="DK1082" s="7"/>
      <c r="DL1082" s="7"/>
      <c r="DM1082" s="7"/>
      <c r="DN1082" s="7"/>
      <c r="DO1082" s="7"/>
      <c r="DP1082" s="7"/>
      <c r="DQ1082" s="7"/>
      <c r="DR1082" s="7"/>
      <c r="DS1082" s="7"/>
      <c r="DT1082" s="7"/>
      <c r="DU1082" s="7"/>
      <c r="DV1082" s="7"/>
      <c r="DW1082" s="7"/>
      <c r="DX1082" s="7"/>
      <c r="DY1082" s="7"/>
      <c r="DZ1082" s="31"/>
      <c r="EA1082" s="7"/>
      <c r="EB1082" s="7"/>
      <c r="EC1082" s="7"/>
      <c r="ED1082" s="7"/>
      <c r="EE1082" s="7"/>
      <c r="EF1082" s="7"/>
      <c r="EG1082" s="7"/>
      <c r="EL1082" s="8"/>
      <c r="EY1082" s="8">
        <v>43</v>
      </c>
      <c r="FA1082" s="6"/>
      <c r="GP1082" s="32"/>
      <c r="GY1082" s="6" t="s">
        <v>309</v>
      </c>
      <c r="GZ1082" s="6" t="s">
        <v>386</v>
      </c>
      <c r="HD1082" s="8" t="s">
        <v>387</v>
      </c>
      <c r="HE1082" s="8">
        <v>4132</v>
      </c>
      <c r="HF1082" s="8" t="s">
        <v>388</v>
      </c>
      <c r="HG1082" s="9" t="s">
        <v>389</v>
      </c>
      <c r="IE1082" s="9"/>
      <c r="IF1082" s="9"/>
      <c r="IM1082" s="9"/>
      <c r="IR1082" s="9"/>
      <c r="JX1082" s="7" t="s">
        <v>353</v>
      </c>
      <c r="JY1082" s="7" t="s">
        <v>448</v>
      </c>
      <c r="JZ1082" s="7" t="s">
        <v>390</v>
      </c>
      <c r="KA1082" s="7" t="s">
        <v>470</v>
      </c>
      <c r="KB1082" s="7" t="s">
        <v>355</v>
      </c>
      <c r="KG1082" s="4" t="s">
        <v>323</v>
      </c>
      <c r="KM1082" s="4" t="s">
        <v>391</v>
      </c>
      <c r="KN1082" s="4" t="s">
        <v>391</v>
      </c>
      <c r="KP1082" s="18" t="s">
        <v>5876</v>
      </c>
      <c r="KQ1082" s="5" t="s">
        <v>392</v>
      </c>
      <c r="KR1082" s="5" t="s">
        <v>393</v>
      </c>
      <c r="KS1082" s="5" t="s">
        <v>5877</v>
      </c>
      <c r="KT1082" s="5" t="s">
        <v>5878</v>
      </c>
    </row>
    <row r="1083" spans="1:306" s="4" customFormat="1" ht="48" x14ac:dyDescent="0.25">
      <c r="A1083" s="5" t="s">
        <v>5962</v>
      </c>
      <c r="B1083" s="4" t="s">
        <v>383</v>
      </c>
      <c r="C1083" s="7" t="s">
        <v>384</v>
      </c>
      <c r="D1083" s="7" t="s">
        <v>385</v>
      </c>
      <c r="E1083" s="4">
        <v>513616</v>
      </c>
      <c r="G1083" s="4" t="s">
        <v>330</v>
      </c>
      <c r="H1083" s="6">
        <v>119.289</v>
      </c>
      <c r="I1083" s="6">
        <v>-21.536999999999999</v>
      </c>
      <c r="J1083" s="4" t="s">
        <v>5963</v>
      </c>
      <c r="K1083" s="4" t="s">
        <v>331</v>
      </c>
      <c r="L1083" s="4" t="s">
        <v>368</v>
      </c>
      <c r="M1083" s="4" t="s">
        <v>369</v>
      </c>
      <c r="O1083" s="7"/>
      <c r="Q1083" s="8"/>
      <c r="R1083" s="8"/>
      <c r="S1083" s="9"/>
      <c r="T1083" s="9"/>
      <c r="U1083" s="9"/>
      <c r="V1083" s="9"/>
      <c r="W1083" s="9"/>
      <c r="X1083" s="9"/>
      <c r="Y1083" s="8"/>
      <c r="Z1083" s="4" t="s">
        <v>364</v>
      </c>
      <c r="AA1083" s="7" t="s">
        <v>365</v>
      </c>
      <c r="AB1083" s="7" t="s">
        <v>366</v>
      </c>
      <c r="AC1083" s="4" t="s">
        <v>370</v>
      </c>
      <c r="AD1083" s="4" t="s">
        <v>371</v>
      </c>
      <c r="AE1083" s="8">
        <v>3238</v>
      </c>
      <c r="AF1083" s="8">
        <v>2</v>
      </c>
      <c r="AG1083" s="9" t="s">
        <v>379</v>
      </c>
      <c r="AH1083" s="9" t="s">
        <v>690</v>
      </c>
      <c r="AI1083" s="9" t="s">
        <v>373</v>
      </c>
      <c r="AJ1083" s="9" t="s">
        <v>306</v>
      </c>
      <c r="AK1083" s="9" t="s">
        <v>307</v>
      </c>
      <c r="AL1083" s="9" t="s">
        <v>337</v>
      </c>
      <c r="AM1083" s="8">
        <v>2</v>
      </c>
      <c r="AN1083" s="4" t="s">
        <v>381</v>
      </c>
      <c r="AO1083" s="4" t="s">
        <v>302</v>
      </c>
      <c r="AP1083" s="4" t="s">
        <v>383</v>
      </c>
      <c r="AQ1083" s="7" t="s">
        <v>384</v>
      </c>
      <c r="AR1083" s="7" t="s">
        <v>385</v>
      </c>
      <c r="AS1083" s="8"/>
      <c r="AT1083" s="8"/>
      <c r="AU1083" s="9"/>
      <c r="AV1083" s="9"/>
      <c r="AW1083" s="9"/>
      <c r="AX1083" s="9"/>
      <c r="AY1083" s="9"/>
      <c r="AZ1083" s="9"/>
      <c r="BA1083" s="8"/>
      <c r="BE1083" s="7"/>
      <c r="BF1083" s="7"/>
      <c r="BG1083" s="8"/>
      <c r="BH1083" s="8"/>
      <c r="BI1083" s="9"/>
      <c r="BJ1083" s="9"/>
      <c r="BK1083" s="9"/>
      <c r="BL1083" s="9"/>
      <c r="BM1083" s="9"/>
      <c r="BN1083" s="9"/>
      <c r="BO1083" s="8"/>
      <c r="BP1083" s="7"/>
      <c r="BQ1083" s="6"/>
      <c r="BR1083" s="7"/>
      <c r="BS1083" s="7"/>
      <c r="BT1083" s="7"/>
      <c r="BU1083" s="8"/>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c r="CX1083" s="7"/>
      <c r="CY1083" s="7"/>
      <c r="CZ1083" s="7"/>
      <c r="DA1083" s="7"/>
      <c r="DB1083" s="7"/>
      <c r="DC1083" s="7"/>
      <c r="DD1083" s="7"/>
      <c r="DE1083" s="7"/>
      <c r="DF1083" s="7"/>
      <c r="DG1083" s="7"/>
      <c r="DH1083" s="7"/>
      <c r="DI1083" s="7"/>
      <c r="DJ1083" s="7"/>
      <c r="DK1083" s="7"/>
      <c r="DL1083" s="7"/>
      <c r="DM1083" s="7"/>
      <c r="DN1083" s="7"/>
      <c r="DO1083" s="7"/>
      <c r="DP1083" s="7"/>
      <c r="DQ1083" s="7"/>
      <c r="DR1083" s="7"/>
      <c r="DS1083" s="7"/>
      <c r="DT1083" s="7"/>
      <c r="DU1083" s="7"/>
      <c r="DV1083" s="7"/>
      <c r="DW1083" s="7"/>
      <c r="DX1083" s="7"/>
      <c r="DY1083" s="7"/>
      <c r="DZ1083" s="31"/>
      <c r="EA1083" s="7"/>
      <c r="EB1083" s="7"/>
      <c r="EC1083" s="7"/>
      <c r="ED1083" s="7"/>
      <c r="EE1083" s="7"/>
      <c r="EF1083" s="7"/>
      <c r="EG1083" s="7"/>
      <c r="EH1083" s="10"/>
      <c r="EI1083" s="10"/>
      <c r="EJ1083" s="10"/>
      <c r="EK1083" s="10"/>
      <c r="EL1083" s="8"/>
      <c r="EM1083" s="6"/>
      <c r="EN1083" s="6"/>
      <c r="EO1083" s="6"/>
      <c r="EP1083" s="6"/>
      <c r="EQ1083" s="6"/>
      <c r="ER1083" s="6"/>
      <c r="ES1083" s="6"/>
      <c r="ET1083" s="6"/>
      <c r="EU1083" s="6"/>
      <c r="EV1083" s="6"/>
      <c r="EW1083" s="6"/>
      <c r="EX1083" s="6"/>
      <c r="EY1083" s="8">
        <v>39</v>
      </c>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32"/>
      <c r="GQ1083" s="6"/>
      <c r="GR1083" s="6"/>
      <c r="GS1083" s="6"/>
      <c r="GT1083" s="6"/>
      <c r="GU1083" s="6"/>
      <c r="GV1083" s="6"/>
      <c r="GW1083" s="6"/>
      <c r="GX1083" s="6"/>
      <c r="GY1083" s="6" t="s">
        <v>338</v>
      </c>
      <c r="GZ1083" s="6" t="s">
        <v>386</v>
      </c>
      <c r="HA1083" s="6"/>
      <c r="HB1083" s="6"/>
      <c r="HC1083" s="6"/>
      <c r="HD1083" s="8" t="s">
        <v>5964</v>
      </c>
      <c r="HE1083" s="8">
        <v>78382</v>
      </c>
      <c r="HF1083" s="8" t="s">
        <v>5965</v>
      </c>
      <c r="HG1083" s="9" t="s">
        <v>792</v>
      </c>
      <c r="HH1083" s="9"/>
      <c r="HI1083" s="8"/>
      <c r="HJ1083" s="9"/>
      <c r="HK1083" s="9"/>
      <c r="HL1083" s="9"/>
      <c r="HM1083" s="8"/>
      <c r="HN1083" s="9"/>
      <c r="HO1083" s="9"/>
      <c r="HP1083" s="9"/>
      <c r="HQ1083" s="8"/>
      <c r="HR1083" s="9"/>
      <c r="HS1083" s="9"/>
      <c r="HT1083" s="9"/>
      <c r="HU1083" s="9"/>
      <c r="HV1083" s="9"/>
      <c r="HW1083" s="9"/>
      <c r="HX1083" s="9"/>
      <c r="HY1083" s="8"/>
      <c r="HZ1083" s="9"/>
      <c r="IA1083" s="9"/>
      <c r="IB1083" s="8"/>
      <c r="IC1083" s="8"/>
      <c r="ID1083" s="8"/>
      <c r="IE1083" s="9"/>
      <c r="IF1083" s="9"/>
      <c r="IG1083" s="8"/>
      <c r="IH1083" s="8"/>
      <c r="II1083" s="8"/>
      <c r="IJ1083" s="8"/>
      <c r="IK1083" s="8"/>
      <c r="IL1083" s="9"/>
      <c r="IM1083" s="9"/>
      <c r="IN1083" s="9"/>
      <c r="IO1083" s="9"/>
      <c r="IP1083" s="9"/>
      <c r="IQ1083" s="9"/>
      <c r="IR1083" s="9"/>
      <c r="IS1083" s="9"/>
      <c r="IT1083" s="9"/>
      <c r="IU1083" s="9"/>
      <c r="IV1083" s="9"/>
      <c r="IW1083" s="9"/>
      <c r="IX1083" s="9"/>
      <c r="IY1083" s="9"/>
      <c r="IZ1083" s="9"/>
      <c r="JA1083" s="9"/>
      <c r="JB1083" s="9"/>
      <c r="JC1083" s="9"/>
      <c r="JD1083" s="9"/>
      <c r="JE1083" s="9"/>
      <c r="JF1083" s="9"/>
      <c r="JG1083" s="9"/>
      <c r="JH1083" s="9"/>
      <c r="JI1083" s="9"/>
      <c r="JJ1083" s="9"/>
      <c r="JK1083" s="9"/>
      <c r="JL1083" s="9"/>
      <c r="JM1083" s="9"/>
      <c r="JN1083" s="9"/>
      <c r="JO1083" s="9"/>
      <c r="JP1083" s="9"/>
      <c r="JQ1083" s="9"/>
      <c r="JR1083" s="9"/>
      <c r="JS1083" s="9"/>
      <c r="JT1083" s="9"/>
      <c r="JU1083" s="7"/>
      <c r="JV1083" s="7"/>
      <c r="JW1083" s="7"/>
      <c r="JX1083" s="7" t="s">
        <v>390</v>
      </c>
      <c r="JY1083" s="7" t="s">
        <v>354</v>
      </c>
      <c r="JZ1083" s="7" t="s">
        <v>1663</v>
      </c>
      <c r="KA1083" s="7"/>
      <c r="KB1083" s="7"/>
      <c r="KC1083" s="7"/>
      <c r="KD1083" s="7"/>
      <c r="KE1083" s="7"/>
      <c r="KF1083" s="7"/>
      <c r="KG1083" s="4" t="s">
        <v>323</v>
      </c>
      <c r="KM1083" s="4" t="s">
        <v>391</v>
      </c>
      <c r="KN1083" s="4" t="s">
        <v>391</v>
      </c>
      <c r="KP1083" s="5" t="s">
        <v>358</v>
      </c>
      <c r="KQ1083" s="5" t="s">
        <v>5966</v>
      </c>
      <c r="KR1083" s="5" t="s">
        <v>1320</v>
      </c>
      <c r="KS1083" s="5" t="s">
        <v>394</v>
      </c>
      <c r="KT1083" s="5" t="s">
        <v>5967</v>
      </c>
    </row>
    <row r="1084" spans="1:306" ht="36" x14ac:dyDescent="0.25">
      <c r="A1084" s="5" t="s">
        <v>6242</v>
      </c>
      <c r="B1084" s="4" t="s">
        <v>364</v>
      </c>
      <c r="C1084" s="7" t="s">
        <v>365</v>
      </c>
      <c r="D1084" s="8" t="s">
        <v>366</v>
      </c>
      <c r="E1084" s="8"/>
      <c r="F1084" s="8"/>
      <c r="G1084" s="8" t="s">
        <v>330</v>
      </c>
      <c r="J1084" s="4" t="s">
        <v>6243</v>
      </c>
      <c r="K1084" s="4" t="s">
        <v>331</v>
      </c>
      <c r="L1084" s="4" t="s">
        <v>500</v>
      </c>
      <c r="M1084" s="4" t="s">
        <v>501</v>
      </c>
      <c r="Q1084" s="8"/>
      <c r="R1084" s="8"/>
      <c r="S1084" s="4"/>
      <c r="T1084" s="4"/>
      <c r="Z1084" s="4" t="s">
        <v>364</v>
      </c>
      <c r="AA1084" s="7" t="s">
        <v>365</v>
      </c>
      <c r="AB1084" s="8" t="s">
        <v>366</v>
      </c>
      <c r="AC1084" s="4" t="s">
        <v>301</v>
      </c>
      <c r="AD1084" s="4" t="s">
        <v>302</v>
      </c>
      <c r="AE1084" s="8">
        <v>2706</v>
      </c>
      <c r="AF1084" s="8">
        <v>5</v>
      </c>
      <c r="AG1084" s="4" t="s">
        <v>303</v>
      </c>
      <c r="AH1084" s="4" t="s">
        <v>372</v>
      </c>
      <c r="AI1084" s="9" t="s">
        <v>373</v>
      </c>
      <c r="AJ1084" s="9" t="s">
        <v>306</v>
      </c>
      <c r="AK1084" s="9" t="s">
        <v>307</v>
      </c>
      <c r="AL1084" s="9" t="s">
        <v>337</v>
      </c>
      <c r="AM1084" s="8">
        <v>5</v>
      </c>
      <c r="AS1084" s="8"/>
      <c r="AT1084" s="8"/>
      <c r="AU1084" s="4"/>
      <c r="AV1084" s="4"/>
      <c r="BG1084" s="8"/>
      <c r="BH1084" s="8"/>
      <c r="BI1084" s="4"/>
      <c r="BJ1084" s="4"/>
      <c r="DZ1084" s="31"/>
      <c r="FA1084" s="6"/>
      <c r="GP1084" s="32"/>
      <c r="GY1084" s="6" t="s">
        <v>407</v>
      </c>
      <c r="GZ1084" s="6" t="s">
        <v>386</v>
      </c>
      <c r="HD1084" s="8" t="s">
        <v>6242</v>
      </c>
      <c r="HE1084" s="8">
        <v>14203</v>
      </c>
      <c r="HF1084" s="9" t="s">
        <v>6244</v>
      </c>
      <c r="HG1084" s="9" t="s">
        <v>507</v>
      </c>
      <c r="IM1084" s="9"/>
      <c r="IR1084" s="9"/>
      <c r="KQ1084" s="5" t="s">
        <v>6245</v>
      </c>
      <c r="KR1084" s="5" t="s">
        <v>6245</v>
      </c>
      <c r="KT1084" s="5" t="s">
        <v>6246</v>
      </c>
    </row>
    <row r="1085" spans="1:306" ht="60" x14ac:dyDescent="0.25">
      <c r="A1085" s="5" t="s">
        <v>6537</v>
      </c>
      <c r="B1085" s="4" t="s">
        <v>383</v>
      </c>
      <c r="C1085" s="7" t="s">
        <v>384</v>
      </c>
      <c r="D1085" s="7" t="s">
        <v>385</v>
      </c>
      <c r="E1085" s="4">
        <v>407951</v>
      </c>
      <c r="G1085" s="4" t="s">
        <v>330</v>
      </c>
      <c r="H1085" s="6">
        <v>119.11799999999999</v>
      </c>
      <c r="I1085" s="6">
        <v>-20.256</v>
      </c>
      <c r="J1085" s="4" t="s">
        <v>6538</v>
      </c>
      <c r="K1085" s="4" t="s">
        <v>331</v>
      </c>
      <c r="L1085" s="4" t="s">
        <v>368</v>
      </c>
      <c r="M1085" s="4" t="s">
        <v>369</v>
      </c>
      <c r="O1085" s="7"/>
      <c r="Q1085" s="8"/>
      <c r="R1085" s="8"/>
      <c r="Z1085" s="4" t="s">
        <v>364</v>
      </c>
      <c r="AA1085" s="7" t="s">
        <v>365</v>
      </c>
      <c r="AB1085" s="7" t="s">
        <v>366</v>
      </c>
      <c r="AC1085" s="4" t="s">
        <v>370</v>
      </c>
      <c r="AD1085" s="4" t="s">
        <v>371</v>
      </c>
      <c r="AE1085" s="8">
        <v>3016</v>
      </c>
      <c r="AF1085" s="8">
        <v>5</v>
      </c>
      <c r="AG1085" s="9" t="s">
        <v>303</v>
      </c>
      <c r="AH1085" s="9" t="s">
        <v>372</v>
      </c>
      <c r="AI1085" s="9" t="s">
        <v>373</v>
      </c>
      <c r="AJ1085" s="9" t="s">
        <v>306</v>
      </c>
      <c r="AK1085" s="9" t="s">
        <v>307</v>
      </c>
      <c r="AL1085" s="9" t="s">
        <v>337</v>
      </c>
      <c r="AM1085" s="8">
        <v>5</v>
      </c>
      <c r="AN1085" s="4" t="s">
        <v>374</v>
      </c>
      <c r="AO1085" s="4" t="s">
        <v>382</v>
      </c>
      <c r="AP1085" s="4" t="s">
        <v>376</v>
      </c>
      <c r="AQ1085" s="7" t="s">
        <v>377</v>
      </c>
      <c r="AR1085" s="7" t="s">
        <v>378</v>
      </c>
      <c r="AS1085" s="8">
        <v>2009</v>
      </c>
      <c r="AT1085" s="8"/>
      <c r="AU1085" s="9" t="s">
        <v>379</v>
      </c>
      <c r="AV1085" s="9" t="s">
        <v>380</v>
      </c>
      <c r="BA1085" s="8">
        <v>2</v>
      </c>
      <c r="BB1085" s="4" t="s">
        <v>381</v>
      </c>
      <c r="BC1085" s="4" t="s">
        <v>375</v>
      </c>
      <c r="BD1085" s="4" t="s">
        <v>383</v>
      </c>
      <c r="BE1085" s="7" t="s">
        <v>384</v>
      </c>
      <c r="BF1085" s="7" t="s">
        <v>385</v>
      </c>
      <c r="BG1085" s="8"/>
      <c r="BH1085" s="8"/>
      <c r="BR1085" s="7"/>
      <c r="BS1085" s="7"/>
      <c r="BT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c r="CX1085" s="7"/>
      <c r="CY1085" s="7"/>
      <c r="CZ1085" s="7"/>
      <c r="DA1085" s="7"/>
      <c r="DB1085" s="7"/>
      <c r="DC1085" s="7"/>
      <c r="DD1085" s="7"/>
      <c r="DE1085" s="7"/>
      <c r="DF1085" s="7"/>
      <c r="DG1085" s="7"/>
      <c r="DH1085" s="7"/>
      <c r="DI1085" s="7"/>
      <c r="DJ1085" s="7"/>
      <c r="DK1085" s="7"/>
      <c r="DL1085" s="7"/>
      <c r="DM1085" s="7"/>
      <c r="DN1085" s="7"/>
      <c r="DO1085" s="7"/>
      <c r="DP1085" s="7"/>
      <c r="DQ1085" s="7"/>
      <c r="DR1085" s="7"/>
      <c r="DS1085" s="7"/>
      <c r="DT1085" s="7"/>
      <c r="DU1085" s="7"/>
      <c r="DV1085" s="7"/>
      <c r="DW1085" s="7"/>
      <c r="DX1085" s="7"/>
      <c r="DY1085" s="7"/>
      <c r="DZ1085" s="31"/>
      <c r="EA1085" s="7"/>
      <c r="EB1085" s="7"/>
      <c r="EC1085" s="7"/>
      <c r="ED1085" s="7"/>
      <c r="EE1085" s="7"/>
      <c r="EF1085" s="7"/>
      <c r="EG1085" s="7"/>
      <c r="EL1085" s="8"/>
      <c r="EY1085" s="8">
        <v>6</v>
      </c>
      <c r="FA1085" s="6"/>
      <c r="GP1085" s="32"/>
      <c r="GY1085" s="6" t="s">
        <v>338</v>
      </c>
      <c r="GZ1085" s="6" t="s">
        <v>386</v>
      </c>
      <c r="HD1085" s="8" t="s">
        <v>387</v>
      </c>
      <c r="HE1085" s="8">
        <v>4132</v>
      </c>
      <c r="HF1085" s="8" t="s">
        <v>388</v>
      </c>
      <c r="HG1085" s="9" t="s">
        <v>389</v>
      </c>
      <c r="IE1085" s="9"/>
      <c r="IF1085" s="9"/>
      <c r="IM1085" s="9"/>
      <c r="IR1085" s="9"/>
      <c r="JX1085" s="7" t="s">
        <v>390</v>
      </c>
      <c r="JY1085" s="7" t="s">
        <v>354</v>
      </c>
      <c r="JZ1085" s="7" t="s">
        <v>1663</v>
      </c>
      <c r="KA1085" s="7" t="s">
        <v>354</v>
      </c>
      <c r="KB1085" s="7" t="s">
        <v>353</v>
      </c>
      <c r="KG1085" s="4" t="s">
        <v>323</v>
      </c>
      <c r="KM1085" s="4" t="s">
        <v>391</v>
      </c>
      <c r="KN1085" s="4" t="s">
        <v>391</v>
      </c>
      <c r="KP1085" s="5" t="s">
        <v>358</v>
      </c>
      <c r="KQ1085" s="5" t="s">
        <v>392</v>
      </c>
      <c r="KR1085" s="5" t="s">
        <v>393</v>
      </c>
      <c r="KS1085" s="5" t="s">
        <v>394</v>
      </c>
      <c r="KT1085" s="5" t="s">
        <v>6539</v>
      </c>
    </row>
    <row r="1086" spans="1:306" ht="156" x14ac:dyDescent="0.25">
      <c r="A1086" s="5" t="s">
        <v>6746</v>
      </c>
      <c r="B1086" s="4" t="s">
        <v>364</v>
      </c>
      <c r="C1086" s="7" t="s">
        <v>365</v>
      </c>
      <c r="D1086" s="8" t="s">
        <v>366</v>
      </c>
      <c r="G1086" s="4" t="s">
        <v>427</v>
      </c>
      <c r="K1086" s="4" t="s">
        <v>595</v>
      </c>
      <c r="L1086" s="4" t="s">
        <v>1422</v>
      </c>
      <c r="Q1086" s="8"/>
      <c r="R1086" s="8"/>
      <c r="S1086" s="4"/>
      <c r="T1086" s="4"/>
      <c r="Z1086" s="4" t="s">
        <v>364</v>
      </c>
      <c r="AA1086" s="7" t="s">
        <v>365</v>
      </c>
      <c r="AB1086" s="8" t="s">
        <v>366</v>
      </c>
      <c r="AC1086" s="4" t="s">
        <v>301</v>
      </c>
      <c r="AE1086" s="8">
        <v>1685</v>
      </c>
      <c r="AF1086" s="8">
        <v>3</v>
      </c>
      <c r="AG1086" s="4" t="s">
        <v>303</v>
      </c>
      <c r="AH1086" s="4" t="s">
        <v>372</v>
      </c>
      <c r="AI1086" s="9" t="s">
        <v>373</v>
      </c>
      <c r="AJ1086" s="9" t="s">
        <v>306</v>
      </c>
      <c r="AK1086" s="9" t="s">
        <v>307</v>
      </c>
      <c r="AM1086" s="8">
        <v>5</v>
      </c>
      <c r="DZ1086" s="31"/>
      <c r="EB1086" s="10"/>
      <c r="EY1086" s="6"/>
      <c r="FA1086" s="6"/>
      <c r="GP1086" s="32"/>
      <c r="GY1086" s="6" t="s">
        <v>407</v>
      </c>
      <c r="GZ1086" s="6" t="s">
        <v>386</v>
      </c>
      <c r="HD1086" s="8" t="s">
        <v>6746</v>
      </c>
      <c r="HE1086" s="8">
        <v>15683</v>
      </c>
      <c r="HF1086" s="8" t="s">
        <v>6747</v>
      </c>
      <c r="HG1086" s="9" t="s">
        <v>538</v>
      </c>
      <c r="HY1086" s="9"/>
      <c r="IM1086" s="9"/>
      <c r="JX1086" s="7" t="s">
        <v>353</v>
      </c>
      <c r="KG1086" s="4" t="s">
        <v>323</v>
      </c>
      <c r="KQ1086" s="5" t="s">
        <v>6748</v>
      </c>
      <c r="KR1086" s="5" t="s">
        <v>6748</v>
      </c>
      <c r="KT1086" s="5" t="s">
        <v>6749</v>
      </c>
    </row>
    <row r="1087" spans="1:306" ht="72" x14ac:dyDescent="0.25">
      <c r="A1087" s="5" t="s">
        <v>7179</v>
      </c>
      <c r="B1087" s="4" t="s">
        <v>364</v>
      </c>
      <c r="C1087" s="7" t="s">
        <v>365</v>
      </c>
      <c r="D1087" s="8" t="s">
        <v>366</v>
      </c>
      <c r="G1087" s="4" t="s">
        <v>593</v>
      </c>
      <c r="K1087" s="4" t="s">
        <v>595</v>
      </c>
      <c r="L1087" s="4" t="s">
        <v>596</v>
      </c>
      <c r="M1087" s="4" t="s">
        <v>1901</v>
      </c>
      <c r="Q1087" s="8"/>
      <c r="R1087" s="8"/>
      <c r="Z1087" s="4" t="s">
        <v>364</v>
      </c>
      <c r="AA1087" s="7" t="s">
        <v>365</v>
      </c>
      <c r="AB1087" s="8" t="s">
        <v>366</v>
      </c>
      <c r="AC1087" s="4" t="s">
        <v>301</v>
      </c>
      <c r="AE1087" s="8">
        <v>1752</v>
      </c>
      <c r="AF1087" s="8">
        <v>6</v>
      </c>
      <c r="AG1087" s="9" t="s">
        <v>379</v>
      </c>
      <c r="AH1087" s="9" t="s">
        <v>460</v>
      </c>
      <c r="AI1087" s="9" t="s">
        <v>373</v>
      </c>
      <c r="AJ1087" s="9" t="s">
        <v>306</v>
      </c>
      <c r="AK1087" s="9" t="s">
        <v>307</v>
      </c>
      <c r="AL1087" s="9" t="s">
        <v>337</v>
      </c>
      <c r="AM1087" s="8">
        <v>3</v>
      </c>
      <c r="DZ1087" s="31"/>
      <c r="EB1087" s="10"/>
      <c r="EY1087" s="6"/>
      <c r="FA1087" s="6"/>
      <c r="GP1087" s="32"/>
      <c r="GY1087" s="6" t="s">
        <v>407</v>
      </c>
      <c r="GZ1087" s="6" t="s">
        <v>386</v>
      </c>
      <c r="HD1087" s="8" t="s">
        <v>7179</v>
      </c>
      <c r="HE1087" s="8">
        <v>73491</v>
      </c>
      <c r="HF1087" s="8" t="s">
        <v>7180</v>
      </c>
      <c r="HG1087" s="9" t="s">
        <v>538</v>
      </c>
      <c r="HY1087" s="9"/>
      <c r="IM1087" s="9"/>
      <c r="KQ1087" s="5" t="s">
        <v>7181</v>
      </c>
      <c r="KR1087" s="5" t="s">
        <v>7181</v>
      </c>
      <c r="KT1087" s="5" t="s">
        <v>7182</v>
      </c>
    </row>
    <row r="1088" spans="1:306" ht="84" x14ac:dyDescent="0.25">
      <c r="A1088" s="5" t="s">
        <v>7183</v>
      </c>
      <c r="B1088" s="4" t="s">
        <v>364</v>
      </c>
      <c r="C1088" s="7" t="s">
        <v>365</v>
      </c>
      <c r="D1088" s="8" t="s">
        <v>366</v>
      </c>
      <c r="E1088" s="4">
        <v>550655</v>
      </c>
      <c r="G1088" s="4" t="s">
        <v>593</v>
      </c>
      <c r="H1088" s="6">
        <v>135.035</v>
      </c>
      <c r="I1088" s="6">
        <v>-29.390599999999999</v>
      </c>
      <c r="J1088" s="4" t="s">
        <v>7184</v>
      </c>
      <c r="K1088" s="4" t="s">
        <v>595</v>
      </c>
      <c r="L1088" s="4" t="s">
        <v>596</v>
      </c>
      <c r="M1088" s="4" t="s">
        <v>1901</v>
      </c>
      <c r="Q1088" s="8"/>
      <c r="R1088" s="8"/>
      <c r="Z1088" s="4" t="s">
        <v>364</v>
      </c>
      <c r="AA1088" s="7" t="s">
        <v>365</v>
      </c>
      <c r="AB1088" s="8" t="s">
        <v>366</v>
      </c>
      <c r="AC1088" s="4" t="s">
        <v>301</v>
      </c>
      <c r="AD1088" s="4" t="s">
        <v>375</v>
      </c>
      <c r="AE1088" s="8">
        <v>1752</v>
      </c>
      <c r="AF1088" s="8">
        <v>6</v>
      </c>
      <c r="AG1088" s="9" t="s">
        <v>379</v>
      </c>
      <c r="AH1088" s="9" t="s">
        <v>460</v>
      </c>
      <c r="AI1088" s="9" t="s">
        <v>373</v>
      </c>
      <c r="AJ1088" s="9" t="s">
        <v>306</v>
      </c>
      <c r="AK1088" s="9" t="s">
        <v>307</v>
      </c>
      <c r="AL1088" s="9" t="s">
        <v>337</v>
      </c>
      <c r="AM1088" s="8">
        <v>3</v>
      </c>
      <c r="AN1088" s="4" t="s">
        <v>381</v>
      </c>
      <c r="AO1088" s="4" t="s">
        <v>402</v>
      </c>
      <c r="AP1088" s="4" t="s">
        <v>383</v>
      </c>
      <c r="AQ1088" s="7" t="s">
        <v>384</v>
      </c>
      <c r="AR1088" s="8" t="s">
        <v>385</v>
      </c>
      <c r="AS1088" s="7">
        <v>0</v>
      </c>
      <c r="AT1088" s="7">
        <v>0</v>
      </c>
      <c r="AU1088" s="9" t="s">
        <v>379</v>
      </c>
      <c r="AV1088" s="9" t="s">
        <v>406</v>
      </c>
      <c r="BA1088" s="8">
        <v>5</v>
      </c>
      <c r="BP1088" s="7">
        <v>569</v>
      </c>
      <c r="CJ1088" s="7">
        <v>16.100000000000001</v>
      </c>
      <c r="DZ1088" s="31"/>
      <c r="EB1088" s="10"/>
      <c r="EY1088" s="7">
        <f>BP1088*CJ1088/100</f>
        <v>91.609000000000009</v>
      </c>
      <c r="FA1088" s="6"/>
      <c r="GP1088" s="32"/>
      <c r="GY1088" s="6" t="s">
        <v>338</v>
      </c>
      <c r="GZ1088" s="6" t="s">
        <v>386</v>
      </c>
      <c r="HD1088" s="8" t="s">
        <v>7179</v>
      </c>
      <c r="HE1088" s="8">
        <v>73491</v>
      </c>
      <c r="HF1088" s="8" t="s">
        <v>7185</v>
      </c>
      <c r="HG1088" s="9" t="s">
        <v>538</v>
      </c>
      <c r="HY1088" s="9"/>
      <c r="IM1088" s="9"/>
      <c r="JX1088" s="7" t="s">
        <v>353</v>
      </c>
      <c r="JY1088" s="7" t="s">
        <v>354</v>
      </c>
      <c r="JZ1088" s="7" t="s">
        <v>355</v>
      </c>
      <c r="KG1088" s="4" t="s">
        <v>323</v>
      </c>
      <c r="KM1088" s="4" t="s">
        <v>1192</v>
      </c>
      <c r="KN1088" s="4" t="s">
        <v>888</v>
      </c>
      <c r="KP1088" s="5" t="s">
        <v>358</v>
      </c>
      <c r="KQ1088" s="5" t="s">
        <v>7186</v>
      </c>
      <c r="KR1088" s="5" t="s">
        <v>7181</v>
      </c>
      <c r="KS1088" s="5" t="s">
        <v>7187</v>
      </c>
      <c r="KT1088" s="5" t="s">
        <v>7188</v>
      </c>
    </row>
    <row r="1089" spans="1:306" ht="108" x14ac:dyDescent="0.25">
      <c r="A1089" s="5" t="s">
        <v>7873</v>
      </c>
      <c r="B1089" s="4" t="s">
        <v>364</v>
      </c>
      <c r="C1089" s="7" t="s">
        <v>365</v>
      </c>
      <c r="D1089" s="8" t="s">
        <v>366</v>
      </c>
      <c r="E1089" s="4">
        <v>546505</v>
      </c>
      <c r="G1089" s="4" t="s">
        <v>593</v>
      </c>
      <c r="H1089" s="6">
        <v>135.6397</v>
      </c>
      <c r="I1089" s="6">
        <v>-33.2425</v>
      </c>
      <c r="J1089" s="4" t="s">
        <v>6355</v>
      </c>
      <c r="K1089" s="4" t="s">
        <v>595</v>
      </c>
      <c r="L1089" s="4" t="s">
        <v>596</v>
      </c>
      <c r="M1089" s="4" t="s">
        <v>1838</v>
      </c>
      <c r="Q1089" s="8"/>
      <c r="R1089" s="8"/>
      <c r="Z1089" s="4" t="s">
        <v>364</v>
      </c>
      <c r="AA1089" s="7" t="s">
        <v>365</v>
      </c>
      <c r="AB1089" s="8" t="s">
        <v>366</v>
      </c>
      <c r="AC1089" s="4" t="s">
        <v>301</v>
      </c>
      <c r="AD1089" s="4" t="s">
        <v>302</v>
      </c>
      <c r="AE1089" s="8">
        <v>1736</v>
      </c>
      <c r="AF1089" s="8">
        <v>14</v>
      </c>
      <c r="AG1089" s="9" t="s">
        <v>379</v>
      </c>
      <c r="AH1089" s="9" t="s">
        <v>460</v>
      </c>
      <c r="AM1089" s="8">
        <v>4</v>
      </c>
      <c r="BP1089" s="7">
        <v>4510</v>
      </c>
      <c r="CJ1089" s="8">
        <v>16</v>
      </c>
      <c r="DZ1089" s="31"/>
      <c r="EB1089" s="10"/>
      <c r="EY1089" s="8">
        <f>BP1089*CJ1089/100</f>
        <v>721.6</v>
      </c>
      <c r="FA1089" s="6"/>
      <c r="GP1089" s="32"/>
      <c r="GY1089" s="6" t="s">
        <v>338</v>
      </c>
      <c r="GZ1089" s="6" t="s">
        <v>386</v>
      </c>
      <c r="HD1089" s="8" t="s">
        <v>7874</v>
      </c>
      <c r="HE1089" s="8">
        <v>81330</v>
      </c>
      <c r="HF1089" s="8" t="s">
        <v>7875</v>
      </c>
      <c r="HG1089" s="9" t="s">
        <v>538</v>
      </c>
      <c r="HY1089" s="9"/>
      <c r="IM1089" s="9"/>
      <c r="JX1089" s="7" t="s">
        <v>353</v>
      </c>
      <c r="JY1089" s="7" t="s">
        <v>354</v>
      </c>
      <c r="JZ1089" s="7" t="s">
        <v>355</v>
      </c>
      <c r="KG1089" s="4" t="s">
        <v>323</v>
      </c>
      <c r="KM1089" s="4" t="s">
        <v>1192</v>
      </c>
      <c r="KN1089" s="4" t="s">
        <v>888</v>
      </c>
      <c r="KP1089" s="5" t="s">
        <v>358</v>
      </c>
      <c r="KQ1089" s="5" t="s">
        <v>7876</v>
      </c>
      <c r="KR1089" s="5" t="s">
        <v>7877</v>
      </c>
      <c r="KS1089" s="5" t="s">
        <v>7878</v>
      </c>
      <c r="KT1089" s="5" t="s">
        <v>7879</v>
      </c>
    </row>
    <row r="1090" spans="1:306" ht="72" x14ac:dyDescent="0.25">
      <c r="A1090" s="5" t="s">
        <v>8139</v>
      </c>
      <c r="B1090" s="4" t="s">
        <v>364</v>
      </c>
      <c r="C1090" s="7" t="s">
        <v>365</v>
      </c>
      <c r="D1090" s="8" t="s">
        <v>366</v>
      </c>
      <c r="G1090" s="4" t="s">
        <v>593</v>
      </c>
      <c r="K1090" s="4" t="s">
        <v>595</v>
      </c>
      <c r="L1090" s="4" t="s">
        <v>1422</v>
      </c>
      <c r="Q1090" s="7"/>
      <c r="R1090" s="7"/>
      <c r="S1090" s="4"/>
      <c r="T1090" s="4"/>
      <c r="Z1090" s="4" t="s">
        <v>364</v>
      </c>
      <c r="AA1090" s="7" t="s">
        <v>365</v>
      </c>
      <c r="AB1090" s="8" t="s">
        <v>366</v>
      </c>
      <c r="AC1090" s="4" t="s">
        <v>301</v>
      </c>
      <c r="AD1090" s="4" t="s">
        <v>302</v>
      </c>
      <c r="AE1090" s="7">
        <v>1713</v>
      </c>
      <c r="AF1090" s="7">
        <v>2</v>
      </c>
      <c r="AG1090" s="4" t="s">
        <v>303</v>
      </c>
      <c r="AH1090" s="4" t="s">
        <v>372</v>
      </c>
      <c r="AI1090" s="9" t="s">
        <v>373</v>
      </c>
      <c r="AJ1090" s="9" t="s">
        <v>306</v>
      </c>
      <c r="AK1090" s="9" t="s">
        <v>307</v>
      </c>
      <c r="AM1090" s="8">
        <v>5</v>
      </c>
      <c r="DZ1090" s="31"/>
      <c r="EB1090" s="10"/>
      <c r="EY1090" s="6"/>
      <c r="FA1090" s="6"/>
      <c r="GP1090" s="32"/>
      <c r="GY1090" s="6" t="s">
        <v>407</v>
      </c>
      <c r="GZ1090" s="6" t="s">
        <v>386</v>
      </c>
      <c r="HD1090" s="8" t="s">
        <v>8140</v>
      </c>
      <c r="HE1090" s="8">
        <v>29840</v>
      </c>
      <c r="HF1090" s="8" t="s">
        <v>8141</v>
      </c>
      <c r="HG1090" s="9" t="s">
        <v>538</v>
      </c>
      <c r="HY1090" s="9"/>
      <c r="IM1090" s="9"/>
      <c r="KQ1090" s="5" t="s">
        <v>8142</v>
      </c>
      <c r="KR1090" s="5" t="s">
        <v>8142</v>
      </c>
      <c r="KT1090" s="5" t="s">
        <v>8143</v>
      </c>
    </row>
    <row r="1091" spans="1:306" ht="60" x14ac:dyDescent="0.25">
      <c r="A1091" s="5" t="s">
        <v>8169</v>
      </c>
      <c r="B1091" s="4" t="s">
        <v>383</v>
      </c>
      <c r="C1091" s="7" t="s">
        <v>384</v>
      </c>
      <c r="D1091" s="7" t="s">
        <v>385</v>
      </c>
      <c r="E1091" s="4">
        <v>512516</v>
      </c>
      <c r="G1091" s="4" t="s">
        <v>330</v>
      </c>
      <c r="H1091" s="6">
        <v>118.65949999999999</v>
      </c>
      <c r="I1091" s="6">
        <v>-21.2073</v>
      </c>
      <c r="J1091" s="4" t="s">
        <v>8170</v>
      </c>
      <c r="K1091" s="4" t="s">
        <v>331</v>
      </c>
      <c r="L1091" s="4" t="s">
        <v>368</v>
      </c>
      <c r="M1091" s="4" t="s">
        <v>369</v>
      </c>
      <c r="O1091" s="7"/>
      <c r="Q1091" s="8"/>
      <c r="R1091" s="8"/>
      <c r="Z1091" s="4" t="s">
        <v>364</v>
      </c>
      <c r="AA1091" s="7" t="s">
        <v>365</v>
      </c>
      <c r="AB1091" s="7" t="s">
        <v>366</v>
      </c>
      <c r="AC1091" s="4" t="s">
        <v>370</v>
      </c>
      <c r="AD1091" s="4" t="s">
        <v>371</v>
      </c>
      <c r="AE1091" s="8">
        <v>3016</v>
      </c>
      <c r="AF1091" s="8">
        <v>5</v>
      </c>
      <c r="AG1091" s="9" t="s">
        <v>303</v>
      </c>
      <c r="AH1091" s="9" t="s">
        <v>372</v>
      </c>
      <c r="AI1091" s="9" t="s">
        <v>373</v>
      </c>
      <c r="AJ1091" s="9" t="s">
        <v>306</v>
      </c>
      <c r="AK1091" s="9" t="s">
        <v>307</v>
      </c>
      <c r="AL1091" s="9" t="s">
        <v>337</v>
      </c>
      <c r="AM1091" s="8">
        <v>5</v>
      </c>
      <c r="AN1091" s="4" t="s">
        <v>381</v>
      </c>
      <c r="AO1091" s="4" t="s">
        <v>302</v>
      </c>
      <c r="AP1091" s="4" t="s">
        <v>383</v>
      </c>
      <c r="AQ1091" s="7" t="s">
        <v>384</v>
      </c>
      <c r="AR1091" s="7" t="s">
        <v>385</v>
      </c>
      <c r="AS1091" s="8"/>
      <c r="AT1091" s="8"/>
      <c r="BF1091" s="7"/>
      <c r="BG1091" s="8"/>
      <c r="BH1091" s="8"/>
      <c r="BR1091" s="7"/>
      <c r="BS1091" s="7"/>
      <c r="BT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c r="CX1091" s="7"/>
      <c r="CY1091" s="7"/>
      <c r="CZ1091" s="7"/>
      <c r="DA1091" s="7"/>
      <c r="DB1091" s="7"/>
      <c r="DC1091" s="7"/>
      <c r="DD1091" s="7"/>
      <c r="DE1091" s="7"/>
      <c r="DF1091" s="7"/>
      <c r="DG1091" s="7"/>
      <c r="DH1091" s="7"/>
      <c r="DI1091" s="7"/>
      <c r="DJ1091" s="7"/>
      <c r="DK1091" s="7"/>
      <c r="DL1091" s="7"/>
      <c r="DM1091" s="7"/>
      <c r="DN1091" s="7"/>
      <c r="DO1091" s="7"/>
      <c r="DP1091" s="7"/>
      <c r="DQ1091" s="7"/>
      <c r="DR1091" s="7"/>
      <c r="DS1091" s="7"/>
      <c r="DT1091" s="7"/>
      <c r="DU1091" s="7"/>
      <c r="DV1091" s="7"/>
      <c r="DW1091" s="7"/>
      <c r="DX1091" s="7"/>
      <c r="DY1091" s="7"/>
      <c r="DZ1091" s="31"/>
      <c r="EA1091" s="7"/>
      <c r="EB1091" s="7"/>
      <c r="EC1091" s="7"/>
      <c r="ED1091" s="7"/>
      <c r="EE1091" s="7"/>
      <c r="EF1091" s="7"/>
      <c r="EG1091" s="7"/>
      <c r="EL1091" s="8"/>
      <c r="EY1091" s="8">
        <v>18</v>
      </c>
      <c r="FA1091" s="6"/>
      <c r="GP1091" s="32"/>
      <c r="GY1091" s="6" t="s">
        <v>338</v>
      </c>
      <c r="GZ1091" s="6" t="s">
        <v>386</v>
      </c>
      <c r="HD1091" s="8" t="s">
        <v>387</v>
      </c>
      <c r="HE1091" s="8">
        <v>4132</v>
      </c>
      <c r="HF1091" s="8" t="s">
        <v>388</v>
      </c>
      <c r="HG1091" s="9" t="s">
        <v>389</v>
      </c>
      <c r="IE1091" s="9"/>
      <c r="IF1091" s="9"/>
      <c r="IM1091" s="9"/>
      <c r="IR1091" s="9"/>
      <c r="JX1091" s="7" t="s">
        <v>390</v>
      </c>
      <c r="JY1091" s="7" t="s">
        <v>354</v>
      </c>
      <c r="JZ1091" s="7" t="s">
        <v>1663</v>
      </c>
      <c r="KA1091" s="7" t="s">
        <v>354</v>
      </c>
      <c r="KB1091" s="7" t="s">
        <v>353</v>
      </c>
      <c r="KG1091" s="4" t="s">
        <v>323</v>
      </c>
      <c r="KM1091" s="4" t="s">
        <v>391</v>
      </c>
      <c r="KN1091" s="4" t="s">
        <v>391</v>
      </c>
      <c r="KP1091" s="5" t="s">
        <v>358</v>
      </c>
      <c r="KQ1091" s="5" t="s">
        <v>8171</v>
      </c>
      <c r="KR1091" s="5" t="s">
        <v>393</v>
      </c>
      <c r="KS1091" s="5" t="s">
        <v>394</v>
      </c>
      <c r="KT1091" s="5" t="s">
        <v>395</v>
      </c>
    </row>
    <row r="1092" spans="1:306" ht="36" x14ac:dyDescent="0.25">
      <c r="A1092" s="5" t="s">
        <v>8203</v>
      </c>
      <c r="B1092" s="4" t="s">
        <v>364</v>
      </c>
      <c r="C1092" s="7" t="s">
        <v>365</v>
      </c>
      <c r="D1092" s="8" t="s">
        <v>366</v>
      </c>
      <c r="E1092" s="8"/>
      <c r="F1092" s="8"/>
      <c r="G1092" s="8" t="s">
        <v>330</v>
      </c>
      <c r="J1092" s="4" t="s">
        <v>8204</v>
      </c>
      <c r="K1092" s="4" t="s">
        <v>331</v>
      </c>
      <c r="L1092" s="4" t="s">
        <v>500</v>
      </c>
      <c r="M1092" s="4" t="s">
        <v>676</v>
      </c>
      <c r="Q1092" s="8"/>
      <c r="R1092" s="8"/>
      <c r="S1092" s="4"/>
      <c r="T1092" s="4"/>
      <c r="Z1092" s="4" t="s">
        <v>364</v>
      </c>
      <c r="AA1092" s="7" t="s">
        <v>365</v>
      </c>
      <c r="AB1092" s="8" t="s">
        <v>366</v>
      </c>
      <c r="AC1092" s="4" t="s">
        <v>301</v>
      </c>
      <c r="AD1092" s="4" t="s">
        <v>302</v>
      </c>
      <c r="AE1092" s="8">
        <v>3010</v>
      </c>
      <c r="AF1092" s="8">
        <v>7</v>
      </c>
      <c r="AG1092" s="4" t="s">
        <v>303</v>
      </c>
      <c r="AH1092" s="4" t="s">
        <v>372</v>
      </c>
      <c r="AI1092" s="9" t="s">
        <v>373</v>
      </c>
      <c r="AJ1092" s="9" t="s">
        <v>306</v>
      </c>
      <c r="AK1092" s="9" t="s">
        <v>307</v>
      </c>
      <c r="AL1092" s="9" t="s">
        <v>337</v>
      </c>
      <c r="AM1092" s="8">
        <v>5</v>
      </c>
      <c r="AS1092" s="8"/>
      <c r="AT1092" s="8"/>
      <c r="AU1092" s="4"/>
      <c r="AV1092" s="4"/>
      <c r="BG1092" s="8"/>
      <c r="BH1092" s="8"/>
      <c r="BI1092" s="4"/>
      <c r="BJ1092" s="4"/>
      <c r="DZ1092" s="31"/>
      <c r="FA1092" s="6"/>
      <c r="GP1092" s="32"/>
      <c r="GY1092" s="6" t="s">
        <v>407</v>
      </c>
      <c r="GZ1092" s="6" t="s">
        <v>386</v>
      </c>
      <c r="HF1092" s="8" t="s">
        <v>958</v>
      </c>
      <c r="HG1092" s="9" t="s">
        <v>389</v>
      </c>
      <c r="IM1092" s="9"/>
      <c r="IR1092" s="9"/>
      <c r="KQ1092" s="5" t="s">
        <v>8205</v>
      </c>
      <c r="KR1092" s="5" t="s">
        <v>8205</v>
      </c>
      <c r="KT1092" s="5" t="s">
        <v>8206</v>
      </c>
    </row>
    <row r="1093" spans="1:306" ht="36" x14ac:dyDescent="0.25">
      <c r="A1093" s="5" t="s">
        <v>1261</v>
      </c>
      <c r="B1093" s="4" t="s">
        <v>364</v>
      </c>
      <c r="C1093" s="7" t="s">
        <v>365</v>
      </c>
      <c r="D1093" s="8" t="s">
        <v>10245</v>
      </c>
      <c r="E1093" s="4">
        <v>333683</v>
      </c>
      <c r="G1093" s="4" t="s">
        <v>479</v>
      </c>
      <c r="H1093" s="6">
        <v>146.298903</v>
      </c>
      <c r="I1093" s="6">
        <v>-19.378467000000001</v>
      </c>
      <c r="J1093" s="4" t="s">
        <v>1261</v>
      </c>
      <c r="K1093" s="4" t="s">
        <v>298</v>
      </c>
      <c r="L1093" s="4" t="s">
        <v>760</v>
      </c>
      <c r="M1093" s="4" t="s">
        <v>1047</v>
      </c>
      <c r="Q1093" s="8"/>
      <c r="R1093" s="8"/>
      <c r="S1093" s="4"/>
      <c r="Z1093" s="4" t="s">
        <v>364</v>
      </c>
      <c r="AA1093" s="7" t="s">
        <v>365</v>
      </c>
      <c r="AB1093" s="8" t="s">
        <v>10245</v>
      </c>
      <c r="AC1093" s="4" t="s">
        <v>301</v>
      </c>
      <c r="AD1093" s="4" t="s">
        <v>302</v>
      </c>
      <c r="AE1093" s="8">
        <v>330</v>
      </c>
      <c r="AF1093" s="8"/>
      <c r="AG1093" s="4" t="s">
        <v>379</v>
      </c>
      <c r="AH1093" s="9" t="s">
        <v>380</v>
      </c>
      <c r="AM1093" s="8">
        <v>3</v>
      </c>
      <c r="BP1093" s="7">
        <f>1.328466+0.602585</f>
        <v>1.9310510000000001</v>
      </c>
      <c r="CT1093" s="6">
        <v>0.2</v>
      </c>
      <c r="DZ1093" s="31"/>
      <c r="EB1093" s="6">
        <f>(0.27*1.328466+0.21*0.602585)/(1.328466+0.602585)</f>
        <v>0.2512769833629459</v>
      </c>
      <c r="EY1093" s="6"/>
      <c r="FA1093" s="6"/>
      <c r="FI1093" s="6">
        <f>1000*BP1093*CT1093/100</f>
        <v>3.8621020000000006</v>
      </c>
      <c r="GP1093" s="32"/>
      <c r="GR1093" s="6">
        <f>1000*BP1093*EB1093/100</f>
        <v>4.8522867000000005</v>
      </c>
      <c r="GY1093" s="6" t="s">
        <v>338</v>
      </c>
      <c r="GZ1093" s="6" t="s">
        <v>1262</v>
      </c>
      <c r="HD1093" s="8" t="s">
        <v>1263</v>
      </c>
      <c r="HE1093" s="8">
        <v>27230</v>
      </c>
      <c r="HF1093" s="8" t="s">
        <v>1264</v>
      </c>
      <c r="HG1093" s="8" t="s">
        <v>1265</v>
      </c>
      <c r="HY1093" s="9"/>
      <c r="IB1093" s="8" t="s">
        <v>1263</v>
      </c>
      <c r="IC1093" s="8">
        <v>27230</v>
      </c>
      <c r="ID1093" s="8" t="s">
        <v>1264</v>
      </c>
      <c r="IE1093" s="8" t="s">
        <v>1265</v>
      </c>
      <c r="IF1093" s="8" t="s">
        <v>445</v>
      </c>
      <c r="IG1093" s="8" t="s">
        <v>1263</v>
      </c>
      <c r="IH1093" s="8">
        <v>27230</v>
      </c>
      <c r="IK1093" s="8" t="s">
        <v>445</v>
      </c>
      <c r="IR1093" s="9"/>
      <c r="JV1093" s="7" t="s">
        <v>1266</v>
      </c>
      <c r="JX1093" s="7" t="s">
        <v>355</v>
      </c>
      <c r="KG1093" s="4" t="s">
        <v>323</v>
      </c>
      <c r="KM1093" s="4" t="s">
        <v>471</v>
      </c>
      <c r="KN1093" s="4" t="s">
        <v>471</v>
      </c>
      <c r="KO1093" s="4" t="s">
        <v>445</v>
      </c>
      <c r="KP1093" s="5" t="s">
        <v>358</v>
      </c>
      <c r="KQ1093" s="5" t="s">
        <v>1267</v>
      </c>
      <c r="KS1093" s="5" t="s">
        <v>1268</v>
      </c>
      <c r="KT1093" s="5" t="s">
        <v>1269</v>
      </c>
    </row>
    <row r="1094" spans="1:306" ht="36" x14ac:dyDescent="0.25">
      <c r="A1094" s="5" t="s">
        <v>5111</v>
      </c>
      <c r="B1094" s="4" t="s">
        <v>364</v>
      </c>
      <c r="C1094" s="7" t="s">
        <v>365</v>
      </c>
      <c r="D1094" s="8" t="s">
        <v>10245</v>
      </c>
      <c r="E1094" s="4">
        <v>335087</v>
      </c>
      <c r="G1094" s="4" t="s">
        <v>479</v>
      </c>
      <c r="H1094" s="6">
        <v>143.425882</v>
      </c>
      <c r="I1094" s="6">
        <v>-18.004480999999998</v>
      </c>
      <c r="J1094" s="4" t="s">
        <v>5111</v>
      </c>
      <c r="K1094" s="4" t="s">
        <v>481</v>
      </c>
      <c r="L1094" s="4" t="s">
        <v>482</v>
      </c>
      <c r="Q1094" s="8"/>
      <c r="R1094" s="8"/>
      <c r="Z1094" s="4" t="s">
        <v>364</v>
      </c>
      <c r="AA1094" s="7" t="s">
        <v>365</v>
      </c>
      <c r="AB1094" s="8" t="s">
        <v>10245</v>
      </c>
      <c r="AC1094" s="4" t="s">
        <v>301</v>
      </c>
      <c r="AD1094" s="4" t="s">
        <v>375</v>
      </c>
      <c r="AE1094" s="8">
        <v>330</v>
      </c>
      <c r="AF1094" s="8">
        <v>10</v>
      </c>
      <c r="AG1094" s="9" t="s">
        <v>379</v>
      </c>
      <c r="AH1094" s="9" t="s">
        <v>335</v>
      </c>
      <c r="AI1094" s="9" t="s">
        <v>5112</v>
      </c>
      <c r="AJ1094" s="9" t="s">
        <v>306</v>
      </c>
      <c r="AL1094" s="9" t="s">
        <v>4906</v>
      </c>
      <c r="AM1094" s="8">
        <v>4</v>
      </c>
      <c r="AN1094" s="4" t="s">
        <v>381</v>
      </c>
      <c r="AO1094" s="4" t="s">
        <v>402</v>
      </c>
      <c r="AP1094" s="4" t="s">
        <v>383</v>
      </c>
      <c r="AQ1094" s="7" t="s">
        <v>384</v>
      </c>
      <c r="AR1094" s="8" t="s">
        <v>711</v>
      </c>
      <c r="AS1094" s="7">
        <v>0</v>
      </c>
      <c r="AT1094" s="7">
        <v>0</v>
      </c>
      <c r="AU1094" s="9" t="s">
        <v>303</v>
      </c>
      <c r="AV1094" s="9" t="s">
        <v>406</v>
      </c>
      <c r="BA1094" s="8">
        <v>5</v>
      </c>
      <c r="BP1094" s="7">
        <v>3.278</v>
      </c>
      <c r="CT1094" s="6">
        <v>7.3999999999999996E-2</v>
      </c>
      <c r="DZ1094" s="31"/>
      <c r="EB1094" s="6">
        <v>0.10100000000000001</v>
      </c>
      <c r="EY1094" s="6"/>
      <c r="FA1094" s="6"/>
      <c r="FI1094" s="6">
        <f>1000*BP1094*CT1094/100</f>
        <v>2.4257199999999997</v>
      </c>
      <c r="GP1094" s="32"/>
      <c r="GR1094" s="6">
        <f>1000*BP1094*EB1094/100</f>
        <v>3.3107800000000003</v>
      </c>
      <c r="GY1094" s="6" t="s">
        <v>338</v>
      </c>
      <c r="GZ1094" s="6" t="s">
        <v>1262</v>
      </c>
      <c r="HD1094" s="8" t="s">
        <v>4211</v>
      </c>
      <c r="HE1094" s="8">
        <v>26728</v>
      </c>
      <c r="HF1094" s="8" t="s">
        <v>5113</v>
      </c>
      <c r="HG1094" s="9" t="s">
        <v>1265</v>
      </c>
      <c r="HY1094" s="9"/>
      <c r="IB1094" s="8" t="s">
        <v>4211</v>
      </c>
      <c r="IC1094" s="8">
        <v>26728</v>
      </c>
      <c r="ID1094" s="8" t="s">
        <v>5113</v>
      </c>
      <c r="IE1094" s="8" t="s">
        <v>1265</v>
      </c>
      <c r="IF1094" s="8" t="s">
        <v>445</v>
      </c>
      <c r="IR1094" s="9"/>
      <c r="JV1094" s="7" t="s">
        <v>5114</v>
      </c>
      <c r="JX1094" s="7" t="s">
        <v>320</v>
      </c>
      <c r="KG1094" s="4" t="s">
        <v>323</v>
      </c>
      <c r="KM1094" s="4" t="s">
        <v>471</v>
      </c>
      <c r="KN1094" s="4" t="s">
        <v>471</v>
      </c>
      <c r="KO1094" s="4" t="s">
        <v>445</v>
      </c>
      <c r="KP1094" s="5" t="s">
        <v>358</v>
      </c>
      <c r="KQ1094" s="5" t="s">
        <v>5115</v>
      </c>
      <c r="KR1094" s="5" t="s">
        <v>5116</v>
      </c>
      <c r="KS1094" s="5" t="s">
        <v>5116</v>
      </c>
      <c r="KT1094" s="5" t="s">
        <v>718</v>
      </c>
    </row>
    <row r="1095" spans="1:306" ht="72" x14ac:dyDescent="0.25">
      <c r="A1095" s="5" t="s">
        <v>5486</v>
      </c>
      <c r="E1095" s="4">
        <v>333395</v>
      </c>
      <c r="G1095" s="4" t="s">
        <v>479</v>
      </c>
      <c r="H1095" s="6">
        <v>140.48983799999999</v>
      </c>
      <c r="I1095" s="6">
        <v>-21.737513</v>
      </c>
      <c r="J1095" s="4" t="s">
        <v>4767</v>
      </c>
      <c r="K1095" s="4" t="s">
        <v>481</v>
      </c>
      <c r="L1095" s="4" t="s">
        <v>651</v>
      </c>
      <c r="M1095" s="4" t="s">
        <v>1950</v>
      </c>
      <c r="AC1095" s="4" t="s">
        <v>301</v>
      </c>
      <c r="AD1095" s="4" t="s">
        <v>375</v>
      </c>
      <c r="AN1095" s="4" t="s">
        <v>381</v>
      </c>
      <c r="AO1095" s="4" t="s">
        <v>402</v>
      </c>
      <c r="AP1095" s="4" t="s">
        <v>383</v>
      </c>
      <c r="AQ1095" s="7" t="s">
        <v>384</v>
      </c>
      <c r="AR1095" s="8" t="s">
        <v>827</v>
      </c>
      <c r="AS1095" s="7">
        <v>0</v>
      </c>
      <c r="AT1095" s="7">
        <v>0</v>
      </c>
      <c r="AU1095" s="9" t="s">
        <v>303</v>
      </c>
      <c r="AV1095" s="9" t="s">
        <v>406</v>
      </c>
      <c r="BA1095" s="8">
        <v>5</v>
      </c>
      <c r="BP1095" s="7">
        <v>0.08</v>
      </c>
      <c r="CK1095" s="6">
        <f>(0.02*4+0.06*1.25)/0.08</f>
        <v>1.9375</v>
      </c>
      <c r="DZ1095" s="31"/>
      <c r="EZ1095" s="9">
        <f>1000*BP1095*CK1095/100</f>
        <v>1.55</v>
      </c>
      <c r="GP1095" s="32"/>
      <c r="GY1095" s="6" t="s">
        <v>435</v>
      </c>
      <c r="GZ1095" s="6" t="s">
        <v>929</v>
      </c>
      <c r="HC1095" s="6" t="s">
        <v>5487</v>
      </c>
      <c r="HD1095" s="8" t="s">
        <v>5189</v>
      </c>
      <c r="HE1095" s="8">
        <v>76907</v>
      </c>
      <c r="HF1095" s="8" t="s">
        <v>5488</v>
      </c>
      <c r="HG1095" s="4" t="s">
        <v>490</v>
      </c>
      <c r="HJ1095" s="9" t="s">
        <v>5489</v>
      </c>
      <c r="HK1095" s="9" t="s">
        <v>490</v>
      </c>
      <c r="ID1095" s="9" t="s">
        <v>5489</v>
      </c>
      <c r="IE1095" s="9" t="s">
        <v>538</v>
      </c>
      <c r="IF1095" s="8" t="s">
        <v>445</v>
      </c>
      <c r="IG1095" s="8" t="s">
        <v>5490</v>
      </c>
      <c r="IH1095" s="8">
        <v>30680</v>
      </c>
      <c r="II1095" s="8" t="s">
        <v>2896</v>
      </c>
      <c r="IJ1095" s="8" t="s">
        <v>487</v>
      </c>
      <c r="IK1095" s="8" t="s">
        <v>329</v>
      </c>
      <c r="JV1095" s="7" t="s">
        <v>5491</v>
      </c>
      <c r="JW1095" s="7" t="s">
        <v>910</v>
      </c>
      <c r="JX1095" s="7" t="s">
        <v>320</v>
      </c>
      <c r="JY1095" s="7" t="s">
        <v>354</v>
      </c>
      <c r="JZ1095" s="7" t="s">
        <v>322</v>
      </c>
      <c r="KG1095" s="4" t="s">
        <v>323</v>
      </c>
      <c r="KM1095" s="4" t="s">
        <v>702</v>
      </c>
      <c r="KN1095" s="4" t="s">
        <v>702</v>
      </c>
      <c r="KP1095" s="5" t="s">
        <v>358</v>
      </c>
      <c r="KQ1095" s="5" t="s">
        <v>5492</v>
      </c>
      <c r="KS1095" s="5" t="s">
        <v>5493</v>
      </c>
      <c r="KT1095" s="5" t="s">
        <v>5494</v>
      </c>
    </row>
    <row r="1120" spans="71:72" x14ac:dyDescent="0.25">
      <c r="BS1120" s="10"/>
      <c r="BT1120" s="10"/>
    </row>
    <row r="1121" spans="69:72" x14ac:dyDescent="0.25">
      <c r="BS1121" s="10"/>
      <c r="BT1121" s="10"/>
    </row>
    <row r="1122" spans="69:72" x14ac:dyDescent="0.25">
      <c r="BQ1122" s="9"/>
      <c r="BR1122" s="9"/>
      <c r="BS1122" s="10"/>
      <c r="BT1122" s="10"/>
    </row>
  </sheetData>
  <autoFilter ref="A1:KT1095" xr:uid="{00000000-0001-0000-0000-000000000000}"/>
  <sortState xmlns:xlrd2="http://schemas.microsoft.com/office/spreadsheetml/2017/richdata2" ref="A2:KT1122">
    <sortCondition ref="B2:B1122"/>
    <sortCondition ref="C2:C1122"/>
    <sortCondition ref="D2:D1122"/>
  </sortState>
  <hyperlinks>
    <hyperlink ref="KR109" r:id="rId1" xr:uid="{25A1AAD8-4A68-4A22-B614-096C68F4AEE3}"/>
  </hyperlinks>
  <pageMargins left="0.7" right="0.7" top="0.75" bottom="0.75" header="0.3" footer="0.3"/>
  <pageSetup paperSize="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4E6B-A38B-450D-B3F6-95DAF2D6A3CB}">
  <dimension ref="A1:A1862"/>
  <sheetViews>
    <sheetView topLeftCell="A1733" workbookViewId="0">
      <selection activeCell="A1756" sqref="A1756"/>
    </sheetView>
  </sheetViews>
  <sheetFormatPr defaultColWidth="9.140625" defaultRowHeight="12.75" x14ac:dyDescent="0.2"/>
  <cols>
    <col min="1" max="1" width="255.7109375" style="48" customWidth="1"/>
    <col min="2" max="16384" width="9.140625" style="1"/>
  </cols>
  <sheetData>
    <row r="1" spans="1:1" x14ac:dyDescent="0.2">
      <c r="A1" s="48" t="s">
        <v>8379</v>
      </c>
    </row>
    <row r="2" spans="1:1" x14ac:dyDescent="0.2">
      <c r="A2" s="48" t="s">
        <v>8380</v>
      </c>
    </row>
    <row r="3" spans="1:1" x14ac:dyDescent="0.2">
      <c r="A3" s="48" t="s">
        <v>8381</v>
      </c>
    </row>
    <row r="4" spans="1:1" x14ac:dyDescent="0.2">
      <c r="A4" s="48" t="s">
        <v>8382</v>
      </c>
    </row>
    <row r="5" spans="1:1" x14ac:dyDescent="0.2">
      <c r="A5" s="48" t="s">
        <v>8383</v>
      </c>
    </row>
    <row r="6" spans="1:1" x14ac:dyDescent="0.2">
      <c r="A6" s="49" t="s">
        <v>8384</v>
      </c>
    </row>
    <row r="7" spans="1:1" x14ac:dyDescent="0.2">
      <c r="A7" s="49" t="s">
        <v>8385</v>
      </c>
    </row>
    <row r="8" spans="1:1" x14ac:dyDescent="0.2">
      <c r="A8" s="48" t="s">
        <v>8386</v>
      </c>
    </row>
    <row r="9" spans="1:1" x14ac:dyDescent="0.2">
      <c r="A9" s="48" t="s">
        <v>8387</v>
      </c>
    </row>
    <row r="10" spans="1:1" x14ac:dyDescent="0.2">
      <c r="A10" s="48" t="s">
        <v>8388</v>
      </c>
    </row>
    <row r="11" spans="1:1" x14ac:dyDescent="0.2">
      <c r="A11" s="48" t="s">
        <v>8389</v>
      </c>
    </row>
    <row r="12" spans="1:1" x14ac:dyDescent="0.2">
      <c r="A12" s="48" t="s">
        <v>8390</v>
      </c>
    </row>
    <row r="13" spans="1:1" x14ac:dyDescent="0.2">
      <c r="A13" s="48" t="s">
        <v>8391</v>
      </c>
    </row>
    <row r="14" spans="1:1" x14ac:dyDescent="0.2">
      <c r="A14" s="48" t="s">
        <v>8392</v>
      </c>
    </row>
    <row r="15" spans="1:1" x14ac:dyDescent="0.2">
      <c r="A15" s="48" t="s">
        <v>8393</v>
      </c>
    </row>
    <row r="16" spans="1:1" x14ac:dyDescent="0.2">
      <c r="A16" s="48" t="s">
        <v>8394</v>
      </c>
    </row>
    <row r="17" spans="1:1" x14ac:dyDescent="0.2">
      <c r="A17" s="48" t="s">
        <v>8395</v>
      </c>
    </row>
    <row r="18" spans="1:1" x14ac:dyDescent="0.2">
      <c r="A18" s="48" t="s">
        <v>8396</v>
      </c>
    </row>
    <row r="19" spans="1:1" x14ac:dyDescent="0.2">
      <c r="A19" s="48" t="s">
        <v>8397</v>
      </c>
    </row>
    <row r="20" spans="1:1" x14ac:dyDescent="0.2">
      <c r="A20" s="48" t="s">
        <v>8398</v>
      </c>
    </row>
    <row r="21" spans="1:1" x14ac:dyDescent="0.2">
      <c r="A21" s="48" t="s">
        <v>8399</v>
      </c>
    </row>
    <row r="22" spans="1:1" x14ac:dyDescent="0.2">
      <c r="A22" s="48" t="s">
        <v>8400</v>
      </c>
    </row>
    <row r="23" spans="1:1" x14ac:dyDescent="0.2">
      <c r="A23" s="48" t="s">
        <v>8401</v>
      </c>
    </row>
    <row r="24" spans="1:1" x14ac:dyDescent="0.2">
      <c r="A24" s="48" t="s">
        <v>8402</v>
      </c>
    </row>
    <row r="25" spans="1:1" x14ac:dyDescent="0.2">
      <c r="A25" s="48" t="s">
        <v>8403</v>
      </c>
    </row>
    <row r="26" spans="1:1" x14ac:dyDescent="0.2">
      <c r="A26" s="48" t="s">
        <v>8404</v>
      </c>
    </row>
    <row r="27" spans="1:1" x14ac:dyDescent="0.2">
      <c r="A27" s="48" t="s">
        <v>8405</v>
      </c>
    </row>
    <row r="28" spans="1:1" x14ac:dyDescent="0.2">
      <c r="A28" s="48" t="s">
        <v>8406</v>
      </c>
    </row>
    <row r="29" spans="1:1" x14ac:dyDescent="0.2">
      <c r="A29" s="48" t="s">
        <v>8407</v>
      </c>
    </row>
    <row r="30" spans="1:1" x14ac:dyDescent="0.2">
      <c r="A30" s="48" t="s">
        <v>8408</v>
      </c>
    </row>
    <row r="31" spans="1:1" x14ac:dyDescent="0.2">
      <c r="A31" s="48" t="s">
        <v>8409</v>
      </c>
    </row>
    <row r="32" spans="1:1" x14ac:dyDescent="0.2">
      <c r="A32" s="48" t="s">
        <v>8410</v>
      </c>
    </row>
    <row r="33" spans="1:1" x14ac:dyDescent="0.2">
      <c r="A33" s="48" t="s">
        <v>8411</v>
      </c>
    </row>
    <row r="34" spans="1:1" x14ac:dyDescent="0.2">
      <c r="A34" s="48" t="s">
        <v>8412</v>
      </c>
    </row>
    <row r="35" spans="1:1" x14ac:dyDescent="0.2">
      <c r="A35" s="48" t="s">
        <v>8413</v>
      </c>
    </row>
    <row r="36" spans="1:1" x14ac:dyDescent="0.2">
      <c r="A36" s="48" t="s">
        <v>8414</v>
      </c>
    </row>
    <row r="37" spans="1:1" x14ac:dyDescent="0.2">
      <c r="A37" s="48" t="s">
        <v>8415</v>
      </c>
    </row>
    <row r="38" spans="1:1" x14ac:dyDescent="0.2">
      <c r="A38" s="48" t="s">
        <v>8416</v>
      </c>
    </row>
    <row r="39" spans="1:1" x14ac:dyDescent="0.2">
      <c r="A39" s="48" t="s">
        <v>8417</v>
      </c>
    </row>
    <row r="40" spans="1:1" x14ac:dyDescent="0.2">
      <c r="A40" s="48" t="s">
        <v>8418</v>
      </c>
    </row>
    <row r="41" spans="1:1" x14ac:dyDescent="0.2">
      <c r="A41" s="48" t="s">
        <v>8419</v>
      </c>
    </row>
    <row r="42" spans="1:1" x14ac:dyDescent="0.2">
      <c r="A42" s="48" t="s">
        <v>8420</v>
      </c>
    </row>
    <row r="43" spans="1:1" x14ac:dyDescent="0.2">
      <c r="A43" s="48" t="s">
        <v>8421</v>
      </c>
    </row>
    <row r="44" spans="1:1" x14ac:dyDescent="0.2">
      <c r="A44" s="48" t="s">
        <v>8422</v>
      </c>
    </row>
    <row r="45" spans="1:1" x14ac:dyDescent="0.2">
      <c r="A45" s="48" t="s">
        <v>8423</v>
      </c>
    </row>
    <row r="46" spans="1:1" x14ac:dyDescent="0.2">
      <c r="A46" s="48" t="s">
        <v>8424</v>
      </c>
    </row>
    <row r="47" spans="1:1" x14ac:dyDescent="0.2">
      <c r="A47" s="48" t="s">
        <v>8425</v>
      </c>
    </row>
    <row r="48" spans="1:1" x14ac:dyDescent="0.2">
      <c r="A48" s="48" t="s">
        <v>8426</v>
      </c>
    </row>
    <row r="49" spans="1:1" x14ac:dyDescent="0.2">
      <c r="A49" s="48" t="s">
        <v>8427</v>
      </c>
    </row>
    <row r="50" spans="1:1" x14ac:dyDescent="0.2">
      <c r="A50" s="48" t="s">
        <v>8428</v>
      </c>
    </row>
    <row r="51" spans="1:1" x14ac:dyDescent="0.2">
      <c r="A51" s="48" t="s">
        <v>8429</v>
      </c>
    </row>
    <row r="52" spans="1:1" x14ac:dyDescent="0.2">
      <c r="A52" s="48" t="s">
        <v>8430</v>
      </c>
    </row>
    <row r="53" spans="1:1" x14ac:dyDescent="0.2">
      <c r="A53" s="48" t="s">
        <v>8431</v>
      </c>
    </row>
    <row r="54" spans="1:1" x14ac:dyDescent="0.2">
      <c r="A54" s="48" t="s">
        <v>8432</v>
      </c>
    </row>
    <row r="55" spans="1:1" x14ac:dyDescent="0.2">
      <c r="A55" s="48" t="s">
        <v>8433</v>
      </c>
    </row>
    <row r="56" spans="1:1" x14ac:dyDescent="0.2">
      <c r="A56" s="48" t="s">
        <v>8434</v>
      </c>
    </row>
    <row r="57" spans="1:1" x14ac:dyDescent="0.2">
      <c r="A57" s="48" t="s">
        <v>8435</v>
      </c>
    </row>
    <row r="58" spans="1:1" x14ac:dyDescent="0.2">
      <c r="A58" s="48" t="s">
        <v>8436</v>
      </c>
    </row>
    <row r="59" spans="1:1" x14ac:dyDescent="0.2">
      <c r="A59" s="48" t="s">
        <v>8437</v>
      </c>
    </row>
    <row r="60" spans="1:1" x14ac:dyDescent="0.2">
      <c r="A60" s="48" t="s">
        <v>8438</v>
      </c>
    </row>
    <row r="61" spans="1:1" x14ac:dyDescent="0.2">
      <c r="A61" s="48" t="s">
        <v>8439</v>
      </c>
    </row>
    <row r="62" spans="1:1" x14ac:dyDescent="0.2">
      <c r="A62" s="48" t="s">
        <v>8440</v>
      </c>
    </row>
    <row r="63" spans="1:1" x14ac:dyDescent="0.2">
      <c r="A63" s="48" t="s">
        <v>8441</v>
      </c>
    </row>
    <row r="64" spans="1:1" x14ac:dyDescent="0.2">
      <c r="A64" s="48" t="s">
        <v>8442</v>
      </c>
    </row>
    <row r="65" spans="1:1" x14ac:dyDescent="0.2">
      <c r="A65" s="48" t="s">
        <v>8443</v>
      </c>
    </row>
    <row r="66" spans="1:1" x14ac:dyDescent="0.2">
      <c r="A66" s="48" t="s">
        <v>8444</v>
      </c>
    </row>
    <row r="67" spans="1:1" x14ac:dyDescent="0.2">
      <c r="A67" s="48" t="s">
        <v>8445</v>
      </c>
    </row>
    <row r="68" spans="1:1" x14ac:dyDescent="0.2">
      <c r="A68" s="48" t="s">
        <v>8446</v>
      </c>
    </row>
    <row r="69" spans="1:1" x14ac:dyDescent="0.2">
      <c r="A69" s="48" t="s">
        <v>8447</v>
      </c>
    </row>
    <row r="70" spans="1:1" x14ac:dyDescent="0.2">
      <c r="A70" s="48" t="s">
        <v>8448</v>
      </c>
    </row>
    <row r="71" spans="1:1" x14ac:dyDescent="0.2">
      <c r="A71" s="48" t="s">
        <v>8449</v>
      </c>
    </row>
    <row r="72" spans="1:1" x14ac:dyDescent="0.2">
      <c r="A72" s="48" t="s">
        <v>8450</v>
      </c>
    </row>
    <row r="73" spans="1:1" x14ac:dyDescent="0.2">
      <c r="A73" s="48" t="s">
        <v>8451</v>
      </c>
    </row>
    <row r="74" spans="1:1" x14ac:dyDescent="0.2">
      <c r="A74" s="48" t="s">
        <v>8452</v>
      </c>
    </row>
    <row r="75" spans="1:1" x14ac:dyDescent="0.2">
      <c r="A75" s="48" t="s">
        <v>8453</v>
      </c>
    </row>
    <row r="76" spans="1:1" x14ac:dyDescent="0.2">
      <c r="A76" s="48" t="s">
        <v>8454</v>
      </c>
    </row>
    <row r="77" spans="1:1" x14ac:dyDescent="0.2">
      <c r="A77" s="48" t="s">
        <v>8455</v>
      </c>
    </row>
    <row r="78" spans="1:1" x14ac:dyDescent="0.2">
      <c r="A78" s="48" t="s">
        <v>8456</v>
      </c>
    </row>
    <row r="79" spans="1:1" x14ac:dyDescent="0.2">
      <c r="A79" s="48" t="s">
        <v>8457</v>
      </c>
    </row>
    <row r="80" spans="1:1" x14ac:dyDescent="0.2">
      <c r="A80" s="48" t="s">
        <v>8458</v>
      </c>
    </row>
    <row r="81" spans="1:1" x14ac:dyDescent="0.2">
      <c r="A81" s="48" t="s">
        <v>8459</v>
      </c>
    </row>
    <row r="82" spans="1:1" x14ac:dyDescent="0.2">
      <c r="A82" s="48" t="s">
        <v>8460</v>
      </c>
    </row>
    <row r="83" spans="1:1" x14ac:dyDescent="0.2">
      <c r="A83" s="48" t="s">
        <v>8461</v>
      </c>
    </row>
    <row r="84" spans="1:1" x14ac:dyDescent="0.2">
      <c r="A84" s="48" t="s">
        <v>8462</v>
      </c>
    </row>
    <row r="85" spans="1:1" x14ac:dyDescent="0.2">
      <c r="A85" s="48" t="s">
        <v>8463</v>
      </c>
    </row>
    <row r="86" spans="1:1" x14ac:dyDescent="0.2">
      <c r="A86" s="48" t="s">
        <v>8464</v>
      </c>
    </row>
    <row r="87" spans="1:1" x14ac:dyDescent="0.2">
      <c r="A87" s="48" t="s">
        <v>8465</v>
      </c>
    </row>
    <row r="88" spans="1:1" x14ac:dyDescent="0.2">
      <c r="A88" s="48" t="s">
        <v>8466</v>
      </c>
    </row>
    <row r="89" spans="1:1" x14ac:dyDescent="0.2">
      <c r="A89" s="48" t="s">
        <v>8467</v>
      </c>
    </row>
    <row r="90" spans="1:1" x14ac:dyDescent="0.2">
      <c r="A90" s="48" t="s">
        <v>8468</v>
      </c>
    </row>
    <row r="91" spans="1:1" x14ac:dyDescent="0.2">
      <c r="A91" s="48" t="s">
        <v>8469</v>
      </c>
    </row>
    <row r="92" spans="1:1" x14ac:dyDescent="0.2">
      <c r="A92" s="48" t="s">
        <v>8470</v>
      </c>
    </row>
    <row r="93" spans="1:1" x14ac:dyDescent="0.2">
      <c r="A93" s="48" t="s">
        <v>8471</v>
      </c>
    </row>
    <row r="94" spans="1:1" x14ac:dyDescent="0.2">
      <c r="A94" s="48" t="s">
        <v>8472</v>
      </c>
    </row>
    <row r="95" spans="1:1" x14ac:dyDescent="0.2">
      <c r="A95" s="48" t="s">
        <v>8473</v>
      </c>
    </row>
    <row r="96" spans="1:1" x14ac:dyDescent="0.2">
      <c r="A96" s="48" t="s">
        <v>8474</v>
      </c>
    </row>
    <row r="97" spans="1:1" x14ac:dyDescent="0.2">
      <c r="A97" s="48" t="s">
        <v>8475</v>
      </c>
    </row>
    <row r="98" spans="1:1" x14ac:dyDescent="0.2">
      <c r="A98" s="48" t="s">
        <v>8476</v>
      </c>
    </row>
    <row r="99" spans="1:1" x14ac:dyDescent="0.2">
      <c r="A99" s="48" t="s">
        <v>8477</v>
      </c>
    </row>
    <row r="100" spans="1:1" x14ac:dyDescent="0.2">
      <c r="A100" s="48" t="s">
        <v>8478</v>
      </c>
    </row>
    <row r="101" spans="1:1" x14ac:dyDescent="0.2">
      <c r="A101" s="48" t="s">
        <v>8479</v>
      </c>
    </row>
    <row r="102" spans="1:1" x14ac:dyDescent="0.2">
      <c r="A102" s="48" t="s">
        <v>8480</v>
      </c>
    </row>
    <row r="103" spans="1:1" x14ac:dyDescent="0.2">
      <c r="A103" s="48" t="s">
        <v>8481</v>
      </c>
    </row>
    <row r="104" spans="1:1" x14ac:dyDescent="0.2">
      <c r="A104" s="48" t="s">
        <v>8482</v>
      </c>
    </row>
    <row r="105" spans="1:1" x14ac:dyDescent="0.2">
      <c r="A105" s="48" t="s">
        <v>8483</v>
      </c>
    </row>
    <row r="106" spans="1:1" x14ac:dyDescent="0.2">
      <c r="A106" s="48" t="s">
        <v>8484</v>
      </c>
    </row>
    <row r="107" spans="1:1" x14ac:dyDescent="0.2">
      <c r="A107" s="48" t="s">
        <v>8485</v>
      </c>
    </row>
    <row r="108" spans="1:1" x14ac:dyDescent="0.2">
      <c r="A108" s="48" t="s">
        <v>8486</v>
      </c>
    </row>
    <row r="109" spans="1:1" x14ac:dyDescent="0.2">
      <c r="A109" s="48" t="s">
        <v>8487</v>
      </c>
    </row>
    <row r="110" spans="1:1" x14ac:dyDescent="0.2">
      <c r="A110" s="48" t="s">
        <v>8488</v>
      </c>
    </row>
    <row r="111" spans="1:1" x14ac:dyDescent="0.2">
      <c r="A111" s="48" t="s">
        <v>8489</v>
      </c>
    </row>
    <row r="112" spans="1:1" x14ac:dyDescent="0.2">
      <c r="A112" s="48" t="s">
        <v>8490</v>
      </c>
    </row>
    <row r="113" spans="1:1" x14ac:dyDescent="0.2">
      <c r="A113" s="48" t="s">
        <v>8491</v>
      </c>
    </row>
    <row r="114" spans="1:1" x14ac:dyDescent="0.2">
      <c r="A114" s="48" t="s">
        <v>8492</v>
      </c>
    </row>
    <row r="115" spans="1:1" x14ac:dyDescent="0.2">
      <c r="A115" s="48" t="s">
        <v>8493</v>
      </c>
    </row>
    <row r="116" spans="1:1" x14ac:dyDescent="0.2">
      <c r="A116" s="48" t="s">
        <v>8494</v>
      </c>
    </row>
    <row r="117" spans="1:1" x14ac:dyDescent="0.2">
      <c r="A117" s="48" t="s">
        <v>8495</v>
      </c>
    </row>
    <row r="118" spans="1:1" x14ac:dyDescent="0.2">
      <c r="A118" s="48" t="s">
        <v>8496</v>
      </c>
    </row>
    <row r="119" spans="1:1" x14ac:dyDescent="0.2">
      <c r="A119" s="48" t="s">
        <v>8497</v>
      </c>
    </row>
    <row r="120" spans="1:1" x14ac:dyDescent="0.2">
      <c r="A120" s="48" t="s">
        <v>8498</v>
      </c>
    </row>
    <row r="121" spans="1:1" x14ac:dyDescent="0.2">
      <c r="A121" s="48" t="s">
        <v>8499</v>
      </c>
    </row>
    <row r="122" spans="1:1" x14ac:dyDescent="0.2">
      <c r="A122" s="48" t="s">
        <v>8500</v>
      </c>
    </row>
    <row r="123" spans="1:1" x14ac:dyDescent="0.2">
      <c r="A123" s="48" t="s">
        <v>8501</v>
      </c>
    </row>
    <row r="124" spans="1:1" x14ac:dyDescent="0.2">
      <c r="A124" s="48" t="s">
        <v>8502</v>
      </c>
    </row>
    <row r="125" spans="1:1" x14ac:dyDescent="0.2">
      <c r="A125" s="48" t="s">
        <v>8503</v>
      </c>
    </row>
    <row r="126" spans="1:1" x14ac:dyDescent="0.2">
      <c r="A126" s="48" t="s">
        <v>8504</v>
      </c>
    </row>
    <row r="127" spans="1:1" x14ac:dyDescent="0.2">
      <c r="A127" s="48" t="s">
        <v>8505</v>
      </c>
    </row>
    <row r="128" spans="1:1" x14ac:dyDescent="0.2">
      <c r="A128" s="48" t="s">
        <v>8506</v>
      </c>
    </row>
    <row r="129" spans="1:1" x14ac:dyDescent="0.2">
      <c r="A129" s="48" t="s">
        <v>8507</v>
      </c>
    </row>
    <row r="130" spans="1:1" x14ac:dyDescent="0.2">
      <c r="A130" s="48" t="s">
        <v>8508</v>
      </c>
    </row>
    <row r="131" spans="1:1" x14ac:dyDescent="0.2">
      <c r="A131" s="48" t="s">
        <v>8509</v>
      </c>
    </row>
    <row r="132" spans="1:1" x14ac:dyDescent="0.2">
      <c r="A132" s="48" t="s">
        <v>8510</v>
      </c>
    </row>
    <row r="133" spans="1:1" x14ac:dyDescent="0.2">
      <c r="A133" s="48" t="s">
        <v>8511</v>
      </c>
    </row>
    <row r="134" spans="1:1" x14ac:dyDescent="0.2">
      <c r="A134" s="48" t="s">
        <v>8512</v>
      </c>
    </row>
    <row r="135" spans="1:1" x14ac:dyDescent="0.2">
      <c r="A135" s="48" t="s">
        <v>8513</v>
      </c>
    </row>
    <row r="136" spans="1:1" x14ac:dyDescent="0.2">
      <c r="A136" s="48" t="s">
        <v>8514</v>
      </c>
    </row>
    <row r="137" spans="1:1" x14ac:dyDescent="0.2">
      <c r="A137" s="48" t="s">
        <v>8515</v>
      </c>
    </row>
    <row r="138" spans="1:1" x14ac:dyDescent="0.2">
      <c r="A138" s="48" t="s">
        <v>8516</v>
      </c>
    </row>
    <row r="139" spans="1:1" x14ac:dyDescent="0.2">
      <c r="A139" s="48" t="s">
        <v>8517</v>
      </c>
    </row>
    <row r="140" spans="1:1" x14ac:dyDescent="0.2">
      <c r="A140" s="48" t="s">
        <v>8518</v>
      </c>
    </row>
    <row r="141" spans="1:1" x14ac:dyDescent="0.2">
      <c r="A141" s="48" t="s">
        <v>8519</v>
      </c>
    </row>
    <row r="142" spans="1:1" x14ac:dyDescent="0.2">
      <c r="A142" s="48" t="s">
        <v>8520</v>
      </c>
    </row>
    <row r="143" spans="1:1" x14ac:dyDescent="0.2">
      <c r="A143" s="48" t="s">
        <v>8521</v>
      </c>
    </row>
    <row r="144" spans="1:1" x14ac:dyDescent="0.2">
      <c r="A144" s="48" t="s">
        <v>8522</v>
      </c>
    </row>
    <row r="145" spans="1:1" x14ac:dyDescent="0.2">
      <c r="A145" s="48" t="s">
        <v>8523</v>
      </c>
    </row>
    <row r="146" spans="1:1" x14ac:dyDescent="0.2">
      <c r="A146" s="48" t="s">
        <v>8524</v>
      </c>
    </row>
    <row r="147" spans="1:1" x14ac:dyDescent="0.2">
      <c r="A147" s="48" t="s">
        <v>8525</v>
      </c>
    </row>
    <row r="148" spans="1:1" x14ac:dyDescent="0.2">
      <c r="A148" s="48" t="s">
        <v>8526</v>
      </c>
    </row>
    <row r="149" spans="1:1" x14ac:dyDescent="0.2">
      <c r="A149" s="48" t="s">
        <v>8527</v>
      </c>
    </row>
    <row r="150" spans="1:1" x14ac:dyDescent="0.2">
      <c r="A150" s="48" t="s">
        <v>8528</v>
      </c>
    </row>
    <row r="151" spans="1:1" x14ac:dyDescent="0.2">
      <c r="A151" s="48" t="s">
        <v>8529</v>
      </c>
    </row>
    <row r="152" spans="1:1" x14ac:dyDescent="0.2">
      <c r="A152" s="48" t="s">
        <v>8530</v>
      </c>
    </row>
    <row r="153" spans="1:1" x14ac:dyDescent="0.2">
      <c r="A153" s="48" t="s">
        <v>8531</v>
      </c>
    </row>
    <row r="154" spans="1:1" x14ac:dyDescent="0.2">
      <c r="A154" s="48" t="s">
        <v>8532</v>
      </c>
    </row>
    <row r="155" spans="1:1" x14ac:dyDescent="0.2">
      <c r="A155" s="48" t="s">
        <v>8533</v>
      </c>
    </row>
    <row r="156" spans="1:1" x14ac:dyDescent="0.2">
      <c r="A156" s="48" t="s">
        <v>8534</v>
      </c>
    </row>
    <row r="157" spans="1:1" x14ac:dyDescent="0.2">
      <c r="A157" s="48" t="s">
        <v>8535</v>
      </c>
    </row>
    <row r="158" spans="1:1" x14ac:dyDescent="0.2">
      <c r="A158" s="48" t="s">
        <v>8536</v>
      </c>
    </row>
    <row r="159" spans="1:1" x14ac:dyDescent="0.2">
      <c r="A159" s="48" t="s">
        <v>8537</v>
      </c>
    </row>
    <row r="160" spans="1:1" x14ac:dyDescent="0.2">
      <c r="A160" s="48" t="s">
        <v>8538</v>
      </c>
    </row>
    <row r="161" spans="1:1" x14ac:dyDescent="0.2">
      <c r="A161" s="48" t="s">
        <v>8539</v>
      </c>
    </row>
    <row r="162" spans="1:1" x14ac:dyDescent="0.2">
      <c r="A162" s="48" t="s">
        <v>8540</v>
      </c>
    </row>
    <row r="163" spans="1:1" x14ac:dyDescent="0.2">
      <c r="A163" s="48" t="s">
        <v>8541</v>
      </c>
    </row>
    <row r="164" spans="1:1" x14ac:dyDescent="0.2">
      <c r="A164" s="48" t="s">
        <v>8542</v>
      </c>
    </row>
    <row r="165" spans="1:1" x14ac:dyDescent="0.2">
      <c r="A165" s="48" t="s">
        <v>8543</v>
      </c>
    </row>
    <row r="166" spans="1:1" x14ac:dyDescent="0.2">
      <c r="A166" s="48" t="s">
        <v>8544</v>
      </c>
    </row>
    <row r="167" spans="1:1" x14ac:dyDescent="0.2">
      <c r="A167" s="48" t="s">
        <v>8545</v>
      </c>
    </row>
    <row r="168" spans="1:1" x14ac:dyDescent="0.2">
      <c r="A168" s="48" t="s">
        <v>8546</v>
      </c>
    </row>
    <row r="169" spans="1:1" x14ac:dyDescent="0.2">
      <c r="A169" s="48" t="s">
        <v>8547</v>
      </c>
    </row>
    <row r="170" spans="1:1" x14ac:dyDescent="0.2">
      <c r="A170" s="48" t="s">
        <v>8548</v>
      </c>
    </row>
    <row r="171" spans="1:1" x14ac:dyDescent="0.2">
      <c r="A171" s="48" t="s">
        <v>8549</v>
      </c>
    </row>
    <row r="172" spans="1:1" x14ac:dyDescent="0.2">
      <c r="A172" s="48" t="s">
        <v>8550</v>
      </c>
    </row>
    <row r="173" spans="1:1" x14ac:dyDescent="0.2">
      <c r="A173" s="48" t="s">
        <v>8551</v>
      </c>
    </row>
    <row r="174" spans="1:1" x14ac:dyDescent="0.2">
      <c r="A174" s="48" t="s">
        <v>8552</v>
      </c>
    </row>
    <row r="175" spans="1:1" x14ac:dyDescent="0.2">
      <c r="A175" s="48" t="s">
        <v>8553</v>
      </c>
    </row>
    <row r="176" spans="1:1" x14ac:dyDescent="0.2">
      <c r="A176" s="48" t="s">
        <v>8554</v>
      </c>
    </row>
    <row r="177" spans="1:1" x14ac:dyDescent="0.2">
      <c r="A177" s="48" t="s">
        <v>8555</v>
      </c>
    </row>
    <row r="178" spans="1:1" x14ac:dyDescent="0.2">
      <c r="A178" s="48" t="s">
        <v>8556</v>
      </c>
    </row>
    <row r="179" spans="1:1" x14ac:dyDescent="0.2">
      <c r="A179" s="48" t="s">
        <v>8557</v>
      </c>
    </row>
    <row r="180" spans="1:1" x14ac:dyDescent="0.2">
      <c r="A180" s="48" t="s">
        <v>8558</v>
      </c>
    </row>
    <row r="181" spans="1:1" x14ac:dyDescent="0.2">
      <c r="A181" s="48" t="s">
        <v>8559</v>
      </c>
    </row>
    <row r="182" spans="1:1" x14ac:dyDescent="0.2">
      <c r="A182" s="48" t="s">
        <v>8560</v>
      </c>
    </row>
    <row r="183" spans="1:1" x14ac:dyDescent="0.2">
      <c r="A183" s="48" t="s">
        <v>8561</v>
      </c>
    </row>
    <row r="184" spans="1:1" x14ac:dyDescent="0.2">
      <c r="A184" s="48" t="s">
        <v>8562</v>
      </c>
    </row>
    <row r="185" spans="1:1" x14ac:dyDescent="0.2">
      <c r="A185" s="48" t="s">
        <v>8563</v>
      </c>
    </row>
    <row r="186" spans="1:1" x14ac:dyDescent="0.2">
      <c r="A186" s="48" t="s">
        <v>8564</v>
      </c>
    </row>
    <row r="187" spans="1:1" x14ac:dyDescent="0.2">
      <c r="A187" s="48" t="s">
        <v>8565</v>
      </c>
    </row>
    <row r="188" spans="1:1" x14ac:dyDescent="0.2">
      <c r="A188" s="48" t="s">
        <v>8566</v>
      </c>
    </row>
    <row r="189" spans="1:1" x14ac:dyDescent="0.2">
      <c r="A189" s="48" t="s">
        <v>8567</v>
      </c>
    </row>
    <row r="190" spans="1:1" x14ac:dyDescent="0.2">
      <c r="A190" s="48" t="s">
        <v>8568</v>
      </c>
    </row>
    <row r="191" spans="1:1" x14ac:dyDescent="0.2">
      <c r="A191" s="48" t="s">
        <v>8569</v>
      </c>
    </row>
    <row r="192" spans="1:1" x14ac:dyDescent="0.2">
      <c r="A192" s="48" t="s">
        <v>8570</v>
      </c>
    </row>
    <row r="193" spans="1:1" x14ac:dyDescent="0.2">
      <c r="A193" s="48" t="s">
        <v>8571</v>
      </c>
    </row>
    <row r="194" spans="1:1" x14ac:dyDescent="0.2">
      <c r="A194" s="48" t="s">
        <v>8572</v>
      </c>
    </row>
    <row r="195" spans="1:1" x14ac:dyDescent="0.2">
      <c r="A195" s="48" t="s">
        <v>8573</v>
      </c>
    </row>
    <row r="196" spans="1:1" x14ac:dyDescent="0.2">
      <c r="A196" s="48" t="s">
        <v>8574</v>
      </c>
    </row>
    <row r="197" spans="1:1" x14ac:dyDescent="0.2">
      <c r="A197" s="48" t="s">
        <v>8575</v>
      </c>
    </row>
    <row r="198" spans="1:1" x14ac:dyDescent="0.2">
      <c r="A198" s="48" t="s">
        <v>8576</v>
      </c>
    </row>
    <row r="199" spans="1:1" x14ac:dyDescent="0.2">
      <c r="A199" s="48" t="s">
        <v>8577</v>
      </c>
    </row>
    <row r="200" spans="1:1" x14ac:dyDescent="0.2">
      <c r="A200" s="48" t="s">
        <v>8578</v>
      </c>
    </row>
    <row r="201" spans="1:1" x14ac:dyDescent="0.2">
      <c r="A201" s="48" t="s">
        <v>8579</v>
      </c>
    </row>
    <row r="202" spans="1:1" x14ac:dyDescent="0.2">
      <c r="A202" s="48" t="s">
        <v>8580</v>
      </c>
    </row>
    <row r="203" spans="1:1" x14ac:dyDescent="0.2">
      <c r="A203" s="48" t="s">
        <v>8581</v>
      </c>
    </row>
    <row r="204" spans="1:1" x14ac:dyDescent="0.2">
      <c r="A204" s="48" t="s">
        <v>8582</v>
      </c>
    </row>
    <row r="205" spans="1:1" x14ac:dyDescent="0.2">
      <c r="A205" s="48" t="s">
        <v>8583</v>
      </c>
    </row>
    <row r="206" spans="1:1" x14ac:dyDescent="0.2">
      <c r="A206" s="48" t="s">
        <v>8584</v>
      </c>
    </row>
    <row r="207" spans="1:1" x14ac:dyDescent="0.2">
      <c r="A207" s="48" t="s">
        <v>8585</v>
      </c>
    </row>
    <row r="208" spans="1:1" x14ac:dyDescent="0.2">
      <c r="A208" s="48" t="s">
        <v>8586</v>
      </c>
    </row>
    <row r="209" spans="1:1" x14ac:dyDescent="0.2">
      <c r="A209" s="48" t="s">
        <v>8587</v>
      </c>
    </row>
    <row r="210" spans="1:1" x14ac:dyDescent="0.2">
      <c r="A210" s="48" t="s">
        <v>8588</v>
      </c>
    </row>
    <row r="211" spans="1:1" x14ac:dyDescent="0.2">
      <c r="A211" s="48" t="s">
        <v>8589</v>
      </c>
    </row>
    <row r="212" spans="1:1" x14ac:dyDescent="0.2">
      <c r="A212" s="48" t="s">
        <v>8590</v>
      </c>
    </row>
    <row r="213" spans="1:1" customFormat="1" ht="15" x14ac:dyDescent="0.25">
      <c r="A213" s="1" t="s">
        <v>8591</v>
      </c>
    </row>
    <row r="214" spans="1:1" x14ac:dyDescent="0.2">
      <c r="A214" s="48" t="s">
        <v>8592</v>
      </c>
    </row>
    <row r="215" spans="1:1" x14ac:dyDescent="0.2">
      <c r="A215" s="48" t="s">
        <v>8593</v>
      </c>
    </row>
    <row r="216" spans="1:1" x14ac:dyDescent="0.2">
      <c r="A216" s="48" t="s">
        <v>8594</v>
      </c>
    </row>
    <row r="217" spans="1:1" x14ac:dyDescent="0.2">
      <c r="A217" s="48" t="s">
        <v>8595</v>
      </c>
    </row>
    <row r="218" spans="1:1" x14ac:dyDescent="0.2">
      <c r="A218" s="48" t="s">
        <v>8596</v>
      </c>
    </row>
    <row r="219" spans="1:1" x14ac:dyDescent="0.2">
      <c r="A219" s="48" t="s">
        <v>8597</v>
      </c>
    </row>
    <row r="220" spans="1:1" x14ac:dyDescent="0.2">
      <c r="A220" s="48" t="s">
        <v>8598</v>
      </c>
    </row>
    <row r="221" spans="1:1" x14ac:dyDescent="0.2">
      <c r="A221" s="48" t="s">
        <v>8599</v>
      </c>
    </row>
    <row r="222" spans="1:1" x14ac:dyDescent="0.2">
      <c r="A222" s="48" t="s">
        <v>8600</v>
      </c>
    </row>
    <row r="223" spans="1:1" x14ac:dyDescent="0.2">
      <c r="A223" s="48" t="s">
        <v>8601</v>
      </c>
    </row>
    <row r="224" spans="1:1" x14ac:dyDescent="0.2">
      <c r="A224" s="48" t="s">
        <v>8602</v>
      </c>
    </row>
    <row r="225" spans="1:1" x14ac:dyDescent="0.2">
      <c r="A225" s="48" t="s">
        <v>8603</v>
      </c>
    </row>
    <row r="226" spans="1:1" x14ac:dyDescent="0.2">
      <c r="A226" s="48" t="s">
        <v>8604</v>
      </c>
    </row>
    <row r="227" spans="1:1" x14ac:dyDescent="0.2">
      <c r="A227" s="48" t="s">
        <v>8605</v>
      </c>
    </row>
    <row r="228" spans="1:1" x14ac:dyDescent="0.2">
      <c r="A228" s="48" t="s">
        <v>8606</v>
      </c>
    </row>
    <row r="229" spans="1:1" x14ac:dyDescent="0.2">
      <c r="A229" s="48" t="s">
        <v>8607</v>
      </c>
    </row>
    <row r="230" spans="1:1" x14ac:dyDescent="0.2">
      <c r="A230" s="48" t="s">
        <v>8608</v>
      </c>
    </row>
    <row r="231" spans="1:1" x14ac:dyDescent="0.2">
      <c r="A231" s="48" t="s">
        <v>8609</v>
      </c>
    </row>
    <row r="232" spans="1:1" x14ac:dyDescent="0.2">
      <c r="A232" s="48" t="s">
        <v>8610</v>
      </c>
    </row>
    <row r="233" spans="1:1" x14ac:dyDescent="0.2">
      <c r="A233" s="48" t="s">
        <v>8611</v>
      </c>
    </row>
    <row r="234" spans="1:1" x14ac:dyDescent="0.2">
      <c r="A234" s="49" t="s">
        <v>8612</v>
      </c>
    </row>
    <row r="235" spans="1:1" x14ac:dyDescent="0.2">
      <c r="A235" s="48" t="s">
        <v>8613</v>
      </c>
    </row>
    <row r="236" spans="1:1" x14ac:dyDescent="0.2">
      <c r="A236" s="48" t="s">
        <v>8614</v>
      </c>
    </row>
    <row r="237" spans="1:1" x14ac:dyDescent="0.2">
      <c r="A237" s="48" t="s">
        <v>8615</v>
      </c>
    </row>
    <row r="238" spans="1:1" x14ac:dyDescent="0.2">
      <c r="A238" s="48" t="s">
        <v>8616</v>
      </c>
    </row>
    <row r="239" spans="1:1" x14ac:dyDescent="0.2">
      <c r="A239" s="48" t="s">
        <v>8617</v>
      </c>
    </row>
    <row r="240" spans="1:1" x14ac:dyDescent="0.2">
      <c r="A240" s="48" t="s">
        <v>8618</v>
      </c>
    </row>
    <row r="241" spans="1:1" x14ac:dyDescent="0.2">
      <c r="A241" s="48" t="s">
        <v>8619</v>
      </c>
    </row>
    <row r="242" spans="1:1" x14ac:dyDescent="0.2">
      <c r="A242" s="48" t="s">
        <v>8620</v>
      </c>
    </row>
    <row r="243" spans="1:1" x14ac:dyDescent="0.2">
      <c r="A243" s="48" t="s">
        <v>8621</v>
      </c>
    </row>
    <row r="244" spans="1:1" x14ac:dyDescent="0.2">
      <c r="A244" s="48" t="s">
        <v>8622</v>
      </c>
    </row>
    <row r="245" spans="1:1" x14ac:dyDescent="0.2">
      <c r="A245" s="48" t="s">
        <v>8623</v>
      </c>
    </row>
    <row r="246" spans="1:1" x14ac:dyDescent="0.2">
      <c r="A246" s="48" t="s">
        <v>8624</v>
      </c>
    </row>
    <row r="247" spans="1:1" x14ac:dyDescent="0.2">
      <c r="A247" s="48" t="s">
        <v>8625</v>
      </c>
    </row>
    <row r="248" spans="1:1" x14ac:dyDescent="0.2">
      <c r="A248" s="48" t="s">
        <v>8626</v>
      </c>
    </row>
    <row r="249" spans="1:1" x14ac:dyDescent="0.2">
      <c r="A249" s="48" t="s">
        <v>8627</v>
      </c>
    </row>
    <row r="250" spans="1:1" x14ac:dyDescent="0.2">
      <c r="A250" s="48" t="s">
        <v>8628</v>
      </c>
    </row>
    <row r="251" spans="1:1" x14ac:dyDescent="0.2">
      <c r="A251" s="48" t="s">
        <v>8629</v>
      </c>
    </row>
    <row r="252" spans="1:1" x14ac:dyDescent="0.2">
      <c r="A252" s="48" t="s">
        <v>8630</v>
      </c>
    </row>
    <row r="253" spans="1:1" x14ac:dyDescent="0.2">
      <c r="A253" s="48" t="s">
        <v>8631</v>
      </c>
    </row>
    <row r="254" spans="1:1" x14ac:dyDescent="0.2">
      <c r="A254" s="48" t="s">
        <v>8632</v>
      </c>
    </row>
    <row r="255" spans="1:1" x14ac:dyDescent="0.2">
      <c r="A255" s="48" t="s">
        <v>8633</v>
      </c>
    </row>
    <row r="256" spans="1:1" x14ac:dyDescent="0.2">
      <c r="A256" s="48" t="s">
        <v>8634</v>
      </c>
    </row>
    <row r="257" spans="1:1" x14ac:dyDescent="0.2">
      <c r="A257" s="48" t="s">
        <v>8635</v>
      </c>
    </row>
    <row r="258" spans="1:1" x14ac:dyDescent="0.2">
      <c r="A258" s="48" t="s">
        <v>8636</v>
      </c>
    </row>
    <row r="259" spans="1:1" x14ac:dyDescent="0.2">
      <c r="A259" s="48" t="s">
        <v>8637</v>
      </c>
    </row>
    <row r="260" spans="1:1" x14ac:dyDescent="0.2">
      <c r="A260" s="48" t="s">
        <v>8638</v>
      </c>
    </row>
    <row r="261" spans="1:1" x14ac:dyDescent="0.2">
      <c r="A261" s="48" t="s">
        <v>8639</v>
      </c>
    </row>
    <row r="262" spans="1:1" x14ac:dyDescent="0.2">
      <c r="A262" s="48" t="s">
        <v>8640</v>
      </c>
    </row>
    <row r="263" spans="1:1" x14ac:dyDescent="0.2">
      <c r="A263" s="48" t="s">
        <v>8641</v>
      </c>
    </row>
    <row r="264" spans="1:1" x14ac:dyDescent="0.2">
      <c r="A264" s="48" t="s">
        <v>8642</v>
      </c>
    </row>
    <row r="265" spans="1:1" x14ac:dyDescent="0.2">
      <c r="A265" s="48" t="s">
        <v>8643</v>
      </c>
    </row>
    <row r="266" spans="1:1" x14ac:dyDescent="0.2">
      <c r="A266" s="48" t="s">
        <v>8644</v>
      </c>
    </row>
    <row r="267" spans="1:1" x14ac:dyDescent="0.2">
      <c r="A267" s="48" t="s">
        <v>8645</v>
      </c>
    </row>
    <row r="268" spans="1:1" x14ac:dyDescent="0.2">
      <c r="A268" s="48" t="s">
        <v>8646</v>
      </c>
    </row>
    <row r="269" spans="1:1" x14ac:dyDescent="0.2">
      <c r="A269" s="48" t="s">
        <v>8647</v>
      </c>
    </row>
    <row r="270" spans="1:1" x14ac:dyDescent="0.2">
      <c r="A270" s="48" t="s">
        <v>8648</v>
      </c>
    </row>
    <row r="271" spans="1:1" x14ac:dyDescent="0.2">
      <c r="A271" s="48" t="s">
        <v>8649</v>
      </c>
    </row>
    <row r="272" spans="1:1" x14ac:dyDescent="0.2">
      <c r="A272" s="48" t="s">
        <v>8650</v>
      </c>
    </row>
    <row r="273" spans="1:1" x14ac:dyDescent="0.2">
      <c r="A273" s="48" t="s">
        <v>8651</v>
      </c>
    </row>
    <row r="274" spans="1:1" x14ac:dyDescent="0.2">
      <c r="A274" s="48" t="s">
        <v>8652</v>
      </c>
    </row>
    <row r="275" spans="1:1" x14ac:dyDescent="0.2">
      <c r="A275" s="48" t="s">
        <v>8653</v>
      </c>
    </row>
    <row r="276" spans="1:1" x14ac:dyDescent="0.2">
      <c r="A276" s="48" t="s">
        <v>8654</v>
      </c>
    </row>
    <row r="277" spans="1:1" x14ac:dyDescent="0.2">
      <c r="A277" s="48" t="s">
        <v>8655</v>
      </c>
    </row>
    <row r="278" spans="1:1" x14ac:dyDescent="0.2">
      <c r="A278" s="48" t="s">
        <v>8656</v>
      </c>
    </row>
    <row r="279" spans="1:1" x14ac:dyDescent="0.2">
      <c r="A279" s="48" t="s">
        <v>8657</v>
      </c>
    </row>
    <row r="280" spans="1:1" x14ac:dyDescent="0.2">
      <c r="A280" s="48" t="s">
        <v>8658</v>
      </c>
    </row>
    <row r="281" spans="1:1" x14ac:dyDescent="0.2">
      <c r="A281" s="48" t="s">
        <v>8659</v>
      </c>
    </row>
    <row r="282" spans="1:1" x14ac:dyDescent="0.2">
      <c r="A282" s="48" t="s">
        <v>8660</v>
      </c>
    </row>
    <row r="283" spans="1:1" x14ac:dyDescent="0.2">
      <c r="A283" s="48" t="s">
        <v>8661</v>
      </c>
    </row>
    <row r="284" spans="1:1" x14ac:dyDescent="0.2">
      <c r="A284" s="48" t="s">
        <v>8662</v>
      </c>
    </row>
    <row r="285" spans="1:1" x14ac:dyDescent="0.2">
      <c r="A285" s="48" t="s">
        <v>8663</v>
      </c>
    </row>
    <row r="286" spans="1:1" x14ac:dyDescent="0.2">
      <c r="A286" s="48" t="s">
        <v>8664</v>
      </c>
    </row>
    <row r="287" spans="1:1" x14ac:dyDescent="0.2">
      <c r="A287" s="48" t="s">
        <v>8665</v>
      </c>
    </row>
    <row r="288" spans="1:1" x14ac:dyDescent="0.2">
      <c r="A288" s="48" t="s">
        <v>8666</v>
      </c>
    </row>
    <row r="289" spans="1:1" x14ac:dyDescent="0.2">
      <c r="A289" s="48" t="s">
        <v>8667</v>
      </c>
    </row>
    <row r="290" spans="1:1" x14ac:dyDescent="0.2">
      <c r="A290" s="48" t="s">
        <v>8668</v>
      </c>
    </row>
    <row r="291" spans="1:1" x14ac:dyDescent="0.2">
      <c r="A291" s="48" t="s">
        <v>8669</v>
      </c>
    </row>
    <row r="292" spans="1:1" x14ac:dyDescent="0.2">
      <c r="A292" s="48" t="s">
        <v>8670</v>
      </c>
    </row>
    <row r="293" spans="1:1" x14ac:dyDescent="0.2">
      <c r="A293" s="48" t="s">
        <v>8671</v>
      </c>
    </row>
    <row r="294" spans="1:1" x14ac:dyDescent="0.2">
      <c r="A294" s="48" t="s">
        <v>8672</v>
      </c>
    </row>
    <row r="295" spans="1:1" x14ac:dyDescent="0.2">
      <c r="A295" s="48" t="s">
        <v>8673</v>
      </c>
    </row>
    <row r="296" spans="1:1" x14ac:dyDescent="0.2">
      <c r="A296" s="48" t="s">
        <v>8674</v>
      </c>
    </row>
    <row r="297" spans="1:1" x14ac:dyDescent="0.2">
      <c r="A297" s="48" t="s">
        <v>8675</v>
      </c>
    </row>
    <row r="298" spans="1:1" x14ac:dyDescent="0.2">
      <c r="A298" s="48" t="s">
        <v>8676</v>
      </c>
    </row>
    <row r="299" spans="1:1" x14ac:dyDescent="0.2">
      <c r="A299" s="48" t="s">
        <v>8677</v>
      </c>
    </row>
    <row r="300" spans="1:1" x14ac:dyDescent="0.2">
      <c r="A300" s="48" t="s">
        <v>8678</v>
      </c>
    </row>
    <row r="301" spans="1:1" x14ac:dyDescent="0.2">
      <c r="A301" s="48" t="s">
        <v>8679</v>
      </c>
    </row>
    <row r="302" spans="1:1" x14ac:dyDescent="0.2">
      <c r="A302" s="48" t="s">
        <v>8680</v>
      </c>
    </row>
    <row r="303" spans="1:1" x14ac:dyDescent="0.2">
      <c r="A303" s="48" t="s">
        <v>8681</v>
      </c>
    </row>
    <row r="304" spans="1:1" x14ac:dyDescent="0.2">
      <c r="A304" s="48" t="s">
        <v>8682</v>
      </c>
    </row>
    <row r="305" spans="1:1" x14ac:dyDescent="0.2">
      <c r="A305" s="48" t="s">
        <v>8683</v>
      </c>
    </row>
    <row r="306" spans="1:1" x14ac:dyDescent="0.2">
      <c r="A306" s="48" t="s">
        <v>8684</v>
      </c>
    </row>
    <row r="307" spans="1:1" x14ac:dyDescent="0.2">
      <c r="A307" s="50" t="s">
        <v>8685</v>
      </c>
    </row>
    <row r="308" spans="1:1" x14ac:dyDescent="0.2">
      <c r="A308" s="48" t="s">
        <v>8686</v>
      </c>
    </row>
    <row r="309" spans="1:1" x14ac:dyDescent="0.2">
      <c r="A309" s="48" t="s">
        <v>8687</v>
      </c>
    </row>
    <row r="310" spans="1:1" x14ac:dyDescent="0.2">
      <c r="A310" s="48" t="s">
        <v>8688</v>
      </c>
    </row>
    <row r="311" spans="1:1" x14ac:dyDescent="0.2">
      <c r="A311" s="48" t="s">
        <v>8689</v>
      </c>
    </row>
    <row r="312" spans="1:1" x14ac:dyDescent="0.2">
      <c r="A312" s="48" t="s">
        <v>8690</v>
      </c>
    </row>
    <row r="313" spans="1:1" x14ac:dyDescent="0.2">
      <c r="A313" s="48" t="s">
        <v>8691</v>
      </c>
    </row>
    <row r="314" spans="1:1" x14ac:dyDescent="0.2">
      <c r="A314" s="48" t="s">
        <v>8692</v>
      </c>
    </row>
    <row r="315" spans="1:1" x14ac:dyDescent="0.2">
      <c r="A315" s="48" t="s">
        <v>8693</v>
      </c>
    </row>
    <row r="316" spans="1:1" x14ac:dyDescent="0.2">
      <c r="A316" s="48" t="s">
        <v>8694</v>
      </c>
    </row>
    <row r="317" spans="1:1" x14ac:dyDescent="0.2">
      <c r="A317" s="48" t="s">
        <v>8695</v>
      </c>
    </row>
    <row r="318" spans="1:1" x14ac:dyDescent="0.2">
      <c r="A318" s="48" t="s">
        <v>8696</v>
      </c>
    </row>
    <row r="319" spans="1:1" x14ac:dyDescent="0.2">
      <c r="A319" s="48" t="s">
        <v>8697</v>
      </c>
    </row>
    <row r="320" spans="1:1" x14ac:dyDescent="0.2">
      <c r="A320" s="48" t="s">
        <v>8698</v>
      </c>
    </row>
    <row r="321" spans="1:1" x14ac:dyDescent="0.2">
      <c r="A321" s="48" t="s">
        <v>8699</v>
      </c>
    </row>
    <row r="322" spans="1:1" x14ac:dyDescent="0.2">
      <c r="A322" s="48" t="s">
        <v>8700</v>
      </c>
    </row>
    <row r="323" spans="1:1" x14ac:dyDescent="0.2">
      <c r="A323" s="48" t="s">
        <v>8701</v>
      </c>
    </row>
    <row r="324" spans="1:1" x14ac:dyDescent="0.2">
      <c r="A324" s="48" t="s">
        <v>8702</v>
      </c>
    </row>
    <row r="325" spans="1:1" x14ac:dyDescent="0.2">
      <c r="A325" s="48" t="s">
        <v>8703</v>
      </c>
    </row>
    <row r="326" spans="1:1" x14ac:dyDescent="0.2">
      <c r="A326" s="48" t="s">
        <v>8704</v>
      </c>
    </row>
    <row r="327" spans="1:1" x14ac:dyDescent="0.2">
      <c r="A327" s="48" t="s">
        <v>8705</v>
      </c>
    </row>
    <row r="328" spans="1:1" x14ac:dyDescent="0.2">
      <c r="A328" s="48" t="s">
        <v>8706</v>
      </c>
    </row>
    <row r="329" spans="1:1" x14ac:dyDescent="0.2">
      <c r="A329" s="48" t="s">
        <v>8707</v>
      </c>
    </row>
    <row r="330" spans="1:1" x14ac:dyDescent="0.2">
      <c r="A330" s="48" t="s">
        <v>8708</v>
      </c>
    </row>
    <row r="331" spans="1:1" x14ac:dyDescent="0.2">
      <c r="A331" s="48" t="s">
        <v>8709</v>
      </c>
    </row>
    <row r="332" spans="1:1" x14ac:dyDescent="0.2">
      <c r="A332" s="48" t="s">
        <v>8710</v>
      </c>
    </row>
    <row r="333" spans="1:1" x14ac:dyDescent="0.2">
      <c r="A333" s="48" t="s">
        <v>8711</v>
      </c>
    </row>
    <row r="334" spans="1:1" x14ac:dyDescent="0.2">
      <c r="A334" s="48" t="s">
        <v>8712</v>
      </c>
    </row>
    <row r="335" spans="1:1" x14ac:dyDescent="0.2">
      <c r="A335" s="48" t="s">
        <v>8713</v>
      </c>
    </row>
    <row r="336" spans="1:1" x14ac:dyDescent="0.2">
      <c r="A336" s="48" t="s">
        <v>8714</v>
      </c>
    </row>
    <row r="337" spans="1:1" x14ac:dyDescent="0.2">
      <c r="A337" s="48" t="s">
        <v>8715</v>
      </c>
    </row>
    <row r="338" spans="1:1" x14ac:dyDescent="0.2">
      <c r="A338" s="48" t="s">
        <v>8716</v>
      </c>
    </row>
    <row r="339" spans="1:1" x14ac:dyDescent="0.2">
      <c r="A339" s="48" t="s">
        <v>8717</v>
      </c>
    </row>
    <row r="340" spans="1:1" x14ac:dyDescent="0.2">
      <c r="A340" s="48" t="s">
        <v>8718</v>
      </c>
    </row>
    <row r="341" spans="1:1" x14ac:dyDescent="0.2">
      <c r="A341" s="48" t="s">
        <v>8719</v>
      </c>
    </row>
    <row r="342" spans="1:1" x14ac:dyDescent="0.2">
      <c r="A342" s="48" t="s">
        <v>8720</v>
      </c>
    </row>
    <row r="343" spans="1:1" x14ac:dyDescent="0.2">
      <c r="A343" s="48" t="s">
        <v>8721</v>
      </c>
    </row>
    <row r="344" spans="1:1" x14ac:dyDescent="0.2">
      <c r="A344" s="48" t="s">
        <v>8722</v>
      </c>
    </row>
    <row r="345" spans="1:1" x14ac:dyDescent="0.2">
      <c r="A345" s="48" t="s">
        <v>8723</v>
      </c>
    </row>
    <row r="346" spans="1:1" x14ac:dyDescent="0.2">
      <c r="A346" s="49" t="s">
        <v>8724</v>
      </c>
    </row>
    <row r="347" spans="1:1" x14ac:dyDescent="0.2">
      <c r="A347" s="48" t="s">
        <v>8725</v>
      </c>
    </row>
    <row r="348" spans="1:1" x14ac:dyDescent="0.2">
      <c r="A348" s="48" t="s">
        <v>8726</v>
      </c>
    </row>
    <row r="349" spans="1:1" x14ac:dyDescent="0.2">
      <c r="A349" s="48" t="s">
        <v>8727</v>
      </c>
    </row>
    <row r="350" spans="1:1" x14ac:dyDescent="0.2">
      <c r="A350" s="48" t="s">
        <v>8728</v>
      </c>
    </row>
    <row r="351" spans="1:1" x14ac:dyDescent="0.2">
      <c r="A351" s="48" t="s">
        <v>8729</v>
      </c>
    </row>
    <row r="352" spans="1:1" x14ac:dyDescent="0.2">
      <c r="A352" s="48" t="s">
        <v>8730</v>
      </c>
    </row>
    <row r="353" spans="1:1" x14ac:dyDescent="0.2">
      <c r="A353" s="48" t="s">
        <v>8731</v>
      </c>
    </row>
    <row r="354" spans="1:1" x14ac:dyDescent="0.2">
      <c r="A354" s="48" t="s">
        <v>8732</v>
      </c>
    </row>
    <row r="355" spans="1:1" x14ac:dyDescent="0.2">
      <c r="A355" s="48" t="s">
        <v>8733</v>
      </c>
    </row>
    <row r="356" spans="1:1" x14ac:dyDescent="0.2">
      <c r="A356" s="48" t="s">
        <v>8734</v>
      </c>
    </row>
    <row r="357" spans="1:1" x14ac:dyDescent="0.2">
      <c r="A357" s="48" t="s">
        <v>8735</v>
      </c>
    </row>
    <row r="358" spans="1:1" x14ac:dyDescent="0.2">
      <c r="A358" s="48" t="s">
        <v>8736</v>
      </c>
    </row>
    <row r="359" spans="1:1" x14ac:dyDescent="0.2">
      <c r="A359" s="48" t="s">
        <v>8737</v>
      </c>
    </row>
    <row r="360" spans="1:1" x14ac:dyDescent="0.2">
      <c r="A360" s="48" t="s">
        <v>8738</v>
      </c>
    </row>
    <row r="361" spans="1:1" x14ac:dyDescent="0.2">
      <c r="A361" s="48" t="s">
        <v>8739</v>
      </c>
    </row>
    <row r="362" spans="1:1" x14ac:dyDescent="0.2">
      <c r="A362" s="48" t="s">
        <v>8740</v>
      </c>
    </row>
    <row r="363" spans="1:1" x14ac:dyDescent="0.2">
      <c r="A363" s="48" t="s">
        <v>8741</v>
      </c>
    </row>
    <row r="364" spans="1:1" x14ac:dyDescent="0.2">
      <c r="A364" s="48" t="s">
        <v>8742</v>
      </c>
    </row>
    <row r="365" spans="1:1" x14ac:dyDescent="0.2">
      <c r="A365" s="48" t="s">
        <v>8743</v>
      </c>
    </row>
    <row r="366" spans="1:1" x14ac:dyDescent="0.2">
      <c r="A366" s="48" t="s">
        <v>8744</v>
      </c>
    </row>
    <row r="367" spans="1:1" x14ac:dyDescent="0.2">
      <c r="A367" s="48" t="s">
        <v>8745</v>
      </c>
    </row>
    <row r="368" spans="1:1" x14ac:dyDescent="0.2">
      <c r="A368" s="48" t="s">
        <v>8746</v>
      </c>
    </row>
    <row r="369" spans="1:1" x14ac:dyDescent="0.2">
      <c r="A369" s="48" t="s">
        <v>8747</v>
      </c>
    </row>
    <row r="370" spans="1:1" x14ac:dyDescent="0.2">
      <c r="A370" s="48" t="s">
        <v>8748</v>
      </c>
    </row>
    <row r="371" spans="1:1" x14ac:dyDescent="0.2">
      <c r="A371" s="48" t="s">
        <v>8749</v>
      </c>
    </row>
    <row r="372" spans="1:1" x14ac:dyDescent="0.2">
      <c r="A372" s="48" t="s">
        <v>8750</v>
      </c>
    </row>
    <row r="373" spans="1:1" x14ac:dyDescent="0.2">
      <c r="A373" s="48" t="s">
        <v>8751</v>
      </c>
    </row>
    <row r="374" spans="1:1" x14ac:dyDescent="0.2">
      <c r="A374" s="48" t="s">
        <v>8752</v>
      </c>
    </row>
    <row r="375" spans="1:1" x14ac:dyDescent="0.2">
      <c r="A375" s="48" t="s">
        <v>8753</v>
      </c>
    </row>
    <row r="376" spans="1:1" x14ac:dyDescent="0.2">
      <c r="A376" s="48" t="s">
        <v>8754</v>
      </c>
    </row>
    <row r="377" spans="1:1" x14ac:dyDescent="0.2">
      <c r="A377" s="48" t="s">
        <v>8755</v>
      </c>
    </row>
    <row r="378" spans="1:1" x14ac:dyDescent="0.2">
      <c r="A378" s="48" t="s">
        <v>8756</v>
      </c>
    </row>
    <row r="379" spans="1:1" x14ac:dyDescent="0.2">
      <c r="A379" s="48" t="s">
        <v>8757</v>
      </c>
    </row>
    <row r="380" spans="1:1" x14ac:dyDescent="0.2">
      <c r="A380" s="48" t="s">
        <v>8758</v>
      </c>
    </row>
    <row r="381" spans="1:1" x14ac:dyDescent="0.2">
      <c r="A381" s="48" t="s">
        <v>8759</v>
      </c>
    </row>
    <row r="382" spans="1:1" x14ac:dyDescent="0.2">
      <c r="A382" s="48" t="s">
        <v>8760</v>
      </c>
    </row>
    <row r="383" spans="1:1" x14ac:dyDescent="0.2">
      <c r="A383" s="48" t="s">
        <v>8761</v>
      </c>
    </row>
    <row r="384" spans="1:1" x14ac:dyDescent="0.2">
      <c r="A384" s="48" t="s">
        <v>8762</v>
      </c>
    </row>
    <row r="385" spans="1:1" x14ac:dyDescent="0.2">
      <c r="A385" s="48" t="s">
        <v>8763</v>
      </c>
    </row>
    <row r="386" spans="1:1" x14ac:dyDescent="0.2">
      <c r="A386" s="48" t="s">
        <v>8764</v>
      </c>
    </row>
    <row r="387" spans="1:1" x14ac:dyDescent="0.2">
      <c r="A387" s="48" t="s">
        <v>8765</v>
      </c>
    </row>
    <row r="388" spans="1:1" x14ac:dyDescent="0.2">
      <c r="A388" s="48" t="s">
        <v>8766</v>
      </c>
    </row>
    <row r="389" spans="1:1" x14ac:dyDescent="0.2">
      <c r="A389" s="48" t="s">
        <v>8767</v>
      </c>
    </row>
    <row r="390" spans="1:1" x14ac:dyDescent="0.2">
      <c r="A390" s="48" t="s">
        <v>8768</v>
      </c>
    </row>
    <row r="391" spans="1:1" x14ac:dyDescent="0.2">
      <c r="A391" s="48" t="s">
        <v>8769</v>
      </c>
    </row>
    <row r="392" spans="1:1" x14ac:dyDescent="0.2">
      <c r="A392" s="48" t="s">
        <v>8770</v>
      </c>
    </row>
    <row r="393" spans="1:1" x14ac:dyDescent="0.2">
      <c r="A393" s="48" t="s">
        <v>8771</v>
      </c>
    </row>
    <row r="394" spans="1:1" x14ac:dyDescent="0.2">
      <c r="A394" s="48" t="s">
        <v>8772</v>
      </c>
    </row>
    <row r="395" spans="1:1" x14ac:dyDescent="0.2">
      <c r="A395" s="48" t="s">
        <v>8773</v>
      </c>
    </row>
    <row r="396" spans="1:1" x14ac:dyDescent="0.2">
      <c r="A396" s="48" t="s">
        <v>8774</v>
      </c>
    </row>
    <row r="397" spans="1:1" x14ac:dyDescent="0.2">
      <c r="A397" s="48" t="s">
        <v>8775</v>
      </c>
    </row>
    <row r="398" spans="1:1" x14ac:dyDescent="0.2">
      <c r="A398" s="48" t="s">
        <v>8776</v>
      </c>
    </row>
    <row r="399" spans="1:1" x14ac:dyDescent="0.2">
      <c r="A399" s="48" t="s">
        <v>8777</v>
      </c>
    </row>
    <row r="400" spans="1:1" x14ac:dyDescent="0.2">
      <c r="A400" s="48" t="s">
        <v>8778</v>
      </c>
    </row>
    <row r="401" spans="1:1" x14ac:dyDescent="0.2">
      <c r="A401" s="48" t="s">
        <v>8779</v>
      </c>
    </row>
    <row r="402" spans="1:1" x14ac:dyDescent="0.2">
      <c r="A402" s="48" t="s">
        <v>8780</v>
      </c>
    </row>
    <row r="403" spans="1:1" x14ac:dyDescent="0.2">
      <c r="A403" s="48" t="s">
        <v>8781</v>
      </c>
    </row>
    <row r="404" spans="1:1" x14ac:dyDescent="0.2">
      <c r="A404" s="48" t="s">
        <v>8782</v>
      </c>
    </row>
    <row r="405" spans="1:1" x14ac:dyDescent="0.2">
      <c r="A405" s="48" t="s">
        <v>8783</v>
      </c>
    </row>
    <row r="406" spans="1:1" x14ac:dyDescent="0.2">
      <c r="A406" s="48" t="s">
        <v>8784</v>
      </c>
    </row>
    <row r="407" spans="1:1" x14ac:dyDescent="0.2">
      <c r="A407" s="48" t="s">
        <v>8785</v>
      </c>
    </row>
    <row r="408" spans="1:1" x14ac:dyDescent="0.2">
      <c r="A408" s="48" t="s">
        <v>8786</v>
      </c>
    </row>
    <row r="409" spans="1:1" x14ac:dyDescent="0.2">
      <c r="A409" s="48" t="s">
        <v>8787</v>
      </c>
    </row>
    <row r="410" spans="1:1" x14ac:dyDescent="0.2">
      <c r="A410" s="48" t="s">
        <v>8788</v>
      </c>
    </row>
    <row r="411" spans="1:1" x14ac:dyDescent="0.2">
      <c r="A411" s="48" t="s">
        <v>8789</v>
      </c>
    </row>
    <row r="412" spans="1:1" x14ac:dyDescent="0.2">
      <c r="A412" s="48" t="s">
        <v>8790</v>
      </c>
    </row>
    <row r="413" spans="1:1" x14ac:dyDescent="0.2">
      <c r="A413" s="48" t="s">
        <v>8791</v>
      </c>
    </row>
    <row r="414" spans="1:1" x14ac:dyDescent="0.2">
      <c r="A414" s="48" t="s">
        <v>8792</v>
      </c>
    </row>
    <row r="415" spans="1:1" x14ac:dyDescent="0.2">
      <c r="A415" s="48" t="s">
        <v>8793</v>
      </c>
    </row>
    <row r="416" spans="1:1" x14ac:dyDescent="0.2">
      <c r="A416" s="48" t="s">
        <v>8794</v>
      </c>
    </row>
    <row r="417" spans="1:1" x14ac:dyDescent="0.2">
      <c r="A417" s="48" t="s">
        <v>8795</v>
      </c>
    </row>
    <row r="418" spans="1:1" x14ac:dyDescent="0.2">
      <c r="A418" s="48" t="s">
        <v>8796</v>
      </c>
    </row>
    <row r="419" spans="1:1" x14ac:dyDescent="0.2">
      <c r="A419" s="48" t="s">
        <v>8797</v>
      </c>
    </row>
    <row r="420" spans="1:1" x14ac:dyDescent="0.2">
      <c r="A420" s="48" t="s">
        <v>8798</v>
      </c>
    </row>
    <row r="421" spans="1:1" x14ac:dyDescent="0.2">
      <c r="A421" s="48" t="s">
        <v>8799</v>
      </c>
    </row>
    <row r="422" spans="1:1" x14ac:dyDescent="0.2">
      <c r="A422" s="48" t="s">
        <v>8800</v>
      </c>
    </row>
    <row r="423" spans="1:1" x14ac:dyDescent="0.2">
      <c r="A423" s="48" t="s">
        <v>8801</v>
      </c>
    </row>
    <row r="424" spans="1:1" x14ac:dyDescent="0.2">
      <c r="A424" s="48" t="s">
        <v>8802</v>
      </c>
    </row>
    <row r="425" spans="1:1" x14ac:dyDescent="0.2">
      <c r="A425" s="48" t="s">
        <v>8803</v>
      </c>
    </row>
    <row r="426" spans="1:1" x14ac:dyDescent="0.2">
      <c r="A426" s="48" t="s">
        <v>8804</v>
      </c>
    </row>
    <row r="427" spans="1:1" x14ac:dyDescent="0.2">
      <c r="A427" s="48" t="s">
        <v>8805</v>
      </c>
    </row>
    <row r="428" spans="1:1" x14ac:dyDescent="0.2">
      <c r="A428" s="48" t="s">
        <v>8806</v>
      </c>
    </row>
    <row r="429" spans="1:1" x14ac:dyDescent="0.2">
      <c r="A429" s="48" t="s">
        <v>8807</v>
      </c>
    </row>
    <row r="430" spans="1:1" x14ac:dyDescent="0.2">
      <c r="A430" s="48" t="s">
        <v>8808</v>
      </c>
    </row>
    <row r="431" spans="1:1" x14ac:dyDescent="0.2">
      <c r="A431" s="48" t="s">
        <v>8809</v>
      </c>
    </row>
    <row r="432" spans="1:1" x14ac:dyDescent="0.2">
      <c r="A432" s="48" t="s">
        <v>8810</v>
      </c>
    </row>
    <row r="433" spans="1:1" x14ac:dyDescent="0.2">
      <c r="A433" s="48" t="s">
        <v>8811</v>
      </c>
    </row>
    <row r="434" spans="1:1" x14ac:dyDescent="0.2">
      <c r="A434" s="48" t="s">
        <v>8812</v>
      </c>
    </row>
    <row r="435" spans="1:1" x14ac:dyDescent="0.2">
      <c r="A435" s="48" t="s">
        <v>8813</v>
      </c>
    </row>
    <row r="436" spans="1:1" x14ac:dyDescent="0.2">
      <c r="A436" s="48" t="s">
        <v>8814</v>
      </c>
    </row>
    <row r="437" spans="1:1" x14ac:dyDescent="0.2">
      <c r="A437" s="48" t="s">
        <v>8815</v>
      </c>
    </row>
    <row r="438" spans="1:1" x14ac:dyDescent="0.2">
      <c r="A438" s="48" t="s">
        <v>8816</v>
      </c>
    </row>
    <row r="439" spans="1:1" x14ac:dyDescent="0.2">
      <c r="A439" s="48" t="s">
        <v>8817</v>
      </c>
    </row>
    <row r="440" spans="1:1" x14ac:dyDescent="0.2">
      <c r="A440" s="48" t="s">
        <v>8818</v>
      </c>
    </row>
    <row r="441" spans="1:1" x14ac:dyDescent="0.2">
      <c r="A441" s="48" t="s">
        <v>8819</v>
      </c>
    </row>
    <row r="442" spans="1:1" x14ac:dyDescent="0.2">
      <c r="A442" s="48" t="s">
        <v>8820</v>
      </c>
    </row>
    <row r="443" spans="1:1" x14ac:dyDescent="0.2">
      <c r="A443" s="48" t="s">
        <v>8821</v>
      </c>
    </row>
    <row r="444" spans="1:1" x14ac:dyDescent="0.2">
      <c r="A444" s="48" t="s">
        <v>8822</v>
      </c>
    </row>
    <row r="445" spans="1:1" x14ac:dyDescent="0.2">
      <c r="A445" s="48" t="s">
        <v>8823</v>
      </c>
    </row>
    <row r="446" spans="1:1" x14ac:dyDescent="0.2">
      <c r="A446" s="48" t="s">
        <v>8824</v>
      </c>
    </row>
    <row r="447" spans="1:1" x14ac:dyDescent="0.2">
      <c r="A447" s="48" t="s">
        <v>8825</v>
      </c>
    </row>
    <row r="448" spans="1:1" x14ac:dyDescent="0.2">
      <c r="A448" s="48" t="s">
        <v>8826</v>
      </c>
    </row>
    <row r="449" spans="1:1" x14ac:dyDescent="0.2">
      <c r="A449" s="48" t="s">
        <v>8827</v>
      </c>
    </row>
    <row r="450" spans="1:1" x14ac:dyDescent="0.2">
      <c r="A450" s="48" t="s">
        <v>8828</v>
      </c>
    </row>
    <row r="451" spans="1:1" x14ac:dyDescent="0.2">
      <c r="A451" s="48" t="s">
        <v>8829</v>
      </c>
    </row>
    <row r="452" spans="1:1" x14ac:dyDescent="0.2">
      <c r="A452" s="48" t="s">
        <v>8830</v>
      </c>
    </row>
    <row r="453" spans="1:1" x14ac:dyDescent="0.2">
      <c r="A453" s="48" t="s">
        <v>8831</v>
      </c>
    </row>
    <row r="454" spans="1:1" x14ac:dyDescent="0.2">
      <c r="A454" s="48" t="s">
        <v>8832</v>
      </c>
    </row>
    <row r="455" spans="1:1" x14ac:dyDescent="0.2">
      <c r="A455" s="48" t="s">
        <v>8833</v>
      </c>
    </row>
    <row r="456" spans="1:1" x14ac:dyDescent="0.2">
      <c r="A456" s="48" t="s">
        <v>8834</v>
      </c>
    </row>
    <row r="457" spans="1:1" x14ac:dyDescent="0.2">
      <c r="A457" s="48" t="s">
        <v>8835</v>
      </c>
    </row>
    <row r="458" spans="1:1" x14ac:dyDescent="0.2">
      <c r="A458" s="48" t="s">
        <v>8836</v>
      </c>
    </row>
    <row r="459" spans="1:1" x14ac:dyDescent="0.2">
      <c r="A459" s="48" t="s">
        <v>8837</v>
      </c>
    </row>
    <row r="460" spans="1:1" x14ac:dyDescent="0.2">
      <c r="A460" s="48" t="s">
        <v>8838</v>
      </c>
    </row>
    <row r="461" spans="1:1" x14ac:dyDescent="0.2">
      <c r="A461" s="48" t="s">
        <v>8839</v>
      </c>
    </row>
    <row r="462" spans="1:1" x14ac:dyDescent="0.2">
      <c r="A462" s="48" t="s">
        <v>8840</v>
      </c>
    </row>
    <row r="463" spans="1:1" x14ac:dyDescent="0.2">
      <c r="A463" s="48" t="s">
        <v>8841</v>
      </c>
    </row>
    <row r="464" spans="1:1" x14ac:dyDescent="0.2">
      <c r="A464" s="48" t="s">
        <v>8842</v>
      </c>
    </row>
    <row r="465" spans="1:1" x14ac:dyDescent="0.2">
      <c r="A465" s="48" t="s">
        <v>8843</v>
      </c>
    </row>
    <row r="466" spans="1:1" x14ac:dyDescent="0.2">
      <c r="A466" s="48" t="s">
        <v>8844</v>
      </c>
    </row>
    <row r="467" spans="1:1" x14ac:dyDescent="0.2">
      <c r="A467" s="48" t="s">
        <v>8845</v>
      </c>
    </row>
    <row r="468" spans="1:1" x14ac:dyDescent="0.2">
      <c r="A468" s="48" t="s">
        <v>8846</v>
      </c>
    </row>
    <row r="469" spans="1:1" x14ac:dyDescent="0.2">
      <c r="A469" s="48" t="s">
        <v>8847</v>
      </c>
    </row>
    <row r="470" spans="1:1" x14ac:dyDescent="0.2">
      <c r="A470" s="48" t="s">
        <v>8848</v>
      </c>
    </row>
    <row r="471" spans="1:1" s="2" customFormat="1" x14ac:dyDescent="0.2">
      <c r="A471" s="50" t="s">
        <v>8849</v>
      </c>
    </row>
    <row r="472" spans="1:1" s="2" customFormat="1" x14ac:dyDescent="0.2">
      <c r="A472" s="50" t="s">
        <v>8850</v>
      </c>
    </row>
    <row r="473" spans="1:1" x14ac:dyDescent="0.2">
      <c r="A473" s="48" t="s">
        <v>8851</v>
      </c>
    </row>
    <row r="474" spans="1:1" x14ac:dyDescent="0.2">
      <c r="A474" s="48" t="s">
        <v>8852</v>
      </c>
    </row>
    <row r="475" spans="1:1" x14ac:dyDescent="0.2">
      <c r="A475" s="48" t="s">
        <v>8853</v>
      </c>
    </row>
    <row r="476" spans="1:1" x14ac:dyDescent="0.2">
      <c r="A476" s="48" t="s">
        <v>8854</v>
      </c>
    </row>
    <row r="477" spans="1:1" x14ac:dyDescent="0.2">
      <c r="A477" s="48" t="s">
        <v>8855</v>
      </c>
    </row>
    <row r="478" spans="1:1" x14ac:dyDescent="0.2">
      <c r="A478" s="48" t="s">
        <v>8856</v>
      </c>
    </row>
    <row r="479" spans="1:1" x14ac:dyDescent="0.2">
      <c r="A479" s="48" t="s">
        <v>8857</v>
      </c>
    </row>
    <row r="480" spans="1:1" x14ac:dyDescent="0.2">
      <c r="A480" s="48" t="s">
        <v>8858</v>
      </c>
    </row>
    <row r="481" spans="1:1" x14ac:dyDescent="0.2">
      <c r="A481" s="48" t="s">
        <v>8859</v>
      </c>
    </row>
    <row r="482" spans="1:1" x14ac:dyDescent="0.2">
      <c r="A482" s="48" t="s">
        <v>8860</v>
      </c>
    </row>
    <row r="483" spans="1:1" x14ac:dyDescent="0.2">
      <c r="A483" s="48" t="s">
        <v>8861</v>
      </c>
    </row>
    <row r="484" spans="1:1" x14ac:dyDescent="0.2">
      <c r="A484" s="48" t="s">
        <v>8862</v>
      </c>
    </row>
    <row r="485" spans="1:1" x14ac:dyDescent="0.2">
      <c r="A485" s="48" t="s">
        <v>8863</v>
      </c>
    </row>
    <row r="486" spans="1:1" x14ac:dyDescent="0.2">
      <c r="A486" s="48" t="s">
        <v>8864</v>
      </c>
    </row>
    <row r="487" spans="1:1" x14ac:dyDescent="0.2">
      <c r="A487" s="48" t="s">
        <v>8865</v>
      </c>
    </row>
    <row r="488" spans="1:1" x14ac:dyDescent="0.2">
      <c r="A488" s="48" t="s">
        <v>8866</v>
      </c>
    </row>
    <row r="489" spans="1:1" x14ac:dyDescent="0.2">
      <c r="A489" s="48" t="s">
        <v>8867</v>
      </c>
    </row>
    <row r="490" spans="1:1" x14ac:dyDescent="0.2">
      <c r="A490" s="48" t="s">
        <v>8868</v>
      </c>
    </row>
    <row r="491" spans="1:1" x14ac:dyDescent="0.2">
      <c r="A491" s="48" t="s">
        <v>8869</v>
      </c>
    </row>
    <row r="492" spans="1:1" x14ac:dyDescent="0.2">
      <c r="A492" s="48" t="s">
        <v>8870</v>
      </c>
    </row>
    <row r="493" spans="1:1" x14ac:dyDescent="0.2">
      <c r="A493" s="48" t="s">
        <v>8871</v>
      </c>
    </row>
    <row r="494" spans="1:1" x14ac:dyDescent="0.2">
      <c r="A494" s="48" t="s">
        <v>8872</v>
      </c>
    </row>
    <row r="495" spans="1:1" x14ac:dyDescent="0.2">
      <c r="A495" s="48" t="s">
        <v>8873</v>
      </c>
    </row>
    <row r="496" spans="1:1" x14ac:dyDescent="0.2">
      <c r="A496" s="48" t="s">
        <v>8874</v>
      </c>
    </row>
    <row r="497" spans="1:1" x14ac:dyDescent="0.2">
      <c r="A497" s="48" t="s">
        <v>8875</v>
      </c>
    </row>
    <row r="498" spans="1:1" x14ac:dyDescent="0.2">
      <c r="A498" s="48" t="s">
        <v>8876</v>
      </c>
    </row>
    <row r="499" spans="1:1" x14ac:dyDescent="0.2">
      <c r="A499" s="48" t="s">
        <v>8877</v>
      </c>
    </row>
    <row r="500" spans="1:1" x14ac:dyDescent="0.2">
      <c r="A500" s="48" t="s">
        <v>8878</v>
      </c>
    </row>
    <row r="501" spans="1:1" x14ac:dyDescent="0.2">
      <c r="A501" s="48" t="s">
        <v>8879</v>
      </c>
    </row>
    <row r="502" spans="1:1" x14ac:dyDescent="0.2">
      <c r="A502" s="48" t="s">
        <v>8880</v>
      </c>
    </row>
    <row r="503" spans="1:1" x14ac:dyDescent="0.2">
      <c r="A503" s="48" t="s">
        <v>8881</v>
      </c>
    </row>
    <row r="504" spans="1:1" x14ac:dyDescent="0.2">
      <c r="A504" s="48" t="s">
        <v>8882</v>
      </c>
    </row>
    <row r="505" spans="1:1" x14ac:dyDescent="0.2">
      <c r="A505" s="48" t="s">
        <v>8883</v>
      </c>
    </row>
    <row r="506" spans="1:1" x14ac:dyDescent="0.2">
      <c r="A506" s="48" t="s">
        <v>8884</v>
      </c>
    </row>
    <row r="507" spans="1:1" x14ac:dyDescent="0.2">
      <c r="A507" s="48" t="s">
        <v>8885</v>
      </c>
    </row>
    <row r="508" spans="1:1" x14ac:dyDescent="0.2">
      <c r="A508" s="48" t="s">
        <v>8886</v>
      </c>
    </row>
    <row r="509" spans="1:1" x14ac:dyDescent="0.2">
      <c r="A509" s="48" t="s">
        <v>8887</v>
      </c>
    </row>
    <row r="510" spans="1:1" x14ac:dyDescent="0.2">
      <c r="A510" s="48" t="s">
        <v>8888</v>
      </c>
    </row>
    <row r="511" spans="1:1" x14ac:dyDescent="0.2">
      <c r="A511" s="48" t="s">
        <v>8889</v>
      </c>
    </row>
    <row r="512" spans="1:1" x14ac:dyDescent="0.2">
      <c r="A512" s="48" t="s">
        <v>8890</v>
      </c>
    </row>
    <row r="513" spans="1:1" x14ac:dyDescent="0.2">
      <c r="A513" s="48" t="s">
        <v>8891</v>
      </c>
    </row>
    <row r="514" spans="1:1" x14ac:dyDescent="0.2">
      <c r="A514" s="48" t="s">
        <v>8892</v>
      </c>
    </row>
    <row r="515" spans="1:1" x14ac:dyDescent="0.2">
      <c r="A515" s="48" t="s">
        <v>8893</v>
      </c>
    </row>
    <row r="516" spans="1:1" x14ac:dyDescent="0.2">
      <c r="A516" s="48" t="s">
        <v>8894</v>
      </c>
    </row>
    <row r="517" spans="1:1" x14ac:dyDescent="0.2">
      <c r="A517" s="48" t="s">
        <v>8895</v>
      </c>
    </row>
    <row r="518" spans="1:1" x14ac:dyDescent="0.2">
      <c r="A518" s="48" t="s">
        <v>8896</v>
      </c>
    </row>
    <row r="519" spans="1:1" x14ac:dyDescent="0.2">
      <c r="A519" s="48" t="s">
        <v>8897</v>
      </c>
    </row>
    <row r="520" spans="1:1" x14ac:dyDescent="0.2">
      <c r="A520" s="48" t="s">
        <v>8898</v>
      </c>
    </row>
    <row r="521" spans="1:1" x14ac:dyDescent="0.2">
      <c r="A521" s="48" t="s">
        <v>8899</v>
      </c>
    </row>
    <row r="522" spans="1:1" x14ac:dyDescent="0.2">
      <c r="A522" s="48" t="s">
        <v>8900</v>
      </c>
    </row>
    <row r="523" spans="1:1" x14ac:dyDescent="0.2">
      <c r="A523" s="48" t="s">
        <v>8901</v>
      </c>
    </row>
    <row r="524" spans="1:1" x14ac:dyDescent="0.2">
      <c r="A524" s="48" t="s">
        <v>8902</v>
      </c>
    </row>
    <row r="525" spans="1:1" x14ac:dyDescent="0.2">
      <c r="A525" s="48" t="s">
        <v>8903</v>
      </c>
    </row>
    <row r="526" spans="1:1" x14ac:dyDescent="0.2">
      <c r="A526" s="48" t="s">
        <v>8904</v>
      </c>
    </row>
    <row r="527" spans="1:1" x14ac:dyDescent="0.2">
      <c r="A527" s="48" t="s">
        <v>8905</v>
      </c>
    </row>
    <row r="528" spans="1:1" x14ac:dyDescent="0.2">
      <c r="A528" s="48" t="s">
        <v>8906</v>
      </c>
    </row>
    <row r="529" spans="1:1" x14ac:dyDescent="0.2">
      <c r="A529" s="48" t="s">
        <v>8907</v>
      </c>
    </row>
    <row r="530" spans="1:1" x14ac:dyDescent="0.2">
      <c r="A530" s="48" t="s">
        <v>8908</v>
      </c>
    </row>
    <row r="531" spans="1:1" x14ac:dyDescent="0.2">
      <c r="A531" s="48" t="s">
        <v>8909</v>
      </c>
    </row>
    <row r="532" spans="1:1" x14ac:dyDescent="0.2">
      <c r="A532" s="48" t="s">
        <v>8910</v>
      </c>
    </row>
    <row r="533" spans="1:1" x14ac:dyDescent="0.2">
      <c r="A533" s="48" t="s">
        <v>8911</v>
      </c>
    </row>
    <row r="534" spans="1:1" x14ac:dyDescent="0.2">
      <c r="A534" s="48" t="s">
        <v>8912</v>
      </c>
    </row>
    <row r="535" spans="1:1" x14ac:dyDescent="0.2">
      <c r="A535" s="48" t="s">
        <v>8913</v>
      </c>
    </row>
    <row r="536" spans="1:1" x14ac:dyDescent="0.2">
      <c r="A536" s="48" t="s">
        <v>8914</v>
      </c>
    </row>
    <row r="537" spans="1:1" x14ac:dyDescent="0.2">
      <c r="A537" s="48" t="s">
        <v>8915</v>
      </c>
    </row>
    <row r="538" spans="1:1" x14ac:dyDescent="0.2">
      <c r="A538" s="48" t="s">
        <v>8916</v>
      </c>
    </row>
    <row r="539" spans="1:1" x14ac:dyDescent="0.2">
      <c r="A539" s="48" t="s">
        <v>8917</v>
      </c>
    </row>
    <row r="540" spans="1:1" x14ac:dyDescent="0.2">
      <c r="A540" s="48" t="s">
        <v>8918</v>
      </c>
    </row>
    <row r="541" spans="1:1" x14ac:dyDescent="0.2">
      <c r="A541" s="48" t="s">
        <v>8919</v>
      </c>
    </row>
    <row r="542" spans="1:1" x14ac:dyDescent="0.2">
      <c r="A542" s="48" t="s">
        <v>8920</v>
      </c>
    </row>
    <row r="543" spans="1:1" x14ac:dyDescent="0.2">
      <c r="A543" s="48" t="s">
        <v>8921</v>
      </c>
    </row>
    <row r="544" spans="1:1" x14ac:dyDescent="0.2">
      <c r="A544" s="48" t="s">
        <v>8922</v>
      </c>
    </row>
    <row r="545" spans="1:1" x14ac:dyDescent="0.2">
      <c r="A545" s="48" t="s">
        <v>8923</v>
      </c>
    </row>
    <row r="546" spans="1:1" x14ac:dyDescent="0.2">
      <c r="A546" s="48" t="s">
        <v>8924</v>
      </c>
    </row>
    <row r="547" spans="1:1" x14ac:dyDescent="0.2">
      <c r="A547" s="48" t="s">
        <v>8925</v>
      </c>
    </row>
    <row r="548" spans="1:1" x14ac:dyDescent="0.2">
      <c r="A548" s="48" t="s">
        <v>8926</v>
      </c>
    </row>
    <row r="549" spans="1:1" x14ac:dyDescent="0.2">
      <c r="A549" s="48" t="s">
        <v>8927</v>
      </c>
    </row>
    <row r="550" spans="1:1" x14ac:dyDescent="0.2">
      <c r="A550" s="48" t="s">
        <v>8928</v>
      </c>
    </row>
    <row r="551" spans="1:1" x14ac:dyDescent="0.2">
      <c r="A551" s="48" t="s">
        <v>8929</v>
      </c>
    </row>
    <row r="552" spans="1:1" x14ac:dyDescent="0.2">
      <c r="A552" s="48" t="s">
        <v>8930</v>
      </c>
    </row>
    <row r="553" spans="1:1" x14ac:dyDescent="0.2">
      <c r="A553" s="48" t="s">
        <v>8931</v>
      </c>
    </row>
    <row r="554" spans="1:1" x14ac:dyDescent="0.2">
      <c r="A554" s="48" t="s">
        <v>8932</v>
      </c>
    </row>
    <row r="555" spans="1:1" x14ac:dyDescent="0.2">
      <c r="A555" s="48" t="s">
        <v>8933</v>
      </c>
    </row>
    <row r="556" spans="1:1" x14ac:dyDescent="0.2">
      <c r="A556" s="48" t="s">
        <v>8934</v>
      </c>
    </row>
    <row r="557" spans="1:1" x14ac:dyDescent="0.2">
      <c r="A557" s="48" t="s">
        <v>8935</v>
      </c>
    </row>
    <row r="558" spans="1:1" x14ac:dyDescent="0.2">
      <c r="A558" s="48" t="s">
        <v>8936</v>
      </c>
    </row>
    <row r="559" spans="1:1" x14ac:dyDescent="0.2">
      <c r="A559" s="48" t="s">
        <v>8937</v>
      </c>
    </row>
    <row r="560" spans="1:1" x14ac:dyDescent="0.2">
      <c r="A560" s="48" t="s">
        <v>8938</v>
      </c>
    </row>
    <row r="561" spans="1:1" x14ac:dyDescent="0.2">
      <c r="A561" s="48" t="s">
        <v>8939</v>
      </c>
    </row>
    <row r="562" spans="1:1" x14ac:dyDescent="0.2">
      <c r="A562" s="48" t="s">
        <v>8940</v>
      </c>
    </row>
    <row r="563" spans="1:1" x14ac:dyDescent="0.2">
      <c r="A563" s="48" t="s">
        <v>8941</v>
      </c>
    </row>
    <row r="564" spans="1:1" x14ac:dyDescent="0.2">
      <c r="A564" s="48" t="s">
        <v>8942</v>
      </c>
    </row>
    <row r="565" spans="1:1" x14ac:dyDescent="0.2">
      <c r="A565" s="48" t="s">
        <v>8943</v>
      </c>
    </row>
    <row r="566" spans="1:1" x14ac:dyDescent="0.2">
      <c r="A566" s="48" t="s">
        <v>8944</v>
      </c>
    </row>
    <row r="567" spans="1:1" x14ac:dyDescent="0.2">
      <c r="A567" s="48" t="s">
        <v>8945</v>
      </c>
    </row>
    <row r="568" spans="1:1" x14ac:dyDescent="0.2">
      <c r="A568" s="48" t="s">
        <v>8946</v>
      </c>
    </row>
    <row r="569" spans="1:1" x14ac:dyDescent="0.2">
      <c r="A569" s="48" t="s">
        <v>8947</v>
      </c>
    </row>
    <row r="570" spans="1:1" x14ac:dyDescent="0.2">
      <c r="A570" s="48" t="s">
        <v>8948</v>
      </c>
    </row>
    <row r="571" spans="1:1" x14ac:dyDescent="0.2">
      <c r="A571" s="48" t="s">
        <v>8949</v>
      </c>
    </row>
    <row r="572" spans="1:1" x14ac:dyDescent="0.2">
      <c r="A572" s="48" t="s">
        <v>8950</v>
      </c>
    </row>
    <row r="573" spans="1:1" x14ac:dyDescent="0.2">
      <c r="A573" s="48" t="s">
        <v>8951</v>
      </c>
    </row>
    <row r="574" spans="1:1" x14ac:dyDescent="0.2">
      <c r="A574" s="48" t="s">
        <v>8952</v>
      </c>
    </row>
    <row r="575" spans="1:1" x14ac:dyDescent="0.2">
      <c r="A575" s="48" t="s">
        <v>8953</v>
      </c>
    </row>
    <row r="576" spans="1:1" x14ac:dyDescent="0.2">
      <c r="A576" s="48" t="s">
        <v>8954</v>
      </c>
    </row>
    <row r="577" spans="1:1" x14ac:dyDescent="0.2">
      <c r="A577" s="48" t="s">
        <v>8955</v>
      </c>
    </row>
    <row r="578" spans="1:1" x14ac:dyDescent="0.2">
      <c r="A578" s="48" t="s">
        <v>8956</v>
      </c>
    </row>
    <row r="579" spans="1:1" x14ac:dyDescent="0.2">
      <c r="A579" s="48" t="s">
        <v>8957</v>
      </c>
    </row>
    <row r="580" spans="1:1" x14ac:dyDescent="0.2">
      <c r="A580" s="48" t="s">
        <v>8958</v>
      </c>
    </row>
    <row r="581" spans="1:1" x14ac:dyDescent="0.2">
      <c r="A581" s="48" t="s">
        <v>8959</v>
      </c>
    </row>
    <row r="582" spans="1:1" x14ac:dyDescent="0.2">
      <c r="A582" s="48" t="s">
        <v>8960</v>
      </c>
    </row>
    <row r="583" spans="1:1" x14ac:dyDescent="0.2">
      <c r="A583" s="48" t="s">
        <v>8961</v>
      </c>
    </row>
    <row r="584" spans="1:1" x14ac:dyDescent="0.2">
      <c r="A584" s="48" t="s">
        <v>8962</v>
      </c>
    </row>
    <row r="585" spans="1:1" x14ac:dyDescent="0.2">
      <c r="A585" s="48" t="s">
        <v>8963</v>
      </c>
    </row>
    <row r="586" spans="1:1" x14ac:dyDescent="0.2">
      <c r="A586" s="48" t="s">
        <v>8964</v>
      </c>
    </row>
    <row r="587" spans="1:1" x14ac:dyDescent="0.2">
      <c r="A587" s="48" t="s">
        <v>8965</v>
      </c>
    </row>
    <row r="588" spans="1:1" x14ac:dyDescent="0.2">
      <c r="A588" s="48" t="s">
        <v>8966</v>
      </c>
    </row>
    <row r="589" spans="1:1" x14ac:dyDescent="0.2">
      <c r="A589" s="48" t="s">
        <v>8967</v>
      </c>
    </row>
    <row r="590" spans="1:1" x14ac:dyDescent="0.2">
      <c r="A590" s="48" t="s">
        <v>8968</v>
      </c>
    </row>
    <row r="591" spans="1:1" x14ac:dyDescent="0.2">
      <c r="A591" s="48" t="s">
        <v>8969</v>
      </c>
    </row>
    <row r="592" spans="1:1" x14ac:dyDescent="0.2">
      <c r="A592" s="48" t="s">
        <v>8970</v>
      </c>
    </row>
    <row r="593" spans="1:1" x14ac:dyDescent="0.2">
      <c r="A593" s="48" t="s">
        <v>8971</v>
      </c>
    </row>
    <row r="594" spans="1:1" x14ac:dyDescent="0.2">
      <c r="A594" s="48" t="s">
        <v>8972</v>
      </c>
    </row>
    <row r="595" spans="1:1" x14ac:dyDescent="0.2">
      <c r="A595" s="48" t="s">
        <v>8973</v>
      </c>
    </row>
    <row r="596" spans="1:1" x14ac:dyDescent="0.2">
      <c r="A596" s="48" t="s">
        <v>8974</v>
      </c>
    </row>
    <row r="597" spans="1:1" x14ac:dyDescent="0.2">
      <c r="A597" s="48" t="s">
        <v>8975</v>
      </c>
    </row>
    <row r="598" spans="1:1" x14ac:dyDescent="0.2">
      <c r="A598" s="48" t="s">
        <v>8976</v>
      </c>
    </row>
    <row r="599" spans="1:1" x14ac:dyDescent="0.2">
      <c r="A599" s="48" t="s">
        <v>8977</v>
      </c>
    </row>
    <row r="600" spans="1:1" x14ac:dyDescent="0.2">
      <c r="A600" s="48" t="s">
        <v>8978</v>
      </c>
    </row>
    <row r="601" spans="1:1" x14ac:dyDescent="0.2">
      <c r="A601" s="48" t="s">
        <v>8979</v>
      </c>
    </row>
    <row r="602" spans="1:1" x14ac:dyDescent="0.2">
      <c r="A602" s="48" t="s">
        <v>8980</v>
      </c>
    </row>
    <row r="603" spans="1:1" x14ac:dyDescent="0.2">
      <c r="A603" s="48" t="s">
        <v>8981</v>
      </c>
    </row>
    <row r="604" spans="1:1" x14ac:dyDescent="0.2">
      <c r="A604" s="48" t="s">
        <v>8982</v>
      </c>
    </row>
    <row r="605" spans="1:1" x14ac:dyDescent="0.2">
      <c r="A605" s="48" t="s">
        <v>8983</v>
      </c>
    </row>
    <row r="606" spans="1:1" x14ac:dyDescent="0.2">
      <c r="A606" s="48" t="s">
        <v>8984</v>
      </c>
    </row>
    <row r="607" spans="1:1" x14ac:dyDescent="0.2">
      <c r="A607" s="48" t="s">
        <v>8985</v>
      </c>
    </row>
    <row r="608" spans="1:1" x14ac:dyDescent="0.2">
      <c r="A608" s="48" t="s">
        <v>8986</v>
      </c>
    </row>
    <row r="609" spans="1:1" x14ac:dyDescent="0.2">
      <c r="A609" s="48" t="s">
        <v>8987</v>
      </c>
    </row>
    <row r="610" spans="1:1" x14ac:dyDescent="0.2">
      <c r="A610" s="48" t="s">
        <v>8988</v>
      </c>
    </row>
    <row r="611" spans="1:1" x14ac:dyDescent="0.2">
      <c r="A611" s="48" t="s">
        <v>8989</v>
      </c>
    </row>
    <row r="612" spans="1:1" x14ac:dyDescent="0.2">
      <c r="A612" s="48" t="s">
        <v>8990</v>
      </c>
    </row>
    <row r="613" spans="1:1" x14ac:dyDescent="0.2">
      <c r="A613" s="48" t="s">
        <v>8991</v>
      </c>
    </row>
    <row r="614" spans="1:1" x14ac:dyDescent="0.2">
      <c r="A614" s="48" t="s">
        <v>8992</v>
      </c>
    </row>
    <row r="615" spans="1:1" x14ac:dyDescent="0.2">
      <c r="A615" s="48" t="s">
        <v>8993</v>
      </c>
    </row>
    <row r="616" spans="1:1" x14ac:dyDescent="0.2">
      <c r="A616" s="48" t="s">
        <v>8994</v>
      </c>
    </row>
    <row r="617" spans="1:1" x14ac:dyDescent="0.2">
      <c r="A617" s="48" t="s">
        <v>8995</v>
      </c>
    </row>
    <row r="618" spans="1:1" x14ac:dyDescent="0.2">
      <c r="A618" s="48" t="s">
        <v>8996</v>
      </c>
    </row>
    <row r="619" spans="1:1" x14ac:dyDescent="0.2">
      <c r="A619" s="48" t="s">
        <v>8997</v>
      </c>
    </row>
    <row r="620" spans="1:1" x14ac:dyDescent="0.2">
      <c r="A620" s="48" t="s">
        <v>8998</v>
      </c>
    </row>
    <row r="621" spans="1:1" x14ac:dyDescent="0.2">
      <c r="A621" s="48" t="s">
        <v>8999</v>
      </c>
    </row>
    <row r="622" spans="1:1" x14ac:dyDescent="0.2">
      <c r="A622" s="48" t="s">
        <v>9000</v>
      </c>
    </row>
    <row r="623" spans="1:1" x14ac:dyDescent="0.2">
      <c r="A623" s="48" t="s">
        <v>9001</v>
      </c>
    </row>
    <row r="624" spans="1:1" x14ac:dyDescent="0.2">
      <c r="A624" s="48" t="s">
        <v>9002</v>
      </c>
    </row>
    <row r="625" spans="1:1" x14ac:dyDescent="0.2">
      <c r="A625" s="48" t="s">
        <v>9003</v>
      </c>
    </row>
    <row r="626" spans="1:1" x14ac:dyDescent="0.2">
      <c r="A626" s="48" t="s">
        <v>9004</v>
      </c>
    </row>
    <row r="627" spans="1:1" x14ac:dyDescent="0.2">
      <c r="A627" s="48" t="s">
        <v>9005</v>
      </c>
    </row>
    <row r="628" spans="1:1" x14ac:dyDescent="0.2">
      <c r="A628" s="48" t="s">
        <v>9006</v>
      </c>
    </row>
    <row r="629" spans="1:1" x14ac:dyDescent="0.2">
      <c r="A629" s="48" t="s">
        <v>9007</v>
      </c>
    </row>
    <row r="630" spans="1:1" x14ac:dyDescent="0.2">
      <c r="A630" s="48" t="s">
        <v>9008</v>
      </c>
    </row>
    <row r="631" spans="1:1" x14ac:dyDescent="0.2">
      <c r="A631" s="48" t="s">
        <v>9009</v>
      </c>
    </row>
    <row r="632" spans="1:1" x14ac:dyDescent="0.2">
      <c r="A632" s="48" t="s">
        <v>9010</v>
      </c>
    </row>
    <row r="633" spans="1:1" x14ac:dyDescent="0.2">
      <c r="A633" s="48" t="s">
        <v>9011</v>
      </c>
    </row>
    <row r="634" spans="1:1" x14ac:dyDescent="0.2">
      <c r="A634" s="48" t="s">
        <v>9012</v>
      </c>
    </row>
    <row r="635" spans="1:1" x14ac:dyDescent="0.2">
      <c r="A635" s="48" t="s">
        <v>9013</v>
      </c>
    </row>
    <row r="636" spans="1:1" x14ac:dyDescent="0.2">
      <c r="A636" s="48" t="s">
        <v>9014</v>
      </c>
    </row>
    <row r="637" spans="1:1" x14ac:dyDescent="0.2">
      <c r="A637" s="48" t="s">
        <v>9015</v>
      </c>
    </row>
    <row r="638" spans="1:1" x14ac:dyDescent="0.2">
      <c r="A638" s="48" t="s">
        <v>9016</v>
      </c>
    </row>
    <row r="639" spans="1:1" x14ac:dyDescent="0.2">
      <c r="A639" s="48" t="s">
        <v>9017</v>
      </c>
    </row>
    <row r="640" spans="1:1" x14ac:dyDescent="0.2">
      <c r="A640" s="48" t="s">
        <v>9018</v>
      </c>
    </row>
    <row r="641" spans="1:1" x14ac:dyDescent="0.2">
      <c r="A641" s="48" t="s">
        <v>9019</v>
      </c>
    </row>
    <row r="642" spans="1:1" x14ac:dyDescent="0.2">
      <c r="A642" s="48" t="s">
        <v>9020</v>
      </c>
    </row>
    <row r="643" spans="1:1" x14ac:dyDescent="0.2">
      <c r="A643" s="48" t="s">
        <v>9021</v>
      </c>
    </row>
    <row r="644" spans="1:1" x14ac:dyDescent="0.2">
      <c r="A644" s="48" t="s">
        <v>9022</v>
      </c>
    </row>
    <row r="645" spans="1:1" x14ac:dyDescent="0.2">
      <c r="A645" s="48" t="s">
        <v>9023</v>
      </c>
    </row>
    <row r="646" spans="1:1" x14ac:dyDescent="0.2">
      <c r="A646" s="48" t="s">
        <v>9024</v>
      </c>
    </row>
    <row r="647" spans="1:1" x14ac:dyDescent="0.2">
      <c r="A647" s="48" t="s">
        <v>9025</v>
      </c>
    </row>
    <row r="648" spans="1:1" x14ac:dyDescent="0.2">
      <c r="A648" s="48" t="s">
        <v>9026</v>
      </c>
    </row>
    <row r="649" spans="1:1" x14ac:dyDescent="0.2">
      <c r="A649" s="48" t="s">
        <v>9027</v>
      </c>
    </row>
    <row r="650" spans="1:1" x14ac:dyDescent="0.2">
      <c r="A650" s="48" t="s">
        <v>9028</v>
      </c>
    </row>
    <row r="651" spans="1:1" x14ac:dyDescent="0.2">
      <c r="A651" s="48" t="s">
        <v>9029</v>
      </c>
    </row>
    <row r="652" spans="1:1" x14ac:dyDescent="0.2">
      <c r="A652" s="48" t="s">
        <v>9030</v>
      </c>
    </row>
    <row r="653" spans="1:1" x14ac:dyDescent="0.2">
      <c r="A653" s="48" t="s">
        <v>9031</v>
      </c>
    </row>
    <row r="654" spans="1:1" x14ac:dyDescent="0.2">
      <c r="A654" s="48" t="s">
        <v>9032</v>
      </c>
    </row>
    <row r="655" spans="1:1" x14ac:dyDescent="0.2">
      <c r="A655" s="48" t="s">
        <v>9033</v>
      </c>
    </row>
    <row r="656" spans="1:1" x14ac:dyDescent="0.2">
      <c r="A656" s="48" t="s">
        <v>9034</v>
      </c>
    </row>
    <row r="657" spans="1:1" x14ac:dyDescent="0.2">
      <c r="A657" s="48" t="s">
        <v>9035</v>
      </c>
    </row>
    <row r="658" spans="1:1" x14ac:dyDescent="0.2">
      <c r="A658" s="48" t="s">
        <v>9036</v>
      </c>
    </row>
    <row r="659" spans="1:1" x14ac:dyDescent="0.2">
      <c r="A659" s="48" t="s">
        <v>9037</v>
      </c>
    </row>
    <row r="660" spans="1:1" x14ac:dyDescent="0.2">
      <c r="A660" s="48" t="s">
        <v>9038</v>
      </c>
    </row>
    <row r="661" spans="1:1" x14ac:dyDescent="0.2">
      <c r="A661" s="48" t="s">
        <v>9039</v>
      </c>
    </row>
    <row r="662" spans="1:1" x14ac:dyDescent="0.2">
      <c r="A662" s="48" t="s">
        <v>9040</v>
      </c>
    </row>
    <row r="663" spans="1:1" x14ac:dyDescent="0.2">
      <c r="A663" s="48" t="s">
        <v>9041</v>
      </c>
    </row>
    <row r="664" spans="1:1" x14ac:dyDescent="0.2">
      <c r="A664" s="48" t="s">
        <v>9042</v>
      </c>
    </row>
    <row r="665" spans="1:1" x14ac:dyDescent="0.2">
      <c r="A665" s="48" t="s">
        <v>9043</v>
      </c>
    </row>
    <row r="666" spans="1:1" x14ac:dyDescent="0.2">
      <c r="A666" s="48" t="s">
        <v>9044</v>
      </c>
    </row>
    <row r="667" spans="1:1" x14ac:dyDescent="0.2">
      <c r="A667" s="48" t="s">
        <v>9045</v>
      </c>
    </row>
    <row r="668" spans="1:1" x14ac:dyDescent="0.2">
      <c r="A668" s="48" t="s">
        <v>9046</v>
      </c>
    </row>
    <row r="669" spans="1:1" x14ac:dyDescent="0.2">
      <c r="A669" s="48" t="s">
        <v>9047</v>
      </c>
    </row>
    <row r="670" spans="1:1" x14ac:dyDescent="0.2">
      <c r="A670" s="48" t="s">
        <v>9048</v>
      </c>
    </row>
    <row r="671" spans="1:1" x14ac:dyDescent="0.2">
      <c r="A671" s="48" t="s">
        <v>9049</v>
      </c>
    </row>
    <row r="672" spans="1:1" x14ac:dyDescent="0.2">
      <c r="A672" s="48" t="s">
        <v>9050</v>
      </c>
    </row>
    <row r="673" spans="1:1" x14ac:dyDescent="0.2">
      <c r="A673" s="48" t="s">
        <v>9051</v>
      </c>
    </row>
    <row r="674" spans="1:1" x14ac:dyDescent="0.2">
      <c r="A674" s="48" t="s">
        <v>9052</v>
      </c>
    </row>
    <row r="675" spans="1:1" x14ac:dyDescent="0.2">
      <c r="A675" s="48" t="s">
        <v>9053</v>
      </c>
    </row>
    <row r="676" spans="1:1" x14ac:dyDescent="0.2">
      <c r="A676" s="48" t="s">
        <v>9054</v>
      </c>
    </row>
    <row r="677" spans="1:1" x14ac:dyDescent="0.2">
      <c r="A677" s="48" t="s">
        <v>9055</v>
      </c>
    </row>
    <row r="678" spans="1:1" x14ac:dyDescent="0.2">
      <c r="A678" s="48" t="s">
        <v>9056</v>
      </c>
    </row>
    <row r="679" spans="1:1" x14ac:dyDescent="0.2">
      <c r="A679" s="48" t="s">
        <v>9057</v>
      </c>
    </row>
    <row r="680" spans="1:1" x14ac:dyDescent="0.2">
      <c r="A680" s="48" t="s">
        <v>9058</v>
      </c>
    </row>
    <row r="681" spans="1:1" x14ac:dyDescent="0.2">
      <c r="A681" s="48" t="s">
        <v>9059</v>
      </c>
    </row>
    <row r="682" spans="1:1" x14ac:dyDescent="0.2">
      <c r="A682" s="48" t="s">
        <v>9060</v>
      </c>
    </row>
    <row r="683" spans="1:1" x14ac:dyDescent="0.2">
      <c r="A683" s="48" t="s">
        <v>9061</v>
      </c>
    </row>
    <row r="684" spans="1:1" x14ac:dyDescent="0.2">
      <c r="A684" s="48" t="s">
        <v>9062</v>
      </c>
    </row>
    <row r="685" spans="1:1" x14ac:dyDescent="0.2">
      <c r="A685" s="48" t="s">
        <v>9063</v>
      </c>
    </row>
    <row r="686" spans="1:1" x14ac:dyDescent="0.2">
      <c r="A686" s="48" t="s">
        <v>9064</v>
      </c>
    </row>
    <row r="687" spans="1:1" x14ac:dyDescent="0.2">
      <c r="A687" s="48" t="s">
        <v>9065</v>
      </c>
    </row>
    <row r="688" spans="1:1" x14ac:dyDescent="0.2">
      <c r="A688" s="48" t="s">
        <v>9066</v>
      </c>
    </row>
    <row r="689" spans="1:1" x14ac:dyDescent="0.2">
      <c r="A689" s="48" t="s">
        <v>9067</v>
      </c>
    </row>
    <row r="690" spans="1:1" x14ac:dyDescent="0.2">
      <c r="A690" s="48" t="s">
        <v>9068</v>
      </c>
    </row>
    <row r="691" spans="1:1" x14ac:dyDescent="0.2">
      <c r="A691" s="48" t="s">
        <v>9069</v>
      </c>
    </row>
    <row r="692" spans="1:1" x14ac:dyDescent="0.2">
      <c r="A692" s="48" t="s">
        <v>9070</v>
      </c>
    </row>
    <row r="693" spans="1:1" x14ac:dyDescent="0.2">
      <c r="A693" s="48" t="s">
        <v>9071</v>
      </c>
    </row>
    <row r="694" spans="1:1" x14ac:dyDescent="0.2">
      <c r="A694" s="48" t="s">
        <v>9072</v>
      </c>
    </row>
    <row r="695" spans="1:1" x14ac:dyDescent="0.2">
      <c r="A695" s="48" t="s">
        <v>9073</v>
      </c>
    </row>
    <row r="696" spans="1:1" x14ac:dyDescent="0.2">
      <c r="A696" s="48" t="s">
        <v>9074</v>
      </c>
    </row>
    <row r="697" spans="1:1" x14ac:dyDescent="0.2">
      <c r="A697" s="48" t="s">
        <v>9075</v>
      </c>
    </row>
    <row r="698" spans="1:1" x14ac:dyDescent="0.2">
      <c r="A698" s="48" t="s">
        <v>9076</v>
      </c>
    </row>
    <row r="699" spans="1:1" x14ac:dyDescent="0.2">
      <c r="A699" s="48" t="s">
        <v>9077</v>
      </c>
    </row>
    <row r="700" spans="1:1" x14ac:dyDescent="0.2">
      <c r="A700" s="48" t="s">
        <v>9078</v>
      </c>
    </row>
    <row r="701" spans="1:1" x14ac:dyDescent="0.2">
      <c r="A701" s="48" t="s">
        <v>9079</v>
      </c>
    </row>
    <row r="702" spans="1:1" x14ac:dyDescent="0.2">
      <c r="A702" s="48" t="s">
        <v>9080</v>
      </c>
    </row>
    <row r="703" spans="1:1" x14ac:dyDescent="0.2">
      <c r="A703" s="48" t="s">
        <v>9081</v>
      </c>
    </row>
    <row r="704" spans="1:1" x14ac:dyDescent="0.2">
      <c r="A704" s="48" t="s">
        <v>9082</v>
      </c>
    </row>
    <row r="705" spans="1:1" x14ac:dyDescent="0.2">
      <c r="A705" s="48" t="s">
        <v>9083</v>
      </c>
    </row>
    <row r="706" spans="1:1" x14ac:dyDescent="0.2">
      <c r="A706" s="48" t="s">
        <v>9084</v>
      </c>
    </row>
    <row r="707" spans="1:1" x14ac:dyDescent="0.2">
      <c r="A707" s="48" t="s">
        <v>9085</v>
      </c>
    </row>
    <row r="708" spans="1:1" x14ac:dyDescent="0.2">
      <c r="A708" s="48" t="s">
        <v>9086</v>
      </c>
    </row>
    <row r="709" spans="1:1" x14ac:dyDescent="0.2">
      <c r="A709" s="48" t="s">
        <v>9087</v>
      </c>
    </row>
    <row r="710" spans="1:1" x14ac:dyDescent="0.2">
      <c r="A710" s="48" t="s">
        <v>9088</v>
      </c>
    </row>
    <row r="711" spans="1:1" x14ac:dyDescent="0.2">
      <c r="A711" s="48" t="s">
        <v>9089</v>
      </c>
    </row>
    <row r="712" spans="1:1" x14ac:dyDescent="0.2">
      <c r="A712" s="48" t="s">
        <v>9090</v>
      </c>
    </row>
    <row r="713" spans="1:1" x14ac:dyDescent="0.2">
      <c r="A713" s="48" t="s">
        <v>9091</v>
      </c>
    </row>
    <row r="714" spans="1:1" x14ac:dyDescent="0.2">
      <c r="A714" s="48" t="s">
        <v>9092</v>
      </c>
    </row>
    <row r="715" spans="1:1" x14ac:dyDescent="0.2">
      <c r="A715" s="48" t="s">
        <v>9093</v>
      </c>
    </row>
    <row r="716" spans="1:1" x14ac:dyDescent="0.2">
      <c r="A716" s="48" t="s">
        <v>9094</v>
      </c>
    </row>
    <row r="717" spans="1:1" x14ac:dyDescent="0.2">
      <c r="A717" s="48" t="s">
        <v>9095</v>
      </c>
    </row>
    <row r="718" spans="1:1" x14ac:dyDescent="0.2">
      <c r="A718" s="48" t="s">
        <v>9096</v>
      </c>
    </row>
    <row r="719" spans="1:1" x14ac:dyDescent="0.2">
      <c r="A719" s="48" t="s">
        <v>9097</v>
      </c>
    </row>
    <row r="720" spans="1:1" x14ac:dyDescent="0.2">
      <c r="A720" s="48" t="s">
        <v>9098</v>
      </c>
    </row>
    <row r="721" spans="1:1" x14ac:dyDescent="0.2">
      <c r="A721" s="48" t="s">
        <v>9099</v>
      </c>
    </row>
    <row r="722" spans="1:1" x14ac:dyDescent="0.2">
      <c r="A722" s="48" t="s">
        <v>9100</v>
      </c>
    </row>
    <row r="723" spans="1:1" x14ac:dyDescent="0.2">
      <c r="A723" s="48" t="s">
        <v>9101</v>
      </c>
    </row>
    <row r="724" spans="1:1" x14ac:dyDescent="0.2">
      <c r="A724" s="48" t="s">
        <v>9102</v>
      </c>
    </row>
    <row r="725" spans="1:1" x14ac:dyDescent="0.2">
      <c r="A725" s="48" t="s">
        <v>9103</v>
      </c>
    </row>
    <row r="726" spans="1:1" x14ac:dyDescent="0.2">
      <c r="A726" s="48" t="s">
        <v>9104</v>
      </c>
    </row>
    <row r="727" spans="1:1" x14ac:dyDescent="0.2">
      <c r="A727" s="48" t="s">
        <v>9105</v>
      </c>
    </row>
    <row r="728" spans="1:1" x14ac:dyDescent="0.2">
      <c r="A728" s="48" t="s">
        <v>9106</v>
      </c>
    </row>
    <row r="729" spans="1:1" x14ac:dyDescent="0.2">
      <c r="A729" s="48" t="s">
        <v>9107</v>
      </c>
    </row>
    <row r="730" spans="1:1" x14ac:dyDescent="0.2">
      <c r="A730" s="48" t="s">
        <v>9108</v>
      </c>
    </row>
    <row r="731" spans="1:1" x14ac:dyDescent="0.2">
      <c r="A731" s="48" t="s">
        <v>9109</v>
      </c>
    </row>
    <row r="732" spans="1:1" x14ac:dyDescent="0.2">
      <c r="A732" s="48" t="s">
        <v>9110</v>
      </c>
    </row>
    <row r="733" spans="1:1" x14ac:dyDescent="0.2">
      <c r="A733" s="48" t="s">
        <v>9111</v>
      </c>
    </row>
    <row r="734" spans="1:1" x14ac:dyDescent="0.2">
      <c r="A734" s="48" t="s">
        <v>9112</v>
      </c>
    </row>
    <row r="735" spans="1:1" x14ac:dyDescent="0.2">
      <c r="A735" s="48" t="s">
        <v>9113</v>
      </c>
    </row>
    <row r="736" spans="1:1" x14ac:dyDescent="0.2">
      <c r="A736" s="48" t="s">
        <v>9114</v>
      </c>
    </row>
    <row r="737" spans="1:1" x14ac:dyDescent="0.2">
      <c r="A737" s="48" t="s">
        <v>9115</v>
      </c>
    </row>
    <row r="738" spans="1:1" x14ac:dyDescent="0.2">
      <c r="A738" s="48" t="s">
        <v>9116</v>
      </c>
    </row>
    <row r="739" spans="1:1" x14ac:dyDescent="0.2">
      <c r="A739" s="48" t="s">
        <v>9117</v>
      </c>
    </row>
    <row r="740" spans="1:1" x14ac:dyDescent="0.2">
      <c r="A740" s="48" t="s">
        <v>9118</v>
      </c>
    </row>
    <row r="741" spans="1:1" x14ac:dyDescent="0.2">
      <c r="A741" s="48" t="s">
        <v>9119</v>
      </c>
    </row>
    <row r="742" spans="1:1" x14ac:dyDescent="0.2">
      <c r="A742" s="48" t="s">
        <v>9120</v>
      </c>
    </row>
    <row r="743" spans="1:1" x14ac:dyDescent="0.2">
      <c r="A743" s="48" t="s">
        <v>9121</v>
      </c>
    </row>
    <row r="744" spans="1:1" x14ac:dyDescent="0.2">
      <c r="A744" s="48" t="s">
        <v>9122</v>
      </c>
    </row>
    <row r="745" spans="1:1" x14ac:dyDescent="0.2">
      <c r="A745" s="48" t="s">
        <v>9123</v>
      </c>
    </row>
    <row r="746" spans="1:1" x14ac:dyDescent="0.2">
      <c r="A746" s="48" t="s">
        <v>9124</v>
      </c>
    </row>
    <row r="747" spans="1:1" x14ac:dyDescent="0.2">
      <c r="A747" s="49" t="s">
        <v>9125</v>
      </c>
    </row>
    <row r="748" spans="1:1" x14ac:dyDescent="0.2">
      <c r="A748" s="49" t="s">
        <v>9126</v>
      </c>
    </row>
    <row r="749" spans="1:1" s="2" customFormat="1" x14ac:dyDescent="0.2">
      <c r="A749" s="49" t="s">
        <v>9127</v>
      </c>
    </row>
    <row r="750" spans="1:1" x14ac:dyDescent="0.2">
      <c r="A750" s="48" t="s">
        <v>9128</v>
      </c>
    </row>
    <row r="751" spans="1:1" x14ac:dyDescent="0.2">
      <c r="A751" s="48" t="s">
        <v>9129</v>
      </c>
    </row>
    <row r="752" spans="1:1" x14ac:dyDescent="0.2">
      <c r="A752" s="48" t="s">
        <v>9130</v>
      </c>
    </row>
    <row r="753" spans="1:1" x14ac:dyDescent="0.2">
      <c r="A753" s="48" t="s">
        <v>9131</v>
      </c>
    </row>
    <row r="754" spans="1:1" x14ac:dyDescent="0.2">
      <c r="A754" s="48" t="s">
        <v>9132</v>
      </c>
    </row>
    <row r="755" spans="1:1" x14ac:dyDescent="0.2">
      <c r="A755" s="48" t="s">
        <v>9133</v>
      </c>
    </row>
    <row r="756" spans="1:1" x14ac:dyDescent="0.2">
      <c r="A756" s="1" t="s">
        <v>9134</v>
      </c>
    </row>
    <row r="757" spans="1:1" x14ac:dyDescent="0.2">
      <c r="A757" s="48" t="s">
        <v>9135</v>
      </c>
    </row>
    <row r="758" spans="1:1" x14ac:dyDescent="0.2">
      <c r="A758" s="48" t="s">
        <v>9136</v>
      </c>
    </row>
    <row r="759" spans="1:1" x14ac:dyDescent="0.2">
      <c r="A759" s="49" t="s">
        <v>9137</v>
      </c>
    </row>
    <row r="760" spans="1:1" x14ac:dyDescent="0.2">
      <c r="A760" s="48" t="s">
        <v>9138</v>
      </c>
    </row>
    <row r="761" spans="1:1" x14ac:dyDescent="0.2">
      <c r="A761" s="48" t="s">
        <v>9139</v>
      </c>
    </row>
    <row r="762" spans="1:1" x14ac:dyDescent="0.2">
      <c r="A762" s="48" t="s">
        <v>9140</v>
      </c>
    </row>
    <row r="763" spans="1:1" x14ac:dyDescent="0.2">
      <c r="A763" s="48" t="s">
        <v>9141</v>
      </c>
    </row>
    <row r="764" spans="1:1" x14ac:dyDescent="0.2">
      <c r="A764" s="48" t="s">
        <v>9142</v>
      </c>
    </row>
    <row r="765" spans="1:1" x14ac:dyDescent="0.2">
      <c r="A765" s="48" t="s">
        <v>9143</v>
      </c>
    </row>
    <row r="766" spans="1:1" x14ac:dyDescent="0.2">
      <c r="A766" s="48" t="s">
        <v>9144</v>
      </c>
    </row>
    <row r="767" spans="1:1" x14ac:dyDescent="0.2">
      <c r="A767" s="48" t="s">
        <v>9145</v>
      </c>
    </row>
    <row r="768" spans="1:1" x14ac:dyDescent="0.2">
      <c r="A768" s="48" t="s">
        <v>9146</v>
      </c>
    </row>
    <row r="769" spans="1:1" x14ac:dyDescent="0.2">
      <c r="A769" s="48" t="s">
        <v>9147</v>
      </c>
    </row>
    <row r="770" spans="1:1" x14ac:dyDescent="0.2">
      <c r="A770" s="48" t="s">
        <v>9148</v>
      </c>
    </row>
    <row r="771" spans="1:1" x14ac:dyDescent="0.2">
      <c r="A771" s="48" t="s">
        <v>9149</v>
      </c>
    </row>
    <row r="772" spans="1:1" x14ac:dyDescent="0.2">
      <c r="A772" s="48" t="s">
        <v>9150</v>
      </c>
    </row>
    <row r="773" spans="1:1" x14ac:dyDescent="0.2">
      <c r="A773" s="48" t="s">
        <v>9151</v>
      </c>
    </row>
    <row r="774" spans="1:1" x14ac:dyDescent="0.2">
      <c r="A774" s="48" t="s">
        <v>9152</v>
      </c>
    </row>
    <row r="775" spans="1:1" x14ac:dyDescent="0.2">
      <c r="A775" s="48" t="s">
        <v>9153</v>
      </c>
    </row>
    <row r="776" spans="1:1" x14ac:dyDescent="0.2">
      <c r="A776" s="48" t="s">
        <v>9154</v>
      </c>
    </row>
    <row r="777" spans="1:1" x14ac:dyDescent="0.2">
      <c r="A777" s="48" t="s">
        <v>9155</v>
      </c>
    </row>
    <row r="778" spans="1:1" x14ac:dyDescent="0.2">
      <c r="A778" s="48" t="s">
        <v>9156</v>
      </c>
    </row>
    <row r="779" spans="1:1" x14ac:dyDescent="0.2">
      <c r="A779" s="48" t="s">
        <v>9157</v>
      </c>
    </row>
    <row r="780" spans="1:1" x14ac:dyDescent="0.2">
      <c r="A780" s="48" t="s">
        <v>9158</v>
      </c>
    </row>
    <row r="781" spans="1:1" x14ac:dyDescent="0.2">
      <c r="A781" s="48" t="s">
        <v>9159</v>
      </c>
    </row>
    <row r="782" spans="1:1" x14ac:dyDescent="0.2">
      <c r="A782" s="48" t="s">
        <v>9160</v>
      </c>
    </row>
    <row r="783" spans="1:1" x14ac:dyDescent="0.2">
      <c r="A783" s="48" t="s">
        <v>9161</v>
      </c>
    </row>
    <row r="784" spans="1:1" x14ac:dyDescent="0.2">
      <c r="A784" s="48" t="s">
        <v>9162</v>
      </c>
    </row>
    <row r="785" spans="1:1" x14ac:dyDescent="0.2">
      <c r="A785" s="48" t="s">
        <v>9163</v>
      </c>
    </row>
    <row r="786" spans="1:1" x14ac:dyDescent="0.2">
      <c r="A786" s="48" t="s">
        <v>9164</v>
      </c>
    </row>
    <row r="787" spans="1:1" x14ac:dyDescent="0.2">
      <c r="A787" s="48" t="s">
        <v>9165</v>
      </c>
    </row>
    <row r="788" spans="1:1" x14ac:dyDescent="0.2">
      <c r="A788" s="48" t="s">
        <v>9166</v>
      </c>
    </row>
    <row r="789" spans="1:1" x14ac:dyDescent="0.2">
      <c r="A789" s="48" t="s">
        <v>9167</v>
      </c>
    </row>
    <row r="790" spans="1:1" x14ac:dyDescent="0.2">
      <c r="A790" s="48" t="s">
        <v>9168</v>
      </c>
    </row>
    <row r="791" spans="1:1" x14ac:dyDescent="0.2">
      <c r="A791" s="48" t="s">
        <v>9169</v>
      </c>
    </row>
    <row r="792" spans="1:1" x14ac:dyDescent="0.2">
      <c r="A792" s="48" t="s">
        <v>9170</v>
      </c>
    </row>
    <row r="793" spans="1:1" x14ac:dyDescent="0.2">
      <c r="A793" s="48" t="s">
        <v>9171</v>
      </c>
    </row>
    <row r="794" spans="1:1" x14ac:dyDescent="0.2">
      <c r="A794" s="48" t="s">
        <v>9172</v>
      </c>
    </row>
    <row r="795" spans="1:1" x14ac:dyDescent="0.2">
      <c r="A795" s="48" t="s">
        <v>9173</v>
      </c>
    </row>
    <row r="796" spans="1:1" x14ac:dyDescent="0.2">
      <c r="A796" s="48" t="s">
        <v>9174</v>
      </c>
    </row>
    <row r="797" spans="1:1" x14ac:dyDescent="0.2">
      <c r="A797" s="48" t="s">
        <v>9175</v>
      </c>
    </row>
    <row r="798" spans="1:1" x14ac:dyDescent="0.2">
      <c r="A798" s="48" t="s">
        <v>9176</v>
      </c>
    </row>
    <row r="799" spans="1:1" x14ac:dyDescent="0.2">
      <c r="A799" s="48" t="s">
        <v>9177</v>
      </c>
    </row>
    <row r="800" spans="1:1" x14ac:dyDescent="0.2">
      <c r="A800" s="48" t="s">
        <v>9178</v>
      </c>
    </row>
    <row r="801" spans="1:1" x14ac:dyDescent="0.2">
      <c r="A801" s="48" t="s">
        <v>9179</v>
      </c>
    </row>
    <row r="802" spans="1:1" x14ac:dyDescent="0.2">
      <c r="A802" s="48" t="s">
        <v>9180</v>
      </c>
    </row>
    <row r="803" spans="1:1" x14ac:dyDescent="0.2">
      <c r="A803" s="48" t="s">
        <v>9181</v>
      </c>
    </row>
    <row r="804" spans="1:1" x14ac:dyDescent="0.2">
      <c r="A804" s="48" t="s">
        <v>9182</v>
      </c>
    </row>
    <row r="805" spans="1:1" x14ac:dyDescent="0.2">
      <c r="A805" s="48" t="s">
        <v>9183</v>
      </c>
    </row>
    <row r="806" spans="1:1" x14ac:dyDescent="0.2">
      <c r="A806" s="48" t="s">
        <v>9184</v>
      </c>
    </row>
    <row r="807" spans="1:1" x14ac:dyDescent="0.2">
      <c r="A807" s="48" t="s">
        <v>9185</v>
      </c>
    </row>
    <row r="808" spans="1:1" x14ac:dyDescent="0.2">
      <c r="A808" s="48" t="s">
        <v>9186</v>
      </c>
    </row>
    <row r="809" spans="1:1" x14ac:dyDescent="0.2">
      <c r="A809" s="48" t="s">
        <v>9187</v>
      </c>
    </row>
    <row r="810" spans="1:1" x14ac:dyDescent="0.2">
      <c r="A810" s="48" t="s">
        <v>9188</v>
      </c>
    </row>
    <row r="811" spans="1:1" x14ac:dyDescent="0.2">
      <c r="A811" s="48" t="s">
        <v>9189</v>
      </c>
    </row>
    <row r="812" spans="1:1" x14ac:dyDescent="0.2">
      <c r="A812" s="48" t="s">
        <v>9190</v>
      </c>
    </row>
    <row r="813" spans="1:1" x14ac:dyDescent="0.2">
      <c r="A813" s="48" t="s">
        <v>9191</v>
      </c>
    </row>
    <row r="814" spans="1:1" x14ac:dyDescent="0.2">
      <c r="A814" s="48" t="s">
        <v>9192</v>
      </c>
    </row>
    <row r="815" spans="1:1" x14ac:dyDescent="0.2">
      <c r="A815" s="48" t="s">
        <v>9193</v>
      </c>
    </row>
    <row r="816" spans="1:1" x14ac:dyDescent="0.2">
      <c r="A816" s="48" t="s">
        <v>9194</v>
      </c>
    </row>
    <row r="817" spans="1:1" x14ac:dyDescent="0.2">
      <c r="A817" s="48" t="s">
        <v>9195</v>
      </c>
    </row>
    <row r="818" spans="1:1" x14ac:dyDescent="0.2">
      <c r="A818" s="48" t="s">
        <v>9196</v>
      </c>
    </row>
    <row r="819" spans="1:1" x14ac:dyDescent="0.2">
      <c r="A819" s="48" t="s">
        <v>9197</v>
      </c>
    </row>
    <row r="820" spans="1:1" x14ac:dyDescent="0.2">
      <c r="A820" s="48" t="s">
        <v>9198</v>
      </c>
    </row>
    <row r="821" spans="1:1" x14ac:dyDescent="0.2">
      <c r="A821" s="48" t="s">
        <v>9199</v>
      </c>
    </row>
    <row r="822" spans="1:1" x14ac:dyDescent="0.2">
      <c r="A822" s="48" t="s">
        <v>9200</v>
      </c>
    </row>
    <row r="823" spans="1:1" x14ac:dyDescent="0.2">
      <c r="A823" s="48" t="s">
        <v>9201</v>
      </c>
    </row>
    <row r="824" spans="1:1" x14ac:dyDescent="0.2">
      <c r="A824" s="48" t="s">
        <v>9202</v>
      </c>
    </row>
    <row r="825" spans="1:1" x14ac:dyDescent="0.2">
      <c r="A825" s="48" t="s">
        <v>9203</v>
      </c>
    </row>
    <row r="826" spans="1:1" x14ac:dyDescent="0.2">
      <c r="A826" s="48" t="s">
        <v>9204</v>
      </c>
    </row>
    <row r="827" spans="1:1" x14ac:dyDescent="0.2">
      <c r="A827" s="48" t="s">
        <v>9205</v>
      </c>
    </row>
    <row r="828" spans="1:1" x14ac:dyDescent="0.2">
      <c r="A828" s="48" t="s">
        <v>9206</v>
      </c>
    </row>
    <row r="829" spans="1:1" x14ac:dyDescent="0.2">
      <c r="A829" s="48" t="s">
        <v>9207</v>
      </c>
    </row>
    <row r="830" spans="1:1" x14ac:dyDescent="0.2">
      <c r="A830" s="48" t="s">
        <v>9208</v>
      </c>
    </row>
    <row r="831" spans="1:1" x14ac:dyDescent="0.2">
      <c r="A831" s="48" t="s">
        <v>9209</v>
      </c>
    </row>
    <row r="832" spans="1:1" x14ac:dyDescent="0.2">
      <c r="A832" s="48" t="s">
        <v>9210</v>
      </c>
    </row>
    <row r="833" spans="1:1" x14ac:dyDescent="0.2">
      <c r="A833" s="48" t="s">
        <v>9211</v>
      </c>
    </row>
    <row r="834" spans="1:1" x14ac:dyDescent="0.2">
      <c r="A834" s="48" t="s">
        <v>9212</v>
      </c>
    </row>
    <row r="835" spans="1:1" x14ac:dyDescent="0.2">
      <c r="A835" s="48" t="s">
        <v>9213</v>
      </c>
    </row>
    <row r="836" spans="1:1" x14ac:dyDescent="0.2">
      <c r="A836" s="48" t="s">
        <v>9214</v>
      </c>
    </row>
    <row r="837" spans="1:1" x14ac:dyDescent="0.2">
      <c r="A837" s="48" t="s">
        <v>9215</v>
      </c>
    </row>
    <row r="838" spans="1:1" x14ac:dyDescent="0.2">
      <c r="A838" s="48" t="s">
        <v>9216</v>
      </c>
    </row>
    <row r="839" spans="1:1" x14ac:dyDescent="0.2">
      <c r="A839" s="48" t="s">
        <v>9217</v>
      </c>
    </row>
    <row r="840" spans="1:1" x14ac:dyDescent="0.2">
      <c r="A840" s="48" t="s">
        <v>9218</v>
      </c>
    </row>
    <row r="841" spans="1:1" x14ac:dyDescent="0.2">
      <c r="A841" s="48" t="s">
        <v>9219</v>
      </c>
    </row>
    <row r="842" spans="1:1" x14ac:dyDescent="0.2">
      <c r="A842" s="48" t="s">
        <v>9220</v>
      </c>
    </row>
    <row r="843" spans="1:1" x14ac:dyDescent="0.2">
      <c r="A843" s="48" t="s">
        <v>9221</v>
      </c>
    </row>
    <row r="844" spans="1:1" x14ac:dyDescent="0.2">
      <c r="A844" s="48" t="s">
        <v>9222</v>
      </c>
    </row>
    <row r="845" spans="1:1" x14ac:dyDescent="0.2">
      <c r="A845" s="48" t="s">
        <v>9223</v>
      </c>
    </row>
    <row r="846" spans="1:1" x14ac:dyDescent="0.2">
      <c r="A846" s="48" t="s">
        <v>9224</v>
      </c>
    </row>
    <row r="847" spans="1:1" x14ac:dyDescent="0.2">
      <c r="A847" s="48" t="s">
        <v>9225</v>
      </c>
    </row>
    <row r="848" spans="1:1" x14ac:dyDescent="0.2">
      <c r="A848" s="48" t="s">
        <v>9226</v>
      </c>
    </row>
    <row r="849" spans="1:1" x14ac:dyDescent="0.2">
      <c r="A849" s="48" t="s">
        <v>9227</v>
      </c>
    </row>
    <row r="850" spans="1:1" x14ac:dyDescent="0.2">
      <c r="A850" s="48" t="s">
        <v>9228</v>
      </c>
    </row>
    <row r="851" spans="1:1" x14ac:dyDescent="0.2">
      <c r="A851" s="48" t="s">
        <v>9229</v>
      </c>
    </row>
    <row r="852" spans="1:1" x14ac:dyDescent="0.2">
      <c r="A852" s="48" t="s">
        <v>9230</v>
      </c>
    </row>
    <row r="853" spans="1:1" x14ac:dyDescent="0.2">
      <c r="A853" s="48" t="s">
        <v>9231</v>
      </c>
    </row>
    <row r="854" spans="1:1" x14ac:dyDescent="0.2">
      <c r="A854" s="48" t="s">
        <v>9232</v>
      </c>
    </row>
    <row r="855" spans="1:1" x14ac:dyDescent="0.2">
      <c r="A855" s="48" t="s">
        <v>9233</v>
      </c>
    </row>
    <row r="856" spans="1:1" x14ac:dyDescent="0.2">
      <c r="A856" s="48" t="s">
        <v>9234</v>
      </c>
    </row>
    <row r="857" spans="1:1" x14ac:dyDescent="0.2">
      <c r="A857" s="48" t="s">
        <v>9235</v>
      </c>
    </row>
    <row r="858" spans="1:1" x14ac:dyDescent="0.2">
      <c r="A858" s="48" t="s">
        <v>9236</v>
      </c>
    </row>
    <row r="859" spans="1:1" x14ac:dyDescent="0.2">
      <c r="A859" s="48" t="s">
        <v>9237</v>
      </c>
    </row>
    <row r="860" spans="1:1" x14ac:dyDescent="0.2">
      <c r="A860" s="48" t="s">
        <v>9238</v>
      </c>
    </row>
    <row r="861" spans="1:1" x14ac:dyDescent="0.2">
      <c r="A861" s="48" t="s">
        <v>9239</v>
      </c>
    </row>
    <row r="862" spans="1:1" x14ac:dyDescent="0.2">
      <c r="A862" s="48" t="s">
        <v>9240</v>
      </c>
    </row>
    <row r="863" spans="1:1" x14ac:dyDescent="0.2">
      <c r="A863" s="48" t="s">
        <v>9241</v>
      </c>
    </row>
    <row r="864" spans="1:1" x14ac:dyDescent="0.2">
      <c r="A864" s="48" t="s">
        <v>9242</v>
      </c>
    </row>
    <row r="865" spans="1:1" x14ac:dyDescent="0.2">
      <c r="A865" s="48" t="s">
        <v>9243</v>
      </c>
    </row>
    <row r="866" spans="1:1" x14ac:dyDescent="0.2">
      <c r="A866" s="48" t="s">
        <v>9244</v>
      </c>
    </row>
    <row r="867" spans="1:1" x14ac:dyDescent="0.2">
      <c r="A867" s="48" t="s">
        <v>9245</v>
      </c>
    </row>
    <row r="868" spans="1:1" x14ac:dyDescent="0.2">
      <c r="A868" s="48" t="s">
        <v>9246</v>
      </c>
    </row>
    <row r="869" spans="1:1" x14ac:dyDescent="0.2">
      <c r="A869" s="48" t="s">
        <v>9247</v>
      </c>
    </row>
    <row r="870" spans="1:1" x14ac:dyDescent="0.2">
      <c r="A870" s="48" t="s">
        <v>9248</v>
      </c>
    </row>
    <row r="871" spans="1:1" x14ac:dyDescent="0.2">
      <c r="A871" s="48" t="s">
        <v>9249</v>
      </c>
    </row>
    <row r="872" spans="1:1" x14ac:dyDescent="0.2">
      <c r="A872" s="48" t="s">
        <v>9250</v>
      </c>
    </row>
    <row r="873" spans="1:1" x14ac:dyDescent="0.2">
      <c r="A873" s="48" t="s">
        <v>9251</v>
      </c>
    </row>
    <row r="874" spans="1:1" x14ac:dyDescent="0.2">
      <c r="A874" s="48" t="s">
        <v>9252</v>
      </c>
    </row>
    <row r="875" spans="1:1" x14ac:dyDescent="0.2">
      <c r="A875" s="48" t="s">
        <v>9253</v>
      </c>
    </row>
    <row r="876" spans="1:1" x14ac:dyDescent="0.2">
      <c r="A876" s="48" t="s">
        <v>9254</v>
      </c>
    </row>
    <row r="877" spans="1:1" x14ac:dyDescent="0.2">
      <c r="A877" s="48" t="s">
        <v>9255</v>
      </c>
    </row>
    <row r="878" spans="1:1" x14ac:dyDescent="0.2">
      <c r="A878" s="48" t="s">
        <v>9256</v>
      </c>
    </row>
    <row r="879" spans="1:1" x14ac:dyDescent="0.2">
      <c r="A879" s="48" t="s">
        <v>9257</v>
      </c>
    </row>
    <row r="880" spans="1:1" x14ac:dyDescent="0.2">
      <c r="A880" s="48" t="s">
        <v>9258</v>
      </c>
    </row>
    <row r="881" spans="1:1" x14ac:dyDescent="0.2">
      <c r="A881" s="48" t="s">
        <v>9259</v>
      </c>
    </row>
    <row r="882" spans="1:1" x14ac:dyDescent="0.2">
      <c r="A882" s="48" t="s">
        <v>9260</v>
      </c>
    </row>
    <row r="883" spans="1:1" x14ac:dyDescent="0.2">
      <c r="A883" s="49" t="s">
        <v>9261</v>
      </c>
    </row>
    <row r="884" spans="1:1" x14ac:dyDescent="0.2">
      <c r="A884" s="48" t="s">
        <v>9262</v>
      </c>
    </row>
    <row r="885" spans="1:1" x14ac:dyDescent="0.2">
      <c r="A885" s="48" t="s">
        <v>9263</v>
      </c>
    </row>
    <row r="886" spans="1:1" x14ac:dyDescent="0.2">
      <c r="A886" s="48" t="s">
        <v>9264</v>
      </c>
    </row>
    <row r="887" spans="1:1" x14ac:dyDescent="0.2">
      <c r="A887" s="48" t="s">
        <v>9265</v>
      </c>
    </row>
    <row r="888" spans="1:1" x14ac:dyDescent="0.2">
      <c r="A888" s="48" t="s">
        <v>9266</v>
      </c>
    </row>
    <row r="889" spans="1:1" x14ac:dyDescent="0.2">
      <c r="A889" s="48" t="s">
        <v>9267</v>
      </c>
    </row>
    <row r="890" spans="1:1" x14ac:dyDescent="0.2">
      <c r="A890" s="48" t="s">
        <v>9268</v>
      </c>
    </row>
    <row r="891" spans="1:1" x14ac:dyDescent="0.2">
      <c r="A891" s="48" t="s">
        <v>9269</v>
      </c>
    </row>
    <row r="892" spans="1:1" x14ac:dyDescent="0.2">
      <c r="A892" s="48" t="s">
        <v>9270</v>
      </c>
    </row>
    <row r="893" spans="1:1" x14ac:dyDescent="0.2">
      <c r="A893" s="48" t="s">
        <v>9271</v>
      </c>
    </row>
    <row r="894" spans="1:1" x14ac:dyDescent="0.2">
      <c r="A894" s="48" t="s">
        <v>9272</v>
      </c>
    </row>
    <row r="895" spans="1:1" x14ac:dyDescent="0.2">
      <c r="A895" s="48" t="s">
        <v>9273</v>
      </c>
    </row>
    <row r="896" spans="1:1" x14ac:dyDescent="0.2">
      <c r="A896" s="48" t="s">
        <v>9274</v>
      </c>
    </row>
    <row r="897" spans="1:1" x14ac:dyDescent="0.2">
      <c r="A897" s="48" t="s">
        <v>9275</v>
      </c>
    </row>
    <row r="898" spans="1:1" x14ac:dyDescent="0.2">
      <c r="A898" s="48" t="s">
        <v>9276</v>
      </c>
    </row>
    <row r="899" spans="1:1" x14ac:dyDescent="0.2">
      <c r="A899" s="48" t="s">
        <v>9277</v>
      </c>
    </row>
    <row r="900" spans="1:1" x14ac:dyDescent="0.2">
      <c r="A900" s="48" t="s">
        <v>9278</v>
      </c>
    </row>
    <row r="901" spans="1:1" x14ac:dyDescent="0.2">
      <c r="A901" s="48" t="s">
        <v>9279</v>
      </c>
    </row>
    <row r="902" spans="1:1" x14ac:dyDescent="0.2">
      <c r="A902" s="48" t="s">
        <v>9280</v>
      </c>
    </row>
    <row r="903" spans="1:1" x14ac:dyDescent="0.2">
      <c r="A903" s="48" t="s">
        <v>9281</v>
      </c>
    </row>
    <row r="904" spans="1:1" x14ac:dyDescent="0.2">
      <c r="A904" s="48" t="s">
        <v>9282</v>
      </c>
    </row>
    <row r="905" spans="1:1" x14ac:dyDescent="0.2">
      <c r="A905" s="48" t="s">
        <v>9283</v>
      </c>
    </row>
    <row r="906" spans="1:1" x14ac:dyDescent="0.2">
      <c r="A906" s="48" t="s">
        <v>9284</v>
      </c>
    </row>
    <row r="907" spans="1:1" x14ac:dyDescent="0.2">
      <c r="A907" s="48" t="s">
        <v>9285</v>
      </c>
    </row>
    <row r="908" spans="1:1" x14ac:dyDescent="0.2">
      <c r="A908" s="48" t="s">
        <v>9286</v>
      </c>
    </row>
    <row r="909" spans="1:1" x14ac:dyDescent="0.2">
      <c r="A909" s="48" t="s">
        <v>9287</v>
      </c>
    </row>
    <row r="910" spans="1:1" x14ac:dyDescent="0.2">
      <c r="A910" s="48" t="s">
        <v>9288</v>
      </c>
    </row>
    <row r="911" spans="1:1" x14ac:dyDescent="0.2">
      <c r="A911" s="48" t="s">
        <v>9289</v>
      </c>
    </row>
    <row r="912" spans="1:1" x14ac:dyDescent="0.2">
      <c r="A912" s="48" t="s">
        <v>9290</v>
      </c>
    </row>
    <row r="913" spans="1:1" x14ac:dyDescent="0.2">
      <c r="A913" s="48" t="s">
        <v>9291</v>
      </c>
    </row>
    <row r="914" spans="1:1" x14ac:dyDescent="0.2">
      <c r="A914" s="48" t="s">
        <v>9292</v>
      </c>
    </row>
    <row r="915" spans="1:1" x14ac:dyDescent="0.2">
      <c r="A915" s="48" t="s">
        <v>9293</v>
      </c>
    </row>
    <row r="916" spans="1:1" x14ac:dyDescent="0.2">
      <c r="A916" s="48" t="s">
        <v>9294</v>
      </c>
    </row>
    <row r="917" spans="1:1" x14ac:dyDescent="0.2">
      <c r="A917" s="48" t="s">
        <v>9295</v>
      </c>
    </row>
    <row r="918" spans="1:1" x14ac:dyDescent="0.2">
      <c r="A918" s="48" t="s">
        <v>9296</v>
      </c>
    </row>
    <row r="919" spans="1:1" x14ac:dyDescent="0.2">
      <c r="A919" s="48" t="s">
        <v>9297</v>
      </c>
    </row>
    <row r="920" spans="1:1" x14ac:dyDescent="0.2">
      <c r="A920" s="48" t="s">
        <v>9298</v>
      </c>
    </row>
    <row r="921" spans="1:1" x14ac:dyDescent="0.2">
      <c r="A921" s="48" t="s">
        <v>9299</v>
      </c>
    </row>
    <row r="922" spans="1:1" x14ac:dyDescent="0.2">
      <c r="A922" s="48" t="s">
        <v>9300</v>
      </c>
    </row>
    <row r="923" spans="1:1" x14ac:dyDescent="0.2">
      <c r="A923" s="48" t="s">
        <v>9301</v>
      </c>
    </row>
    <row r="924" spans="1:1" x14ac:dyDescent="0.2">
      <c r="A924" s="48" t="s">
        <v>9302</v>
      </c>
    </row>
    <row r="925" spans="1:1" x14ac:dyDescent="0.2">
      <c r="A925" s="48" t="s">
        <v>9303</v>
      </c>
    </row>
    <row r="926" spans="1:1" x14ac:dyDescent="0.2">
      <c r="A926" s="48" t="s">
        <v>9304</v>
      </c>
    </row>
    <row r="927" spans="1:1" x14ac:dyDescent="0.2">
      <c r="A927" s="48" t="s">
        <v>9305</v>
      </c>
    </row>
    <row r="928" spans="1:1" x14ac:dyDescent="0.2">
      <c r="A928" s="48" t="s">
        <v>9306</v>
      </c>
    </row>
    <row r="929" spans="1:1" x14ac:dyDescent="0.2">
      <c r="A929" s="48" t="s">
        <v>9307</v>
      </c>
    </row>
    <row r="930" spans="1:1" x14ac:dyDescent="0.2">
      <c r="A930" s="48" t="s">
        <v>9308</v>
      </c>
    </row>
    <row r="931" spans="1:1" x14ac:dyDescent="0.2">
      <c r="A931" s="48" t="s">
        <v>9309</v>
      </c>
    </row>
    <row r="932" spans="1:1" x14ac:dyDescent="0.2">
      <c r="A932" s="48" t="s">
        <v>9310</v>
      </c>
    </row>
    <row r="933" spans="1:1" x14ac:dyDescent="0.2">
      <c r="A933" s="48" t="s">
        <v>9311</v>
      </c>
    </row>
    <row r="934" spans="1:1" s="3" customFormat="1" x14ac:dyDescent="0.2">
      <c r="A934" s="48" t="s">
        <v>9312</v>
      </c>
    </row>
    <row r="935" spans="1:1" x14ac:dyDescent="0.2">
      <c r="A935" s="48" t="s">
        <v>9313</v>
      </c>
    </row>
    <row r="936" spans="1:1" x14ac:dyDescent="0.2">
      <c r="A936" s="48" t="s">
        <v>9314</v>
      </c>
    </row>
    <row r="937" spans="1:1" x14ac:dyDescent="0.2">
      <c r="A937" s="48" t="s">
        <v>9315</v>
      </c>
    </row>
    <row r="938" spans="1:1" x14ac:dyDescent="0.2">
      <c r="A938" s="48" t="s">
        <v>9316</v>
      </c>
    </row>
    <row r="939" spans="1:1" x14ac:dyDescent="0.2">
      <c r="A939" s="48" t="s">
        <v>9317</v>
      </c>
    </row>
    <row r="940" spans="1:1" x14ac:dyDescent="0.2">
      <c r="A940" s="48" t="s">
        <v>9318</v>
      </c>
    </row>
    <row r="941" spans="1:1" x14ac:dyDescent="0.2">
      <c r="A941" s="48" t="s">
        <v>9319</v>
      </c>
    </row>
    <row r="942" spans="1:1" x14ac:dyDescent="0.2">
      <c r="A942" s="48" t="s">
        <v>9320</v>
      </c>
    </row>
    <row r="943" spans="1:1" x14ac:dyDescent="0.2">
      <c r="A943" s="48" t="s">
        <v>9321</v>
      </c>
    </row>
    <row r="944" spans="1:1" x14ac:dyDescent="0.2">
      <c r="A944" s="48" t="s">
        <v>9322</v>
      </c>
    </row>
    <row r="945" spans="1:1" x14ac:dyDescent="0.2">
      <c r="A945" s="48" t="s">
        <v>9323</v>
      </c>
    </row>
    <row r="946" spans="1:1" x14ac:dyDescent="0.2">
      <c r="A946" s="48" t="s">
        <v>9324</v>
      </c>
    </row>
    <row r="947" spans="1:1" x14ac:dyDescent="0.2">
      <c r="A947" s="48" t="s">
        <v>9325</v>
      </c>
    </row>
    <row r="948" spans="1:1" x14ac:dyDescent="0.2">
      <c r="A948" s="48" t="s">
        <v>9326</v>
      </c>
    </row>
    <row r="949" spans="1:1" x14ac:dyDescent="0.2">
      <c r="A949" s="48" t="s">
        <v>9327</v>
      </c>
    </row>
    <row r="950" spans="1:1" x14ac:dyDescent="0.2">
      <c r="A950" s="48" t="s">
        <v>9328</v>
      </c>
    </row>
    <row r="951" spans="1:1" x14ac:dyDescent="0.2">
      <c r="A951" s="48" t="s">
        <v>9329</v>
      </c>
    </row>
    <row r="952" spans="1:1" x14ac:dyDescent="0.2">
      <c r="A952" s="48" t="s">
        <v>9330</v>
      </c>
    </row>
    <row r="953" spans="1:1" x14ac:dyDescent="0.2">
      <c r="A953" s="48" t="s">
        <v>9331</v>
      </c>
    </row>
    <row r="954" spans="1:1" x14ac:dyDescent="0.2">
      <c r="A954" s="48" t="s">
        <v>9332</v>
      </c>
    </row>
    <row r="955" spans="1:1" x14ac:dyDescent="0.2">
      <c r="A955" s="48" t="s">
        <v>9333</v>
      </c>
    </row>
    <row r="956" spans="1:1" x14ac:dyDescent="0.2">
      <c r="A956" s="48" t="s">
        <v>9334</v>
      </c>
    </row>
    <row r="957" spans="1:1" x14ac:dyDescent="0.2">
      <c r="A957" s="48" t="s">
        <v>9335</v>
      </c>
    </row>
    <row r="958" spans="1:1" x14ac:dyDescent="0.2">
      <c r="A958" s="48" t="s">
        <v>9336</v>
      </c>
    </row>
    <row r="959" spans="1:1" x14ac:dyDescent="0.2">
      <c r="A959" s="48" t="s">
        <v>9337</v>
      </c>
    </row>
    <row r="960" spans="1:1" x14ac:dyDescent="0.2">
      <c r="A960" s="48" t="s">
        <v>9338</v>
      </c>
    </row>
    <row r="961" spans="1:1" x14ac:dyDescent="0.2">
      <c r="A961" s="48" t="s">
        <v>9339</v>
      </c>
    </row>
    <row r="962" spans="1:1" x14ac:dyDescent="0.2">
      <c r="A962" s="48" t="s">
        <v>9340</v>
      </c>
    </row>
    <row r="963" spans="1:1" x14ac:dyDescent="0.2">
      <c r="A963" s="48" t="s">
        <v>9341</v>
      </c>
    </row>
    <row r="964" spans="1:1" x14ac:dyDescent="0.2">
      <c r="A964" s="48" t="s">
        <v>9342</v>
      </c>
    </row>
    <row r="965" spans="1:1" x14ac:dyDescent="0.2">
      <c r="A965" s="48" t="s">
        <v>9343</v>
      </c>
    </row>
    <row r="966" spans="1:1" x14ac:dyDescent="0.2">
      <c r="A966" s="48" t="s">
        <v>9344</v>
      </c>
    </row>
    <row r="967" spans="1:1" x14ac:dyDescent="0.2">
      <c r="A967" s="48" t="s">
        <v>9345</v>
      </c>
    </row>
    <row r="968" spans="1:1" x14ac:dyDescent="0.2">
      <c r="A968" s="48" t="s">
        <v>9346</v>
      </c>
    </row>
    <row r="969" spans="1:1" x14ac:dyDescent="0.2">
      <c r="A969" s="48" t="s">
        <v>9347</v>
      </c>
    </row>
    <row r="970" spans="1:1" x14ac:dyDescent="0.2">
      <c r="A970" s="48" t="s">
        <v>9348</v>
      </c>
    </row>
    <row r="971" spans="1:1" x14ac:dyDescent="0.2">
      <c r="A971" s="48" t="s">
        <v>9349</v>
      </c>
    </row>
    <row r="972" spans="1:1" x14ac:dyDescent="0.2">
      <c r="A972" s="48" t="s">
        <v>9350</v>
      </c>
    </row>
    <row r="973" spans="1:1" x14ac:dyDescent="0.2">
      <c r="A973" s="48" t="s">
        <v>9351</v>
      </c>
    </row>
    <row r="974" spans="1:1" x14ac:dyDescent="0.2">
      <c r="A974" s="48" t="s">
        <v>9352</v>
      </c>
    </row>
    <row r="975" spans="1:1" x14ac:dyDescent="0.2">
      <c r="A975" s="48" t="s">
        <v>9353</v>
      </c>
    </row>
    <row r="976" spans="1:1" x14ac:dyDescent="0.2">
      <c r="A976" s="48" t="s">
        <v>9354</v>
      </c>
    </row>
    <row r="977" spans="1:1" x14ac:dyDescent="0.2">
      <c r="A977" s="48" t="s">
        <v>9355</v>
      </c>
    </row>
    <row r="978" spans="1:1" x14ac:dyDescent="0.2">
      <c r="A978" s="48" t="s">
        <v>9356</v>
      </c>
    </row>
    <row r="979" spans="1:1" x14ac:dyDescent="0.2">
      <c r="A979" s="48" t="s">
        <v>9357</v>
      </c>
    </row>
    <row r="980" spans="1:1" x14ac:dyDescent="0.2">
      <c r="A980" s="48" t="s">
        <v>9358</v>
      </c>
    </row>
    <row r="981" spans="1:1" x14ac:dyDescent="0.2">
      <c r="A981" s="48" t="s">
        <v>9359</v>
      </c>
    </row>
    <row r="982" spans="1:1" x14ac:dyDescent="0.2">
      <c r="A982" s="48" t="s">
        <v>9360</v>
      </c>
    </row>
    <row r="983" spans="1:1" x14ac:dyDescent="0.2">
      <c r="A983" s="48" t="s">
        <v>9361</v>
      </c>
    </row>
    <row r="984" spans="1:1" x14ac:dyDescent="0.2">
      <c r="A984" s="48" t="s">
        <v>9362</v>
      </c>
    </row>
    <row r="985" spans="1:1" x14ac:dyDescent="0.2">
      <c r="A985" s="48" t="s">
        <v>9363</v>
      </c>
    </row>
    <row r="986" spans="1:1" x14ac:dyDescent="0.2">
      <c r="A986" s="48" t="s">
        <v>9364</v>
      </c>
    </row>
    <row r="987" spans="1:1" x14ac:dyDescent="0.2">
      <c r="A987" s="48" t="s">
        <v>9365</v>
      </c>
    </row>
    <row r="988" spans="1:1" x14ac:dyDescent="0.2">
      <c r="A988" s="48" t="s">
        <v>9366</v>
      </c>
    </row>
    <row r="989" spans="1:1" x14ac:dyDescent="0.2">
      <c r="A989" s="48" t="s">
        <v>9367</v>
      </c>
    </row>
    <row r="990" spans="1:1" x14ac:dyDescent="0.2">
      <c r="A990" s="48" t="s">
        <v>9368</v>
      </c>
    </row>
    <row r="991" spans="1:1" x14ac:dyDescent="0.2">
      <c r="A991" s="48" t="s">
        <v>9369</v>
      </c>
    </row>
    <row r="992" spans="1:1" x14ac:dyDescent="0.2">
      <c r="A992" s="48" t="s">
        <v>9370</v>
      </c>
    </row>
    <row r="993" spans="1:1" x14ac:dyDescent="0.2">
      <c r="A993" s="48" t="s">
        <v>9371</v>
      </c>
    </row>
    <row r="994" spans="1:1" x14ac:dyDescent="0.2">
      <c r="A994" s="48" t="s">
        <v>9372</v>
      </c>
    </row>
    <row r="995" spans="1:1" x14ac:dyDescent="0.2">
      <c r="A995" s="48" t="s">
        <v>9373</v>
      </c>
    </row>
    <row r="996" spans="1:1" x14ac:dyDescent="0.2">
      <c r="A996" s="48" t="s">
        <v>9374</v>
      </c>
    </row>
    <row r="997" spans="1:1" x14ac:dyDescent="0.2">
      <c r="A997" s="48" t="s">
        <v>9375</v>
      </c>
    </row>
    <row r="998" spans="1:1" x14ac:dyDescent="0.2">
      <c r="A998" s="48" t="s">
        <v>9376</v>
      </c>
    </row>
    <row r="999" spans="1:1" x14ac:dyDescent="0.2">
      <c r="A999" s="48" t="s">
        <v>9377</v>
      </c>
    </row>
    <row r="1000" spans="1:1" x14ac:dyDescent="0.2">
      <c r="A1000" s="48" t="s">
        <v>9378</v>
      </c>
    </row>
    <row r="1001" spans="1:1" x14ac:dyDescent="0.2">
      <c r="A1001" s="48" t="s">
        <v>9379</v>
      </c>
    </row>
    <row r="1002" spans="1:1" x14ac:dyDescent="0.2">
      <c r="A1002" s="48" t="s">
        <v>9380</v>
      </c>
    </row>
    <row r="1003" spans="1:1" x14ac:dyDescent="0.2">
      <c r="A1003" s="48" t="s">
        <v>9381</v>
      </c>
    </row>
    <row r="1004" spans="1:1" x14ac:dyDescent="0.2">
      <c r="A1004" s="48" t="s">
        <v>9382</v>
      </c>
    </row>
    <row r="1005" spans="1:1" x14ac:dyDescent="0.2">
      <c r="A1005" s="48" t="s">
        <v>9383</v>
      </c>
    </row>
    <row r="1006" spans="1:1" x14ac:dyDescent="0.2">
      <c r="A1006" s="48" t="s">
        <v>9384</v>
      </c>
    </row>
    <row r="1007" spans="1:1" x14ac:dyDescent="0.2">
      <c r="A1007" s="48" t="s">
        <v>9385</v>
      </c>
    </row>
    <row r="1008" spans="1:1" x14ac:dyDescent="0.2">
      <c r="A1008" s="48" t="s">
        <v>9386</v>
      </c>
    </row>
    <row r="1009" spans="1:1" x14ac:dyDescent="0.2">
      <c r="A1009" s="48" t="s">
        <v>9387</v>
      </c>
    </row>
    <row r="1010" spans="1:1" x14ac:dyDescent="0.2">
      <c r="A1010" s="48" t="s">
        <v>9388</v>
      </c>
    </row>
    <row r="1011" spans="1:1" x14ac:dyDescent="0.2">
      <c r="A1011" s="48" t="s">
        <v>9389</v>
      </c>
    </row>
    <row r="1012" spans="1:1" x14ac:dyDescent="0.2">
      <c r="A1012" s="48" t="s">
        <v>9390</v>
      </c>
    </row>
    <row r="1013" spans="1:1" x14ac:dyDescent="0.2">
      <c r="A1013" s="48" t="s">
        <v>9391</v>
      </c>
    </row>
    <row r="1014" spans="1:1" x14ac:dyDescent="0.2">
      <c r="A1014" s="48" t="s">
        <v>9392</v>
      </c>
    </row>
    <row r="1015" spans="1:1" x14ac:dyDescent="0.2">
      <c r="A1015" s="48" t="s">
        <v>9393</v>
      </c>
    </row>
    <row r="1016" spans="1:1" x14ac:dyDescent="0.2">
      <c r="A1016" s="48" t="s">
        <v>9394</v>
      </c>
    </row>
    <row r="1017" spans="1:1" x14ac:dyDescent="0.2">
      <c r="A1017" s="48" t="s">
        <v>9395</v>
      </c>
    </row>
    <row r="1018" spans="1:1" x14ac:dyDescent="0.2">
      <c r="A1018" s="48" t="s">
        <v>9396</v>
      </c>
    </row>
    <row r="1019" spans="1:1" x14ac:dyDescent="0.2">
      <c r="A1019" s="48" t="s">
        <v>9397</v>
      </c>
    </row>
    <row r="1020" spans="1:1" x14ac:dyDescent="0.2">
      <c r="A1020" s="48" t="s">
        <v>9398</v>
      </c>
    </row>
    <row r="1021" spans="1:1" x14ac:dyDescent="0.2">
      <c r="A1021" s="49" t="s">
        <v>9399</v>
      </c>
    </row>
    <row r="1022" spans="1:1" x14ac:dyDescent="0.2">
      <c r="A1022" s="49" t="s">
        <v>9400</v>
      </c>
    </row>
    <row r="1023" spans="1:1" x14ac:dyDescent="0.2">
      <c r="A1023" s="49" t="s">
        <v>9401</v>
      </c>
    </row>
    <row r="1024" spans="1:1" x14ac:dyDescent="0.2">
      <c r="A1024" s="48" t="s">
        <v>9402</v>
      </c>
    </row>
    <row r="1025" spans="1:1" x14ac:dyDescent="0.2">
      <c r="A1025" s="48" t="s">
        <v>9403</v>
      </c>
    </row>
    <row r="1026" spans="1:1" x14ac:dyDescent="0.2">
      <c r="A1026" s="48" t="s">
        <v>9404</v>
      </c>
    </row>
    <row r="1027" spans="1:1" x14ac:dyDescent="0.2">
      <c r="A1027" s="48" t="s">
        <v>9405</v>
      </c>
    </row>
    <row r="1028" spans="1:1" x14ac:dyDescent="0.2">
      <c r="A1028" s="48" t="s">
        <v>9406</v>
      </c>
    </row>
    <row r="1029" spans="1:1" x14ac:dyDescent="0.2">
      <c r="A1029" s="48" t="s">
        <v>9407</v>
      </c>
    </row>
    <row r="1030" spans="1:1" x14ac:dyDescent="0.2">
      <c r="A1030" s="48" t="s">
        <v>9408</v>
      </c>
    </row>
    <row r="1031" spans="1:1" x14ac:dyDescent="0.2">
      <c r="A1031" s="48" t="s">
        <v>9409</v>
      </c>
    </row>
    <row r="1032" spans="1:1" x14ac:dyDescent="0.2">
      <c r="A1032" s="48" t="s">
        <v>9410</v>
      </c>
    </row>
    <row r="1033" spans="1:1" x14ac:dyDescent="0.2">
      <c r="A1033" s="48" t="s">
        <v>9411</v>
      </c>
    </row>
    <row r="1034" spans="1:1" x14ac:dyDescent="0.2">
      <c r="A1034" s="48" t="s">
        <v>9412</v>
      </c>
    </row>
    <row r="1035" spans="1:1" x14ac:dyDescent="0.2">
      <c r="A1035" s="48" t="s">
        <v>9413</v>
      </c>
    </row>
    <row r="1036" spans="1:1" x14ac:dyDescent="0.2">
      <c r="A1036" s="48" t="s">
        <v>9414</v>
      </c>
    </row>
    <row r="1037" spans="1:1" x14ac:dyDescent="0.2">
      <c r="A1037" s="48" t="s">
        <v>9415</v>
      </c>
    </row>
    <row r="1038" spans="1:1" x14ac:dyDescent="0.2">
      <c r="A1038" s="48" t="s">
        <v>9416</v>
      </c>
    </row>
    <row r="1039" spans="1:1" x14ac:dyDescent="0.2">
      <c r="A1039" s="48" t="s">
        <v>9417</v>
      </c>
    </row>
    <row r="1040" spans="1:1" x14ac:dyDescent="0.2">
      <c r="A1040" s="48" t="s">
        <v>9418</v>
      </c>
    </row>
    <row r="1041" spans="1:1" x14ac:dyDescent="0.2">
      <c r="A1041" s="48" t="s">
        <v>9419</v>
      </c>
    </row>
    <row r="1042" spans="1:1" x14ac:dyDescent="0.2">
      <c r="A1042" s="48" t="s">
        <v>9420</v>
      </c>
    </row>
    <row r="1043" spans="1:1" x14ac:dyDescent="0.2">
      <c r="A1043" s="48" t="s">
        <v>9421</v>
      </c>
    </row>
    <row r="1044" spans="1:1" x14ac:dyDescent="0.2">
      <c r="A1044" s="48" t="s">
        <v>9422</v>
      </c>
    </row>
    <row r="1045" spans="1:1" x14ac:dyDescent="0.2">
      <c r="A1045" s="48" t="s">
        <v>9423</v>
      </c>
    </row>
    <row r="1046" spans="1:1" x14ac:dyDescent="0.2">
      <c r="A1046" s="48" t="s">
        <v>9424</v>
      </c>
    </row>
    <row r="1047" spans="1:1" x14ac:dyDescent="0.2">
      <c r="A1047" s="48" t="s">
        <v>9425</v>
      </c>
    </row>
    <row r="1048" spans="1:1" x14ac:dyDescent="0.2">
      <c r="A1048" s="48" t="s">
        <v>9426</v>
      </c>
    </row>
    <row r="1049" spans="1:1" x14ac:dyDescent="0.2">
      <c r="A1049" s="48" t="s">
        <v>9427</v>
      </c>
    </row>
    <row r="1050" spans="1:1" x14ac:dyDescent="0.2">
      <c r="A1050" s="48" t="s">
        <v>9428</v>
      </c>
    </row>
    <row r="1051" spans="1:1" x14ac:dyDescent="0.2">
      <c r="A1051" s="48" t="s">
        <v>9429</v>
      </c>
    </row>
    <row r="1052" spans="1:1" x14ac:dyDescent="0.2">
      <c r="A1052" s="48" t="s">
        <v>9430</v>
      </c>
    </row>
    <row r="1053" spans="1:1" x14ac:dyDescent="0.2">
      <c r="A1053" s="48" t="s">
        <v>9431</v>
      </c>
    </row>
    <row r="1054" spans="1:1" x14ac:dyDescent="0.2">
      <c r="A1054" s="48" t="s">
        <v>9432</v>
      </c>
    </row>
    <row r="1055" spans="1:1" x14ac:dyDescent="0.2">
      <c r="A1055" s="48" t="s">
        <v>9433</v>
      </c>
    </row>
    <row r="1056" spans="1:1" x14ac:dyDescent="0.2">
      <c r="A1056" s="48" t="s">
        <v>9434</v>
      </c>
    </row>
    <row r="1057" spans="1:1" x14ac:dyDescent="0.2">
      <c r="A1057" s="48" t="s">
        <v>9435</v>
      </c>
    </row>
    <row r="1058" spans="1:1" x14ac:dyDescent="0.2">
      <c r="A1058" s="48" t="s">
        <v>9436</v>
      </c>
    </row>
    <row r="1059" spans="1:1" x14ac:dyDescent="0.2">
      <c r="A1059" s="48" t="s">
        <v>9437</v>
      </c>
    </row>
    <row r="1060" spans="1:1" x14ac:dyDescent="0.2">
      <c r="A1060" s="48" t="s">
        <v>9438</v>
      </c>
    </row>
    <row r="1061" spans="1:1" x14ac:dyDescent="0.2">
      <c r="A1061" s="48" t="s">
        <v>9439</v>
      </c>
    </row>
    <row r="1062" spans="1:1" x14ac:dyDescent="0.2">
      <c r="A1062" s="48" t="s">
        <v>9440</v>
      </c>
    </row>
    <row r="1063" spans="1:1" x14ac:dyDescent="0.2">
      <c r="A1063" s="48" t="s">
        <v>9441</v>
      </c>
    </row>
    <row r="1064" spans="1:1" x14ac:dyDescent="0.2">
      <c r="A1064" s="48" t="s">
        <v>9442</v>
      </c>
    </row>
    <row r="1065" spans="1:1" x14ac:dyDescent="0.2">
      <c r="A1065" s="48" t="s">
        <v>9443</v>
      </c>
    </row>
    <row r="1066" spans="1:1" x14ac:dyDescent="0.2">
      <c r="A1066" s="48" t="s">
        <v>9444</v>
      </c>
    </row>
    <row r="1067" spans="1:1" x14ac:dyDescent="0.2">
      <c r="A1067" s="48" t="s">
        <v>9445</v>
      </c>
    </row>
    <row r="1068" spans="1:1" x14ac:dyDescent="0.2">
      <c r="A1068" s="48" t="s">
        <v>9446</v>
      </c>
    </row>
    <row r="1069" spans="1:1" x14ac:dyDescent="0.2">
      <c r="A1069" s="48" t="s">
        <v>9447</v>
      </c>
    </row>
    <row r="1070" spans="1:1" x14ac:dyDescent="0.2">
      <c r="A1070" s="48" t="s">
        <v>9448</v>
      </c>
    </row>
    <row r="1071" spans="1:1" x14ac:dyDescent="0.2">
      <c r="A1071" s="48" t="s">
        <v>9449</v>
      </c>
    </row>
    <row r="1072" spans="1:1" x14ac:dyDescent="0.2">
      <c r="A1072" s="48" t="s">
        <v>9450</v>
      </c>
    </row>
    <row r="1073" spans="1:1" x14ac:dyDescent="0.2">
      <c r="A1073" s="48" t="s">
        <v>9451</v>
      </c>
    </row>
    <row r="1074" spans="1:1" x14ac:dyDescent="0.2">
      <c r="A1074" s="48" t="s">
        <v>9452</v>
      </c>
    </row>
    <row r="1075" spans="1:1" x14ac:dyDescent="0.2">
      <c r="A1075" s="48" t="s">
        <v>9453</v>
      </c>
    </row>
    <row r="1076" spans="1:1" x14ac:dyDescent="0.2">
      <c r="A1076" s="48" t="s">
        <v>9454</v>
      </c>
    </row>
    <row r="1077" spans="1:1" x14ac:dyDescent="0.2">
      <c r="A1077" s="48" t="s">
        <v>9455</v>
      </c>
    </row>
    <row r="1078" spans="1:1" x14ac:dyDescent="0.2">
      <c r="A1078" s="48" t="s">
        <v>9456</v>
      </c>
    </row>
    <row r="1079" spans="1:1" x14ac:dyDescent="0.2">
      <c r="A1079" s="48" t="s">
        <v>9457</v>
      </c>
    </row>
    <row r="1080" spans="1:1" x14ac:dyDescent="0.2">
      <c r="A1080" s="48" t="s">
        <v>9458</v>
      </c>
    </row>
    <row r="1081" spans="1:1" x14ac:dyDescent="0.2">
      <c r="A1081" s="48" t="s">
        <v>9459</v>
      </c>
    </row>
    <row r="1082" spans="1:1" x14ac:dyDescent="0.2">
      <c r="A1082" s="48" t="s">
        <v>9460</v>
      </c>
    </row>
    <row r="1083" spans="1:1" x14ac:dyDescent="0.2">
      <c r="A1083" s="48" t="s">
        <v>9461</v>
      </c>
    </row>
    <row r="1084" spans="1:1" x14ac:dyDescent="0.2">
      <c r="A1084" s="48" t="s">
        <v>9462</v>
      </c>
    </row>
    <row r="1085" spans="1:1" x14ac:dyDescent="0.2">
      <c r="A1085" s="48" t="s">
        <v>9463</v>
      </c>
    </row>
    <row r="1086" spans="1:1" x14ac:dyDescent="0.2">
      <c r="A1086" s="48" t="s">
        <v>9464</v>
      </c>
    </row>
    <row r="1087" spans="1:1" x14ac:dyDescent="0.2">
      <c r="A1087" s="49" t="s">
        <v>9465</v>
      </c>
    </row>
    <row r="1088" spans="1:1" x14ac:dyDescent="0.2">
      <c r="A1088" s="48" t="s">
        <v>9466</v>
      </c>
    </row>
    <row r="1089" spans="1:1" x14ac:dyDescent="0.2">
      <c r="A1089" s="48" t="s">
        <v>9467</v>
      </c>
    </row>
    <row r="1090" spans="1:1" x14ac:dyDescent="0.2">
      <c r="A1090" s="48" t="s">
        <v>9468</v>
      </c>
    </row>
    <row r="1091" spans="1:1" x14ac:dyDescent="0.2">
      <c r="A1091" s="48" t="s">
        <v>9469</v>
      </c>
    </row>
    <row r="1092" spans="1:1" x14ac:dyDescent="0.2">
      <c r="A1092" s="48" t="s">
        <v>9470</v>
      </c>
    </row>
    <row r="1093" spans="1:1" x14ac:dyDescent="0.2">
      <c r="A1093" s="48" t="s">
        <v>9471</v>
      </c>
    </row>
    <row r="1094" spans="1:1" x14ac:dyDescent="0.2">
      <c r="A1094" s="48" t="s">
        <v>9472</v>
      </c>
    </row>
    <row r="1095" spans="1:1" x14ac:dyDescent="0.2">
      <c r="A1095" s="48" t="s">
        <v>9473</v>
      </c>
    </row>
    <row r="1096" spans="1:1" x14ac:dyDescent="0.2">
      <c r="A1096" s="48" t="s">
        <v>9474</v>
      </c>
    </row>
    <row r="1097" spans="1:1" x14ac:dyDescent="0.2">
      <c r="A1097" s="48" t="s">
        <v>9475</v>
      </c>
    </row>
    <row r="1098" spans="1:1" x14ac:dyDescent="0.2">
      <c r="A1098" s="48" t="s">
        <v>9476</v>
      </c>
    </row>
    <row r="1099" spans="1:1" x14ac:dyDescent="0.2">
      <c r="A1099" s="48" t="s">
        <v>9477</v>
      </c>
    </row>
    <row r="1100" spans="1:1" x14ac:dyDescent="0.2">
      <c r="A1100" s="48" t="s">
        <v>9478</v>
      </c>
    </row>
    <row r="1101" spans="1:1" x14ac:dyDescent="0.2">
      <c r="A1101" s="48" t="s">
        <v>9479</v>
      </c>
    </row>
    <row r="1102" spans="1:1" x14ac:dyDescent="0.2">
      <c r="A1102" s="48" t="s">
        <v>9480</v>
      </c>
    </row>
    <row r="1103" spans="1:1" x14ac:dyDescent="0.2">
      <c r="A1103" s="48" t="s">
        <v>9481</v>
      </c>
    </row>
    <row r="1104" spans="1:1" x14ac:dyDescent="0.2">
      <c r="A1104" s="48" t="s">
        <v>9482</v>
      </c>
    </row>
    <row r="1105" spans="1:1" x14ac:dyDescent="0.2">
      <c r="A1105" s="48" t="s">
        <v>9483</v>
      </c>
    </row>
    <row r="1106" spans="1:1" x14ac:dyDescent="0.2">
      <c r="A1106" s="48" t="s">
        <v>9484</v>
      </c>
    </row>
    <row r="1107" spans="1:1" x14ac:dyDescent="0.2">
      <c r="A1107" s="48" t="s">
        <v>9485</v>
      </c>
    </row>
    <row r="1108" spans="1:1" x14ac:dyDescent="0.2">
      <c r="A1108" s="48" t="s">
        <v>9486</v>
      </c>
    </row>
    <row r="1109" spans="1:1" x14ac:dyDescent="0.2">
      <c r="A1109" s="48" t="s">
        <v>9487</v>
      </c>
    </row>
    <row r="1110" spans="1:1" x14ac:dyDescent="0.2">
      <c r="A1110" s="48" t="s">
        <v>9488</v>
      </c>
    </row>
    <row r="1111" spans="1:1" x14ac:dyDescent="0.2">
      <c r="A1111" s="48" t="s">
        <v>9489</v>
      </c>
    </row>
    <row r="1112" spans="1:1" x14ac:dyDescent="0.2">
      <c r="A1112" s="48" t="s">
        <v>9490</v>
      </c>
    </row>
    <row r="1113" spans="1:1" x14ac:dyDescent="0.2">
      <c r="A1113" s="48" t="s">
        <v>9491</v>
      </c>
    </row>
    <row r="1114" spans="1:1" x14ac:dyDescent="0.2">
      <c r="A1114" s="48" t="s">
        <v>9492</v>
      </c>
    </row>
    <row r="1115" spans="1:1" x14ac:dyDescent="0.2">
      <c r="A1115" s="48" t="s">
        <v>9493</v>
      </c>
    </row>
    <row r="1116" spans="1:1" x14ac:dyDescent="0.2">
      <c r="A1116" s="48" t="s">
        <v>9494</v>
      </c>
    </row>
    <row r="1117" spans="1:1" x14ac:dyDescent="0.2">
      <c r="A1117" s="48" t="s">
        <v>9495</v>
      </c>
    </row>
    <row r="1118" spans="1:1" x14ac:dyDescent="0.2">
      <c r="A1118" s="48" t="s">
        <v>9496</v>
      </c>
    </row>
    <row r="1119" spans="1:1" x14ac:dyDescent="0.2">
      <c r="A1119" s="48" t="s">
        <v>9497</v>
      </c>
    </row>
    <row r="1120" spans="1:1" x14ac:dyDescent="0.2">
      <c r="A1120" s="48" t="s">
        <v>9498</v>
      </c>
    </row>
    <row r="1121" spans="1:1" x14ac:dyDescent="0.2">
      <c r="A1121" s="48" t="s">
        <v>9499</v>
      </c>
    </row>
    <row r="1122" spans="1:1" x14ac:dyDescent="0.2">
      <c r="A1122" s="48" t="s">
        <v>9500</v>
      </c>
    </row>
    <row r="1123" spans="1:1" x14ac:dyDescent="0.2">
      <c r="A1123" s="48" t="s">
        <v>9501</v>
      </c>
    </row>
    <row r="1124" spans="1:1" x14ac:dyDescent="0.2">
      <c r="A1124" s="48" t="s">
        <v>9502</v>
      </c>
    </row>
    <row r="1125" spans="1:1" x14ac:dyDescent="0.2">
      <c r="A1125" s="48" t="s">
        <v>9503</v>
      </c>
    </row>
    <row r="1126" spans="1:1" x14ac:dyDescent="0.2">
      <c r="A1126" s="48" t="s">
        <v>9504</v>
      </c>
    </row>
    <row r="1127" spans="1:1" x14ac:dyDescent="0.2">
      <c r="A1127" s="48" t="s">
        <v>9505</v>
      </c>
    </row>
    <row r="1128" spans="1:1" x14ac:dyDescent="0.2">
      <c r="A1128" s="48" t="s">
        <v>9506</v>
      </c>
    </row>
    <row r="1129" spans="1:1" x14ac:dyDescent="0.2">
      <c r="A1129" s="48" t="s">
        <v>9507</v>
      </c>
    </row>
    <row r="1130" spans="1:1" x14ac:dyDescent="0.2">
      <c r="A1130" s="48" t="s">
        <v>9508</v>
      </c>
    </row>
    <row r="1131" spans="1:1" x14ac:dyDescent="0.2">
      <c r="A1131" s="48" t="s">
        <v>9509</v>
      </c>
    </row>
    <row r="1132" spans="1:1" x14ac:dyDescent="0.2">
      <c r="A1132" s="48" t="s">
        <v>9510</v>
      </c>
    </row>
    <row r="1133" spans="1:1" x14ac:dyDescent="0.2">
      <c r="A1133" s="48" t="s">
        <v>9511</v>
      </c>
    </row>
    <row r="1134" spans="1:1" x14ac:dyDescent="0.2">
      <c r="A1134" s="48" t="s">
        <v>9512</v>
      </c>
    </row>
    <row r="1135" spans="1:1" x14ac:dyDescent="0.2">
      <c r="A1135" s="48" t="s">
        <v>9513</v>
      </c>
    </row>
    <row r="1136" spans="1:1" x14ac:dyDescent="0.2">
      <c r="A1136" s="48" t="s">
        <v>9514</v>
      </c>
    </row>
    <row r="1137" spans="1:1" x14ac:dyDescent="0.2">
      <c r="A1137" s="48" t="s">
        <v>9515</v>
      </c>
    </row>
    <row r="1138" spans="1:1" x14ac:dyDescent="0.2">
      <c r="A1138" s="48" t="s">
        <v>9516</v>
      </c>
    </row>
    <row r="1139" spans="1:1" x14ac:dyDescent="0.2">
      <c r="A1139" s="48" t="s">
        <v>9517</v>
      </c>
    </row>
    <row r="1140" spans="1:1" x14ac:dyDescent="0.2">
      <c r="A1140" s="48" t="s">
        <v>9518</v>
      </c>
    </row>
    <row r="1141" spans="1:1" x14ac:dyDescent="0.2">
      <c r="A1141" s="48" t="s">
        <v>9519</v>
      </c>
    </row>
    <row r="1142" spans="1:1" x14ac:dyDescent="0.2">
      <c r="A1142" s="48" t="s">
        <v>9520</v>
      </c>
    </row>
    <row r="1143" spans="1:1" x14ac:dyDescent="0.2">
      <c r="A1143" s="48" t="s">
        <v>9521</v>
      </c>
    </row>
    <row r="1144" spans="1:1" x14ac:dyDescent="0.2">
      <c r="A1144" s="48" t="s">
        <v>9522</v>
      </c>
    </row>
    <row r="1145" spans="1:1" x14ac:dyDescent="0.2">
      <c r="A1145" s="48" t="s">
        <v>9523</v>
      </c>
    </row>
    <row r="1146" spans="1:1" x14ac:dyDescent="0.2">
      <c r="A1146" s="48" t="s">
        <v>9524</v>
      </c>
    </row>
    <row r="1147" spans="1:1" x14ac:dyDescent="0.2">
      <c r="A1147" s="48" t="s">
        <v>9525</v>
      </c>
    </row>
    <row r="1148" spans="1:1" x14ac:dyDescent="0.2">
      <c r="A1148" s="48" t="s">
        <v>9526</v>
      </c>
    </row>
    <row r="1149" spans="1:1" x14ac:dyDescent="0.2">
      <c r="A1149" s="48" t="s">
        <v>9527</v>
      </c>
    </row>
    <row r="1150" spans="1:1" x14ac:dyDescent="0.2">
      <c r="A1150" s="48" t="s">
        <v>9528</v>
      </c>
    </row>
    <row r="1151" spans="1:1" x14ac:dyDescent="0.2">
      <c r="A1151" s="48" t="s">
        <v>9529</v>
      </c>
    </row>
    <row r="1152" spans="1:1" x14ac:dyDescent="0.2">
      <c r="A1152" s="48" t="s">
        <v>9530</v>
      </c>
    </row>
    <row r="1153" spans="1:1" x14ac:dyDescent="0.2">
      <c r="A1153" s="48" t="s">
        <v>9531</v>
      </c>
    </row>
    <row r="1154" spans="1:1" x14ac:dyDescent="0.2">
      <c r="A1154" s="48" t="s">
        <v>9532</v>
      </c>
    </row>
    <row r="1155" spans="1:1" x14ac:dyDescent="0.2">
      <c r="A1155" s="48" t="s">
        <v>9533</v>
      </c>
    </row>
    <row r="1156" spans="1:1" x14ac:dyDescent="0.2">
      <c r="A1156" s="48" t="s">
        <v>9534</v>
      </c>
    </row>
    <row r="1157" spans="1:1" x14ac:dyDescent="0.2">
      <c r="A1157" s="48" t="s">
        <v>9535</v>
      </c>
    </row>
    <row r="1158" spans="1:1" x14ac:dyDescent="0.2">
      <c r="A1158" s="48" t="s">
        <v>9536</v>
      </c>
    </row>
    <row r="1159" spans="1:1" x14ac:dyDescent="0.2">
      <c r="A1159" s="48" t="s">
        <v>9537</v>
      </c>
    </row>
    <row r="1160" spans="1:1" x14ac:dyDescent="0.2">
      <c r="A1160" s="48" t="s">
        <v>9538</v>
      </c>
    </row>
    <row r="1161" spans="1:1" x14ac:dyDescent="0.2">
      <c r="A1161" s="48" t="s">
        <v>9539</v>
      </c>
    </row>
    <row r="1162" spans="1:1" x14ac:dyDescent="0.2">
      <c r="A1162" s="48" t="s">
        <v>9540</v>
      </c>
    </row>
    <row r="1163" spans="1:1" x14ac:dyDescent="0.2">
      <c r="A1163" s="48" t="s">
        <v>9541</v>
      </c>
    </row>
    <row r="1164" spans="1:1" x14ac:dyDescent="0.2">
      <c r="A1164" s="48" t="s">
        <v>9542</v>
      </c>
    </row>
    <row r="1165" spans="1:1" x14ac:dyDescent="0.2">
      <c r="A1165" s="48" t="s">
        <v>9543</v>
      </c>
    </row>
    <row r="1166" spans="1:1" x14ac:dyDescent="0.2">
      <c r="A1166" s="48" t="s">
        <v>9544</v>
      </c>
    </row>
    <row r="1167" spans="1:1" x14ac:dyDescent="0.2">
      <c r="A1167" s="48" t="s">
        <v>9545</v>
      </c>
    </row>
    <row r="1168" spans="1:1" x14ac:dyDescent="0.2">
      <c r="A1168" s="48" t="s">
        <v>9546</v>
      </c>
    </row>
    <row r="1169" spans="1:1" x14ac:dyDescent="0.2">
      <c r="A1169" s="48" t="s">
        <v>9547</v>
      </c>
    </row>
    <row r="1170" spans="1:1" x14ac:dyDescent="0.2">
      <c r="A1170" s="48" t="s">
        <v>9548</v>
      </c>
    </row>
    <row r="1171" spans="1:1" x14ac:dyDescent="0.2">
      <c r="A1171" s="48" t="s">
        <v>9549</v>
      </c>
    </row>
    <row r="1172" spans="1:1" x14ac:dyDescent="0.2">
      <c r="A1172" s="48" t="s">
        <v>9550</v>
      </c>
    </row>
    <row r="1173" spans="1:1" x14ac:dyDescent="0.2">
      <c r="A1173" s="48" t="s">
        <v>9551</v>
      </c>
    </row>
    <row r="1174" spans="1:1" x14ac:dyDescent="0.2">
      <c r="A1174" s="48" t="s">
        <v>9552</v>
      </c>
    </row>
    <row r="1175" spans="1:1" x14ac:dyDescent="0.2">
      <c r="A1175" s="48" t="s">
        <v>9553</v>
      </c>
    </row>
    <row r="1176" spans="1:1" x14ac:dyDescent="0.2">
      <c r="A1176" s="48" t="s">
        <v>9554</v>
      </c>
    </row>
    <row r="1177" spans="1:1" x14ac:dyDescent="0.2">
      <c r="A1177" s="48" t="s">
        <v>9555</v>
      </c>
    </row>
    <row r="1178" spans="1:1" x14ac:dyDescent="0.2">
      <c r="A1178" s="48" t="s">
        <v>9556</v>
      </c>
    </row>
    <row r="1179" spans="1:1" x14ac:dyDescent="0.2">
      <c r="A1179" s="48" t="s">
        <v>9557</v>
      </c>
    </row>
    <row r="1180" spans="1:1" x14ac:dyDescent="0.2">
      <c r="A1180" s="48" t="s">
        <v>9558</v>
      </c>
    </row>
    <row r="1181" spans="1:1" x14ac:dyDescent="0.2">
      <c r="A1181" s="48" t="s">
        <v>9559</v>
      </c>
    </row>
    <row r="1182" spans="1:1" x14ac:dyDescent="0.2">
      <c r="A1182" s="48" t="s">
        <v>9560</v>
      </c>
    </row>
    <row r="1183" spans="1:1" x14ac:dyDescent="0.2">
      <c r="A1183" s="48" t="s">
        <v>9561</v>
      </c>
    </row>
    <row r="1184" spans="1:1" x14ac:dyDescent="0.2">
      <c r="A1184" s="48" t="s">
        <v>9562</v>
      </c>
    </row>
    <row r="1185" spans="1:1" x14ac:dyDescent="0.2">
      <c r="A1185" s="48" t="s">
        <v>9563</v>
      </c>
    </row>
    <row r="1186" spans="1:1" x14ac:dyDescent="0.2">
      <c r="A1186" s="48" t="s">
        <v>9564</v>
      </c>
    </row>
    <row r="1187" spans="1:1" x14ac:dyDescent="0.2">
      <c r="A1187" s="48" t="s">
        <v>9565</v>
      </c>
    </row>
    <row r="1188" spans="1:1" x14ac:dyDescent="0.2">
      <c r="A1188" s="48" t="s">
        <v>9566</v>
      </c>
    </row>
    <row r="1189" spans="1:1" x14ac:dyDescent="0.2">
      <c r="A1189" s="48" t="s">
        <v>9567</v>
      </c>
    </row>
    <row r="1190" spans="1:1" x14ac:dyDescent="0.2">
      <c r="A1190" s="48" t="s">
        <v>9568</v>
      </c>
    </row>
    <row r="1191" spans="1:1" x14ac:dyDescent="0.2">
      <c r="A1191" s="48" t="s">
        <v>9569</v>
      </c>
    </row>
    <row r="1192" spans="1:1" x14ac:dyDescent="0.2">
      <c r="A1192" s="48" t="s">
        <v>9570</v>
      </c>
    </row>
    <row r="1193" spans="1:1" x14ac:dyDescent="0.2">
      <c r="A1193" s="48" t="s">
        <v>9571</v>
      </c>
    </row>
    <row r="1194" spans="1:1" x14ac:dyDescent="0.2">
      <c r="A1194" s="48" t="s">
        <v>9572</v>
      </c>
    </row>
    <row r="1195" spans="1:1" x14ac:dyDescent="0.2">
      <c r="A1195" s="48" t="s">
        <v>9573</v>
      </c>
    </row>
    <row r="1196" spans="1:1" x14ac:dyDescent="0.2">
      <c r="A1196" s="48" t="s">
        <v>9574</v>
      </c>
    </row>
    <row r="1197" spans="1:1" x14ac:dyDescent="0.2">
      <c r="A1197" s="48" t="s">
        <v>9575</v>
      </c>
    </row>
    <row r="1198" spans="1:1" x14ac:dyDescent="0.2">
      <c r="A1198" s="48" t="s">
        <v>9576</v>
      </c>
    </row>
    <row r="1199" spans="1:1" x14ac:dyDescent="0.2">
      <c r="A1199" s="48" t="s">
        <v>9577</v>
      </c>
    </row>
    <row r="1200" spans="1:1" x14ac:dyDescent="0.2">
      <c r="A1200" s="48" t="s">
        <v>9578</v>
      </c>
    </row>
    <row r="1201" spans="1:1" x14ac:dyDescent="0.2">
      <c r="A1201" s="48" t="s">
        <v>9579</v>
      </c>
    </row>
    <row r="1202" spans="1:1" x14ac:dyDescent="0.2">
      <c r="A1202" s="48" t="s">
        <v>9580</v>
      </c>
    </row>
    <row r="1203" spans="1:1" x14ac:dyDescent="0.2">
      <c r="A1203" s="48" t="s">
        <v>9581</v>
      </c>
    </row>
    <row r="1204" spans="1:1" x14ac:dyDescent="0.2">
      <c r="A1204" s="48" t="s">
        <v>9582</v>
      </c>
    </row>
    <row r="1205" spans="1:1" x14ac:dyDescent="0.2">
      <c r="A1205" s="48" t="s">
        <v>9583</v>
      </c>
    </row>
    <row r="1206" spans="1:1" x14ac:dyDescent="0.2">
      <c r="A1206" s="48" t="s">
        <v>9584</v>
      </c>
    </row>
    <row r="1207" spans="1:1" x14ac:dyDescent="0.2">
      <c r="A1207" s="48" t="s">
        <v>9585</v>
      </c>
    </row>
    <row r="1208" spans="1:1" x14ac:dyDescent="0.2">
      <c r="A1208" s="48" t="s">
        <v>9586</v>
      </c>
    </row>
    <row r="1209" spans="1:1" x14ac:dyDescent="0.2">
      <c r="A1209" s="48" t="s">
        <v>9587</v>
      </c>
    </row>
    <row r="1210" spans="1:1" x14ac:dyDescent="0.2">
      <c r="A1210" s="48" t="s">
        <v>9588</v>
      </c>
    </row>
    <row r="1211" spans="1:1" x14ac:dyDescent="0.2">
      <c r="A1211" s="48" t="s">
        <v>9589</v>
      </c>
    </row>
    <row r="1212" spans="1:1" x14ac:dyDescent="0.2">
      <c r="A1212" s="48" t="s">
        <v>9590</v>
      </c>
    </row>
    <row r="1213" spans="1:1" x14ac:dyDescent="0.2">
      <c r="A1213" s="48" t="s">
        <v>9591</v>
      </c>
    </row>
    <row r="1214" spans="1:1" x14ac:dyDescent="0.2">
      <c r="A1214" s="48" t="s">
        <v>9592</v>
      </c>
    </row>
    <row r="1215" spans="1:1" x14ac:dyDescent="0.2">
      <c r="A1215" s="48" t="s">
        <v>9593</v>
      </c>
    </row>
    <row r="1216" spans="1:1" x14ac:dyDescent="0.2">
      <c r="A1216" s="48" t="s">
        <v>9594</v>
      </c>
    </row>
    <row r="1217" spans="1:1" x14ac:dyDescent="0.2">
      <c r="A1217" s="48" t="s">
        <v>9595</v>
      </c>
    </row>
    <row r="1218" spans="1:1" x14ac:dyDescent="0.2">
      <c r="A1218" s="48" t="s">
        <v>9596</v>
      </c>
    </row>
    <row r="1219" spans="1:1" x14ac:dyDescent="0.2">
      <c r="A1219" s="48" t="s">
        <v>9597</v>
      </c>
    </row>
    <row r="1220" spans="1:1" x14ac:dyDescent="0.2">
      <c r="A1220" s="48" t="s">
        <v>9598</v>
      </c>
    </row>
    <row r="1221" spans="1:1" x14ac:dyDescent="0.2">
      <c r="A1221" s="48" t="s">
        <v>9599</v>
      </c>
    </row>
    <row r="1222" spans="1:1" x14ac:dyDescent="0.2">
      <c r="A1222" s="48" t="s">
        <v>9600</v>
      </c>
    </row>
    <row r="1223" spans="1:1" x14ac:dyDescent="0.2">
      <c r="A1223" s="48" t="s">
        <v>9601</v>
      </c>
    </row>
    <row r="1224" spans="1:1" x14ac:dyDescent="0.2">
      <c r="A1224" s="48" t="s">
        <v>9602</v>
      </c>
    </row>
    <row r="1225" spans="1:1" x14ac:dyDescent="0.2">
      <c r="A1225" s="48" t="s">
        <v>9603</v>
      </c>
    </row>
    <row r="1226" spans="1:1" x14ac:dyDescent="0.2">
      <c r="A1226" s="48" t="s">
        <v>9604</v>
      </c>
    </row>
    <row r="1227" spans="1:1" x14ac:dyDescent="0.2">
      <c r="A1227" s="48" t="s">
        <v>9605</v>
      </c>
    </row>
    <row r="1228" spans="1:1" x14ac:dyDescent="0.2">
      <c r="A1228" s="48" t="s">
        <v>9606</v>
      </c>
    </row>
    <row r="1229" spans="1:1" x14ac:dyDescent="0.2">
      <c r="A1229" s="48" t="s">
        <v>9607</v>
      </c>
    </row>
    <row r="1230" spans="1:1" x14ac:dyDescent="0.2">
      <c r="A1230" s="48" t="s">
        <v>9608</v>
      </c>
    </row>
    <row r="1231" spans="1:1" x14ac:dyDescent="0.2">
      <c r="A1231" s="48" t="s">
        <v>9609</v>
      </c>
    </row>
    <row r="1232" spans="1:1" x14ac:dyDescent="0.2">
      <c r="A1232" s="48" t="s">
        <v>9610</v>
      </c>
    </row>
    <row r="1233" spans="1:1" x14ac:dyDescent="0.2">
      <c r="A1233" s="48" t="s">
        <v>9611</v>
      </c>
    </row>
    <row r="1234" spans="1:1" x14ac:dyDescent="0.2">
      <c r="A1234" s="48" t="s">
        <v>9612</v>
      </c>
    </row>
    <row r="1235" spans="1:1" x14ac:dyDescent="0.2">
      <c r="A1235" s="48" t="s">
        <v>9613</v>
      </c>
    </row>
    <row r="1236" spans="1:1" x14ac:dyDescent="0.2">
      <c r="A1236" s="48" t="s">
        <v>9614</v>
      </c>
    </row>
    <row r="1237" spans="1:1" x14ac:dyDescent="0.2">
      <c r="A1237" s="48" t="s">
        <v>9615</v>
      </c>
    </row>
    <row r="1238" spans="1:1" x14ac:dyDescent="0.2">
      <c r="A1238" s="48" t="s">
        <v>9616</v>
      </c>
    </row>
    <row r="1239" spans="1:1" x14ac:dyDescent="0.2">
      <c r="A1239" s="48" t="s">
        <v>9617</v>
      </c>
    </row>
    <row r="1240" spans="1:1" x14ac:dyDescent="0.2">
      <c r="A1240" s="48" t="s">
        <v>9618</v>
      </c>
    </row>
    <row r="1241" spans="1:1" x14ac:dyDescent="0.2">
      <c r="A1241" s="48" t="s">
        <v>9619</v>
      </c>
    </row>
    <row r="1242" spans="1:1" x14ac:dyDescent="0.2">
      <c r="A1242" s="48" t="s">
        <v>9620</v>
      </c>
    </row>
    <row r="1243" spans="1:1" x14ac:dyDescent="0.2">
      <c r="A1243" s="48" t="s">
        <v>9621</v>
      </c>
    </row>
    <row r="1244" spans="1:1" x14ac:dyDescent="0.2">
      <c r="A1244" s="48" t="s">
        <v>9622</v>
      </c>
    </row>
    <row r="1245" spans="1:1" x14ac:dyDescent="0.2">
      <c r="A1245" s="48" t="s">
        <v>9623</v>
      </c>
    </row>
    <row r="1246" spans="1:1" x14ac:dyDescent="0.2">
      <c r="A1246" s="48" t="s">
        <v>9624</v>
      </c>
    </row>
    <row r="1247" spans="1:1" x14ac:dyDescent="0.2">
      <c r="A1247" s="48" t="s">
        <v>9625</v>
      </c>
    </row>
    <row r="1248" spans="1:1" x14ac:dyDescent="0.2">
      <c r="A1248" s="48" t="s">
        <v>9626</v>
      </c>
    </row>
    <row r="1249" spans="1:1" x14ac:dyDescent="0.2">
      <c r="A1249" s="48" t="s">
        <v>9627</v>
      </c>
    </row>
    <row r="1250" spans="1:1" x14ac:dyDescent="0.2">
      <c r="A1250" s="48" t="s">
        <v>9628</v>
      </c>
    </row>
    <row r="1251" spans="1:1" x14ac:dyDescent="0.2">
      <c r="A1251" s="48" t="s">
        <v>9629</v>
      </c>
    </row>
    <row r="1252" spans="1:1" x14ac:dyDescent="0.2">
      <c r="A1252" s="48" t="s">
        <v>9630</v>
      </c>
    </row>
    <row r="1253" spans="1:1" x14ac:dyDescent="0.2">
      <c r="A1253" s="48" t="s">
        <v>9631</v>
      </c>
    </row>
    <row r="1254" spans="1:1" x14ac:dyDescent="0.2">
      <c r="A1254" s="48" t="s">
        <v>9632</v>
      </c>
    </row>
    <row r="1255" spans="1:1" x14ac:dyDescent="0.2">
      <c r="A1255" s="48" t="s">
        <v>9633</v>
      </c>
    </row>
    <row r="1256" spans="1:1" x14ac:dyDescent="0.2">
      <c r="A1256" s="48" t="s">
        <v>9634</v>
      </c>
    </row>
    <row r="1257" spans="1:1" x14ac:dyDescent="0.2">
      <c r="A1257" s="48" t="s">
        <v>9635</v>
      </c>
    </row>
    <row r="1258" spans="1:1" x14ac:dyDescent="0.2">
      <c r="A1258" s="48" t="s">
        <v>9636</v>
      </c>
    </row>
    <row r="1259" spans="1:1" x14ac:dyDescent="0.2">
      <c r="A1259" s="48" t="s">
        <v>9637</v>
      </c>
    </row>
    <row r="1260" spans="1:1" x14ac:dyDescent="0.2">
      <c r="A1260" s="48" t="s">
        <v>9638</v>
      </c>
    </row>
    <row r="1261" spans="1:1" x14ac:dyDescent="0.2">
      <c r="A1261" s="48" t="s">
        <v>9639</v>
      </c>
    </row>
    <row r="1262" spans="1:1" x14ac:dyDescent="0.2">
      <c r="A1262" s="48" t="s">
        <v>9640</v>
      </c>
    </row>
    <row r="1263" spans="1:1" x14ac:dyDescent="0.2">
      <c r="A1263" s="48" t="s">
        <v>9641</v>
      </c>
    </row>
    <row r="1264" spans="1:1" x14ac:dyDescent="0.2">
      <c r="A1264" s="48" t="s">
        <v>9642</v>
      </c>
    </row>
    <row r="1265" spans="1:1" x14ac:dyDescent="0.2">
      <c r="A1265" s="48" t="s">
        <v>9643</v>
      </c>
    </row>
    <row r="1266" spans="1:1" x14ac:dyDescent="0.2">
      <c r="A1266" s="48" t="s">
        <v>9644</v>
      </c>
    </row>
    <row r="1267" spans="1:1" x14ac:dyDescent="0.2">
      <c r="A1267" s="48" t="s">
        <v>9645</v>
      </c>
    </row>
    <row r="1268" spans="1:1" x14ac:dyDescent="0.2">
      <c r="A1268" s="48" t="s">
        <v>9646</v>
      </c>
    </row>
    <row r="1269" spans="1:1" x14ac:dyDescent="0.2">
      <c r="A1269" s="48" t="s">
        <v>9647</v>
      </c>
    </row>
    <row r="1270" spans="1:1" x14ac:dyDescent="0.2">
      <c r="A1270" s="48" t="s">
        <v>9648</v>
      </c>
    </row>
    <row r="1271" spans="1:1" x14ac:dyDescent="0.2">
      <c r="A1271" s="48" t="s">
        <v>9649</v>
      </c>
    </row>
    <row r="1272" spans="1:1" x14ac:dyDescent="0.2">
      <c r="A1272" s="48" t="s">
        <v>9650</v>
      </c>
    </row>
    <row r="1273" spans="1:1" x14ac:dyDescent="0.2">
      <c r="A1273" s="48" t="s">
        <v>9651</v>
      </c>
    </row>
    <row r="1274" spans="1:1" x14ac:dyDescent="0.2">
      <c r="A1274" s="48" t="s">
        <v>9652</v>
      </c>
    </row>
    <row r="1275" spans="1:1" x14ac:dyDescent="0.2">
      <c r="A1275" s="48" t="s">
        <v>9653</v>
      </c>
    </row>
    <row r="1276" spans="1:1" x14ac:dyDescent="0.2">
      <c r="A1276" s="48" t="s">
        <v>9654</v>
      </c>
    </row>
    <row r="1277" spans="1:1" x14ac:dyDescent="0.2">
      <c r="A1277" s="48" t="s">
        <v>9655</v>
      </c>
    </row>
    <row r="1278" spans="1:1" x14ac:dyDescent="0.2">
      <c r="A1278" s="48" t="s">
        <v>9656</v>
      </c>
    </row>
    <row r="1279" spans="1:1" x14ac:dyDescent="0.2">
      <c r="A1279" s="48" t="s">
        <v>9657</v>
      </c>
    </row>
    <row r="1280" spans="1:1" x14ac:dyDescent="0.2">
      <c r="A1280" s="48" t="s">
        <v>9658</v>
      </c>
    </row>
    <row r="1281" spans="1:1" x14ac:dyDescent="0.2">
      <c r="A1281" s="48" t="s">
        <v>9659</v>
      </c>
    </row>
    <row r="1282" spans="1:1" x14ac:dyDescent="0.2">
      <c r="A1282" s="48" t="s">
        <v>9660</v>
      </c>
    </row>
    <row r="1283" spans="1:1" x14ac:dyDescent="0.2">
      <c r="A1283" s="48" t="s">
        <v>9661</v>
      </c>
    </row>
    <row r="1284" spans="1:1" x14ac:dyDescent="0.2">
      <c r="A1284" s="48" t="s">
        <v>9662</v>
      </c>
    </row>
    <row r="1285" spans="1:1" x14ac:dyDescent="0.2">
      <c r="A1285" s="48" t="s">
        <v>9663</v>
      </c>
    </row>
    <row r="1286" spans="1:1" x14ac:dyDescent="0.2">
      <c r="A1286" s="48" t="s">
        <v>9664</v>
      </c>
    </row>
    <row r="1287" spans="1:1" x14ac:dyDescent="0.2">
      <c r="A1287" s="48" t="s">
        <v>9665</v>
      </c>
    </row>
    <row r="1288" spans="1:1" x14ac:dyDescent="0.2">
      <c r="A1288" s="48" t="s">
        <v>9666</v>
      </c>
    </row>
    <row r="1289" spans="1:1" x14ac:dyDescent="0.2">
      <c r="A1289" s="48" t="s">
        <v>9667</v>
      </c>
    </row>
    <row r="1290" spans="1:1" x14ac:dyDescent="0.2">
      <c r="A1290" s="48" t="s">
        <v>9668</v>
      </c>
    </row>
    <row r="1291" spans="1:1" x14ac:dyDescent="0.2">
      <c r="A1291" s="48" t="s">
        <v>9669</v>
      </c>
    </row>
    <row r="1292" spans="1:1" x14ac:dyDescent="0.2">
      <c r="A1292" s="48" t="s">
        <v>9670</v>
      </c>
    </row>
    <row r="1293" spans="1:1" x14ac:dyDescent="0.2">
      <c r="A1293" s="48" t="s">
        <v>9671</v>
      </c>
    </row>
    <row r="1294" spans="1:1" x14ac:dyDescent="0.2">
      <c r="A1294" s="48" t="s">
        <v>9672</v>
      </c>
    </row>
    <row r="1295" spans="1:1" x14ac:dyDescent="0.2">
      <c r="A1295" s="48" t="s">
        <v>9673</v>
      </c>
    </row>
    <row r="1296" spans="1:1" x14ac:dyDescent="0.2">
      <c r="A1296" s="48" t="s">
        <v>9674</v>
      </c>
    </row>
    <row r="1297" spans="1:1" x14ac:dyDescent="0.2">
      <c r="A1297" s="48" t="s">
        <v>9675</v>
      </c>
    </row>
    <row r="1298" spans="1:1" x14ac:dyDescent="0.2">
      <c r="A1298" s="48" t="s">
        <v>9676</v>
      </c>
    </row>
    <row r="1299" spans="1:1" x14ac:dyDescent="0.2">
      <c r="A1299" s="48" t="s">
        <v>9677</v>
      </c>
    </row>
    <row r="1300" spans="1:1" x14ac:dyDescent="0.2">
      <c r="A1300" s="48" t="s">
        <v>9678</v>
      </c>
    </row>
    <row r="1301" spans="1:1" x14ac:dyDescent="0.2">
      <c r="A1301" s="48" t="s">
        <v>9679</v>
      </c>
    </row>
    <row r="1302" spans="1:1" x14ac:dyDescent="0.2">
      <c r="A1302" s="48" t="s">
        <v>9680</v>
      </c>
    </row>
    <row r="1303" spans="1:1" x14ac:dyDescent="0.2">
      <c r="A1303" s="48" t="s">
        <v>9681</v>
      </c>
    </row>
    <row r="1304" spans="1:1" x14ac:dyDescent="0.2">
      <c r="A1304" s="48" t="s">
        <v>9682</v>
      </c>
    </row>
    <row r="1305" spans="1:1" x14ac:dyDescent="0.2">
      <c r="A1305" s="48" t="s">
        <v>9683</v>
      </c>
    </row>
    <row r="1306" spans="1:1" x14ac:dyDescent="0.2">
      <c r="A1306" s="48" t="s">
        <v>9684</v>
      </c>
    </row>
    <row r="1307" spans="1:1" x14ac:dyDescent="0.2">
      <c r="A1307" s="48" t="s">
        <v>9685</v>
      </c>
    </row>
    <row r="1308" spans="1:1" x14ac:dyDescent="0.2">
      <c r="A1308" s="48" t="s">
        <v>9686</v>
      </c>
    </row>
    <row r="1309" spans="1:1" x14ac:dyDescent="0.2">
      <c r="A1309" s="48" t="s">
        <v>9687</v>
      </c>
    </row>
    <row r="1310" spans="1:1" x14ac:dyDescent="0.2">
      <c r="A1310" s="48" t="s">
        <v>9688</v>
      </c>
    </row>
    <row r="1311" spans="1:1" x14ac:dyDescent="0.2">
      <c r="A1311" s="48" t="s">
        <v>9689</v>
      </c>
    </row>
    <row r="1312" spans="1:1" x14ac:dyDescent="0.2">
      <c r="A1312" s="48" t="s">
        <v>9690</v>
      </c>
    </row>
    <row r="1313" spans="1:1" x14ac:dyDescent="0.2">
      <c r="A1313" s="48" t="s">
        <v>9691</v>
      </c>
    </row>
    <row r="1314" spans="1:1" x14ac:dyDescent="0.2">
      <c r="A1314" s="48" t="s">
        <v>9692</v>
      </c>
    </row>
    <row r="1315" spans="1:1" x14ac:dyDescent="0.2">
      <c r="A1315" s="48" t="s">
        <v>9693</v>
      </c>
    </row>
    <row r="1316" spans="1:1" x14ac:dyDescent="0.2">
      <c r="A1316" s="48" t="s">
        <v>9694</v>
      </c>
    </row>
    <row r="1317" spans="1:1" x14ac:dyDescent="0.2">
      <c r="A1317" s="48" t="s">
        <v>9695</v>
      </c>
    </row>
    <row r="1318" spans="1:1" x14ac:dyDescent="0.2">
      <c r="A1318" s="48" t="s">
        <v>9696</v>
      </c>
    </row>
    <row r="1319" spans="1:1" x14ac:dyDescent="0.2">
      <c r="A1319" s="48" t="s">
        <v>9697</v>
      </c>
    </row>
    <row r="1320" spans="1:1" x14ac:dyDescent="0.2">
      <c r="A1320" s="48" t="s">
        <v>9698</v>
      </c>
    </row>
    <row r="1321" spans="1:1" x14ac:dyDescent="0.2">
      <c r="A1321" s="48" t="s">
        <v>9699</v>
      </c>
    </row>
    <row r="1322" spans="1:1" x14ac:dyDescent="0.2">
      <c r="A1322" s="48" t="s">
        <v>9700</v>
      </c>
    </row>
    <row r="1323" spans="1:1" x14ac:dyDescent="0.2">
      <c r="A1323" s="48" t="s">
        <v>9701</v>
      </c>
    </row>
    <row r="1324" spans="1:1" x14ac:dyDescent="0.2">
      <c r="A1324" s="48" t="s">
        <v>9702</v>
      </c>
    </row>
    <row r="1325" spans="1:1" x14ac:dyDescent="0.2">
      <c r="A1325" s="48" t="s">
        <v>9703</v>
      </c>
    </row>
    <row r="1326" spans="1:1" x14ac:dyDescent="0.2">
      <c r="A1326" s="48" t="s">
        <v>9704</v>
      </c>
    </row>
    <row r="1327" spans="1:1" x14ac:dyDescent="0.2">
      <c r="A1327" s="48" t="s">
        <v>9705</v>
      </c>
    </row>
    <row r="1328" spans="1:1" x14ac:dyDescent="0.2">
      <c r="A1328" s="48" t="s">
        <v>9706</v>
      </c>
    </row>
    <row r="1329" spans="1:1" x14ac:dyDescent="0.2">
      <c r="A1329" s="48" t="s">
        <v>9707</v>
      </c>
    </row>
    <row r="1330" spans="1:1" x14ac:dyDescent="0.2">
      <c r="A1330" s="48" t="s">
        <v>9708</v>
      </c>
    </row>
    <row r="1331" spans="1:1" x14ac:dyDescent="0.2">
      <c r="A1331" s="48" t="s">
        <v>9709</v>
      </c>
    </row>
    <row r="1332" spans="1:1" x14ac:dyDescent="0.2">
      <c r="A1332" s="48" t="s">
        <v>9710</v>
      </c>
    </row>
    <row r="1333" spans="1:1" x14ac:dyDescent="0.2">
      <c r="A1333" s="48" t="s">
        <v>9711</v>
      </c>
    </row>
    <row r="1334" spans="1:1" x14ac:dyDescent="0.2">
      <c r="A1334" s="48" t="s">
        <v>9712</v>
      </c>
    </row>
    <row r="1335" spans="1:1" x14ac:dyDescent="0.2">
      <c r="A1335" s="48" t="s">
        <v>9713</v>
      </c>
    </row>
    <row r="1336" spans="1:1" x14ac:dyDescent="0.2">
      <c r="A1336" s="48" t="s">
        <v>9714</v>
      </c>
    </row>
    <row r="1337" spans="1:1" x14ac:dyDescent="0.2">
      <c r="A1337" s="48" t="s">
        <v>9715</v>
      </c>
    </row>
    <row r="1338" spans="1:1" x14ac:dyDescent="0.2">
      <c r="A1338" s="48" t="s">
        <v>9716</v>
      </c>
    </row>
    <row r="1339" spans="1:1" x14ac:dyDescent="0.2">
      <c r="A1339" s="48" t="s">
        <v>9717</v>
      </c>
    </row>
    <row r="1340" spans="1:1" x14ac:dyDescent="0.2">
      <c r="A1340" s="48" t="s">
        <v>9718</v>
      </c>
    </row>
    <row r="1341" spans="1:1" x14ac:dyDescent="0.2">
      <c r="A1341" s="48" t="s">
        <v>9719</v>
      </c>
    </row>
    <row r="1342" spans="1:1" x14ac:dyDescent="0.2">
      <c r="A1342" s="48" t="s">
        <v>9720</v>
      </c>
    </row>
    <row r="1343" spans="1:1" x14ac:dyDescent="0.2">
      <c r="A1343" s="48" t="s">
        <v>9721</v>
      </c>
    </row>
    <row r="1344" spans="1:1" x14ac:dyDescent="0.2">
      <c r="A1344" s="48" t="s">
        <v>9722</v>
      </c>
    </row>
    <row r="1345" spans="1:1" x14ac:dyDescent="0.2">
      <c r="A1345" s="48" t="s">
        <v>9723</v>
      </c>
    </row>
    <row r="1346" spans="1:1" x14ac:dyDescent="0.2">
      <c r="A1346" s="48" t="s">
        <v>9724</v>
      </c>
    </row>
    <row r="1347" spans="1:1" x14ac:dyDescent="0.2">
      <c r="A1347" s="48" t="s">
        <v>9725</v>
      </c>
    </row>
    <row r="1348" spans="1:1" x14ac:dyDescent="0.2">
      <c r="A1348" s="48" t="s">
        <v>9726</v>
      </c>
    </row>
    <row r="1349" spans="1:1" x14ac:dyDescent="0.2">
      <c r="A1349" s="48" t="s">
        <v>9727</v>
      </c>
    </row>
    <row r="1350" spans="1:1" x14ac:dyDescent="0.2">
      <c r="A1350" s="48" t="s">
        <v>9728</v>
      </c>
    </row>
    <row r="1351" spans="1:1" x14ac:dyDescent="0.2">
      <c r="A1351" s="48" t="s">
        <v>9729</v>
      </c>
    </row>
    <row r="1352" spans="1:1" x14ac:dyDescent="0.2">
      <c r="A1352" s="48" t="s">
        <v>9730</v>
      </c>
    </row>
    <row r="1353" spans="1:1" x14ac:dyDescent="0.2">
      <c r="A1353" s="48" t="s">
        <v>9731</v>
      </c>
    </row>
    <row r="1354" spans="1:1" x14ac:dyDescent="0.2">
      <c r="A1354" s="48" t="s">
        <v>9732</v>
      </c>
    </row>
    <row r="1355" spans="1:1" x14ac:dyDescent="0.2">
      <c r="A1355" s="48" t="s">
        <v>9733</v>
      </c>
    </row>
    <row r="1356" spans="1:1" x14ac:dyDescent="0.2">
      <c r="A1356" s="48" t="s">
        <v>9734</v>
      </c>
    </row>
    <row r="1357" spans="1:1" x14ac:dyDescent="0.2">
      <c r="A1357" s="48" t="s">
        <v>9735</v>
      </c>
    </row>
    <row r="1358" spans="1:1" x14ac:dyDescent="0.2">
      <c r="A1358" s="48" t="s">
        <v>9736</v>
      </c>
    </row>
    <row r="1359" spans="1:1" x14ac:dyDescent="0.2">
      <c r="A1359" s="48" t="s">
        <v>9737</v>
      </c>
    </row>
    <row r="1360" spans="1:1" x14ac:dyDescent="0.2">
      <c r="A1360" s="48" t="s">
        <v>9738</v>
      </c>
    </row>
    <row r="1361" spans="1:1" x14ac:dyDescent="0.2">
      <c r="A1361" s="48" t="s">
        <v>9739</v>
      </c>
    </row>
    <row r="1362" spans="1:1" x14ac:dyDescent="0.2">
      <c r="A1362" s="48" t="s">
        <v>9740</v>
      </c>
    </row>
    <row r="1363" spans="1:1" x14ac:dyDescent="0.2">
      <c r="A1363" s="48" t="s">
        <v>9741</v>
      </c>
    </row>
    <row r="1364" spans="1:1" x14ac:dyDescent="0.2">
      <c r="A1364" s="48" t="s">
        <v>9742</v>
      </c>
    </row>
    <row r="1365" spans="1:1" x14ac:dyDescent="0.2">
      <c r="A1365" s="48" t="s">
        <v>9743</v>
      </c>
    </row>
    <row r="1366" spans="1:1" x14ac:dyDescent="0.2">
      <c r="A1366" s="48" t="s">
        <v>9744</v>
      </c>
    </row>
    <row r="1367" spans="1:1" x14ac:dyDescent="0.2">
      <c r="A1367" s="48" t="s">
        <v>9745</v>
      </c>
    </row>
    <row r="1368" spans="1:1" x14ac:dyDescent="0.2">
      <c r="A1368" s="48" t="s">
        <v>9746</v>
      </c>
    </row>
    <row r="1369" spans="1:1" x14ac:dyDescent="0.2">
      <c r="A1369" s="48" t="s">
        <v>9747</v>
      </c>
    </row>
    <row r="1370" spans="1:1" x14ac:dyDescent="0.2">
      <c r="A1370" s="48" t="s">
        <v>9748</v>
      </c>
    </row>
    <row r="1371" spans="1:1" x14ac:dyDescent="0.2">
      <c r="A1371" s="48" t="s">
        <v>9749</v>
      </c>
    </row>
    <row r="1372" spans="1:1" x14ac:dyDescent="0.2">
      <c r="A1372" s="48" t="s">
        <v>9750</v>
      </c>
    </row>
    <row r="1373" spans="1:1" x14ac:dyDescent="0.2">
      <c r="A1373" s="48" t="s">
        <v>9751</v>
      </c>
    </row>
    <row r="1374" spans="1:1" x14ac:dyDescent="0.2">
      <c r="A1374" s="48" t="s">
        <v>9752</v>
      </c>
    </row>
    <row r="1375" spans="1:1" x14ac:dyDescent="0.2">
      <c r="A1375" s="48" t="s">
        <v>9753</v>
      </c>
    </row>
    <row r="1376" spans="1:1" x14ac:dyDescent="0.2">
      <c r="A1376" s="48" t="s">
        <v>9754</v>
      </c>
    </row>
    <row r="1377" spans="1:1" x14ac:dyDescent="0.2">
      <c r="A1377" s="48" t="s">
        <v>9755</v>
      </c>
    </row>
    <row r="1378" spans="1:1" x14ac:dyDescent="0.2">
      <c r="A1378" s="48" t="s">
        <v>9756</v>
      </c>
    </row>
    <row r="1379" spans="1:1" x14ac:dyDescent="0.2">
      <c r="A1379" s="48" t="s">
        <v>9757</v>
      </c>
    </row>
    <row r="1380" spans="1:1" x14ac:dyDescent="0.2">
      <c r="A1380" s="48" t="s">
        <v>9758</v>
      </c>
    </row>
    <row r="1381" spans="1:1" x14ac:dyDescent="0.2">
      <c r="A1381" s="48" t="s">
        <v>9759</v>
      </c>
    </row>
    <row r="1382" spans="1:1" x14ac:dyDescent="0.2">
      <c r="A1382" s="48" t="s">
        <v>9760</v>
      </c>
    </row>
    <row r="1383" spans="1:1" x14ac:dyDescent="0.2">
      <c r="A1383" s="48" t="s">
        <v>9761</v>
      </c>
    </row>
    <row r="1384" spans="1:1" x14ac:dyDescent="0.2">
      <c r="A1384" s="48" t="s">
        <v>9762</v>
      </c>
    </row>
    <row r="1385" spans="1:1" x14ac:dyDescent="0.2">
      <c r="A1385" s="48" t="s">
        <v>9763</v>
      </c>
    </row>
    <row r="1386" spans="1:1" x14ac:dyDescent="0.2">
      <c r="A1386" s="48" t="s">
        <v>9764</v>
      </c>
    </row>
    <row r="1387" spans="1:1" x14ac:dyDescent="0.2">
      <c r="A1387" s="48" t="s">
        <v>9765</v>
      </c>
    </row>
    <row r="1388" spans="1:1" x14ac:dyDescent="0.2">
      <c r="A1388" s="48" t="s">
        <v>9766</v>
      </c>
    </row>
    <row r="1389" spans="1:1" x14ac:dyDescent="0.2">
      <c r="A1389" s="48" t="s">
        <v>9767</v>
      </c>
    </row>
    <row r="1390" spans="1:1" x14ac:dyDescent="0.2">
      <c r="A1390" s="48" t="s">
        <v>9768</v>
      </c>
    </row>
    <row r="1391" spans="1:1" x14ac:dyDescent="0.2">
      <c r="A1391" s="48" t="s">
        <v>9769</v>
      </c>
    </row>
    <row r="1392" spans="1:1" x14ac:dyDescent="0.2">
      <c r="A1392" s="48" t="s">
        <v>9770</v>
      </c>
    </row>
    <row r="1393" spans="1:1" x14ac:dyDescent="0.2">
      <c r="A1393" s="48" t="s">
        <v>9771</v>
      </c>
    </row>
    <row r="1394" spans="1:1" x14ac:dyDescent="0.2">
      <c r="A1394" s="48" t="s">
        <v>9772</v>
      </c>
    </row>
    <row r="1395" spans="1:1" x14ac:dyDescent="0.2">
      <c r="A1395" s="48" t="s">
        <v>9773</v>
      </c>
    </row>
    <row r="1396" spans="1:1" x14ac:dyDescent="0.2">
      <c r="A1396" s="48" t="s">
        <v>9774</v>
      </c>
    </row>
    <row r="1397" spans="1:1" x14ac:dyDescent="0.2">
      <c r="A1397" s="48" t="s">
        <v>9775</v>
      </c>
    </row>
    <row r="1398" spans="1:1" x14ac:dyDescent="0.2">
      <c r="A1398" s="48" t="s">
        <v>9776</v>
      </c>
    </row>
    <row r="1399" spans="1:1" x14ac:dyDescent="0.2">
      <c r="A1399" s="48" t="s">
        <v>9777</v>
      </c>
    </row>
    <row r="1400" spans="1:1" x14ac:dyDescent="0.2">
      <c r="A1400" s="48" t="s">
        <v>9778</v>
      </c>
    </row>
    <row r="1401" spans="1:1" x14ac:dyDescent="0.2">
      <c r="A1401" s="48" t="s">
        <v>9779</v>
      </c>
    </row>
    <row r="1402" spans="1:1" x14ac:dyDescent="0.2">
      <c r="A1402" s="48" t="s">
        <v>9780</v>
      </c>
    </row>
    <row r="1403" spans="1:1" x14ac:dyDescent="0.2">
      <c r="A1403" s="48" t="s">
        <v>9781</v>
      </c>
    </row>
    <row r="1404" spans="1:1" x14ac:dyDescent="0.2">
      <c r="A1404" s="48" t="s">
        <v>9782</v>
      </c>
    </row>
    <row r="1405" spans="1:1" x14ac:dyDescent="0.2">
      <c r="A1405" s="48" t="s">
        <v>9783</v>
      </c>
    </row>
    <row r="1406" spans="1:1" x14ac:dyDescent="0.2">
      <c r="A1406" s="48" t="s">
        <v>9784</v>
      </c>
    </row>
    <row r="1407" spans="1:1" x14ac:dyDescent="0.2">
      <c r="A1407" s="48" t="s">
        <v>9785</v>
      </c>
    </row>
    <row r="1408" spans="1:1" x14ac:dyDescent="0.2">
      <c r="A1408" s="48" t="s">
        <v>9786</v>
      </c>
    </row>
    <row r="1409" spans="1:1" x14ac:dyDescent="0.2">
      <c r="A1409" s="48" t="s">
        <v>9787</v>
      </c>
    </row>
    <row r="1410" spans="1:1" x14ac:dyDescent="0.2">
      <c r="A1410" s="48" t="s">
        <v>9788</v>
      </c>
    </row>
    <row r="1411" spans="1:1" x14ac:dyDescent="0.2">
      <c r="A1411" s="48" t="s">
        <v>9789</v>
      </c>
    </row>
    <row r="1412" spans="1:1" x14ac:dyDescent="0.2">
      <c r="A1412" s="48" t="s">
        <v>9790</v>
      </c>
    </row>
    <row r="1413" spans="1:1" x14ac:dyDescent="0.2">
      <c r="A1413" s="48" t="s">
        <v>9791</v>
      </c>
    </row>
    <row r="1414" spans="1:1" x14ac:dyDescent="0.2">
      <c r="A1414" s="48" t="s">
        <v>9792</v>
      </c>
    </row>
    <row r="1415" spans="1:1" x14ac:dyDescent="0.2">
      <c r="A1415" s="48" t="s">
        <v>9793</v>
      </c>
    </row>
    <row r="1416" spans="1:1" x14ac:dyDescent="0.2">
      <c r="A1416" s="48" t="s">
        <v>9794</v>
      </c>
    </row>
    <row r="1417" spans="1:1" x14ac:dyDescent="0.2">
      <c r="A1417" s="49" t="s">
        <v>9795</v>
      </c>
    </row>
    <row r="1418" spans="1:1" x14ac:dyDescent="0.2">
      <c r="A1418" s="48" t="s">
        <v>9796</v>
      </c>
    </row>
    <row r="1419" spans="1:1" x14ac:dyDescent="0.2">
      <c r="A1419" s="48" t="s">
        <v>9797</v>
      </c>
    </row>
    <row r="1420" spans="1:1" x14ac:dyDescent="0.2">
      <c r="A1420" s="48" t="s">
        <v>9798</v>
      </c>
    </row>
    <row r="1421" spans="1:1" x14ac:dyDescent="0.2">
      <c r="A1421" s="48" t="s">
        <v>9799</v>
      </c>
    </row>
    <row r="1422" spans="1:1" x14ac:dyDescent="0.2">
      <c r="A1422" s="48" t="s">
        <v>9800</v>
      </c>
    </row>
    <row r="1423" spans="1:1" x14ac:dyDescent="0.2">
      <c r="A1423" s="48" t="s">
        <v>9801</v>
      </c>
    </row>
    <row r="1424" spans="1:1" x14ac:dyDescent="0.2">
      <c r="A1424" s="48" t="s">
        <v>9802</v>
      </c>
    </row>
    <row r="1425" spans="1:1" x14ac:dyDescent="0.2">
      <c r="A1425" s="48" t="s">
        <v>9803</v>
      </c>
    </row>
    <row r="1426" spans="1:1" x14ac:dyDescent="0.2">
      <c r="A1426" s="48" t="s">
        <v>9804</v>
      </c>
    </row>
    <row r="1427" spans="1:1" x14ac:dyDescent="0.2">
      <c r="A1427" s="48" t="s">
        <v>9805</v>
      </c>
    </row>
    <row r="1428" spans="1:1" x14ac:dyDescent="0.2">
      <c r="A1428" s="48" t="s">
        <v>9806</v>
      </c>
    </row>
    <row r="1429" spans="1:1" x14ac:dyDescent="0.2">
      <c r="A1429" s="48" t="s">
        <v>9807</v>
      </c>
    </row>
    <row r="1430" spans="1:1" x14ac:dyDescent="0.2">
      <c r="A1430" s="48" t="s">
        <v>9808</v>
      </c>
    </row>
    <row r="1431" spans="1:1" x14ac:dyDescent="0.2">
      <c r="A1431" s="48" t="s">
        <v>9809</v>
      </c>
    </row>
    <row r="1432" spans="1:1" x14ac:dyDescent="0.2">
      <c r="A1432" s="48" t="s">
        <v>9810</v>
      </c>
    </row>
    <row r="1433" spans="1:1" x14ac:dyDescent="0.2">
      <c r="A1433" s="48" t="s">
        <v>9811</v>
      </c>
    </row>
    <row r="1434" spans="1:1" x14ac:dyDescent="0.2">
      <c r="A1434" s="48" t="s">
        <v>9812</v>
      </c>
    </row>
    <row r="1435" spans="1:1" x14ac:dyDescent="0.2">
      <c r="A1435" s="48" t="s">
        <v>9813</v>
      </c>
    </row>
    <row r="1436" spans="1:1" x14ac:dyDescent="0.2">
      <c r="A1436" s="48" t="s">
        <v>9814</v>
      </c>
    </row>
    <row r="1437" spans="1:1" x14ac:dyDescent="0.2">
      <c r="A1437" s="48" t="s">
        <v>9815</v>
      </c>
    </row>
    <row r="1438" spans="1:1" x14ac:dyDescent="0.2">
      <c r="A1438" s="48" t="s">
        <v>9816</v>
      </c>
    </row>
    <row r="1439" spans="1:1" x14ac:dyDescent="0.2">
      <c r="A1439" s="48" t="s">
        <v>9817</v>
      </c>
    </row>
    <row r="1440" spans="1:1" x14ac:dyDescent="0.2">
      <c r="A1440" s="48" t="s">
        <v>9818</v>
      </c>
    </row>
    <row r="1441" spans="1:1" x14ac:dyDescent="0.2">
      <c r="A1441" s="48" t="s">
        <v>9819</v>
      </c>
    </row>
    <row r="1442" spans="1:1" x14ac:dyDescent="0.2">
      <c r="A1442" s="48" t="s">
        <v>9820</v>
      </c>
    </row>
    <row r="1443" spans="1:1" x14ac:dyDescent="0.2">
      <c r="A1443" s="48" t="s">
        <v>9821</v>
      </c>
    </row>
    <row r="1444" spans="1:1" x14ac:dyDescent="0.2">
      <c r="A1444" s="48" t="s">
        <v>9822</v>
      </c>
    </row>
    <row r="1445" spans="1:1" x14ac:dyDescent="0.2">
      <c r="A1445" s="48" t="s">
        <v>9823</v>
      </c>
    </row>
    <row r="1446" spans="1:1" x14ac:dyDescent="0.2">
      <c r="A1446" s="48" t="s">
        <v>9824</v>
      </c>
    </row>
    <row r="1447" spans="1:1" x14ac:dyDescent="0.2">
      <c r="A1447" s="48" t="s">
        <v>9825</v>
      </c>
    </row>
    <row r="1448" spans="1:1" x14ac:dyDescent="0.2">
      <c r="A1448" s="48" t="s">
        <v>9826</v>
      </c>
    </row>
    <row r="1449" spans="1:1" x14ac:dyDescent="0.2">
      <c r="A1449" s="48" t="s">
        <v>9827</v>
      </c>
    </row>
    <row r="1450" spans="1:1" x14ac:dyDescent="0.2">
      <c r="A1450" s="48" t="s">
        <v>9828</v>
      </c>
    </row>
    <row r="1451" spans="1:1" x14ac:dyDescent="0.2">
      <c r="A1451" s="48" t="s">
        <v>9829</v>
      </c>
    </row>
    <row r="1452" spans="1:1" x14ac:dyDescent="0.2">
      <c r="A1452" s="48" t="s">
        <v>9830</v>
      </c>
    </row>
    <row r="1453" spans="1:1" x14ac:dyDescent="0.2">
      <c r="A1453" s="48" t="s">
        <v>9831</v>
      </c>
    </row>
    <row r="1454" spans="1:1" x14ac:dyDescent="0.2">
      <c r="A1454" s="48" t="s">
        <v>9832</v>
      </c>
    </row>
    <row r="1455" spans="1:1" x14ac:dyDescent="0.2">
      <c r="A1455" s="48" t="s">
        <v>9833</v>
      </c>
    </row>
    <row r="1456" spans="1:1" x14ac:dyDescent="0.2">
      <c r="A1456" s="48" t="s">
        <v>9834</v>
      </c>
    </row>
    <row r="1457" spans="1:1" x14ac:dyDescent="0.2">
      <c r="A1457" s="48" t="s">
        <v>9835</v>
      </c>
    </row>
    <row r="1458" spans="1:1" x14ac:dyDescent="0.2">
      <c r="A1458" s="48" t="s">
        <v>9836</v>
      </c>
    </row>
    <row r="1459" spans="1:1" x14ac:dyDescent="0.2">
      <c r="A1459" s="48" t="s">
        <v>9837</v>
      </c>
    </row>
    <row r="1460" spans="1:1" x14ac:dyDescent="0.2">
      <c r="A1460" s="48" t="s">
        <v>9838</v>
      </c>
    </row>
    <row r="1461" spans="1:1" x14ac:dyDescent="0.2">
      <c r="A1461" s="48" t="s">
        <v>9839</v>
      </c>
    </row>
    <row r="1462" spans="1:1" x14ac:dyDescent="0.2">
      <c r="A1462" s="48" t="s">
        <v>9840</v>
      </c>
    </row>
    <row r="1463" spans="1:1" x14ac:dyDescent="0.2">
      <c r="A1463" s="48" t="s">
        <v>9841</v>
      </c>
    </row>
    <row r="1464" spans="1:1" x14ac:dyDescent="0.2">
      <c r="A1464" s="48" t="s">
        <v>9842</v>
      </c>
    </row>
    <row r="1465" spans="1:1" x14ac:dyDescent="0.2">
      <c r="A1465" s="48" t="s">
        <v>9843</v>
      </c>
    </row>
    <row r="1466" spans="1:1" x14ac:dyDescent="0.2">
      <c r="A1466" s="48" t="s">
        <v>9844</v>
      </c>
    </row>
    <row r="1467" spans="1:1" x14ac:dyDescent="0.2">
      <c r="A1467" s="48" t="s">
        <v>9845</v>
      </c>
    </row>
    <row r="1468" spans="1:1" x14ac:dyDescent="0.2">
      <c r="A1468" s="48" t="s">
        <v>9846</v>
      </c>
    </row>
    <row r="1469" spans="1:1" x14ac:dyDescent="0.2">
      <c r="A1469" s="48" t="s">
        <v>9847</v>
      </c>
    </row>
    <row r="1470" spans="1:1" x14ac:dyDescent="0.2">
      <c r="A1470" s="48" t="s">
        <v>9848</v>
      </c>
    </row>
    <row r="1471" spans="1:1" x14ac:dyDescent="0.2">
      <c r="A1471" s="48" t="s">
        <v>9849</v>
      </c>
    </row>
    <row r="1472" spans="1:1" x14ac:dyDescent="0.2">
      <c r="A1472" s="48" t="s">
        <v>9850</v>
      </c>
    </row>
    <row r="1473" spans="1:1" x14ac:dyDescent="0.2">
      <c r="A1473" s="48" t="s">
        <v>9851</v>
      </c>
    </row>
    <row r="1474" spans="1:1" x14ac:dyDescent="0.2">
      <c r="A1474" s="48" t="s">
        <v>9852</v>
      </c>
    </row>
    <row r="1475" spans="1:1" x14ac:dyDescent="0.2">
      <c r="A1475" s="48" t="s">
        <v>9853</v>
      </c>
    </row>
    <row r="1476" spans="1:1" x14ac:dyDescent="0.2">
      <c r="A1476" s="48" t="s">
        <v>9854</v>
      </c>
    </row>
    <row r="1477" spans="1:1" x14ac:dyDescent="0.2">
      <c r="A1477" s="48" t="s">
        <v>9855</v>
      </c>
    </row>
    <row r="1478" spans="1:1" x14ac:dyDescent="0.2">
      <c r="A1478" s="48" t="s">
        <v>9856</v>
      </c>
    </row>
    <row r="1479" spans="1:1" x14ac:dyDescent="0.2">
      <c r="A1479" s="48" t="s">
        <v>9857</v>
      </c>
    </row>
    <row r="1480" spans="1:1" x14ac:dyDescent="0.2">
      <c r="A1480" s="48" t="s">
        <v>9858</v>
      </c>
    </row>
    <row r="1481" spans="1:1" x14ac:dyDescent="0.2">
      <c r="A1481" s="48" t="s">
        <v>9859</v>
      </c>
    </row>
    <row r="1482" spans="1:1" x14ac:dyDescent="0.2">
      <c r="A1482" s="48" t="s">
        <v>9860</v>
      </c>
    </row>
    <row r="1483" spans="1:1" x14ac:dyDescent="0.2">
      <c r="A1483" s="48" t="s">
        <v>9861</v>
      </c>
    </row>
    <row r="1484" spans="1:1" x14ac:dyDescent="0.2">
      <c r="A1484" s="48" t="s">
        <v>9862</v>
      </c>
    </row>
    <row r="1485" spans="1:1" x14ac:dyDescent="0.2">
      <c r="A1485" s="48" t="s">
        <v>9863</v>
      </c>
    </row>
    <row r="1486" spans="1:1" x14ac:dyDescent="0.2">
      <c r="A1486" s="48" t="s">
        <v>9864</v>
      </c>
    </row>
    <row r="1487" spans="1:1" x14ac:dyDescent="0.2">
      <c r="A1487" s="48" t="s">
        <v>9865</v>
      </c>
    </row>
    <row r="1488" spans="1:1" x14ac:dyDescent="0.2">
      <c r="A1488" s="48" t="s">
        <v>9866</v>
      </c>
    </row>
    <row r="1489" spans="1:1" x14ac:dyDescent="0.2">
      <c r="A1489" s="48" t="s">
        <v>9867</v>
      </c>
    </row>
    <row r="1490" spans="1:1" x14ac:dyDescent="0.2">
      <c r="A1490" s="48" t="s">
        <v>9868</v>
      </c>
    </row>
    <row r="1491" spans="1:1" x14ac:dyDescent="0.2">
      <c r="A1491" s="48" t="s">
        <v>9869</v>
      </c>
    </row>
    <row r="1492" spans="1:1" x14ac:dyDescent="0.2">
      <c r="A1492" s="48" t="s">
        <v>9870</v>
      </c>
    </row>
    <row r="1493" spans="1:1" x14ac:dyDescent="0.2">
      <c r="A1493" s="48" t="s">
        <v>9871</v>
      </c>
    </row>
    <row r="1494" spans="1:1" x14ac:dyDescent="0.2">
      <c r="A1494" s="48" t="s">
        <v>9872</v>
      </c>
    </row>
    <row r="1495" spans="1:1" x14ac:dyDescent="0.2">
      <c r="A1495" s="48" t="s">
        <v>9873</v>
      </c>
    </row>
    <row r="1496" spans="1:1" x14ac:dyDescent="0.2">
      <c r="A1496" s="48" t="s">
        <v>9874</v>
      </c>
    </row>
    <row r="1497" spans="1:1" x14ac:dyDescent="0.2">
      <c r="A1497" s="48" t="s">
        <v>9875</v>
      </c>
    </row>
    <row r="1498" spans="1:1" x14ac:dyDescent="0.2">
      <c r="A1498" s="48" t="s">
        <v>9876</v>
      </c>
    </row>
    <row r="1499" spans="1:1" x14ac:dyDescent="0.2">
      <c r="A1499" s="48" t="s">
        <v>9877</v>
      </c>
    </row>
    <row r="1500" spans="1:1" x14ac:dyDescent="0.2">
      <c r="A1500" s="48" t="s">
        <v>9878</v>
      </c>
    </row>
    <row r="1501" spans="1:1" x14ac:dyDescent="0.2">
      <c r="A1501" s="48" t="s">
        <v>9879</v>
      </c>
    </row>
    <row r="1502" spans="1:1" x14ac:dyDescent="0.2">
      <c r="A1502" s="48" t="s">
        <v>9880</v>
      </c>
    </row>
    <row r="1503" spans="1:1" x14ac:dyDescent="0.2">
      <c r="A1503" s="48" t="s">
        <v>9881</v>
      </c>
    </row>
    <row r="1504" spans="1:1" x14ac:dyDescent="0.2">
      <c r="A1504" s="48" t="s">
        <v>9882</v>
      </c>
    </row>
    <row r="1505" spans="1:1" x14ac:dyDescent="0.2">
      <c r="A1505" s="48" t="s">
        <v>9883</v>
      </c>
    </row>
    <row r="1506" spans="1:1" x14ac:dyDescent="0.2">
      <c r="A1506" s="48" t="s">
        <v>9884</v>
      </c>
    </row>
    <row r="1507" spans="1:1" x14ac:dyDescent="0.2">
      <c r="A1507" s="48" t="s">
        <v>9885</v>
      </c>
    </row>
    <row r="1508" spans="1:1" x14ac:dyDescent="0.2">
      <c r="A1508" s="48" t="s">
        <v>9886</v>
      </c>
    </row>
    <row r="1509" spans="1:1" x14ac:dyDescent="0.2">
      <c r="A1509" s="48" t="s">
        <v>9887</v>
      </c>
    </row>
    <row r="1510" spans="1:1" x14ac:dyDescent="0.2">
      <c r="A1510" s="48" t="s">
        <v>9888</v>
      </c>
    </row>
    <row r="1511" spans="1:1" x14ac:dyDescent="0.2">
      <c r="A1511" s="48" t="s">
        <v>9889</v>
      </c>
    </row>
    <row r="1512" spans="1:1" x14ac:dyDescent="0.2">
      <c r="A1512" s="48" t="s">
        <v>9890</v>
      </c>
    </row>
    <row r="1513" spans="1:1" x14ac:dyDescent="0.2">
      <c r="A1513" s="48" t="s">
        <v>9891</v>
      </c>
    </row>
    <row r="1514" spans="1:1" x14ac:dyDescent="0.2">
      <c r="A1514" s="48" t="s">
        <v>9892</v>
      </c>
    </row>
    <row r="1515" spans="1:1" x14ac:dyDescent="0.2">
      <c r="A1515" s="48" t="s">
        <v>9893</v>
      </c>
    </row>
    <row r="1516" spans="1:1" x14ac:dyDescent="0.2">
      <c r="A1516" s="48" t="s">
        <v>9894</v>
      </c>
    </row>
    <row r="1517" spans="1:1" x14ac:dyDescent="0.2">
      <c r="A1517" s="48" t="s">
        <v>9895</v>
      </c>
    </row>
    <row r="1518" spans="1:1" x14ac:dyDescent="0.2">
      <c r="A1518" s="48" t="s">
        <v>9896</v>
      </c>
    </row>
    <row r="1519" spans="1:1" x14ac:dyDescent="0.2">
      <c r="A1519" s="48" t="s">
        <v>9897</v>
      </c>
    </row>
    <row r="1520" spans="1:1" x14ac:dyDescent="0.2">
      <c r="A1520" s="48" t="s">
        <v>9898</v>
      </c>
    </row>
    <row r="1521" spans="1:1" x14ac:dyDescent="0.2">
      <c r="A1521" s="48" t="s">
        <v>9899</v>
      </c>
    </row>
    <row r="1522" spans="1:1" x14ac:dyDescent="0.2">
      <c r="A1522" s="48" t="s">
        <v>9900</v>
      </c>
    </row>
    <row r="1523" spans="1:1" x14ac:dyDescent="0.2">
      <c r="A1523" s="48" t="s">
        <v>9901</v>
      </c>
    </row>
    <row r="1524" spans="1:1" x14ac:dyDescent="0.2">
      <c r="A1524" s="48" t="s">
        <v>9902</v>
      </c>
    </row>
    <row r="1525" spans="1:1" x14ac:dyDescent="0.2">
      <c r="A1525" s="48" t="s">
        <v>9903</v>
      </c>
    </row>
    <row r="1526" spans="1:1" x14ac:dyDescent="0.2">
      <c r="A1526" s="48" t="s">
        <v>9904</v>
      </c>
    </row>
    <row r="1527" spans="1:1" x14ac:dyDescent="0.2">
      <c r="A1527" s="48" t="s">
        <v>9905</v>
      </c>
    </row>
    <row r="1528" spans="1:1" x14ac:dyDescent="0.2">
      <c r="A1528" s="48" t="s">
        <v>9906</v>
      </c>
    </row>
    <row r="1529" spans="1:1" x14ac:dyDescent="0.2">
      <c r="A1529" s="48" t="s">
        <v>9907</v>
      </c>
    </row>
    <row r="1530" spans="1:1" x14ac:dyDescent="0.2">
      <c r="A1530" s="48" t="s">
        <v>9908</v>
      </c>
    </row>
    <row r="1531" spans="1:1" x14ac:dyDescent="0.2">
      <c r="A1531" s="48" t="s">
        <v>9909</v>
      </c>
    </row>
    <row r="1532" spans="1:1" x14ac:dyDescent="0.2">
      <c r="A1532" s="48" t="s">
        <v>9910</v>
      </c>
    </row>
    <row r="1533" spans="1:1" x14ac:dyDescent="0.2">
      <c r="A1533" s="48" t="s">
        <v>9911</v>
      </c>
    </row>
    <row r="1534" spans="1:1" x14ac:dyDescent="0.2">
      <c r="A1534" s="48" t="s">
        <v>9912</v>
      </c>
    </row>
    <row r="1535" spans="1:1" x14ac:dyDescent="0.2">
      <c r="A1535" s="48" t="s">
        <v>9913</v>
      </c>
    </row>
    <row r="1536" spans="1:1" x14ac:dyDescent="0.2">
      <c r="A1536" s="48" t="s">
        <v>9914</v>
      </c>
    </row>
    <row r="1537" spans="1:1" x14ac:dyDescent="0.2">
      <c r="A1537" s="48" t="s">
        <v>9915</v>
      </c>
    </row>
    <row r="1538" spans="1:1" x14ac:dyDescent="0.2">
      <c r="A1538" s="48" t="s">
        <v>9916</v>
      </c>
    </row>
    <row r="1539" spans="1:1" x14ac:dyDescent="0.2">
      <c r="A1539" s="48" t="s">
        <v>9917</v>
      </c>
    </row>
    <row r="1540" spans="1:1" x14ac:dyDescent="0.2">
      <c r="A1540" s="48" t="s">
        <v>9918</v>
      </c>
    </row>
    <row r="1541" spans="1:1" x14ac:dyDescent="0.2">
      <c r="A1541" s="48" t="s">
        <v>9919</v>
      </c>
    </row>
    <row r="1542" spans="1:1" x14ac:dyDescent="0.2">
      <c r="A1542" s="48" t="s">
        <v>9920</v>
      </c>
    </row>
    <row r="1543" spans="1:1" x14ac:dyDescent="0.2">
      <c r="A1543" s="48" t="s">
        <v>9921</v>
      </c>
    </row>
    <row r="1544" spans="1:1" x14ac:dyDescent="0.2">
      <c r="A1544" s="48" t="s">
        <v>9922</v>
      </c>
    </row>
    <row r="1545" spans="1:1" x14ac:dyDescent="0.2">
      <c r="A1545" s="48" t="s">
        <v>9923</v>
      </c>
    </row>
    <row r="1546" spans="1:1" x14ac:dyDescent="0.2">
      <c r="A1546" s="48" t="s">
        <v>9924</v>
      </c>
    </row>
    <row r="1547" spans="1:1" x14ac:dyDescent="0.2">
      <c r="A1547" s="48" t="s">
        <v>9925</v>
      </c>
    </row>
    <row r="1548" spans="1:1" x14ac:dyDescent="0.2">
      <c r="A1548" s="48" t="s">
        <v>9926</v>
      </c>
    </row>
    <row r="1549" spans="1:1" x14ac:dyDescent="0.2">
      <c r="A1549" s="48" t="s">
        <v>9927</v>
      </c>
    </row>
    <row r="1550" spans="1:1" x14ac:dyDescent="0.2">
      <c r="A1550" s="48" t="s">
        <v>9928</v>
      </c>
    </row>
    <row r="1551" spans="1:1" x14ac:dyDescent="0.2">
      <c r="A1551" s="48" t="s">
        <v>9929</v>
      </c>
    </row>
    <row r="1552" spans="1:1" x14ac:dyDescent="0.2">
      <c r="A1552" s="1" t="s">
        <v>9930</v>
      </c>
    </row>
    <row r="1553" spans="1:1" x14ac:dyDescent="0.2">
      <c r="A1553" s="48" t="s">
        <v>9931</v>
      </c>
    </row>
    <row r="1554" spans="1:1" x14ac:dyDescent="0.2">
      <c r="A1554" s="48" t="s">
        <v>9932</v>
      </c>
    </row>
    <row r="1555" spans="1:1" x14ac:dyDescent="0.2">
      <c r="A1555" s="48" t="s">
        <v>9933</v>
      </c>
    </row>
    <row r="1556" spans="1:1" x14ac:dyDescent="0.2">
      <c r="A1556" s="48" t="s">
        <v>9934</v>
      </c>
    </row>
    <row r="1557" spans="1:1" x14ac:dyDescent="0.2">
      <c r="A1557" s="48" t="s">
        <v>9935</v>
      </c>
    </row>
    <row r="1558" spans="1:1" x14ac:dyDescent="0.2">
      <c r="A1558" s="48" t="s">
        <v>9936</v>
      </c>
    </row>
    <row r="1559" spans="1:1" x14ac:dyDescent="0.2">
      <c r="A1559" s="48" t="s">
        <v>9937</v>
      </c>
    </row>
    <row r="1560" spans="1:1" x14ac:dyDescent="0.2">
      <c r="A1560" s="48" t="s">
        <v>9938</v>
      </c>
    </row>
    <row r="1561" spans="1:1" x14ac:dyDescent="0.2">
      <c r="A1561" s="48" t="s">
        <v>9939</v>
      </c>
    </row>
    <row r="1562" spans="1:1" x14ac:dyDescent="0.2">
      <c r="A1562" s="48" t="s">
        <v>9940</v>
      </c>
    </row>
    <row r="1563" spans="1:1" x14ac:dyDescent="0.2">
      <c r="A1563" s="48" t="s">
        <v>9941</v>
      </c>
    </row>
    <row r="1564" spans="1:1" x14ac:dyDescent="0.2">
      <c r="A1564" s="48" t="s">
        <v>9942</v>
      </c>
    </row>
    <row r="1565" spans="1:1" x14ac:dyDescent="0.2">
      <c r="A1565" s="48" t="s">
        <v>9943</v>
      </c>
    </row>
    <row r="1566" spans="1:1" x14ac:dyDescent="0.2">
      <c r="A1566" s="48" t="s">
        <v>9944</v>
      </c>
    </row>
    <row r="1567" spans="1:1" x14ac:dyDescent="0.2">
      <c r="A1567" s="48" t="s">
        <v>9945</v>
      </c>
    </row>
    <row r="1568" spans="1:1" x14ac:dyDescent="0.2">
      <c r="A1568" s="48" t="s">
        <v>9946</v>
      </c>
    </row>
    <row r="1569" spans="1:1" x14ac:dyDescent="0.2">
      <c r="A1569" s="48" t="s">
        <v>9947</v>
      </c>
    </row>
    <row r="1570" spans="1:1" x14ac:dyDescent="0.2">
      <c r="A1570" s="48" t="s">
        <v>9948</v>
      </c>
    </row>
    <row r="1571" spans="1:1" x14ac:dyDescent="0.2">
      <c r="A1571" s="48" t="s">
        <v>9949</v>
      </c>
    </row>
    <row r="1572" spans="1:1" x14ac:dyDescent="0.2">
      <c r="A1572" s="48" t="s">
        <v>9950</v>
      </c>
    </row>
    <row r="1573" spans="1:1" x14ac:dyDescent="0.2">
      <c r="A1573" s="48" t="s">
        <v>9951</v>
      </c>
    </row>
    <row r="1574" spans="1:1" x14ac:dyDescent="0.2">
      <c r="A1574" s="48" t="s">
        <v>9952</v>
      </c>
    </row>
    <row r="1575" spans="1:1" x14ac:dyDescent="0.2">
      <c r="A1575" s="48" t="s">
        <v>9953</v>
      </c>
    </row>
    <row r="1576" spans="1:1" x14ac:dyDescent="0.2">
      <c r="A1576" s="48" t="s">
        <v>9954</v>
      </c>
    </row>
    <row r="1577" spans="1:1" x14ac:dyDescent="0.2">
      <c r="A1577" s="48" t="s">
        <v>9955</v>
      </c>
    </row>
    <row r="1578" spans="1:1" x14ac:dyDescent="0.2">
      <c r="A1578" s="48" t="s">
        <v>9956</v>
      </c>
    </row>
    <row r="1579" spans="1:1" x14ac:dyDescent="0.2">
      <c r="A1579" s="48" t="s">
        <v>9957</v>
      </c>
    </row>
    <row r="1580" spans="1:1" x14ac:dyDescent="0.2">
      <c r="A1580" s="48" t="s">
        <v>9958</v>
      </c>
    </row>
    <row r="1581" spans="1:1" x14ac:dyDescent="0.2">
      <c r="A1581" s="48" t="s">
        <v>9959</v>
      </c>
    </row>
    <row r="1582" spans="1:1" x14ac:dyDescent="0.2">
      <c r="A1582" s="48" t="s">
        <v>9960</v>
      </c>
    </row>
    <row r="1583" spans="1:1" x14ac:dyDescent="0.2">
      <c r="A1583" s="48" t="s">
        <v>9961</v>
      </c>
    </row>
    <row r="1584" spans="1:1" x14ac:dyDescent="0.2">
      <c r="A1584" s="48" t="s">
        <v>9962</v>
      </c>
    </row>
    <row r="1585" spans="1:1" x14ac:dyDescent="0.2">
      <c r="A1585" s="48" t="s">
        <v>9963</v>
      </c>
    </row>
    <row r="1586" spans="1:1" x14ac:dyDescent="0.2">
      <c r="A1586" s="48" t="s">
        <v>9964</v>
      </c>
    </row>
    <row r="1587" spans="1:1" x14ac:dyDescent="0.2">
      <c r="A1587" s="48" t="s">
        <v>9965</v>
      </c>
    </row>
    <row r="1588" spans="1:1" x14ac:dyDescent="0.2">
      <c r="A1588" s="48" t="s">
        <v>9966</v>
      </c>
    </row>
    <row r="1589" spans="1:1" x14ac:dyDescent="0.2">
      <c r="A1589" s="48" t="s">
        <v>9967</v>
      </c>
    </row>
    <row r="1590" spans="1:1" x14ac:dyDescent="0.2">
      <c r="A1590" s="48" t="s">
        <v>9968</v>
      </c>
    </row>
    <row r="1591" spans="1:1" x14ac:dyDescent="0.2">
      <c r="A1591" s="48" t="s">
        <v>9969</v>
      </c>
    </row>
    <row r="1592" spans="1:1" x14ac:dyDescent="0.2">
      <c r="A1592" s="48" t="s">
        <v>9970</v>
      </c>
    </row>
    <row r="1593" spans="1:1" x14ac:dyDescent="0.2">
      <c r="A1593" s="48" t="s">
        <v>9971</v>
      </c>
    </row>
    <row r="1594" spans="1:1" x14ac:dyDescent="0.2">
      <c r="A1594" s="48" t="s">
        <v>9972</v>
      </c>
    </row>
    <row r="1595" spans="1:1" x14ac:dyDescent="0.2">
      <c r="A1595" s="48" t="s">
        <v>9973</v>
      </c>
    </row>
    <row r="1596" spans="1:1" x14ac:dyDescent="0.2">
      <c r="A1596" s="48" t="s">
        <v>9974</v>
      </c>
    </row>
    <row r="1597" spans="1:1" x14ac:dyDescent="0.2">
      <c r="A1597" s="48" t="s">
        <v>9975</v>
      </c>
    </row>
    <row r="1598" spans="1:1" x14ac:dyDescent="0.2">
      <c r="A1598" s="48" t="s">
        <v>9976</v>
      </c>
    </row>
    <row r="1599" spans="1:1" x14ac:dyDescent="0.2">
      <c r="A1599" s="48" t="s">
        <v>9977</v>
      </c>
    </row>
    <row r="1600" spans="1:1" x14ac:dyDescent="0.2">
      <c r="A1600" s="48" t="s">
        <v>9978</v>
      </c>
    </row>
    <row r="1601" spans="1:1" x14ac:dyDescent="0.2">
      <c r="A1601" s="48" t="s">
        <v>9979</v>
      </c>
    </row>
    <row r="1602" spans="1:1" customFormat="1" ht="15" x14ac:dyDescent="0.25">
      <c r="A1602" s="48" t="s">
        <v>9980</v>
      </c>
    </row>
    <row r="1603" spans="1:1" x14ac:dyDescent="0.2">
      <c r="A1603" s="48" t="s">
        <v>9981</v>
      </c>
    </row>
    <row r="1604" spans="1:1" x14ac:dyDescent="0.2">
      <c r="A1604" s="48" t="s">
        <v>9982</v>
      </c>
    </row>
    <row r="1605" spans="1:1" x14ac:dyDescent="0.2">
      <c r="A1605" s="48" t="s">
        <v>9983</v>
      </c>
    </row>
    <row r="1606" spans="1:1" x14ac:dyDescent="0.2">
      <c r="A1606" s="48" t="s">
        <v>9984</v>
      </c>
    </row>
    <row r="1607" spans="1:1" x14ac:dyDescent="0.2">
      <c r="A1607" s="48" t="s">
        <v>9985</v>
      </c>
    </row>
    <row r="1608" spans="1:1" x14ac:dyDescent="0.2">
      <c r="A1608" s="48" t="s">
        <v>9986</v>
      </c>
    </row>
    <row r="1609" spans="1:1" x14ac:dyDescent="0.2">
      <c r="A1609" s="48" t="s">
        <v>9987</v>
      </c>
    </row>
    <row r="1610" spans="1:1" x14ac:dyDescent="0.2">
      <c r="A1610" s="48" t="s">
        <v>9988</v>
      </c>
    </row>
    <row r="1611" spans="1:1" x14ac:dyDescent="0.2">
      <c r="A1611" s="48" t="s">
        <v>9989</v>
      </c>
    </row>
    <row r="1612" spans="1:1" x14ac:dyDescent="0.2">
      <c r="A1612" s="48" t="s">
        <v>9990</v>
      </c>
    </row>
    <row r="1613" spans="1:1" x14ac:dyDescent="0.2">
      <c r="A1613" s="48" t="s">
        <v>9991</v>
      </c>
    </row>
    <row r="1614" spans="1:1" x14ac:dyDescent="0.2">
      <c r="A1614" s="48" t="s">
        <v>9992</v>
      </c>
    </row>
    <row r="1615" spans="1:1" x14ac:dyDescent="0.2">
      <c r="A1615" s="48" t="s">
        <v>9993</v>
      </c>
    </row>
    <row r="1616" spans="1:1" x14ac:dyDescent="0.2">
      <c r="A1616" s="48" t="s">
        <v>9994</v>
      </c>
    </row>
    <row r="1617" spans="1:1" x14ac:dyDescent="0.2">
      <c r="A1617" s="48" t="s">
        <v>9995</v>
      </c>
    </row>
    <row r="1618" spans="1:1" x14ac:dyDescent="0.2">
      <c r="A1618" s="48" t="s">
        <v>9996</v>
      </c>
    </row>
    <row r="1619" spans="1:1" x14ac:dyDescent="0.2">
      <c r="A1619" s="48" t="s">
        <v>9997</v>
      </c>
    </row>
    <row r="1620" spans="1:1" x14ac:dyDescent="0.2">
      <c r="A1620" s="48" t="s">
        <v>9998</v>
      </c>
    </row>
    <row r="1621" spans="1:1" x14ac:dyDescent="0.2">
      <c r="A1621" s="48" t="s">
        <v>9999</v>
      </c>
    </row>
    <row r="1622" spans="1:1" x14ac:dyDescent="0.2">
      <c r="A1622" s="48" t="s">
        <v>10000</v>
      </c>
    </row>
    <row r="1623" spans="1:1" x14ac:dyDescent="0.2">
      <c r="A1623" s="48" t="s">
        <v>10001</v>
      </c>
    </row>
    <row r="1624" spans="1:1" x14ac:dyDescent="0.2">
      <c r="A1624" s="48" t="s">
        <v>10002</v>
      </c>
    </row>
    <row r="1625" spans="1:1" x14ac:dyDescent="0.2">
      <c r="A1625" s="48" t="s">
        <v>10003</v>
      </c>
    </row>
    <row r="1626" spans="1:1" x14ac:dyDescent="0.2">
      <c r="A1626" s="48" t="s">
        <v>10004</v>
      </c>
    </row>
    <row r="1627" spans="1:1" x14ac:dyDescent="0.2">
      <c r="A1627" s="48" t="s">
        <v>10005</v>
      </c>
    </row>
    <row r="1628" spans="1:1" x14ac:dyDescent="0.2">
      <c r="A1628" s="48" t="s">
        <v>10006</v>
      </c>
    </row>
    <row r="1629" spans="1:1" x14ac:dyDescent="0.2">
      <c r="A1629" s="48" t="s">
        <v>10007</v>
      </c>
    </row>
    <row r="1630" spans="1:1" x14ac:dyDescent="0.2">
      <c r="A1630" s="48" t="s">
        <v>10008</v>
      </c>
    </row>
    <row r="1631" spans="1:1" x14ac:dyDescent="0.2">
      <c r="A1631" s="48" t="s">
        <v>10009</v>
      </c>
    </row>
    <row r="1632" spans="1:1" x14ac:dyDescent="0.2">
      <c r="A1632" s="48" t="s">
        <v>10010</v>
      </c>
    </row>
    <row r="1633" spans="1:1" x14ac:dyDescent="0.2">
      <c r="A1633" s="48" t="s">
        <v>10011</v>
      </c>
    </row>
    <row r="1634" spans="1:1" x14ac:dyDescent="0.2">
      <c r="A1634" s="48" t="s">
        <v>10012</v>
      </c>
    </row>
    <row r="1635" spans="1:1" x14ac:dyDescent="0.2">
      <c r="A1635" s="48" t="s">
        <v>10013</v>
      </c>
    </row>
    <row r="1636" spans="1:1" x14ac:dyDescent="0.2">
      <c r="A1636" s="48" t="s">
        <v>10014</v>
      </c>
    </row>
    <row r="1637" spans="1:1" x14ac:dyDescent="0.2">
      <c r="A1637" s="48" t="s">
        <v>10015</v>
      </c>
    </row>
    <row r="1638" spans="1:1" x14ac:dyDescent="0.2">
      <c r="A1638" s="48" t="s">
        <v>10016</v>
      </c>
    </row>
    <row r="1639" spans="1:1" x14ac:dyDescent="0.2">
      <c r="A1639" s="48" t="s">
        <v>10017</v>
      </c>
    </row>
    <row r="1640" spans="1:1" x14ac:dyDescent="0.2">
      <c r="A1640" s="48" t="s">
        <v>10018</v>
      </c>
    </row>
    <row r="1641" spans="1:1" x14ac:dyDescent="0.2">
      <c r="A1641" s="48" t="s">
        <v>10019</v>
      </c>
    </row>
    <row r="1642" spans="1:1" x14ac:dyDescent="0.2">
      <c r="A1642" s="48" t="s">
        <v>10020</v>
      </c>
    </row>
    <row r="1643" spans="1:1" x14ac:dyDescent="0.2">
      <c r="A1643" s="48" t="s">
        <v>10021</v>
      </c>
    </row>
    <row r="1644" spans="1:1" x14ac:dyDescent="0.2">
      <c r="A1644" s="48" t="s">
        <v>10022</v>
      </c>
    </row>
    <row r="1645" spans="1:1" x14ac:dyDescent="0.2">
      <c r="A1645" s="48" t="s">
        <v>10023</v>
      </c>
    </row>
    <row r="1646" spans="1:1" x14ac:dyDescent="0.2">
      <c r="A1646" s="48" t="s">
        <v>10024</v>
      </c>
    </row>
    <row r="1647" spans="1:1" x14ac:dyDescent="0.2">
      <c r="A1647" s="48" t="s">
        <v>10025</v>
      </c>
    </row>
    <row r="1648" spans="1:1" x14ac:dyDescent="0.2">
      <c r="A1648" s="48" t="s">
        <v>10026</v>
      </c>
    </row>
    <row r="1649" spans="1:1" x14ac:dyDescent="0.2">
      <c r="A1649" s="48" t="s">
        <v>10027</v>
      </c>
    </row>
    <row r="1650" spans="1:1" x14ac:dyDescent="0.2">
      <c r="A1650" s="48" t="s">
        <v>10028</v>
      </c>
    </row>
    <row r="1651" spans="1:1" x14ac:dyDescent="0.2">
      <c r="A1651" s="48" t="s">
        <v>10029</v>
      </c>
    </row>
    <row r="1652" spans="1:1" x14ac:dyDescent="0.2">
      <c r="A1652" s="48" t="s">
        <v>10030</v>
      </c>
    </row>
    <row r="1653" spans="1:1" x14ac:dyDescent="0.2">
      <c r="A1653" s="48" t="s">
        <v>10031</v>
      </c>
    </row>
    <row r="1654" spans="1:1" x14ac:dyDescent="0.2">
      <c r="A1654" s="48" t="s">
        <v>10032</v>
      </c>
    </row>
    <row r="1655" spans="1:1" x14ac:dyDescent="0.2">
      <c r="A1655" s="48" t="s">
        <v>10033</v>
      </c>
    </row>
    <row r="1656" spans="1:1" x14ac:dyDescent="0.2">
      <c r="A1656" s="48" t="s">
        <v>10034</v>
      </c>
    </row>
    <row r="1657" spans="1:1" x14ac:dyDescent="0.2">
      <c r="A1657" s="48" t="s">
        <v>10035</v>
      </c>
    </row>
    <row r="1658" spans="1:1" x14ac:dyDescent="0.2">
      <c r="A1658" s="48" t="s">
        <v>10036</v>
      </c>
    </row>
    <row r="1659" spans="1:1" x14ac:dyDescent="0.2">
      <c r="A1659" s="48" t="s">
        <v>10037</v>
      </c>
    </row>
    <row r="1660" spans="1:1" x14ac:dyDescent="0.2">
      <c r="A1660" s="48" t="s">
        <v>10038</v>
      </c>
    </row>
    <row r="1661" spans="1:1" x14ac:dyDescent="0.2">
      <c r="A1661" s="48" t="s">
        <v>10039</v>
      </c>
    </row>
    <row r="1662" spans="1:1" x14ac:dyDescent="0.2">
      <c r="A1662" s="48" t="s">
        <v>10040</v>
      </c>
    </row>
    <row r="1663" spans="1:1" x14ac:dyDescent="0.2">
      <c r="A1663" s="48" t="s">
        <v>10041</v>
      </c>
    </row>
    <row r="1664" spans="1:1" x14ac:dyDescent="0.2">
      <c r="A1664" s="48" t="s">
        <v>10042</v>
      </c>
    </row>
    <row r="1665" spans="1:1" x14ac:dyDescent="0.2">
      <c r="A1665" s="48" t="s">
        <v>10043</v>
      </c>
    </row>
    <row r="1666" spans="1:1" x14ac:dyDescent="0.2">
      <c r="A1666" s="48" t="s">
        <v>10044</v>
      </c>
    </row>
    <row r="1667" spans="1:1" x14ac:dyDescent="0.2">
      <c r="A1667" s="48" t="s">
        <v>10045</v>
      </c>
    </row>
    <row r="1668" spans="1:1" x14ac:dyDescent="0.2">
      <c r="A1668" s="48" t="s">
        <v>10046</v>
      </c>
    </row>
    <row r="1669" spans="1:1" x14ac:dyDescent="0.2">
      <c r="A1669" s="48" t="s">
        <v>10047</v>
      </c>
    </row>
    <row r="1670" spans="1:1" x14ac:dyDescent="0.2">
      <c r="A1670" s="48" t="s">
        <v>10048</v>
      </c>
    </row>
    <row r="1671" spans="1:1" x14ac:dyDescent="0.2">
      <c r="A1671" s="48" t="s">
        <v>10049</v>
      </c>
    </row>
    <row r="1672" spans="1:1" x14ac:dyDescent="0.2">
      <c r="A1672" s="48" t="s">
        <v>10050</v>
      </c>
    </row>
    <row r="1673" spans="1:1" x14ac:dyDescent="0.2">
      <c r="A1673" s="48" t="s">
        <v>10051</v>
      </c>
    </row>
    <row r="1674" spans="1:1" x14ac:dyDescent="0.2">
      <c r="A1674" s="48" t="s">
        <v>10052</v>
      </c>
    </row>
    <row r="1675" spans="1:1" x14ac:dyDescent="0.2">
      <c r="A1675" s="1" t="s">
        <v>10053</v>
      </c>
    </row>
    <row r="1676" spans="1:1" x14ac:dyDescent="0.2">
      <c r="A1676" s="48" t="s">
        <v>10054</v>
      </c>
    </row>
    <row r="1677" spans="1:1" x14ac:dyDescent="0.2">
      <c r="A1677" s="48" t="s">
        <v>10055</v>
      </c>
    </row>
    <row r="1678" spans="1:1" x14ac:dyDescent="0.2">
      <c r="A1678" s="48" t="s">
        <v>10056</v>
      </c>
    </row>
    <row r="1679" spans="1:1" x14ac:dyDescent="0.2">
      <c r="A1679" s="48" t="s">
        <v>10057</v>
      </c>
    </row>
    <row r="1680" spans="1:1" x14ac:dyDescent="0.2">
      <c r="A1680" s="48" t="s">
        <v>10058</v>
      </c>
    </row>
    <row r="1681" spans="1:1" x14ac:dyDescent="0.2">
      <c r="A1681" s="48" t="s">
        <v>10059</v>
      </c>
    </row>
    <row r="1682" spans="1:1" x14ac:dyDescent="0.2">
      <c r="A1682" s="48" t="s">
        <v>10060</v>
      </c>
    </row>
    <row r="1683" spans="1:1" x14ac:dyDescent="0.2">
      <c r="A1683" s="48" t="s">
        <v>10061</v>
      </c>
    </row>
    <row r="1684" spans="1:1" x14ac:dyDescent="0.2">
      <c r="A1684" s="48" t="s">
        <v>10062</v>
      </c>
    </row>
    <row r="1685" spans="1:1" x14ac:dyDescent="0.2">
      <c r="A1685" s="48" t="s">
        <v>10063</v>
      </c>
    </row>
    <row r="1686" spans="1:1" x14ac:dyDescent="0.2">
      <c r="A1686" s="48" t="s">
        <v>10064</v>
      </c>
    </row>
    <row r="1687" spans="1:1" x14ac:dyDescent="0.2">
      <c r="A1687" s="48" t="s">
        <v>10065</v>
      </c>
    </row>
    <row r="1688" spans="1:1" x14ac:dyDescent="0.2">
      <c r="A1688" s="48" t="s">
        <v>10066</v>
      </c>
    </row>
    <row r="1689" spans="1:1" x14ac:dyDescent="0.2">
      <c r="A1689" s="48" t="s">
        <v>10067</v>
      </c>
    </row>
    <row r="1690" spans="1:1" x14ac:dyDescent="0.2">
      <c r="A1690" s="48" t="s">
        <v>10068</v>
      </c>
    </row>
    <row r="1691" spans="1:1" x14ac:dyDescent="0.2">
      <c r="A1691" s="48" t="s">
        <v>10069</v>
      </c>
    </row>
    <row r="1692" spans="1:1" x14ac:dyDescent="0.2">
      <c r="A1692" s="48" t="s">
        <v>10070</v>
      </c>
    </row>
    <row r="1693" spans="1:1" x14ac:dyDescent="0.2">
      <c r="A1693" s="48" t="s">
        <v>10071</v>
      </c>
    </row>
    <row r="1694" spans="1:1" x14ac:dyDescent="0.2">
      <c r="A1694" s="48" t="s">
        <v>10072</v>
      </c>
    </row>
    <row r="1695" spans="1:1" x14ac:dyDescent="0.2">
      <c r="A1695" s="48" t="s">
        <v>10073</v>
      </c>
    </row>
    <row r="1696" spans="1:1" x14ac:dyDescent="0.2">
      <c r="A1696" s="48" t="s">
        <v>10074</v>
      </c>
    </row>
    <row r="1697" spans="1:1" x14ac:dyDescent="0.2">
      <c r="A1697" s="48" t="s">
        <v>10075</v>
      </c>
    </row>
    <row r="1698" spans="1:1" x14ac:dyDescent="0.2">
      <c r="A1698" s="48" t="s">
        <v>10076</v>
      </c>
    </row>
    <row r="1699" spans="1:1" x14ac:dyDescent="0.2">
      <c r="A1699" s="48" t="s">
        <v>10077</v>
      </c>
    </row>
    <row r="1700" spans="1:1" x14ac:dyDescent="0.2">
      <c r="A1700" s="48" t="s">
        <v>10078</v>
      </c>
    </row>
    <row r="1701" spans="1:1" x14ac:dyDescent="0.2">
      <c r="A1701" s="48" t="s">
        <v>10079</v>
      </c>
    </row>
    <row r="1702" spans="1:1" x14ac:dyDescent="0.2">
      <c r="A1702" s="48" t="s">
        <v>10080</v>
      </c>
    </row>
    <row r="1703" spans="1:1" x14ac:dyDescent="0.2">
      <c r="A1703" s="48" t="s">
        <v>10081</v>
      </c>
    </row>
    <row r="1704" spans="1:1" x14ac:dyDescent="0.2">
      <c r="A1704" s="48" t="s">
        <v>10082</v>
      </c>
    </row>
    <row r="1705" spans="1:1" x14ac:dyDescent="0.2">
      <c r="A1705" s="48" t="s">
        <v>10083</v>
      </c>
    </row>
    <row r="1706" spans="1:1" x14ac:dyDescent="0.2">
      <c r="A1706" s="48" t="s">
        <v>10084</v>
      </c>
    </row>
    <row r="1707" spans="1:1" x14ac:dyDescent="0.2">
      <c r="A1707" s="48" t="s">
        <v>10085</v>
      </c>
    </row>
    <row r="1708" spans="1:1" x14ac:dyDescent="0.2">
      <c r="A1708" s="48" t="s">
        <v>10086</v>
      </c>
    </row>
    <row r="1709" spans="1:1" x14ac:dyDescent="0.2">
      <c r="A1709" s="48" t="s">
        <v>10087</v>
      </c>
    </row>
    <row r="1710" spans="1:1" x14ac:dyDescent="0.2">
      <c r="A1710" s="48" t="s">
        <v>10088</v>
      </c>
    </row>
    <row r="1711" spans="1:1" x14ac:dyDescent="0.2">
      <c r="A1711" s="48" t="s">
        <v>10089</v>
      </c>
    </row>
    <row r="1712" spans="1:1" x14ac:dyDescent="0.2">
      <c r="A1712" s="48" t="s">
        <v>10090</v>
      </c>
    </row>
    <row r="1713" spans="1:1" x14ac:dyDescent="0.2">
      <c r="A1713" s="48" t="s">
        <v>10091</v>
      </c>
    </row>
    <row r="1714" spans="1:1" x14ac:dyDescent="0.2">
      <c r="A1714" s="48" t="s">
        <v>10092</v>
      </c>
    </row>
    <row r="1715" spans="1:1" x14ac:dyDescent="0.2">
      <c r="A1715" s="48" t="s">
        <v>10093</v>
      </c>
    </row>
    <row r="1716" spans="1:1" x14ac:dyDescent="0.2">
      <c r="A1716" s="48" t="s">
        <v>10094</v>
      </c>
    </row>
    <row r="1717" spans="1:1" x14ac:dyDescent="0.2">
      <c r="A1717" s="48" t="s">
        <v>10095</v>
      </c>
    </row>
    <row r="1718" spans="1:1" x14ac:dyDescent="0.2">
      <c r="A1718" s="48" t="s">
        <v>10096</v>
      </c>
    </row>
    <row r="1719" spans="1:1" x14ac:dyDescent="0.2">
      <c r="A1719" s="48" t="s">
        <v>10097</v>
      </c>
    </row>
    <row r="1720" spans="1:1" x14ac:dyDescent="0.2">
      <c r="A1720" s="48" t="s">
        <v>10098</v>
      </c>
    </row>
    <row r="1721" spans="1:1" x14ac:dyDescent="0.2">
      <c r="A1721" s="48" t="s">
        <v>10099</v>
      </c>
    </row>
    <row r="1722" spans="1:1" x14ac:dyDescent="0.2">
      <c r="A1722" s="48" t="s">
        <v>10100</v>
      </c>
    </row>
    <row r="1723" spans="1:1" x14ac:dyDescent="0.2">
      <c r="A1723" s="48" t="s">
        <v>10101</v>
      </c>
    </row>
    <row r="1724" spans="1:1" x14ac:dyDescent="0.2">
      <c r="A1724" s="48" t="s">
        <v>10102</v>
      </c>
    </row>
    <row r="1725" spans="1:1" x14ac:dyDescent="0.2">
      <c r="A1725" s="48" t="s">
        <v>10103</v>
      </c>
    </row>
    <row r="1726" spans="1:1" x14ac:dyDescent="0.2">
      <c r="A1726" s="48" t="s">
        <v>10104</v>
      </c>
    </row>
    <row r="1727" spans="1:1" x14ac:dyDescent="0.2">
      <c r="A1727" s="48" t="s">
        <v>10105</v>
      </c>
    </row>
    <row r="1728" spans="1:1" x14ac:dyDescent="0.2">
      <c r="A1728" s="48" t="s">
        <v>10106</v>
      </c>
    </row>
    <row r="1729" spans="1:1" x14ac:dyDescent="0.2">
      <c r="A1729" s="48" t="s">
        <v>10107</v>
      </c>
    </row>
    <row r="1730" spans="1:1" x14ac:dyDescent="0.2">
      <c r="A1730" s="48" t="s">
        <v>10108</v>
      </c>
    </row>
    <row r="1731" spans="1:1" x14ac:dyDescent="0.2">
      <c r="A1731" s="49" t="s">
        <v>10109</v>
      </c>
    </row>
    <row r="1732" spans="1:1" x14ac:dyDescent="0.2">
      <c r="A1732" s="48" t="s">
        <v>10110</v>
      </c>
    </row>
    <row r="1733" spans="1:1" x14ac:dyDescent="0.2">
      <c r="A1733" s="48" t="s">
        <v>10111</v>
      </c>
    </row>
    <row r="1734" spans="1:1" x14ac:dyDescent="0.2">
      <c r="A1734" s="48" t="s">
        <v>10112</v>
      </c>
    </row>
    <row r="1735" spans="1:1" x14ac:dyDescent="0.2">
      <c r="A1735" s="48" t="s">
        <v>10113</v>
      </c>
    </row>
    <row r="1736" spans="1:1" x14ac:dyDescent="0.2">
      <c r="A1736" s="48" t="s">
        <v>10114</v>
      </c>
    </row>
    <row r="1737" spans="1:1" x14ac:dyDescent="0.2">
      <c r="A1737" s="48" t="s">
        <v>10115</v>
      </c>
    </row>
    <row r="1738" spans="1:1" x14ac:dyDescent="0.2">
      <c r="A1738" s="48" t="s">
        <v>10116</v>
      </c>
    </row>
    <row r="1739" spans="1:1" x14ac:dyDescent="0.2">
      <c r="A1739" s="48" t="s">
        <v>10117</v>
      </c>
    </row>
    <row r="1740" spans="1:1" x14ac:dyDescent="0.2">
      <c r="A1740" s="48" t="s">
        <v>10118</v>
      </c>
    </row>
    <row r="1741" spans="1:1" x14ac:dyDescent="0.2">
      <c r="A1741" s="48" t="s">
        <v>10119</v>
      </c>
    </row>
    <row r="1742" spans="1:1" x14ac:dyDescent="0.2">
      <c r="A1742" s="48" t="s">
        <v>10120</v>
      </c>
    </row>
    <row r="1743" spans="1:1" x14ac:dyDescent="0.2">
      <c r="A1743" s="48" t="s">
        <v>10121</v>
      </c>
    </row>
    <row r="1744" spans="1:1" x14ac:dyDescent="0.2">
      <c r="A1744" s="48" t="s">
        <v>10122</v>
      </c>
    </row>
    <row r="1745" spans="1:1" x14ac:dyDescent="0.2">
      <c r="A1745" s="48" t="s">
        <v>10123</v>
      </c>
    </row>
    <row r="1746" spans="1:1" x14ac:dyDescent="0.2">
      <c r="A1746" s="48" t="s">
        <v>10124</v>
      </c>
    </row>
    <row r="1747" spans="1:1" x14ac:dyDescent="0.2">
      <c r="A1747" s="48" t="s">
        <v>10125</v>
      </c>
    </row>
    <row r="1748" spans="1:1" x14ac:dyDescent="0.2">
      <c r="A1748" s="48" t="s">
        <v>10126</v>
      </c>
    </row>
    <row r="1749" spans="1:1" x14ac:dyDescent="0.2">
      <c r="A1749" s="48" t="s">
        <v>10127</v>
      </c>
    </row>
    <row r="1750" spans="1:1" x14ac:dyDescent="0.2">
      <c r="A1750" s="48" t="s">
        <v>10128</v>
      </c>
    </row>
    <row r="1751" spans="1:1" x14ac:dyDescent="0.2">
      <c r="A1751" s="48" t="s">
        <v>10129</v>
      </c>
    </row>
    <row r="1752" spans="1:1" x14ac:dyDescent="0.2">
      <c r="A1752" s="48" t="s">
        <v>10130</v>
      </c>
    </row>
    <row r="1753" spans="1:1" x14ac:dyDescent="0.2">
      <c r="A1753" s="48" t="s">
        <v>10131</v>
      </c>
    </row>
    <row r="1754" spans="1:1" x14ac:dyDescent="0.2">
      <c r="A1754" s="48" t="s">
        <v>10132</v>
      </c>
    </row>
    <row r="1755" spans="1:1" x14ac:dyDescent="0.2">
      <c r="A1755" s="48" t="s">
        <v>10133</v>
      </c>
    </row>
    <row r="1756" spans="1:1" x14ac:dyDescent="0.2">
      <c r="A1756" s="48" t="s">
        <v>10134</v>
      </c>
    </row>
    <row r="1757" spans="1:1" x14ac:dyDescent="0.2">
      <c r="A1757" s="51" t="s">
        <v>10135</v>
      </c>
    </row>
    <row r="1758" spans="1:1" x14ac:dyDescent="0.2">
      <c r="A1758" s="48" t="s">
        <v>10136</v>
      </c>
    </row>
    <row r="1759" spans="1:1" x14ac:dyDescent="0.2">
      <c r="A1759" s="48" t="s">
        <v>10137</v>
      </c>
    </row>
    <row r="1760" spans="1:1" x14ac:dyDescent="0.2">
      <c r="A1760" s="48" t="s">
        <v>10138</v>
      </c>
    </row>
    <row r="1761" spans="1:1" x14ac:dyDescent="0.2">
      <c r="A1761" s="48" t="s">
        <v>10139</v>
      </c>
    </row>
    <row r="1762" spans="1:1" x14ac:dyDescent="0.2">
      <c r="A1762" s="48" t="s">
        <v>10140</v>
      </c>
    </row>
    <row r="1763" spans="1:1" x14ac:dyDescent="0.2">
      <c r="A1763" s="48" t="s">
        <v>10141</v>
      </c>
    </row>
    <row r="1764" spans="1:1" x14ac:dyDescent="0.2">
      <c r="A1764" s="48" t="s">
        <v>10142</v>
      </c>
    </row>
    <row r="1765" spans="1:1" x14ac:dyDescent="0.2">
      <c r="A1765" s="48" t="s">
        <v>10143</v>
      </c>
    </row>
    <row r="1766" spans="1:1" x14ac:dyDescent="0.2">
      <c r="A1766" s="48" t="s">
        <v>10144</v>
      </c>
    </row>
    <row r="1767" spans="1:1" x14ac:dyDescent="0.2">
      <c r="A1767" s="48" t="s">
        <v>10145</v>
      </c>
    </row>
    <row r="1768" spans="1:1" x14ac:dyDescent="0.2">
      <c r="A1768" s="48" t="s">
        <v>10146</v>
      </c>
    </row>
    <row r="1769" spans="1:1" x14ac:dyDescent="0.2">
      <c r="A1769" s="48" t="s">
        <v>10147</v>
      </c>
    </row>
    <row r="1770" spans="1:1" x14ac:dyDescent="0.2">
      <c r="A1770" s="48" t="s">
        <v>10148</v>
      </c>
    </row>
    <row r="1771" spans="1:1" x14ac:dyDescent="0.2">
      <c r="A1771" s="48" t="s">
        <v>10149</v>
      </c>
    </row>
    <row r="1772" spans="1:1" x14ac:dyDescent="0.2">
      <c r="A1772" s="48" t="s">
        <v>10150</v>
      </c>
    </row>
    <row r="1773" spans="1:1" x14ac:dyDescent="0.2">
      <c r="A1773" s="48" t="s">
        <v>10151</v>
      </c>
    </row>
    <row r="1774" spans="1:1" x14ac:dyDescent="0.2">
      <c r="A1774" s="48" t="s">
        <v>10152</v>
      </c>
    </row>
    <row r="1775" spans="1:1" x14ac:dyDescent="0.2">
      <c r="A1775" s="48" t="s">
        <v>10153</v>
      </c>
    </row>
    <row r="1776" spans="1:1" x14ac:dyDescent="0.2">
      <c r="A1776" s="48" t="s">
        <v>10154</v>
      </c>
    </row>
    <row r="1777" spans="1:1" x14ac:dyDescent="0.2">
      <c r="A1777" s="48" t="s">
        <v>10155</v>
      </c>
    </row>
    <row r="1778" spans="1:1" x14ac:dyDescent="0.2">
      <c r="A1778" s="48" t="s">
        <v>10156</v>
      </c>
    </row>
    <row r="1779" spans="1:1" x14ac:dyDescent="0.2">
      <c r="A1779" s="48" t="s">
        <v>10157</v>
      </c>
    </row>
    <row r="1780" spans="1:1" x14ac:dyDescent="0.2">
      <c r="A1780" s="48" t="s">
        <v>10158</v>
      </c>
    </row>
    <row r="1781" spans="1:1" x14ac:dyDescent="0.2">
      <c r="A1781" s="48" t="s">
        <v>10159</v>
      </c>
    </row>
    <row r="1782" spans="1:1" x14ac:dyDescent="0.2">
      <c r="A1782" s="48" t="s">
        <v>10160</v>
      </c>
    </row>
    <row r="1783" spans="1:1" x14ac:dyDescent="0.2">
      <c r="A1783" s="48" t="s">
        <v>10161</v>
      </c>
    </row>
    <row r="1784" spans="1:1" x14ac:dyDescent="0.2">
      <c r="A1784" s="48" t="s">
        <v>10162</v>
      </c>
    </row>
    <row r="1785" spans="1:1" x14ac:dyDescent="0.2">
      <c r="A1785" s="48" t="s">
        <v>10163</v>
      </c>
    </row>
    <row r="1786" spans="1:1" x14ac:dyDescent="0.2">
      <c r="A1786" s="48" t="s">
        <v>10164</v>
      </c>
    </row>
    <row r="1787" spans="1:1" x14ac:dyDescent="0.2">
      <c r="A1787" s="48" t="s">
        <v>10165</v>
      </c>
    </row>
    <row r="1788" spans="1:1" x14ac:dyDescent="0.2">
      <c r="A1788" s="48" t="s">
        <v>10166</v>
      </c>
    </row>
    <row r="1789" spans="1:1" x14ac:dyDescent="0.2">
      <c r="A1789" s="48" t="s">
        <v>10167</v>
      </c>
    </row>
    <row r="1790" spans="1:1" x14ac:dyDescent="0.2">
      <c r="A1790" s="48" t="s">
        <v>10168</v>
      </c>
    </row>
    <row r="1791" spans="1:1" x14ac:dyDescent="0.2">
      <c r="A1791" s="48" t="s">
        <v>10169</v>
      </c>
    </row>
    <row r="1792" spans="1:1" x14ac:dyDescent="0.2">
      <c r="A1792" s="48" t="s">
        <v>10170</v>
      </c>
    </row>
    <row r="1793" spans="1:1" x14ac:dyDescent="0.2">
      <c r="A1793" s="48" t="s">
        <v>10171</v>
      </c>
    </row>
    <row r="1794" spans="1:1" x14ac:dyDescent="0.2">
      <c r="A1794" s="48" t="s">
        <v>10172</v>
      </c>
    </row>
    <row r="1795" spans="1:1" x14ac:dyDescent="0.2">
      <c r="A1795" s="48" t="s">
        <v>10173</v>
      </c>
    </row>
    <row r="1796" spans="1:1" x14ac:dyDescent="0.2">
      <c r="A1796" s="48" t="s">
        <v>10174</v>
      </c>
    </row>
    <row r="1797" spans="1:1" x14ac:dyDescent="0.2">
      <c r="A1797" s="48" t="s">
        <v>10175</v>
      </c>
    </row>
    <row r="1798" spans="1:1" x14ac:dyDescent="0.2">
      <c r="A1798" s="48" t="s">
        <v>10176</v>
      </c>
    </row>
    <row r="1799" spans="1:1" x14ac:dyDescent="0.2">
      <c r="A1799" s="48" t="s">
        <v>10177</v>
      </c>
    </row>
    <row r="1800" spans="1:1" x14ac:dyDescent="0.2">
      <c r="A1800" s="48" t="s">
        <v>10178</v>
      </c>
    </row>
    <row r="1801" spans="1:1" x14ac:dyDescent="0.2">
      <c r="A1801" s="48" t="s">
        <v>10179</v>
      </c>
    </row>
    <row r="1802" spans="1:1" x14ac:dyDescent="0.2">
      <c r="A1802" s="48" t="s">
        <v>10180</v>
      </c>
    </row>
    <row r="1803" spans="1:1" x14ac:dyDescent="0.2">
      <c r="A1803" s="48" t="s">
        <v>10181</v>
      </c>
    </row>
    <row r="1804" spans="1:1" x14ac:dyDescent="0.2">
      <c r="A1804" s="48" t="s">
        <v>10182</v>
      </c>
    </row>
    <row r="1805" spans="1:1" x14ac:dyDescent="0.2">
      <c r="A1805" s="48" t="s">
        <v>10183</v>
      </c>
    </row>
    <row r="1806" spans="1:1" x14ac:dyDescent="0.2">
      <c r="A1806" s="48" t="s">
        <v>10184</v>
      </c>
    </row>
    <row r="1807" spans="1:1" x14ac:dyDescent="0.2">
      <c r="A1807" s="48" t="s">
        <v>10185</v>
      </c>
    </row>
    <row r="1808" spans="1:1" x14ac:dyDescent="0.2">
      <c r="A1808" s="48" t="s">
        <v>10186</v>
      </c>
    </row>
    <row r="1809" spans="1:1" x14ac:dyDescent="0.2">
      <c r="A1809" s="48" t="s">
        <v>10187</v>
      </c>
    </row>
    <row r="1810" spans="1:1" x14ac:dyDescent="0.2">
      <c r="A1810" s="48" t="s">
        <v>10188</v>
      </c>
    </row>
    <row r="1811" spans="1:1" x14ac:dyDescent="0.2">
      <c r="A1811" s="48" t="s">
        <v>10189</v>
      </c>
    </row>
    <row r="1812" spans="1:1" x14ac:dyDescent="0.2">
      <c r="A1812" s="48" t="s">
        <v>10190</v>
      </c>
    </row>
    <row r="1813" spans="1:1" x14ac:dyDescent="0.2">
      <c r="A1813" s="48" t="s">
        <v>10191</v>
      </c>
    </row>
    <row r="1814" spans="1:1" x14ac:dyDescent="0.2">
      <c r="A1814" s="48" t="s">
        <v>10192</v>
      </c>
    </row>
    <row r="1815" spans="1:1" x14ac:dyDescent="0.2">
      <c r="A1815" s="48" t="s">
        <v>10193</v>
      </c>
    </row>
    <row r="1816" spans="1:1" x14ac:dyDescent="0.2">
      <c r="A1816" s="48" t="s">
        <v>10194</v>
      </c>
    </row>
    <row r="1817" spans="1:1" x14ac:dyDescent="0.2">
      <c r="A1817" s="48" t="s">
        <v>10195</v>
      </c>
    </row>
    <row r="1818" spans="1:1" x14ac:dyDescent="0.2">
      <c r="A1818" s="48" t="s">
        <v>10196</v>
      </c>
    </row>
    <row r="1819" spans="1:1" x14ac:dyDescent="0.2">
      <c r="A1819" s="48" t="s">
        <v>10197</v>
      </c>
    </row>
    <row r="1820" spans="1:1" x14ac:dyDescent="0.2">
      <c r="A1820" s="48" t="s">
        <v>10198</v>
      </c>
    </row>
    <row r="1821" spans="1:1" x14ac:dyDescent="0.2">
      <c r="A1821" s="48" t="s">
        <v>10199</v>
      </c>
    </row>
    <row r="1822" spans="1:1" x14ac:dyDescent="0.2">
      <c r="A1822" s="48" t="s">
        <v>10200</v>
      </c>
    </row>
    <row r="1823" spans="1:1" x14ac:dyDescent="0.2">
      <c r="A1823" s="48" t="s">
        <v>10201</v>
      </c>
    </row>
    <row r="1824" spans="1:1" x14ac:dyDescent="0.2">
      <c r="A1824" s="48" t="s">
        <v>10202</v>
      </c>
    </row>
    <row r="1825" spans="1:1" x14ac:dyDescent="0.2">
      <c r="A1825" s="48" t="s">
        <v>10203</v>
      </c>
    </row>
    <row r="1826" spans="1:1" x14ac:dyDescent="0.2">
      <c r="A1826" s="48" t="s">
        <v>10204</v>
      </c>
    </row>
    <row r="1827" spans="1:1" x14ac:dyDescent="0.2">
      <c r="A1827" s="48" t="s">
        <v>10205</v>
      </c>
    </row>
    <row r="1828" spans="1:1" x14ac:dyDescent="0.2">
      <c r="A1828" s="48" t="s">
        <v>10206</v>
      </c>
    </row>
    <row r="1829" spans="1:1" x14ac:dyDescent="0.2">
      <c r="A1829" s="48" t="s">
        <v>10207</v>
      </c>
    </row>
    <row r="1830" spans="1:1" x14ac:dyDescent="0.2">
      <c r="A1830" s="48" t="s">
        <v>10208</v>
      </c>
    </row>
    <row r="1831" spans="1:1" x14ac:dyDescent="0.2">
      <c r="A1831" s="48" t="s">
        <v>10209</v>
      </c>
    </row>
    <row r="1832" spans="1:1" x14ac:dyDescent="0.2">
      <c r="A1832" s="48" t="s">
        <v>10210</v>
      </c>
    </row>
    <row r="1833" spans="1:1" x14ac:dyDescent="0.2">
      <c r="A1833" s="48" t="s">
        <v>10211</v>
      </c>
    </row>
    <row r="1834" spans="1:1" x14ac:dyDescent="0.2">
      <c r="A1834" s="48" t="s">
        <v>10212</v>
      </c>
    </row>
    <row r="1835" spans="1:1" x14ac:dyDescent="0.2">
      <c r="A1835" s="48" t="s">
        <v>10213</v>
      </c>
    </row>
    <row r="1836" spans="1:1" x14ac:dyDescent="0.2">
      <c r="A1836" s="48" t="s">
        <v>10214</v>
      </c>
    </row>
    <row r="1837" spans="1:1" x14ac:dyDescent="0.2">
      <c r="A1837" s="48" t="s">
        <v>10215</v>
      </c>
    </row>
    <row r="1838" spans="1:1" x14ac:dyDescent="0.2">
      <c r="A1838" s="48" t="s">
        <v>10216</v>
      </c>
    </row>
    <row r="1839" spans="1:1" x14ac:dyDescent="0.2">
      <c r="A1839" s="48" t="s">
        <v>10217</v>
      </c>
    </row>
    <row r="1840" spans="1:1" x14ac:dyDescent="0.2">
      <c r="A1840" s="48" t="s">
        <v>10218</v>
      </c>
    </row>
    <row r="1841" spans="1:1" x14ac:dyDescent="0.2">
      <c r="A1841" s="48" t="s">
        <v>10219</v>
      </c>
    </row>
    <row r="1842" spans="1:1" x14ac:dyDescent="0.2">
      <c r="A1842" s="48" t="s">
        <v>10220</v>
      </c>
    </row>
    <row r="1843" spans="1:1" x14ac:dyDescent="0.2">
      <c r="A1843" s="48" t="s">
        <v>10221</v>
      </c>
    </row>
    <row r="1844" spans="1:1" x14ac:dyDescent="0.2">
      <c r="A1844" s="48" t="s">
        <v>10222</v>
      </c>
    </row>
    <row r="1845" spans="1:1" x14ac:dyDescent="0.2">
      <c r="A1845" s="48" t="s">
        <v>10223</v>
      </c>
    </row>
    <row r="1846" spans="1:1" x14ac:dyDescent="0.2">
      <c r="A1846" s="48" t="s">
        <v>10224</v>
      </c>
    </row>
    <row r="1847" spans="1:1" x14ac:dyDescent="0.2">
      <c r="A1847" s="48" t="s">
        <v>10225</v>
      </c>
    </row>
    <row r="1848" spans="1:1" x14ac:dyDescent="0.2">
      <c r="A1848" s="48" t="s">
        <v>10226</v>
      </c>
    </row>
    <row r="1849" spans="1:1" x14ac:dyDescent="0.2">
      <c r="A1849" s="48" t="s">
        <v>10227</v>
      </c>
    </row>
    <row r="1850" spans="1:1" x14ac:dyDescent="0.2">
      <c r="A1850" s="48" t="s">
        <v>10228</v>
      </c>
    </row>
    <row r="1851" spans="1:1" x14ac:dyDescent="0.2">
      <c r="A1851" s="48" t="s">
        <v>10229</v>
      </c>
    </row>
    <row r="1852" spans="1:1" x14ac:dyDescent="0.2">
      <c r="A1852" s="48" t="s">
        <v>10230</v>
      </c>
    </row>
    <row r="1853" spans="1:1" x14ac:dyDescent="0.2">
      <c r="A1853" s="48" t="s">
        <v>10231</v>
      </c>
    </row>
    <row r="1854" spans="1:1" x14ac:dyDescent="0.2">
      <c r="A1854" s="48" t="s">
        <v>10232</v>
      </c>
    </row>
    <row r="1855" spans="1:1" x14ac:dyDescent="0.2">
      <c r="A1855" s="48" t="s">
        <v>10233</v>
      </c>
    </row>
    <row r="1856" spans="1:1" x14ac:dyDescent="0.2">
      <c r="A1856" s="48" t="s">
        <v>10234</v>
      </c>
    </row>
    <row r="1857" spans="1:1" x14ac:dyDescent="0.2">
      <c r="A1857" s="48" t="s">
        <v>10235</v>
      </c>
    </row>
    <row r="1858" spans="1:1" x14ac:dyDescent="0.2">
      <c r="A1858" s="48" t="s">
        <v>10236</v>
      </c>
    </row>
    <row r="1859" spans="1:1" x14ac:dyDescent="0.2">
      <c r="A1859" s="48" t="s">
        <v>10237</v>
      </c>
    </row>
    <row r="1860" spans="1:1" x14ac:dyDescent="0.2">
      <c r="A1860" s="48" t="s">
        <v>10238</v>
      </c>
    </row>
    <row r="1861" spans="1:1" x14ac:dyDescent="0.2">
      <c r="A1861" s="48" t="s">
        <v>10239</v>
      </c>
    </row>
    <row r="1862" spans="1:1" x14ac:dyDescent="0.2">
      <c r="A1862" s="48" t="s">
        <v>10240</v>
      </c>
    </row>
  </sheetData>
  <sortState xmlns:xlrd2="http://schemas.microsoft.com/office/spreadsheetml/2017/richdata2" ref="A1:A1862">
    <sortCondition ref="A1617:A18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Australia</vt:lpstr>
      <vt:lpstr>References</vt:lpstr>
    </vt:vector>
  </TitlesOfParts>
  <Manager/>
  <Company>Geoscience Australia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Huston</dc:creator>
  <cp:keywords/>
  <dc:description/>
  <cp:lastModifiedBy>Jonathan Cloutier</cp:lastModifiedBy>
  <cp:revision/>
  <dcterms:created xsi:type="dcterms:W3CDTF">2019-08-04T23:37:42Z</dcterms:created>
  <dcterms:modified xsi:type="dcterms:W3CDTF">2025-08-12T22:03:51Z</dcterms:modified>
  <cp:category/>
  <cp:contentStatus/>
</cp:coreProperties>
</file>