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b33d36f64b0ae6/Desktop/Vanderbilt Data Analytics Boot Camp/1 - Excel/Analysis Projects/Crowdfunding Analysis/"/>
    </mc:Choice>
  </mc:AlternateContent>
  <xr:revisionPtr revIDLastSave="631" documentId="13_ncr:1_{D754642E-E684-4F4D-953B-1821B0424A6E}" xr6:coauthVersionLast="47" xr6:coauthVersionMax="47" xr10:uidLastSave="{AA819EA2-67A8-4D79-821A-34390C24E4EB}"/>
  <bookViews>
    <workbookView xWindow="-120" yWindow="-120" windowWidth="29040" windowHeight="15840" tabRatio="790" xr2:uid="{00000000-000D-0000-FFFF-FFFF00000000}"/>
  </bookViews>
  <sheets>
    <sheet name="Theatre Outcomes by Launch Date" sheetId="10" r:id="rId1"/>
    <sheet name="Kickstarter" sheetId="1" r:id="rId2"/>
    <sheet name="Outcomes Based On Goals" sheetId="11" r:id="rId3"/>
    <sheet name="Descriptive Statistics" sheetId="8" r:id="rId4"/>
    <sheet name="Parent Category Statistics" sheetId="2" r:id="rId5"/>
    <sheet name="Subcategory Statistics" sheetId="3" r:id="rId6"/>
    <sheet name="Outcomes Based On Launch Date" sheetId="4" r:id="rId7"/>
    <sheet name="Vlookups" sheetId="5" r:id="rId8"/>
  </sheets>
  <definedNames>
    <definedName name="_xlnm._FilterDatabase" localSheetId="1" hidden="1">Kickstarter!$A$1:$U$4115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11" l="1"/>
  <c r="C15" i="11"/>
  <c r="B15" i="11"/>
  <c r="B2" i="11"/>
  <c r="B14" i="11" s="1"/>
  <c r="M5" i="11"/>
  <c r="L5" i="11"/>
  <c r="M8" i="11"/>
  <c r="L8" i="11"/>
  <c r="K11" i="11"/>
  <c r="K8" i="11"/>
  <c r="J8" i="11"/>
  <c r="K5" i="11"/>
  <c r="J5" i="11"/>
  <c r="C14" i="11"/>
  <c r="X6" i="10"/>
  <c r="W7" i="10"/>
  <c r="W8" i="10"/>
  <c r="W9" i="10"/>
  <c r="W10" i="10"/>
  <c r="W11" i="10"/>
  <c r="W12" i="10"/>
  <c r="W13" i="10"/>
  <c r="W14" i="10"/>
  <c r="W15" i="10"/>
  <c r="W16" i="10"/>
  <c r="W17" i="10"/>
  <c r="W6" i="10"/>
  <c r="V7" i="10"/>
  <c r="V8" i="10"/>
  <c r="V9" i="10"/>
  <c r="V10" i="10"/>
  <c r="V11" i="10"/>
  <c r="V12" i="10"/>
  <c r="V13" i="10"/>
  <c r="V14" i="10"/>
  <c r="V15" i="10"/>
  <c r="V16" i="10"/>
  <c r="V17" i="10"/>
  <c r="V6" i="10"/>
  <c r="U7" i="10"/>
  <c r="U8" i="10"/>
  <c r="U9" i="10"/>
  <c r="U10" i="10"/>
  <c r="U11" i="10"/>
  <c r="U12" i="10"/>
  <c r="U13" i="10"/>
  <c r="U14" i="10"/>
  <c r="U15" i="10"/>
  <c r="U16" i="10"/>
  <c r="U17" i="10"/>
  <c r="U6" i="10"/>
  <c r="C11" i="11"/>
  <c r="F12" i="11"/>
  <c r="G12" i="11"/>
  <c r="H12" i="11"/>
  <c r="B11" i="11"/>
  <c r="G3" i="11"/>
  <c r="H3" i="11"/>
  <c r="G4" i="11"/>
  <c r="H4" i="11"/>
  <c r="H5" i="11"/>
  <c r="G6" i="11"/>
  <c r="H6" i="11"/>
  <c r="G7" i="11"/>
  <c r="H7" i="11"/>
  <c r="G8" i="11"/>
  <c r="H8" i="11"/>
  <c r="G9" i="11"/>
  <c r="H9" i="11"/>
  <c r="G10" i="11"/>
  <c r="H10" i="11"/>
  <c r="G13" i="11"/>
  <c r="H13" i="11"/>
  <c r="F4" i="11"/>
  <c r="F5" i="11"/>
  <c r="F6" i="11"/>
  <c r="F7" i="11"/>
  <c r="F8" i="11"/>
  <c r="F9" i="11"/>
  <c r="F10" i="11"/>
  <c r="F13" i="11"/>
  <c r="F3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0" i="11"/>
  <c r="C9" i="11"/>
  <c r="C8" i="11"/>
  <c r="C7" i="11"/>
  <c r="C6" i="11"/>
  <c r="C5" i="11"/>
  <c r="C4" i="11"/>
  <c r="C3" i="11"/>
  <c r="B3" i="11"/>
  <c r="B4" i="11"/>
  <c r="B5" i="11"/>
  <c r="B6" i="11"/>
  <c r="B7" i="11"/>
  <c r="B8" i="11"/>
  <c r="B9" i="11"/>
  <c r="B10" i="11"/>
  <c r="B12" i="11"/>
  <c r="B13" i="11"/>
  <c r="C2" i="11"/>
  <c r="C13" i="8"/>
  <c r="C14" i="8" s="1"/>
  <c r="C12" i="8"/>
  <c r="C11" i="8"/>
  <c r="B13" i="8"/>
  <c r="B12" i="8"/>
  <c r="B11" i="8"/>
  <c r="C6" i="8"/>
  <c r="C5" i="8"/>
  <c r="C7" i="8" s="1"/>
  <c r="C4" i="8"/>
  <c r="B6" i="8"/>
  <c r="B7" i="8" s="1"/>
  <c r="B5" i="8"/>
  <c r="B4" i="8"/>
  <c r="C10" i="8"/>
  <c r="B10" i="8"/>
  <c r="C9" i="8"/>
  <c r="B9" i="8"/>
  <c r="C3" i="8"/>
  <c r="B3" i="8"/>
  <c r="C2" i="8"/>
  <c r="B2" i="8"/>
  <c r="C3" i="5"/>
  <c r="C4" i="5"/>
  <c r="C5" i="5"/>
  <c r="C6" i="5"/>
  <c r="C2" i="5"/>
  <c r="B5" i="5"/>
  <c r="B3" i="5"/>
  <c r="B4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8" l="1"/>
  <c r="J11" i="11"/>
  <c r="M11" i="11" s="1"/>
  <c r="L11" i="11"/>
  <c r="E7" i="11"/>
  <c r="E6" i="11"/>
  <c r="E9" i="11"/>
  <c r="E8" i="11"/>
  <c r="E3" i="11"/>
  <c r="E10" i="11"/>
  <c r="E2" i="11"/>
  <c r="E14" i="11" s="1"/>
  <c r="E13" i="11"/>
  <c r="E5" i="11"/>
  <c r="E12" i="11"/>
  <c r="E4" i="11"/>
  <c r="E11" i="11"/>
  <c r="G14" i="11" l="1"/>
  <c r="N11" i="11" a="1"/>
  <c r="N11" i="11" s="1"/>
  <c r="N8" i="11" a="1"/>
  <c r="N8" i="11" s="1"/>
  <c r="N5" i="11" a="1"/>
  <c r="N5" i="11" s="1"/>
  <c r="F14" i="11"/>
  <c r="F11" i="11"/>
  <c r="H11" i="11"/>
  <c r="G11" i="11"/>
  <c r="G2" i="11"/>
  <c r="H2" i="11"/>
  <c r="F2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<sst xmlns="http://schemas.openxmlformats.org/spreadsheetml/2006/main" count="33085" uniqueCount="8432">
  <si>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</si>
  <si>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</si>
  <si>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</si>
  <si>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</si>
  <si>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</si>
  <si>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</si>
  <si>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</si>
  <si>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</si>
  <si>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</si>
  <si>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</si>
  <si>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</si>
  <si>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</si>
  <si>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</si>
  <si>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</si>
  <si>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</si>
  <si>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</si>
  <si>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</si>
  <si>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</si>
  <si>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</si>
  <si>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</si>
  <si>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</si>
  <si>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</si>
  <si>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</si>
  <si>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</si>
  <si>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</si>
  <si>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</si>
  <si>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</si>
  <si>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</si>
  <si>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</si>
  <si>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</si>
  <si>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</si>
  <si>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</si>
  <si>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</si>
  <si>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</si>
  <si>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</si>
  <si>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</si>
  <si>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</si>
  <si>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</si>
  <si>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</si>
  <si>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</si>
  <si>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</si>
  <si>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</si>
  <si>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</si>
  <si>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</si>
  <si>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</si>
  <si>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</si>
  <si>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</si>
  <si>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</si>
  <si>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</si>
  <si>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</si>
  <si>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</si>
  <si>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</si>
  <si>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</si>
  <si>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</si>
  <si>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</si>
  <si>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</si>
  <si>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</si>
  <si>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</si>
  <si>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</si>
  <si>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</si>
  <si>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</si>
  <si>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</si>
  <si>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</si>
  <si>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</si>
  <si>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</si>
  <si>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</si>
  <si>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</si>
  <si>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</si>
  <si>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</si>
  <si>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</si>
  <si>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</si>
  <si>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</si>
  <si>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</si>
  <si>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</si>
  <si>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</si>
  <si>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</si>
  <si>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</si>
  <si>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</si>
  <si>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</si>
  <si>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</si>
  <si>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</si>
  <si>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</si>
  <si>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</si>
  <si>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</si>
  <si>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</si>
  <si>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</si>
  <si>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</si>
  <si>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</si>
  <si>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</si>
  <si>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</si>
  <si>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</si>
  <si>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</si>
  <si>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</si>
  <si>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</si>
  <si>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</si>
  <si>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</si>
  <si>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</si>
  <si>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</si>
  <si>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</si>
  <si>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</si>
  <si>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</si>
  <si>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</si>
  <si>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</si>
  <si>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</si>
  <si>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</si>
  <si>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</si>
  <si>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</si>
  <si>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</si>
  <si>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</si>
  <si>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</si>
  <si>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</si>
  <si>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</si>
  <si>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</si>
  <si>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</si>
  <si>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</si>
  <si>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</si>
  <si>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</si>
  <si>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</si>
  <si>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</si>
  <si>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</si>
  <si>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</si>
  <si>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</si>
  <si>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</si>
  <si>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</si>
  <si>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</si>
  <si>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</si>
  <si>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</si>
  <si>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</si>
  <si>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</si>
  <si>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</si>
  <si>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</si>
  <si>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</si>
  <si>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</si>
  <si>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</si>
  <si>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</si>
  <si>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</si>
  <si>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</si>
  <si>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</si>
  <si>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</si>
  <si>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</si>
  <si>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</si>
  <si>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</si>
  <si>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</si>
  <si>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</si>
  <si>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</si>
  <si>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</si>
  <si>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</si>
  <si>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</si>
  <si>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</si>
  <si>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</si>
  <si>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</si>
  <si>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</si>
  <si>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</si>
  <si>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</si>
  <si>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</si>
  <si>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</si>
  <si>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</si>
  <si>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</si>
  <si>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</si>
  <si>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</si>
  <si>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</si>
  <si>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</si>
  <si>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</si>
  <si>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</si>
  <si>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</si>
  <si>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</si>
  <si>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</si>
  <si>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</si>
  <si>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</si>
  <si>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</si>
  <si>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</si>
  <si>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</si>
  <si>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</si>
  <si>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</si>
  <si>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</si>
  <si>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</si>
  <si>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</si>
  <si>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</si>
  <si>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</si>
  <si>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</si>
  <si>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</si>
  <si>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</si>
  <si>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</si>
  <si>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</si>
  <si>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</si>
  <si>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</si>
  <si>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</si>
  <si>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</si>
  <si>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</si>
  <si>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</si>
  <si>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</si>
  <si>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</si>
  <si>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</si>
  <si>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</si>
  <si>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</si>
  <si>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</si>
  <si>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</si>
  <si>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</si>
  <si>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</si>
  <si>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</si>
  <si>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</si>
  <si>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</si>
  <si>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</si>
  <si>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</si>
  <si>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</si>
  <si>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</si>
  <si>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</si>
  <si>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</si>
  <si>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</si>
  <si>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</si>
  <si>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</si>
  <si>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</si>
  <si>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</si>
  <si>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</si>
  <si>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</si>
  <si>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</si>
  <si>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</si>
  <si>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</si>
  <si>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</si>
  <si>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</si>
  <si>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</si>
  <si>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</si>
  <si>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</si>
  <si>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</si>
  <si>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</si>
  <si>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</si>
  <si>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</si>
  <si>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</si>
  <si>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</si>
  <si>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</si>
  <si>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</si>
  <si>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</si>
  <si>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</si>
  <si>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</si>
  <si>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</si>
  <si>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</si>
  <si>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</si>
  <si>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</si>
  <si>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</si>
  <si>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</si>
  <si>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</si>
  <si>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</si>
  <si>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</si>
  <si>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</si>
  <si>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</si>
  <si>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</si>
  <si>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</si>
  <si>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</si>
  <si>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</si>
  <si>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</si>
  <si>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</si>
  <si>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</si>
  <si>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</si>
  <si>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</si>
  <si>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</si>
  <si>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</si>
  <si>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</si>
  <si>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</si>
  <si>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</si>
  <si>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</si>
  <si>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</si>
  <si>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</si>
  <si>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</si>
  <si>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</si>
  <si>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</si>
  <si>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</si>
  <si>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</si>
  <si>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</si>
  <si>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</si>
  <si>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</si>
  <si>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</si>
  <si>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</si>
  <si>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</si>
  <si>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</si>
  <si>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</si>
  <si>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</si>
  <si>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</si>
  <si>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</si>
  <si>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</si>
  <si>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</si>
  <si>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</si>
  <si>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</si>
  <si>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</si>
  <si>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</si>
  <si>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</si>
  <si>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</si>
  <si>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</si>
  <si>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</si>
  <si>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</si>
  <si>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</si>
  <si>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</si>
  <si>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</si>
  <si>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</si>
  <si>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</si>
  <si>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</si>
  <si>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</si>
  <si>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</si>
  <si>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</si>
  <si>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</si>
  <si>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</si>
  <si>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</si>
  <si>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</si>
  <si>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</si>
  <si>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</si>
  <si>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</si>
  <si>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</si>
  <si>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</si>
  <si>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</si>
  <si>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</si>
  <si>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</si>
  <si>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</si>
  <si>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</si>
  <si>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</si>
  <si>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</si>
  <si>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</si>
  <si>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</si>
  <si>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</si>
  <si>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</si>
  <si>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</si>
  <si>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</si>
  <si>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</si>
  <si>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</si>
  <si>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</si>
  <si>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</si>
  <si>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</si>
  <si>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</si>
  <si>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</si>
  <si>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</si>
  <si>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</si>
  <si>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</si>
  <si>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</si>
  <si>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</si>
  <si>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</si>
  <si>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</si>
  <si>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</si>
  <si>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</si>
  <si>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</si>
  <si>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</si>
  <si>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</si>
  <si>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</si>
  <si>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</si>
  <si>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</si>
  <si>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</si>
  <si>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</si>
  <si>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</si>
  <si>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</si>
  <si>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</si>
  <si>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</si>
  <si>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</si>
  <si>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</si>
  <si>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</si>
  <si>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</si>
  <si>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</si>
  <si>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</si>
  <si>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</si>
  <si>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</si>
  <si>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</si>
  <si>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</si>
  <si>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</si>
  <si>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</si>
  <si>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</si>
  <si>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</si>
  <si>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</si>
  <si>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</si>
  <si>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</si>
  <si>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</si>
  <si>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</si>
  <si>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</si>
  <si>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</si>
  <si>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</si>
  <si>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</si>
  <si>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</si>
  <si>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</si>
  <si>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</si>
  <si>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</si>
  <si>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</si>
  <si>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</si>
  <si>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</si>
  <si>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</si>
  <si>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</si>
  <si>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</si>
  <si>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</si>
  <si>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</si>
  <si>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</si>
  <si>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</si>
  <si>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</si>
  <si>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</si>
  <si>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</si>
  <si>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</si>
  <si>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</si>
  <si>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</si>
  <si>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</si>
  <si>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</si>
  <si>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</si>
  <si>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</si>
  <si>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</si>
  <si>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</si>
  <si>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</si>
  <si>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</si>
  <si>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</si>
  <si>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</si>
  <si>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</si>
  <si>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</si>
  <si>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</si>
  <si>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</si>
  <si>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</si>
  <si>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</si>
  <si>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</si>
  <si>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</si>
  <si>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</si>
  <si>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</si>
  <si>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</si>
  <si>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</si>
  <si>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</si>
  <si>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</si>
  <si>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</si>
  <si>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</si>
  <si>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</si>
  <si>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</si>
  <si>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</si>
  <si>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</si>
  <si>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</si>
  <si>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</si>
  <si>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</si>
  <si>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</si>
  <si>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</si>
  <si>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</si>
  <si>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</si>
  <si>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</si>
  <si>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</si>
  <si>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</si>
  <si>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</si>
  <si>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</si>
  <si>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</si>
  <si>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</si>
  <si>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</si>
  <si>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</si>
  <si>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</si>
  <si>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</si>
  <si>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</si>
  <si>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</si>
  <si>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</si>
  <si>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</si>
  <si>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</si>
  <si>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</si>
  <si>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</si>
  <si>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</si>
  <si>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</si>
  <si>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</si>
  <si>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</si>
  <si>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</si>
  <si>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</si>
  <si>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</si>
  <si>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</si>
  <si>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</si>
  <si>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</si>
  <si>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</si>
  <si>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</si>
  <si>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</si>
  <si>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</si>
  <si>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</si>
  <si>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</si>
  <si>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</si>
  <si>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</si>
  <si>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</si>
  <si>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</si>
  <si>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</si>
  <si>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</si>
  <si>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</si>
  <si>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</si>
  <si>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</si>
  <si>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</si>
  <si>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</si>
  <si>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</si>
  <si>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</si>
  <si>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</si>
  <si>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</si>
  <si>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</si>
  <si>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</si>
  <si>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</si>
  <si>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</si>
  <si>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</si>
  <si>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</si>
  <si>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</si>
  <si>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</si>
  <si>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</si>
  <si>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</si>
  <si>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</si>
  <si>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</si>
  <si>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</si>
  <si>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</si>
  <si>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</si>
  <si>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</si>
  <si>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</si>
  <si>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</si>
  <si>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</si>
  <si>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</si>
  <si>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</si>
  <si>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</si>
  <si>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</si>
  <si>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</si>
  <si>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</si>
  <si>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</si>
  <si>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</si>
  <si>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</si>
  <si>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</si>
  <si>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</si>
  <si>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</si>
  <si>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</si>
  <si>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</si>
  <si>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</si>
  <si>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</si>
  <si>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</si>
  <si>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</si>
  <si>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</si>
  <si>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</si>
  <si>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</si>
  <si>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</si>
  <si>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</si>
  <si>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</si>
  <si>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</si>
  <si>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</si>
  <si>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</si>
  <si>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</si>
  <si>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</si>
  <si>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</si>
  <si>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</si>
  <si>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</si>
  <si>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</si>
  <si>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</si>
  <si>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</si>
  <si>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</si>
  <si>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</si>
  <si>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</si>
  <si>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</si>
  <si>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</si>
  <si>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</si>
  <si>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</si>
  <si>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</si>
  <si>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</si>
  <si>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</si>
  <si>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</si>
  <si>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</si>
  <si>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</si>
  <si>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</si>
  <si>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</si>
  <si>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</si>
  <si>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</si>
  <si>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</si>
  <si>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</si>
  <si>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</si>
  <si>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</si>
  <si>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</si>
  <si>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</si>
  <si>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</si>
  <si>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</si>
  <si>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</si>
  <si>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</si>
  <si>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</si>
  <si>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</si>
  <si>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</si>
  <si>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</si>
  <si>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</si>
  <si>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</si>
  <si>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</si>
  <si>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</si>
  <si>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</si>
  <si>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</si>
  <si>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</si>
  <si>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</si>
  <si>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</si>
  <si>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</si>
  <si>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</si>
  <si>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</si>
  <si>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</si>
  <si>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</si>
  <si>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</si>
  <si>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</si>
  <si>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</si>
  <si>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</si>
  <si>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</si>
  <si>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</si>
  <si>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</si>
  <si>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</si>
  <si>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</si>
  <si>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</si>
  <si>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</si>
  <si>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</si>
  <si>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</si>
  <si>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</si>
  <si>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</si>
  <si>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</si>
  <si>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</si>
  <si>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</si>
  <si>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</si>
  <si>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</si>
  <si>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</si>
  <si>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</si>
  <si>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</si>
  <si>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</si>
  <si>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</si>
  <si>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</si>
  <si>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</si>
  <si>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</si>
  <si>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</si>
  <si>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</si>
  <si>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</si>
  <si>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</si>
  <si>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</si>
  <si>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</si>
  <si>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</si>
  <si>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</si>
  <si>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</si>
  <si>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</si>
  <si>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</si>
  <si>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</si>
  <si>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</si>
  <si>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</si>
  <si>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</si>
  <si>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</si>
  <si>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</si>
  <si>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</si>
  <si>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</si>
  <si>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</si>
  <si>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</si>
  <si>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</si>
  <si>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</si>
  <si>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</si>
  <si>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</si>
  <si>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</si>
  <si>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</si>
  <si>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</si>
  <si>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</si>
  <si>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</si>
  <si>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</si>
  <si>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</si>
  <si>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</si>
  <si>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</si>
  <si>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</si>
  <si>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</si>
  <si>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</si>
  <si>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</si>
  <si>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</si>
  <si>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</si>
  <si>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</si>
  <si>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</si>
  <si>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</si>
  <si>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</si>
  <si>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</si>
  <si>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</si>
  <si>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</si>
  <si>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</si>
  <si>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</si>
  <si>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</si>
  <si>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</si>
  <si>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</si>
  <si>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</si>
  <si>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</si>
  <si>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</si>
  <si>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</si>
  <si>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</si>
  <si>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</si>
  <si>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</si>
  <si>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</si>
  <si>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</si>
  <si>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</si>
  <si>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</si>
  <si>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</si>
  <si>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</si>
  <si>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</si>
  <si>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</si>
  <si>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</si>
  <si>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</si>
  <si>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</si>
  <si>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</si>
  <si>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</si>
  <si>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</si>
  <si>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</si>
  <si>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</si>
  <si>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</si>
  <si>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</si>
  <si>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</si>
  <si>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</si>
  <si>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</si>
  <si>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</si>
  <si>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</si>
  <si>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</si>
  <si>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</si>
  <si>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</si>
  <si>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</si>
  <si>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</si>
  <si>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</si>
  <si>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</si>
  <si>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</si>
  <si>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</si>
  <si>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</si>
  <si>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</si>
  <si>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</si>
  <si>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</si>
  <si>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</si>
  <si>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</si>
  <si>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</si>
  <si>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</si>
  <si>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</si>
  <si>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</si>
  <si>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</si>
  <si>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</si>
  <si>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</si>
  <si>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</si>
  <si>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</si>
  <si>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</si>
  <si>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</si>
  <si>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</si>
  <si>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</si>
  <si>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</si>
  <si>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</si>
  <si>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</si>
  <si>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</si>
  <si>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</si>
  <si>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</si>
  <si>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</si>
  <si>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</si>
  <si>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</si>
  <si>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</si>
  <si>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</si>
  <si>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</si>
  <si>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</si>
  <si>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</si>
  <si>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</si>
  <si>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</si>
  <si>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</si>
  <si>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</si>
  <si>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</si>
  <si>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</si>
  <si>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</si>
  <si>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</si>
  <si>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</si>
  <si>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</si>
  <si>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</si>
  <si>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</si>
  <si>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</si>
  <si>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</si>
  <si>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</si>
  <si>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</si>
  <si>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</si>
  <si>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</si>
  <si>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</si>
  <si>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</si>
  <si>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</si>
  <si>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</si>
  <si>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</si>
  <si>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</si>
  <si>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</si>
  <si>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</si>
  <si>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</si>
  <si>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</si>
  <si>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</si>
  <si>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</si>
  <si>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</si>
  <si>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</si>
  <si>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</si>
  <si>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</si>
  <si>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</si>
  <si>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</si>
  <si>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</si>
  <si>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</si>
  <si>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</si>
  <si>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</si>
  <si>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</si>
  <si>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</si>
  <si>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</si>
  <si>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</si>
  <si>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</si>
  <si>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</si>
  <si>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</si>
  <si>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</si>
  <si>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</si>
  <si>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</si>
  <si>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</si>
  <si>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</si>
  <si>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</si>
  <si>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</si>
  <si>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</si>
  <si>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</si>
  <si>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</si>
  <si>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</si>
  <si>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</si>
  <si>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</si>
  <si>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</si>
  <si>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</si>
  <si>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</si>
  <si>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</si>
  <si>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</si>
  <si>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</si>
  <si>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</si>
  <si>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</si>
  <si>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</si>
  <si>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</si>
  <si>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</si>
  <si>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</si>
  <si>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</si>
  <si>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</si>
  <si>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</si>
  <si>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</si>
  <si>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</si>
  <si>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</si>
  <si>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</si>
  <si>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</si>
  <si>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</si>
  <si>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</si>
  <si>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</si>
  <si>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</si>
  <si>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</si>
  <si>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</si>
  <si>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</si>
  <si>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</si>
  <si>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</si>
  <si>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</si>
  <si>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</si>
  <si>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</si>
  <si>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</si>
  <si>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</si>
  <si>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</si>
  <si>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</si>
  <si>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</si>
  <si>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</si>
  <si>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</si>
  <si>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</si>
  <si>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</si>
  <si>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</si>
  <si>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</si>
  <si>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</si>
  <si>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</si>
  <si>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</si>
  <si>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</si>
  <si>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</si>
  <si>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</si>
  <si>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</si>
  <si>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</si>
  <si>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</si>
  <si>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</si>
  <si>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</si>
  <si>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</si>
  <si>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</si>
  <si>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</si>
  <si>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</si>
  <si>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</si>
  <si>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</si>
  <si>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</si>
  <si>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</si>
  <si>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</si>
  <si>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</si>
  <si>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</si>
  <si>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</si>
  <si>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</si>
  <si>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</si>
  <si>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</si>
  <si>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</si>
  <si>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</si>
  <si>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</si>
  <si>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</si>
  <si>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</si>
  <si>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</si>
  <si>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</si>
  <si>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</si>
  <si>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</si>
  <si>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</si>
  <si>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</si>
  <si>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</si>
  <si>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</si>
  <si>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</si>
  <si>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</si>
  <si>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</si>
  <si>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</si>
  <si>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</si>
  <si>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</si>
  <si>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</si>
  <si>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</si>
  <si>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</si>
  <si>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</si>
  <si>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</si>
  <si>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</si>
  <si>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</si>
  <si>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</si>
  <si>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</si>
  <si>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</si>
  <si>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</si>
  <si>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</si>
  <si>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</si>
  <si>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</si>
  <si>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</si>
  <si>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</si>
  <si>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</si>
  <si>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</si>
  <si>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</si>
  <si>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</si>
  <si>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</si>
  <si>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</si>
  <si>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</si>
  <si>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</si>
  <si>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</si>
  <si>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</si>
  <si>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</si>
  <si>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</si>
  <si>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</si>
  <si>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</si>
  <si>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</si>
  <si>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</si>
  <si>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</si>
  <si>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</si>
  <si>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</si>
  <si>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</si>
  <si>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</si>
  <si>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</si>
  <si>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</si>
  <si>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</si>
  <si>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</si>
  <si>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</si>
  <si>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</si>
  <si>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</si>
  <si>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</si>
  <si>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</si>
  <si>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</si>
  <si>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</si>
  <si>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</si>
  <si>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</si>
  <si>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</si>
  <si>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</si>
  <si>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</si>
  <si>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</si>
  <si>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</si>
  <si>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</si>
  <si>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</si>
  <si>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</si>
  <si>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</si>
  <si>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</si>
  <si>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</si>
  <si>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</si>
  <si>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</si>
  <si>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</si>
  <si>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</si>
  <si>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</si>
  <si>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</si>
  <si>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</si>
  <si>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</si>
  <si>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</si>
  <si>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</si>
  <si>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</si>
  <si>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</si>
  <si>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</si>
  <si>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</si>
  <si>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</si>
  <si>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</si>
  <si>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</si>
  <si>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</si>
  <si>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</si>
  <si>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</si>
  <si>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</si>
  <si>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</si>
  <si>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</si>
  <si>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</si>
  <si>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</si>
  <si>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</si>
  <si>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</si>
  <si>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</si>
  <si>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</si>
  <si>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</si>
  <si>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</si>
  <si>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</si>
  <si>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</si>
  <si>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</si>
  <si>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</si>
  <si>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</si>
  <si>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</si>
  <si>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</si>
  <si>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</si>
  <si>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</si>
  <si>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</si>
  <si>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</si>
  <si>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</si>
  <si>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</si>
  <si>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</si>
  <si>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</si>
  <si>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</si>
  <si>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</si>
  <si>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</si>
  <si>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</si>
  <si>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</si>
  <si>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</si>
  <si>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</si>
  <si>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</si>
  <si>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</si>
  <si>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</si>
  <si>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</si>
  <si>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</si>
  <si>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</si>
  <si>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</si>
  <si>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</si>
  <si>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</si>
  <si>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</si>
  <si>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</si>
  <si>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</si>
  <si>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</si>
  <si>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</si>
  <si>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</si>
  <si>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</si>
  <si>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</si>
  <si>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</si>
  <si>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</si>
  <si>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</si>
  <si>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</si>
  <si>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</si>
  <si>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</si>
  <si>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</si>
  <si>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</si>
  <si>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</si>
  <si>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</si>
  <si>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</si>
  <si>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</si>
  <si>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</si>
  <si>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</si>
  <si>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</si>
  <si>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</si>
  <si>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</si>
  <si>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</si>
  <si>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</si>
  <si>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</si>
  <si>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</si>
  <si>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</si>
  <si>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</si>
  <si>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</si>
  <si>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</si>
  <si>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</si>
  <si>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</si>
  <si>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</si>
  <si>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</si>
  <si>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</si>
  <si>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</si>
  <si>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</si>
  <si>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</si>
  <si>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</si>
  <si>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</si>
  <si>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</si>
  <si>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</si>
  <si>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</si>
  <si>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</si>
  <si>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</si>
  <si>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</si>
  <si>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</si>
  <si>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</si>
  <si>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</si>
  <si>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</si>
  <si>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</si>
  <si>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</si>
  <si>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</si>
  <si>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</si>
  <si>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</si>
  <si>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</si>
  <si>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</si>
  <si>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</si>
  <si>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</si>
  <si>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</si>
  <si>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</si>
  <si>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</si>
  <si>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</si>
  <si>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</si>
  <si>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</si>
  <si>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</si>
  <si>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</si>
  <si>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</si>
  <si>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</si>
  <si>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</si>
  <si>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</si>
  <si>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</si>
  <si>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</si>
  <si>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</si>
  <si>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</si>
  <si>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</si>
  <si>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</si>
  <si>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</si>
  <si>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</si>
  <si>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</si>
  <si>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</si>
  <si>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</si>
  <si>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</si>
  <si>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</si>
  <si>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</si>
  <si>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</si>
  <si>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</si>
  <si>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</si>
  <si>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</si>
  <si>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</si>
  <si>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</si>
  <si>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</si>
  <si>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</si>
  <si>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</si>
  <si>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</si>
  <si>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</si>
  <si>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</si>
  <si>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</si>
  <si>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</si>
  <si>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</si>
  <si>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</si>
  <si>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</si>
  <si>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</si>
  <si>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</si>
  <si>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</si>
  <si>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</si>
  <si>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</si>
  <si>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</si>
  <si>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</si>
  <si>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</si>
  <si>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</si>
  <si>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</si>
  <si>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</si>
  <si>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</si>
  <si>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</si>
  <si>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</si>
  <si>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</si>
  <si>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</si>
  <si>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</si>
  <si>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</si>
  <si>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</si>
  <si>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</si>
  <si>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</si>
  <si>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</si>
  <si>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</si>
  <si>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</si>
  <si>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</si>
  <si>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</si>
  <si>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</si>
  <si>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</si>
  <si>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</si>
  <si>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</si>
  <si>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</si>
  <si>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</si>
  <si>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</si>
  <si>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</si>
  <si>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</si>
  <si>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</si>
  <si>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</si>
  <si>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</si>
  <si>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</si>
  <si>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</si>
  <si>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</si>
  <si>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</si>
  <si>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</si>
  <si>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</si>
  <si>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</si>
  <si>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</si>
  <si>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</si>
  <si>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</si>
  <si>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</si>
  <si>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</si>
  <si>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</si>
  <si>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</si>
  <si>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</si>
  <si>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</si>
  <si>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</si>
  <si>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</si>
  <si>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</si>
  <si>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</si>
  <si>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</si>
  <si>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</si>
  <si>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</si>
  <si>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</si>
  <si>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</si>
  <si>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</si>
  <si>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</si>
  <si>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</si>
  <si>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</si>
  <si>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</si>
  <si>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</si>
  <si>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</si>
  <si>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</si>
  <si>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</si>
  <si>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</si>
  <si>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</si>
  <si>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</si>
  <si>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</si>
  <si>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</si>
  <si>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</si>
  <si>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</si>
  <si>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</si>
  <si>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</si>
  <si>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</si>
  <si>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</si>
  <si>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</si>
  <si>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</si>
  <si>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</si>
  <si>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</si>
  <si>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</si>
  <si>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</si>
  <si>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</si>
  <si>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</si>
  <si>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</si>
  <si>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</si>
  <si>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</si>
  <si>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</si>
  <si>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</si>
  <si>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</si>
  <si>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</si>
  <si>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</si>
  <si>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</si>
  <si>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</si>
  <si>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</si>
  <si>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</si>
  <si>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</si>
  <si>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</si>
  <si>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</si>
  <si>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</si>
  <si>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</si>
  <si>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</si>
  <si>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</si>
  <si>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</si>
  <si>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</si>
  <si>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</si>
  <si>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</si>
  <si>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</si>
  <si>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</si>
  <si>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</si>
  <si>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</si>
  <si>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</si>
  <si>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</si>
  <si>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</si>
  <si>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</si>
  <si>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</si>
  <si>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</si>
  <si>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</si>
  <si>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</si>
  <si>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</si>
  <si>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</si>
  <si>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</si>
  <si>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</si>
  <si>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</si>
  <si>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</si>
  <si>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</si>
  <si>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</si>
  <si>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</si>
  <si>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</si>
  <si>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</si>
  <si>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</si>
  <si>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</si>
  <si>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</si>
  <si>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</si>
  <si>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</si>
  <si>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</si>
  <si>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</si>
  <si>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</si>
  <si>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</si>
  <si>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</si>
  <si>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</si>
  <si>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</si>
  <si>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</si>
  <si>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</si>
  <si>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</si>
  <si>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</si>
  <si>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</si>
  <si>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</si>
  <si>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</si>
  <si>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</si>
  <si>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</si>
  <si>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</si>
  <si>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</si>
  <si>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</si>
  <si>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</si>
  <si>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</si>
  <si>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</si>
  <si>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</si>
  <si>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</si>
  <si>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</si>
  <si>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</si>
  <si>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</si>
  <si>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</si>
  <si>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</si>
  <si>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</si>
  <si>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</si>
  <si>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</si>
  <si>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</si>
  <si>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</si>
  <si>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</si>
  <si>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</si>
  <si>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</si>
  <si>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</si>
  <si>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</si>
  <si>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</si>
  <si>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</si>
  <si>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</si>
  <si>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</si>
  <si>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</si>
  <si>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</si>
  <si>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</si>
  <si>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</si>
  <si>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</si>
  <si>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</si>
  <si>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</si>
  <si>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</si>
  <si>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</si>
  <si>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</si>
  <si>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</si>
  <si>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</si>
  <si>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</si>
  <si>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</si>
  <si>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</si>
  <si>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</si>
  <si>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</si>
  <si>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</si>
  <si>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</si>
  <si>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</si>
  <si>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</si>
  <si>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</si>
  <si>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</si>
  <si>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</si>
  <si>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</si>
  <si>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</si>
  <si>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</si>
  <si>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</si>
  <si>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</si>
  <si>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</si>
  <si>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</si>
  <si>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</si>
  <si>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</si>
  <si>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</si>
  <si>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</si>
  <si>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</si>
  <si>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</si>
  <si>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</si>
  <si>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</si>
  <si>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</si>
  <si>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</si>
  <si>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</si>
  <si>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</si>
  <si>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</si>
  <si>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</si>
  <si>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</si>
  <si>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</si>
  <si>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</si>
  <si>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</si>
  <si>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</si>
  <si>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</si>
  <si>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</si>
  <si>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</si>
  <si>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</si>
  <si>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</si>
  <si>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</si>
  <si>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</si>
  <si>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</si>
  <si>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</si>
  <si>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</si>
  <si>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</si>
  <si>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</si>
  <si>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</si>
  <si>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</si>
  <si>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</si>
  <si>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</si>
  <si>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</si>
  <si>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</si>
  <si>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</si>
  <si>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</si>
  <si>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</si>
  <si>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</si>
  <si>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</si>
  <si>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</si>
  <si>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</si>
  <si>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</si>
  <si>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</si>
  <si>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</si>
  <si>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</si>
  <si>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</si>
  <si>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</si>
  <si>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</si>
  <si>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</si>
  <si>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</si>
  <si>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</si>
  <si>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</si>
  <si>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</si>
  <si>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</si>
  <si>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</si>
  <si>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</si>
  <si>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</si>
  <si>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</si>
  <si>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</si>
  <si>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</si>
  <si>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</si>
  <si>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</si>
  <si>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</si>
  <si>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</si>
  <si>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</si>
  <si>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</si>
  <si>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</si>
  <si>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</si>
  <si>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</si>
  <si>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</si>
  <si>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</si>
  <si>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</si>
  <si>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</si>
  <si>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</si>
  <si>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</si>
  <si>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</si>
  <si>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</si>
  <si>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</si>
  <si>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</si>
  <si>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</si>
  <si>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</si>
  <si>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</si>
  <si>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</si>
  <si>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</si>
  <si>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</si>
  <si>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</si>
  <si>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</si>
  <si>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</si>
  <si>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</si>
  <si>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</si>
  <si>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</si>
  <si>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</si>
  <si>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</si>
  <si>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</si>
  <si>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</si>
  <si>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</si>
  <si>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</si>
  <si>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</si>
  <si>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</si>
  <si>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</si>
  <si>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</si>
  <si>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</si>
  <si>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</si>
  <si>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</si>
  <si>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</si>
  <si>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</si>
  <si>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</si>
  <si>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</si>
  <si>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</si>
  <si>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</si>
  <si>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</si>
  <si>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</si>
  <si>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</si>
  <si>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</si>
  <si>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</si>
  <si>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</si>
  <si>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</si>
  <si>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</si>
  <si>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</si>
  <si>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</si>
  <si>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</si>
  <si>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</si>
  <si>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</si>
  <si>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</si>
  <si>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</si>
  <si>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</si>
  <si>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</si>
  <si>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</si>
  <si>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</si>
  <si>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</si>
  <si>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</si>
  <si>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</si>
  <si>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</si>
  <si>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</si>
  <si>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</si>
  <si>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</si>
  <si>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</si>
  <si>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</si>
  <si>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</si>
  <si>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</si>
  <si>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</si>
  <si>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</si>
  <si>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</si>
  <si>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</si>
  <si>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</si>
  <si>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</si>
  <si>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</si>
  <si>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</si>
  <si>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</si>
  <si>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</si>
  <si>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</si>
  <si>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</si>
  <si>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</si>
  <si>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</si>
  <si>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</si>
  <si>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</si>
  <si>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</si>
  <si>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</si>
  <si>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</si>
  <si>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</si>
  <si>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</si>
  <si>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</si>
  <si>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</si>
  <si>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</si>
  <si>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</si>
  <si>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</si>
  <si>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</si>
  <si>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</si>
  <si>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</si>
  <si>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</si>
  <si>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</si>
  <si>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</si>
  <si>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</si>
  <si>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</si>
  <si>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</si>
  <si>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</si>
  <si>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</si>
  <si>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</si>
  <si>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</si>
  <si>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</si>
  <si>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</si>
  <si>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</si>
  <si>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</si>
  <si>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</si>
  <si>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</si>
  <si>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</si>
  <si>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</si>
  <si>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</si>
  <si>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</si>
  <si>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</si>
  <si>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</si>
  <si>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</si>
  <si>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</si>
  <si>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</si>
  <si>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</si>
  <si>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</si>
  <si>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</si>
  <si>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</si>
  <si>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</si>
  <si>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</si>
  <si>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</si>
  <si>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</si>
  <si>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</si>
  <si>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</si>
  <si>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</si>
  <si>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</si>
  <si>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</si>
  <si>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</si>
  <si>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</si>
  <si>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</si>
  <si>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</si>
  <si>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</si>
  <si>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</si>
  <si>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</si>
  <si>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</si>
  <si>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</si>
  <si>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</si>
  <si>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</si>
  <si>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</si>
  <si>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</si>
  <si>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</si>
  <si>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</si>
  <si>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</si>
  <si>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</si>
  <si>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</si>
  <si>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</si>
  <si>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</si>
  <si>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</si>
  <si>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</si>
  <si>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</si>
  <si>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</si>
  <si>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</si>
  <si>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</si>
  <si>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</si>
  <si>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</si>
  <si>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</si>
  <si>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</si>
  <si>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</si>
  <si>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</si>
  <si>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</si>
  <si>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</si>
  <si>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</si>
  <si>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</si>
  <si>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</si>
  <si>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</si>
  <si>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</si>
  <si>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</si>
  <si>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</si>
  <si>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</si>
  <si>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</si>
  <si>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</si>
  <si>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</si>
  <si>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</si>
  <si>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</si>
  <si>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</si>
  <si>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</si>
  <si>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</si>
  <si>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</si>
  <si>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</si>
  <si>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</si>
  <si>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</si>
  <si>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</si>
  <si>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</si>
  <si>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</si>
  <si>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</si>
  <si>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</si>
  <si>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</si>
  <si>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</si>
  <si>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</si>
  <si>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</si>
  <si>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</si>
  <si>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</si>
  <si>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</si>
  <si>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</si>
  <si>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</si>
  <si>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</si>
  <si>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</si>
  <si>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</si>
  <si>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</si>
  <si>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</si>
  <si>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</si>
  <si>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</si>
  <si>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</si>
  <si>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</si>
  <si>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</si>
  <si>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</si>
  <si>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</si>
  <si>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</si>
  <si>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</si>
  <si>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</si>
  <si>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</si>
  <si>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</si>
  <si>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</si>
  <si>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</si>
  <si>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</si>
  <si>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</si>
  <si>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</si>
  <si>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</si>
  <si>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</si>
  <si>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</si>
  <si>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</si>
  <si>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</si>
  <si>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</si>
  <si>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</si>
  <si>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</si>
  <si>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</si>
  <si>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</si>
  <si>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</si>
  <si>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</si>
  <si>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</si>
  <si>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</si>
  <si>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</si>
  <si>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</si>
  <si>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</si>
  <si>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</si>
  <si>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</si>
  <si>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</si>
  <si>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</si>
  <si>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</si>
  <si>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</si>
  <si>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</si>
  <si>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</si>
  <si>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</si>
  <si>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</si>
  <si>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</si>
  <si>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</si>
  <si>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</si>
  <si>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</si>
  <si>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</si>
  <si>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</si>
  <si>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</si>
  <si>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</si>
  <si>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</si>
  <si>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</si>
  <si>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</si>
  <si>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</si>
  <si>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</si>
  <si>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</si>
  <si>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</si>
  <si>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</si>
  <si>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</si>
  <si>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</si>
  <si>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</si>
  <si>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</si>
  <si>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</si>
  <si>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</si>
  <si>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</si>
  <si>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</si>
  <si>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</si>
  <si>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</si>
  <si>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</si>
  <si>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</si>
  <si>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</si>
  <si>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</si>
  <si>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</si>
  <si>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</si>
  <si>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</si>
  <si>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</si>
  <si>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</si>
  <si>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</si>
  <si>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</si>
  <si>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</si>
  <si>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</si>
  <si>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</si>
  <si>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</si>
  <si>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</si>
  <si>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</si>
  <si>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</si>
  <si>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</si>
  <si>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</si>
  <si>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</si>
  <si>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</si>
  <si>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</si>
  <si>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</si>
  <si>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</si>
  <si>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</si>
  <si>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</si>
  <si>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</si>
  <si>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</si>
  <si>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</si>
  <si>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</si>
  <si>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</si>
  <si>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</si>
  <si>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</si>
  <si>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</si>
  <si>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</si>
  <si>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</si>
  <si>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</si>
  <si>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</si>
  <si>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</si>
  <si>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</si>
  <si>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</si>
  <si>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</si>
  <si>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</si>
  <si>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</si>
  <si>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</si>
  <si>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</si>
  <si>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</si>
  <si>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</si>
  <si>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</si>
  <si>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</si>
  <si>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</si>
  <si>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</si>
  <si>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</si>
  <si>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</si>
  <si>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</si>
  <si>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</si>
  <si>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</si>
  <si>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</si>
  <si>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</si>
  <si>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</si>
  <si>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</si>
  <si>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</si>
  <si>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</si>
  <si>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</si>
  <si>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</si>
  <si>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</si>
  <si>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</si>
  <si>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</si>
  <si>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</si>
  <si>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</si>
  <si>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</si>
  <si>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</si>
  <si>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</si>
  <si>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</si>
  <si>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</si>
  <si>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</si>
  <si>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</si>
  <si>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</si>
  <si>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</si>
  <si>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</si>
  <si>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</si>
  <si>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</si>
  <si>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</si>
  <si>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</si>
  <si>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</si>
  <si>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</si>
  <si>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</si>
  <si>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</si>
  <si>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</si>
  <si>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</si>
  <si>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</si>
  <si>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</si>
  <si>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</si>
  <si>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</si>
  <si>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</si>
  <si>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</si>
  <si>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</si>
  <si>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</si>
  <si>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</si>
  <si>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</si>
  <si>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</si>
  <si>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</si>
  <si>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</si>
  <si>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</si>
  <si>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</si>
  <si>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</si>
  <si>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</si>
  <si>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</si>
  <si>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</si>
  <si>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</si>
  <si>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</si>
  <si>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</si>
  <si>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</si>
  <si>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</si>
  <si>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</si>
  <si>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</si>
  <si>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</si>
  <si>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</si>
  <si>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</si>
  <si>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</si>
  <si>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</si>
  <si>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</si>
  <si>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</si>
  <si>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</si>
  <si>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</si>
  <si>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</si>
  <si>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</si>
  <si>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</si>
  <si>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</si>
  <si>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</si>
  <si>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</si>
  <si>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</si>
  <si>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</si>
  <si>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</si>
  <si>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</si>
  <si>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</si>
  <si>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</si>
  <si>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</si>
  <si>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</si>
  <si>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</si>
  <si>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</si>
  <si>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</si>
  <si>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</si>
  <si>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</si>
  <si>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</si>
  <si>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</si>
  <si>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</si>
  <si>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</si>
  <si>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</si>
  <si>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</si>
  <si>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</si>
  <si>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</si>
  <si>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</si>
  <si>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</si>
  <si>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</si>
  <si>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</si>
  <si>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</si>
  <si>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</si>
  <si>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</si>
  <si>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</si>
  <si>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</si>
  <si>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</si>
  <si>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</si>
  <si>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</si>
  <si>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</si>
  <si>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</si>
  <si>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</si>
  <si>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</si>
  <si>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</si>
  <si>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</si>
  <si>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</si>
  <si>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</si>
  <si>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</si>
  <si>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</si>
  <si>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</si>
  <si>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</si>
  <si>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</si>
  <si>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</si>
  <si>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</si>
  <si>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</si>
  <si>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</si>
  <si>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</si>
  <si>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</si>
  <si>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</si>
  <si>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</si>
  <si>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</si>
  <si>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</si>
  <si>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</si>
  <si>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</si>
  <si>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</si>
  <si>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</si>
  <si>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</si>
  <si>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</si>
  <si>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</si>
  <si>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</si>
  <si>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</si>
  <si>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</si>
  <si>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</si>
  <si>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</si>
  <si>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</si>
  <si>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</si>
  <si>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</si>
  <si>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</si>
  <si>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</si>
  <si>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</si>
  <si>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</si>
  <si>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</si>
  <si>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</si>
  <si>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</si>
  <si>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</si>
  <si>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</si>
  <si>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</si>
  <si>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</si>
  <si>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</si>
  <si>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</si>
  <si>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</si>
  <si>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</si>
  <si>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</si>
  <si>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</si>
  <si>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</si>
  <si>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</si>
  <si>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</si>
  <si>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</si>
  <si>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</si>
  <si>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</si>
  <si>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</si>
  <si>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</si>
  <si>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</si>
  <si>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</si>
  <si>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</si>
  <si>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</si>
  <si>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</si>
  <si>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</si>
  <si>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</si>
  <si>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</si>
  <si>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</si>
  <si>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</si>
  <si>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</si>
  <si>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</si>
  <si>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</si>
  <si>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</si>
  <si>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</si>
  <si>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</si>
  <si>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</si>
  <si>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</si>
  <si>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</si>
  <si>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</si>
  <si>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</si>
  <si>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</si>
  <si>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</si>
  <si>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</si>
  <si>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</si>
  <si>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</si>
  <si>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</si>
  <si>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</si>
  <si>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</si>
  <si>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</si>
  <si>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</si>
  <si>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</si>
  <si>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</si>
  <si>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</si>
  <si>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</si>
  <si>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</si>
  <si>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</si>
  <si>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</si>
  <si>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</si>
  <si>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</si>
  <si>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</si>
  <si>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</si>
  <si>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</si>
  <si>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</si>
  <si>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</si>
  <si>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</si>
  <si>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</si>
  <si>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</si>
  <si>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</si>
  <si>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</si>
  <si>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</si>
  <si>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</si>
  <si>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</si>
  <si>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</si>
  <si>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</si>
  <si>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</si>
  <si>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</si>
  <si>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</si>
  <si>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</si>
  <si>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</si>
  <si>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</si>
  <si>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</si>
  <si>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</si>
  <si>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</si>
  <si>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</si>
  <si>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</si>
  <si>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</si>
  <si>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</si>
  <si>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</si>
  <si>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</si>
  <si>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</si>
  <si>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</si>
  <si>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</si>
  <si>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</si>
  <si>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</si>
  <si>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</si>
  <si>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</si>
  <si>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</si>
  <si>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</si>
  <si>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</si>
  <si>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</si>
  <si>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</si>
  <si>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</si>
  <si>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</si>
  <si>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</si>
  <si>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</si>
  <si>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</si>
  <si>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</si>
  <si>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</si>
  <si>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</si>
  <si>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</si>
  <si>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</si>
  <si>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</si>
  <si>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</si>
  <si>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</si>
  <si>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</si>
  <si>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</si>
  <si>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</si>
  <si>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</si>
  <si>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</si>
  <si>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</si>
  <si>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</si>
  <si>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</si>
  <si>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</si>
  <si>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</si>
  <si>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</si>
  <si>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</si>
  <si>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</si>
  <si>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</si>
  <si>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</si>
  <si>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</si>
  <si>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</si>
  <si>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</si>
  <si>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</si>
  <si>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</si>
  <si>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</si>
  <si>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</si>
  <si>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</si>
  <si>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</si>
  <si>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</si>
  <si>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</si>
  <si>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</si>
  <si>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</si>
  <si>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</si>
  <si>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</si>
  <si>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</si>
  <si>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</si>
  <si>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</si>
  <si>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</si>
  <si>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</si>
  <si>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</si>
  <si>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</si>
  <si>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</si>
  <si>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</si>
  <si>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</si>
  <si>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</si>
  <si>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</si>
  <si>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</si>
  <si>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</si>
  <si>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</si>
  <si>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</si>
  <si>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</si>
  <si>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</si>
  <si>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</si>
  <si>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</si>
  <si>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</si>
  <si>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</si>
  <si>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</si>
  <si>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</si>
  <si>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</si>
  <si>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</si>
  <si>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</si>
  <si>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</si>
  <si>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</si>
  <si>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</si>
  <si>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</si>
  <si>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</si>
  <si>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</si>
  <si>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</si>
  <si>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</si>
  <si>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</si>
  <si>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</si>
  <si>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</si>
  <si>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</si>
  <si>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</si>
  <si>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</si>
  <si>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</si>
  <si>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</si>
  <si>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</si>
  <si>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</si>
  <si>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</si>
  <si>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</si>
  <si>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</si>
  <si>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</si>
  <si>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</si>
  <si>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</si>
  <si>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</si>
  <si>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</si>
  <si>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</si>
  <si>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</si>
  <si>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</si>
  <si>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</si>
  <si>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</si>
  <si>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</si>
  <si>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</si>
  <si>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</si>
  <si>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</si>
  <si>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</si>
  <si>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</si>
  <si>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</si>
  <si>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</si>
  <si>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</si>
  <si>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</si>
  <si>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</si>
  <si>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</si>
  <si>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</si>
  <si>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</si>
  <si>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</si>
  <si>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</si>
  <si>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</si>
  <si>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</si>
  <si>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</si>
  <si>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</si>
  <si>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</si>
  <si>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</si>
  <si>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</si>
  <si>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</si>
  <si>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</si>
  <si>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</si>
  <si>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</si>
  <si>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</si>
  <si>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</si>
  <si>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</si>
  <si>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</si>
  <si>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</si>
  <si>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</si>
  <si>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</si>
  <si>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</si>
  <si>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</si>
  <si>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</si>
  <si>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</si>
  <si>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</si>
  <si>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</si>
  <si>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</si>
  <si>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</si>
  <si>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</si>
  <si>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</si>
  <si>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</si>
  <si>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</si>
  <si>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</si>
  <si>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</si>
  <si>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</si>
  <si>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</si>
  <si>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</si>
  <si>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</si>
  <si>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</si>
  <si>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</si>
  <si>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</si>
  <si>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</si>
  <si>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</si>
  <si>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</si>
  <si>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</si>
  <si>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</si>
  <si>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</si>
  <si>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</si>
  <si>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</si>
  <si>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</si>
  <si>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</si>
  <si>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</si>
  <si>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</si>
  <si>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</si>
  <si>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</si>
  <si>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</si>
  <si>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</si>
  <si>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</si>
  <si>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</si>
  <si>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</si>
  <si>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</si>
  <si>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</si>
  <si>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</si>
  <si>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</si>
  <si>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</si>
  <si>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</si>
  <si>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</si>
  <si>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</si>
  <si>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</si>
  <si>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</si>
  <si>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</si>
  <si>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</si>
  <si>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</si>
  <si>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</si>
  <si>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</si>
  <si>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</si>
  <si>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</si>
  <si>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</si>
  <si>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</si>
  <si>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</si>
  <si>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</si>
  <si>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</si>
  <si>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</si>
  <si>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</si>
  <si>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</si>
  <si>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</si>
  <si>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</si>
  <si>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</si>
  <si>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</si>
  <si>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</si>
  <si>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</si>
  <si>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</si>
  <si>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</si>
  <si>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</si>
  <si>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</si>
  <si>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</si>
  <si>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</si>
  <si>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</si>
  <si>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</si>
  <si>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</si>
  <si>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</si>
  <si>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</si>
  <si>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</si>
  <si>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</si>
  <si>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</si>
  <si>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</si>
  <si>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</si>
  <si>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</si>
  <si>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</si>
  <si>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</si>
  <si>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</si>
  <si>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</si>
  <si>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</si>
  <si>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</si>
  <si>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</si>
  <si>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</si>
  <si>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</si>
  <si>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</si>
  <si>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</si>
  <si>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</si>
  <si>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</si>
  <si>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</si>
  <si>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</si>
  <si>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</si>
  <si>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</si>
  <si>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</si>
  <si>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</si>
  <si>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</si>
  <si>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</si>
  <si>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</si>
  <si>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</si>
  <si>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</si>
  <si>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</si>
  <si>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</si>
  <si>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</si>
  <si>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</si>
  <si>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</si>
  <si>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</si>
  <si>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</si>
  <si>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</si>
  <si>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</si>
  <si>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</si>
  <si>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</si>
  <si>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</si>
  <si>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</si>
  <si>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</si>
  <si>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</si>
  <si>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</si>
  <si>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</si>
  <si>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</si>
  <si>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</si>
  <si>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</si>
  <si>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</si>
  <si>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</si>
  <si>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</si>
  <si>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</si>
  <si>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</si>
  <si>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</si>
  <si>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</si>
  <si>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</si>
  <si>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</si>
  <si>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</si>
  <si>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</si>
  <si>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</si>
  <si>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</si>
  <si>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</si>
  <si>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</si>
  <si>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</si>
  <si>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</si>
  <si>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</si>
  <si>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</si>
  <si>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</si>
  <si>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</si>
  <si>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</si>
  <si>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</si>
  <si>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</si>
  <si>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</si>
  <si>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</si>
  <si>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</si>
  <si>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</si>
  <si>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</si>
  <si>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</si>
  <si>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</si>
  <si>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</si>
  <si>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</si>
  <si>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</si>
  <si>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</si>
  <si>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</si>
  <si>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</si>
  <si>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</si>
  <si>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</si>
  <si>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</si>
  <si>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</si>
  <si>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</si>
  <si>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</si>
  <si>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</si>
  <si>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</si>
  <si>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</si>
  <si>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</si>
  <si>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</si>
  <si>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</si>
  <si>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</si>
  <si>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</si>
  <si>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</si>
  <si>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</si>
  <si>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</si>
  <si>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</si>
  <si>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</si>
  <si>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</si>
  <si>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</si>
  <si>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</si>
  <si>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</si>
  <si>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</si>
  <si>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</si>
  <si>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</si>
  <si>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</si>
  <si>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</si>
  <si>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</si>
  <si>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</si>
  <si>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</si>
  <si>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</si>
  <si>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</si>
  <si>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</si>
  <si>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</si>
  <si>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</si>
  <si>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</si>
  <si>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</si>
  <si>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</si>
  <si>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</si>
  <si>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</si>
  <si>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</si>
  <si>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</si>
  <si>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</si>
  <si>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</si>
  <si>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</si>
  <si>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</si>
  <si>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</si>
  <si>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</si>
  <si>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</si>
  <si>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</si>
  <si>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</si>
  <si>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</si>
  <si>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</si>
  <si>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</si>
  <si>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</si>
  <si>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</si>
  <si>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</si>
  <si>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</si>
  <si>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</si>
  <si>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</si>
  <si>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</si>
  <si>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</si>
  <si>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</si>
  <si>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</si>
  <si>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</si>
  <si>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</si>
  <si>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</si>
  <si>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</si>
  <si>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</si>
  <si>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</si>
  <si>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</si>
  <si>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</si>
  <si>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</si>
  <si>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</si>
  <si>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</si>
  <si>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</si>
  <si>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</si>
  <si>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</si>
  <si>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</si>
  <si>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</si>
  <si>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</si>
  <si>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</si>
  <si>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</si>
  <si>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</si>
  <si>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</si>
  <si>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</si>
  <si>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</si>
  <si>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</si>
  <si>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</si>
  <si>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</si>
  <si>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</si>
  <si>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</si>
  <si>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</si>
  <si>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</si>
  <si>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</si>
  <si>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</si>
  <si>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</si>
  <si>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</si>
  <si>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</si>
  <si>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</si>
  <si>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</si>
  <si>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</si>
  <si>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</si>
  <si>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</si>
  <si>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</si>
  <si>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</si>
  <si>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</si>
  <si>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</si>
  <si>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</si>
  <si>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</si>
  <si>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</si>
  <si>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</si>
  <si>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</si>
  <si>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</si>
  <si>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</si>
  <si>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</si>
  <si>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</si>
  <si>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</si>
  <si>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</si>
  <si>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</si>
  <si>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</si>
  <si>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</si>
  <si>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</si>
  <si>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</si>
  <si>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</si>
  <si>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</si>
  <si>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</si>
  <si>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</si>
  <si>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</si>
  <si>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</si>
  <si>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</si>
  <si>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</si>
  <si>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</si>
  <si>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</si>
  <si>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</si>
  <si>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</si>
  <si>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</si>
  <si>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</si>
  <si>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</si>
  <si>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</si>
  <si>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</si>
  <si>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</si>
  <si>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</si>
  <si>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</si>
  <si>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</si>
  <si>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</si>
  <si>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</si>
  <si>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</si>
  <si>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</si>
  <si>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</si>
  <si>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</si>
  <si>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</si>
  <si>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</si>
  <si>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</si>
  <si>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</si>
  <si>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</si>
  <si>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</si>
  <si>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</si>
  <si>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</si>
  <si>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</si>
  <si>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</si>
  <si>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</si>
  <si>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</si>
  <si>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</si>
  <si>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</si>
  <si>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</si>
  <si>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</si>
  <si>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</si>
  <si>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</si>
  <si>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</si>
  <si>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</si>
  <si>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</si>
  <si>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</si>
  <si>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</si>
  <si>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</si>
  <si>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</si>
  <si>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</si>
  <si>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</si>
  <si>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</si>
  <si>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</si>
  <si>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</si>
  <si>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</si>
  <si>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</si>
  <si>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</si>
  <si>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</si>
  <si>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</si>
  <si>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</si>
  <si>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</si>
  <si>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</si>
  <si>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</si>
  <si>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</si>
  <si>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</si>
  <si>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</si>
  <si>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</si>
  <si>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</si>
  <si>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</si>
  <si>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</si>
  <si>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</si>
  <si>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</si>
  <si>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</si>
  <si>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</si>
  <si>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</si>
  <si>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</si>
  <si>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</si>
  <si>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</si>
  <si>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</si>
  <si>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</si>
  <si>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</si>
  <si>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</si>
  <si>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</si>
  <si>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</si>
  <si>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</si>
  <si>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</si>
  <si>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</si>
  <si>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</si>
  <si>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</si>
  <si>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</si>
  <si>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</si>
  <si>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</si>
  <si>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</si>
  <si>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</si>
  <si>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</si>
  <si>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</si>
  <si>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</si>
  <si>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</si>
  <si>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</si>
  <si>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</si>
  <si>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</si>
  <si>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</si>
  <si>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</si>
  <si>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</si>
  <si>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</si>
  <si>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</si>
  <si>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</si>
  <si>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</si>
  <si>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</si>
  <si>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</si>
  <si>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</si>
  <si>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</si>
  <si>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</si>
  <si>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</si>
  <si>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</si>
  <si>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</si>
  <si>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</si>
  <si>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</si>
  <si>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</si>
  <si>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</si>
  <si>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</si>
  <si>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</si>
  <si>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</si>
  <si>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</si>
  <si>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</si>
  <si>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</si>
  <si>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</si>
  <si>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</si>
  <si>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</si>
  <si>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</si>
  <si>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</si>
  <si>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</si>
  <si>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</si>
  <si>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</si>
  <si>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</si>
  <si>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</si>
  <si>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</si>
  <si>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</si>
  <si>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</si>
  <si>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</si>
  <si>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</si>
  <si>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</si>
  <si>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</si>
  <si>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</si>
  <si>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</si>
  <si>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</si>
  <si>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</si>
  <si>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</si>
  <si>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</si>
  <si>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</si>
  <si>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</si>
  <si>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</si>
  <si>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</si>
  <si>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</si>
  <si>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</si>
  <si>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</si>
  <si>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</si>
  <si>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</si>
  <si>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</si>
  <si>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</si>
  <si>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</si>
  <si>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</si>
  <si>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</si>
  <si>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</si>
  <si>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</si>
  <si>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</si>
  <si>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</si>
  <si>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</si>
  <si>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</si>
  <si>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</si>
  <si>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</si>
  <si>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</si>
  <si>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</si>
  <si>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</si>
  <si>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</si>
  <si>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</si>
  <si>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</si>
  <si>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</si>
  <si>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</si>
  <si>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</si>
  <si>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</si>
  <si>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</si>
  <si>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</si>
  <si>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</si>
  <si>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</si>
  <si>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</si>
  <si>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</si>
  <si>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</si>
  <si>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</si>
  <si>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</si>
  <si>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</si>
  <si>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</si>
  <si>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</si>
  <si>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</si>
  <si>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</si>
  <si>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</si>
  <si>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</si>
  <si>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</si>
  <si>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</si>
  <si>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</si>
  <si>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</si>
  <si>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</si>
  <si>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</si>
  <si>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</si>
  <si>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</si>
  <si>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</si>
  <si>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</si>
  <si>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</si>
  <si>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</si>
  <si>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</si>
  <si>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</si>
  <si>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</si>
  <si>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</si>
  <si>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</si>
  <si>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</si>
  <si>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</si>
  <si>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</si>
  <si>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</si>
  <si>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</si>
  <si>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</si>
  <si>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</si>
  <si>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</si>
  <si>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</si>
  <si>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</si>
  <si>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</si>
  <si>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</si>
  <si>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</si>
  <si>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</si>
  <si>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</si>
  <si>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</si>
  <si>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</si>
  <si>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</si>
  <si>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</si>
  <si>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</si>
  <si>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</si>
  <si>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</si>
  <si>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</si>
  <si>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</si>
  <si>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</si>
  <si>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</si>
  <si>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</si>
  <si>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</si>
  <si>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</si>
  <si>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</si>
  <si>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</si>
  <si>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</si>
  <si>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</si>
  <si>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</si>
  <si>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</si>
  <si>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</si>
  <si>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</si>
  <si>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</si>
  <si>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</si>
  <si>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</si>
  <si>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</si>
  <si>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</si>
  <si>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</si>
  <si>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</si>
  <si>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</si>
  <si>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</si>
  <si>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</si>
  <si>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</si>
  <si>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</si>
  <si>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</si>
  <si>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</si>
  <si>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</si>
  <si>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</si>
  <si>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</si>
  <si>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</si>
  <si>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</si>
  <si>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</si>
  <si>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</si>
  <si>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</si>
  <si>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</si>
  <si>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</si>
  <si>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</si>
  <si>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</si>
  <si>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</si>
  <si>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</si>
  <si>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</si>
  <si>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</si>
  <si>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</si>
  <si>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</si>
  <si>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</si>
  <si>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</si>
  <si>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</si>
  <si>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</si>
  <si>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</si>
  <si>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</si>
  <si>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</si>
  <si>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</si>
  <si>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</si>
  <si>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</si>
  <si>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</si>
  <si>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</si>
  <si>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</si>
  <si>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</si>
  <si>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</si>
  <si>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</si>
  <si>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</si>
  <si>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</si>
  <si>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</si>
  <si>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</si>
  <si>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</si>
  <si>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</si>
  <si>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</si>
  <si>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</si>
  <si>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</si>
  <si>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</si>
  <si>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</si>
  <si>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</si>
  <si>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</si>
  <si>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</si>
  <si>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</si>
  <si>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</si>
  <si>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</si>
  <si>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</si>
  <si>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</si>
  <si>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</si>
  <si>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</si>
  <si>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</si>
  <si>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</si>
  <si>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</si>
  <si>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</si>
  <si>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</si>
  <si>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</si>
  <si>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</si>
  <si>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</si>
  <si>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</si>
  <si>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</si>
  <si>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</si>
  <si>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</si>
  <si>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</si>
  <si>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</si>
  <si>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</si>
  <si>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</si>
  <si>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</si>
  <si>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</si>
  <si>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</si>
  <si>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</si>
  <si>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</si>
  <si>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</si>
  <si>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</si>
  <si>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</si>
  <si>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</si>
  <si>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</si>
  <si>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</si>
  <si>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</si>
  <si>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</si>
  <si>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</si>
  <si>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</si>
  <si>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</si>
  <si>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</si>
  <si>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</si>
  <si>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</si>
  <si>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</si>
  <si>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</si>
  <si>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</si>
  <si>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</si>
  <si>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</si>
  <si>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</si>
  <si>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</si>
  <si>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</si>
  <si>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</si>
  <si>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</si>
  <si>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</si>
  <si>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</si>
  <si>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</si>
  <si>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</si>
  <si>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</si>
  <si>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</si>
  <si>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</si>
  <si>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</si>
  <si>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</si>
  <si>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</si>
  <si>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</si>
  <si>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</si>
  <si>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</si>
  <si>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</si>
  <si>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</si>
  <si>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</si>
  <si>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</si>
  <si>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</si>
  <si>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</si>
  <si>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</si>
  <si>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</si>
  <si>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</si>
  <si>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</si>
  <si>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</si>
  <si>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</si>
  <si>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</si>
  <si>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</si>
  <si>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</si>
  <si>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</si>
  <si>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</si>
  <si>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</si>
  <si>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</si>
  <si>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</si>
  <si>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</si>
  <si>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</si>
  <si>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</si>
  <si>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</si>
  <si>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</si>
  <si>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</si>
  <si>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</si>
  <si>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</si>
  <si>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</si>
  <si>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</si>
  <si>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</si>
  <si>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</si>
  <si>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</si>
  <si>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</si>
  <si>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</si>
  <si>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</si>
  <si>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</si>
  <si>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</si>
  <si>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</si>
  <si>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</si>
  <si>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</si>
  <si>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</si>
  <si>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</si>
  <si>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</si>
  <si>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</si>
  <si>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</si>
  <si>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</si>
  <si>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</si>
  <si>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</si>
  <si>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</si>
  <si>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</si>
  <si>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</si>
  <si>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</si>
  <si>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</si>
  <si>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</si>
  <si>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</si>
  <si>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</si>
  <si>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</si>
  <si>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</si>
  <si>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</si>
  <si>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</si>
  <si>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</si>
  <si>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</si>
  <si>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</si>
  <si>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</si>
  <si>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</si>
  <si>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</si>
  <si>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</si>
  <si>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</si>
  <si>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</si>
  <si>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</si>
  <si>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</si>
  <si>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</si>
  <si>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</si>
  <si>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</si>
  <si>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</si>
  <si>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</si>
  <si>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</si>
  <si>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</si>
  <si>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</si>
  <si>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</si>
  <si>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</si>
  <si>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</si>
  <si>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</si>
  <si>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</si>
  <si>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</si>
  <si>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</si>
  <si>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</si>
  <si>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</si>
  <si>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</si>
  <si>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</si>
  <si>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</si>
  <si>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</si>
  <si>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</si>
  <si>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</si>
  <si>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</si>
  <si>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</si>
  <si>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</si>
  <si>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</si>
  <si>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</si>
  <si>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</si>
  <si>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</si>
  <si>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</si>
  <si>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</si>
  <si>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</si>
  <si>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</si>
  <si>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</si>
  <si>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</si>
  <si>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</si>
  <si>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</si>
  <si>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</si>
  <si>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</si>
  <si>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</si>
  <si>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</si>
  <si>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</si>
  <si>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</si>
  <si>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</si>
  <si>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</si>
  <si>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</si>
  <si>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</si>
  <si>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</si>
  <si>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</si>
  <si>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</si>
  <si>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</si>
  <si>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</si>
  <si>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</si>
  <si>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</si>
  <si>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</si>
  <si>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</si>
  <si>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</si>
  <si>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</si>
  <si>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</si>
  <si>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</si>
  <si>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</si>
  <si>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</si>
  <si>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</si>
  <si>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</si>
  <si>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</si>
  <si>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</si>
  <si>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</si>
  <si>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</si>
  <si>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</si>
  <si>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</si>
  <si>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</si>
  <si>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</si>
  <si>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</si>
  <si>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</si>
  <si>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</si>
  <si>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</si>
  <si>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</si>
  <si>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</si>
  <si>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</si>
  <si>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</si>
  <si>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</si>
  <si>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</si>
  <si>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</si>
  <si>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</si>
  <si>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</si>
  <si>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</si>
  <si>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</si>
  <si>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</si>
  <si>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</si>
  <si>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</si>
  <si>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</si>
  <si>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</si>
  <si>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</si>
  <si>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</si>
  <si>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</si>
  <si>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</si>
  <si>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</si>
  <si>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</si>
  <si>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</si>
  <si>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</si>
  <si>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</si>
  <si>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</si>
  <si>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</si>
  <si>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</si>
  <si>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</si>
  <si>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</si>
  <si>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</si>
  <si>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</si>
  <si>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</si>
  <si>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</si>
  <si>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</si>
  <si>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</si>
  <si>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</si>
  <si>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</si>
  <si>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</si>
  <si>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</si>
  <si>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</si>
  <si>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</si>
  <si>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</si>
  <si>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</si>
  <si>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</si>
  <si>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</si>
  <si>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</si>
  <si>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</si>
  <si>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</si>
  <si>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</si>
  <si>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</si>
  <si>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</si>
  <si>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</si>
  <si>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</si>
  <si>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</si>
  <si>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</si>
  <si>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</si>
  <si>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</si>
  <si>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</si>
  <si>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</si>
  <si>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</si>
  <si>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</si>
  <si>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</si>
  <si>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</si>
  <si>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</si>
  <si>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</si>
  <si>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</si>
  <si>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</si>
  <si>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</si>
  <si>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</si>
  <si>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</si>
  <si>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</si>
  <si>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</si>
  <si>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</si>
  <si>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</si>
  <si>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</si>
  <si>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</si>
  <si>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</si>
  <si>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</si>
  <si>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</si>
  <si>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</si>
  <si>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</si>
  <si>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</si>
  <si>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</si>
  <si>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</si>
  <si>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</si>
  <si>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</si>
  <si>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</si>
  <si>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</si>
  <si>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</si>
  <si>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</si>
  <si>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</si>
  <si>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</si>
  <si>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</si>
  <si>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</si>
  <si>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</si>
  <si>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</si>
  <si>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</si>
  <si>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</si>
  <si>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</si>
  <si>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</si>
  <si>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</si>
  <si>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</si>
  <si>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</si>
  <si>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</si>
  <si>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</si>
  <si>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</si>
  <si>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</si>
  <si>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</si>
  <si>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</si>
  <si>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</si>
  <si>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</si>
  <si>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</si>
  <si>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</si>
  <si>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</si>
  <si>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</si>
  <si>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</si>
  <si>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</si>
  <si>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</si>
  <si>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</si>
  <si>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</si>
  <si>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</si>
  <si>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</si>
  <si>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</si>
  <si>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</si>
  <si>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</si>
  <si>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</si>
  <si>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</si>
  <si>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</si>
  <si>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</si>
  <si>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</si>
  <si>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</si>
  <si>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</si>
  <si>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</si>
  <si>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</si>
  <si>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</si>
  <si>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</si>
  <si>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</si>
  <si>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</si>
  <si>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</si>
  <si>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</si>
  <si>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</si>
  <si>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</si>
  <si>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</si>
  <si>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</si>
  <si>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</si>
  <si>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</si>
  <si>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</si>
  <si>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</si>
  <si>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</si>
  <si>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</si>
  <si>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</si>
  <si>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</si>
  <si>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</si>
  <si>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</si>
  <si>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</si>
  <si>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</si>
  <si>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</si>
  <si>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</si>
  <si>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</si>
  <si>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</si>
  <si>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</si>
  <si>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</si>
  <si>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</si>
  <si>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</si>
  <si>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</si>
  <si>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</si>
  <si>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</si>
  <si>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</si>
  <si>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</si>
  <si>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</si>
  <si>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</si>
  <si>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</si>
  <si>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</si>
  <si>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</si>
  <si>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</si>
  <si>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</si>
  <si>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</si>
  <si>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</si>
  <si>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</si>
  <si>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</si>
  <si>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</si>
  <si>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</si>
  <si>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</si>
  <si>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</si>
  <si>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</si>
  <si>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</si>
  <si>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</si>
  <si>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</si>
  <si>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</si>
  <si>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</si>
  <si>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</si>
  <si>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</si>
  <si>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</si>
  <si>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</si>
  <si>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</si>
  <si>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</si>
  <si>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</si>
  <si>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</si>
  <si>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</si>
  <si>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</si>
  <si>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</si>
  <si>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</si>
  <si>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</si>
  <si>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</si>
  <si>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</si>
  <si>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</si>
  <si>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</si>
  <si>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</si>
  <si>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</si>
  <si>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</si>
  <si>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</si>
  <si>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</si>
  <si>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</si>
  <si>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</si>
  <si>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</si>
  <si>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</si>
  <si>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</si>
  <si>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</si>
  <si>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</si>
  <si>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</si>
  <si>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</si>
  <si>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</si>
  <si>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</si>
  <si>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</si>
  <si>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</si>
  <si>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</si>
  <si>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</si>
  <si>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</si>
  <si>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</si>
  <si>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</si>
  <si>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</si>
  <si>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</si>
  <si>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</si>
  <si>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</si>
  <si>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</si>
  <si>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</si>
  <si>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</si>
  <si>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</si>
  <si>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</si>
  <si>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</si>
  <si>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</si>
  <si>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</si>
  <si>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</si>
  <si>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</si>
  <si>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</si>
  <si>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</si>
  <si>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</si>
  <si>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</si>
  <si>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</si>
  <si>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</si>
  <si>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</si>
  <si>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</si>
  <si>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</si>
  <si>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</si>
  <si>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</si>
  <si>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</si>
  <si>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</si>
  <si>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</si>
  <si>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</si>
  <si>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</si>
  <si>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</si>
  <si>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</si>
  <si>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</si>
  <si>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</si>
  <si>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</si>
  <si>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</si>
  <si>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</si>
  <si>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</si>
  <si>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</si>
  <si>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</si>
  <si>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</si>
  <si>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</si>
  <si>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</si>
  <si>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</si>
  <si>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</si>
  <si>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</si>
  <si>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</si>
  <si>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</si>
  <si>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</si>
  <si>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</si>
  <si>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</si>
  <si>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</si>
  <si>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</si>
  <si>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</si>
  <si>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</si>
  <si>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</si>
  <si>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</si>
  <si>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</si>
  <si>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</si>
  <si>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</si>
  <si>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</si>
  <si>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</si>
  <si>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</si>
  <si>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</si>
  <si>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</si>
  <si>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</si>
  <si>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</si>
  <si>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</si>
  <si>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</si>
  <si>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</si>
  <si>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</si>
  <si>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</si>
  <si>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</si>
  <si>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</si>
  <si>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</si>
  <si>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</si>
  <si>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</si>
  <si>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</si>
  <si>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</si>
  <si>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</si>
  <si>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</si>
  <si>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</si>
  <si>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</si>
  <si>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</si>
  <si>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</si>
  <si>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</si>
  <si>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</si>
  <si>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</si>
  <si>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</si>
  <si>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</si>
  <si>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</si>
  <si>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</si>
  <si>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</si>
  <si>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</si>
  <si>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</si>
  <si>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</si>
  <si>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</si>
  <si>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</si>
  <si>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</si>
  <si>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</si>
  <si>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</si>
  <si>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</si>
  <si>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</si>
  <si>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</si>
  <si>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</si>
  <si>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</si>
  <si>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</si>
  <si>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</si>
  <si>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</si>
  <si>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</si>
  <si>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</si>
  <si>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</si>
  <si>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</si>
  <si>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</si>
  <si>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</si>
  <si>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</si>
  <si>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</si>
  <si>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</si>
  <si>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</si>
  <si>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</si>
  <si>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</si>
  <si>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</si>
  <si>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</si>
  <si>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</si>
  <si>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</si>
  <si>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</si>
  <si>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</si>
  <si>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</si>
  <si>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</si>
  <si>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</si>
  <si>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</si>
  <si>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</si>
  <si>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</si>
  <si>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</si>
  <si>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</si>
  <si>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</si>
  <si>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</si>
  <si>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</si>
  <si>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</si>
  <si>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</si>
  <si>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</si>
  <si>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</si>
  <si>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</si>
  <si>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</si>
  <si>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</si>
  <si>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</si>
  <si>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</si>
  <si>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</si>
  <si>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</si>
  <si>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</si>
  <si>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</si>
  <si>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</si>
  <si>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</si>
  <si>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</si>
  <si>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</si>
  <si>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</si>
  <si>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</si>
  <si>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</si>
  <si>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</si>
  <si>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</si>
  <si>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</si>
  <si>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</si>
  <si>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</si>
  <si>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</si>
  <si>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</si>
  <si>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</si>
  <si>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</si>
  <si>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</si>
  <si>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</si>
  <si>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</si>
  <si>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</si>
  <si>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</si>
  <si>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</si>
  <si>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</si>
  <si>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</si>
  <si>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</si>
  <si>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</si>
  <si>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</si>
  <si>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</si>
  <si>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</si>
  <si>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</si>
  <si>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</si>
  <si>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</si>
  <si>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</si>
  <si>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</si>
  <si>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</si>
  <si>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</si>
  <si>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</si>
  <si>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</si>
  <si>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</si>
  <si>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</si>
  <si>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</si>
  <si>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</si>
  <si>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</si>
  <si>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</si>
  <si>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</si>
  <si>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</si>
  <si>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</si>
  <si>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</si>
  <si>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</si>
  <si>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</si>
  <si>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</si>
  <si>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</si>
  <si>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</si>
  <si>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</si>
  <si>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</si>
  <si>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</si>
  <si>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</si>
  <si>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</si>
  <si>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</si>
  <si>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</si>
  <si>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</si>
  <si>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</si>
  <si>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</si>
  <si>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</si>
  <si>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</si>
  <si>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</si>
  <si>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</si>
  <si>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</si>
  <si>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</si>
  <si>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</si>
  <si>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</si>
  <si>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</si>
  <si>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</si>
  <si>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</si>
  <si>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</si>
  <si>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</si>
  <si>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</si>
  <si>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</si>
  <si>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</si>
  <si>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</si>
  <si>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</si>
  <si>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</si>
  <si>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</si>
  <si>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</si>
  <si>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</si>
  <si>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</si>
  <si>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</si>
  <si>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</si>
  <si>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</si>
  <si>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</si>
  <si>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</si>
  <si>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</si>
  <si>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</si>
  <si>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</si>
  <si>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</si>
  <si>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</si>
  <si>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</si>
  <si>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</si>
  <si>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</si>
  <si>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</si>
  <si>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</si>
  <si>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</si>
  <si>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</si>
  <si>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</si>
  <si>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</si>
  <si>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</si>
  <si>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</si>
  <si>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</si>
  <si>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</si>
  <si>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</si>
  <si>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</si>
  <si>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</si>
  <si>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</si>
  <si>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</si>
  <si>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</si>
  <si>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</si>
  <si>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</si>
  <si>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</si>
  <si>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</si>
  <si>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</si>
  <si>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</si>
  <si>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</si>
  <si>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</si>
  <si>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</si>
  <si>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</si>
  <si>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</si>
  <si>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</si>
  <si>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</si>
  <si>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</si>
  <si>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</si>
  <si>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</si>
  <si>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</si>
  <si>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</si>
  <si>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</si>
  <si>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</si>
  <si>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</si>
  <si>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</si>
  <si>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</si>
  <si>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</si>
  <si>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</si>
  <si>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</si>
  <si>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</si>
  <si>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</si>
  <si>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</si>
  <si>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</si>
  <si>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</si>
  <si>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</si>
  <si>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</si>
  <si>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</si>
  <si>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</si>
  <si>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</si>
  <si>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</si>
  <si>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</si>
  <si>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</si>
  <si>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</si>
  <si>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</si>
  <si>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</si>
  <si>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</si>
  <si>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</si>
  <si>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</si>
  <si>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</si>
  <si>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</si>
  <si>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</si>
  <si>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</si>
  <si>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</si>
  <si>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</si>
  <si>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</si>
  <si>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</si>
  <si>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</si>
  <si>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</si>
  <si>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</si>
  <si>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</si>
  <si>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</si>
  <si>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</si>
  <si>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</si>
  <si>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</si>
  <si>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</si>
  <si>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</si>
  <si>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</si>
  <si>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</si>
  <si>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</si>
  <si>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</si>
  <si>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</si>
  <si>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</si>
  <si>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</si>
  <si>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</si>
  <si>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</si>
  <si>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</si>
  <si>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</si>
  <si>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</si>
  <si>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</si>
  <si>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</si>
  <si>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</si>
  <si>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</si>
  <si>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</si>
  <si>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</si>
  <si>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</si>
  <si>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</si>
  <si>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</si>
  <si>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</si>
  <si>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</si>
  <si>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</si>
  <si>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</si>
  <si>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</si>
  <si>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</si>
  <si>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</si>
  <si>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</si>
  <si>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</si>
  <si>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</si>
  <si>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</si>
  <si>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</si>
  <si>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</si>
  <si>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</si>
  <si>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</si>
  <si>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</si>
  <si>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</si>
  <si>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</si>
  <si>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</si>
  <si>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</si>
  <si>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</si>
  <si>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</si>
  <si>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</si>
  <si>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</si>
  <si>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</si>
  <si>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</si>
  <si>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</si>
  <si>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</si>
  <si>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</si>
  <si>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</si>
  <si>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</si>
  <si>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</si>
  <si>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</si>
  <si>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</si>
  <si>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</si>
  <si>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</si>
  <si>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</si>
  <si>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</si>
  <si>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</si>
  <si>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</si>
  <si>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</si>
  <si>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</si>
  <si>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</si>
  <si>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</si>
  <si>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</si>
  <si>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</si>
  <si>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</si>
  <si>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</si>
  <si>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</si>
  <si>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</si>
  <si>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</si>
  <si>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</si>
  <si>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</si>
  <si>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</si>
  <si>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</si>
  <si>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</si>
  <si>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</si>
  <si>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</si>
  <si>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</si>
  <si>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</si>
  <si>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</si>
  <si>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</si>
  <si>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</si>
  <si>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</si>
  <si>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</si>
  <si>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</si>
  <si>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</si>
  <si>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</si>
  <si>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</si>
  <si>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</si>
  <si>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</si>
  <si>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</si>
  <si>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</si>
  <si>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</si>
  <si>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</si>
  <si>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</si>
  <si>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</si>
  <si>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</si>
  <si>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</si>
  <si>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</si>
  <si>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</si>
  <si>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</si>
  <si>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</si>
  <si>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</si>
  <si>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</si>
  <si>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</si>
  <si>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</si>
  <si>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</si>
  <si>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</si>
  <si>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</si>
  <si>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</si>
  <si>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</si>
  <si>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</si>
  <si>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</si>
  <si>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</si>
  <si>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</si>
  <si>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</si>
  <si>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</si>
  <si>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</si>
  <si>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</si>
  <si>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</si>
  <si>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</si>
  <si>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</si>
  <si>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</si>
  <si>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</si>
  <si>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</si>
  <si>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</si>
  <si>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</si>
  <si>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</si>
  <si>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</si>
  <si>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</si>
  <si>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</si>
  <si>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</si>
  <si>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</si>
  <si>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</si>
  <si>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</si>
  <si>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</si>
  <si>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</si>
  <si>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</si>
  <si>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</si>
  <si>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</si>
  <si>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</si>
  <si>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</si>
  <si>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</si>
  <si>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</si>
  <si>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</si>
  <si>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</si>
  <si>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</si>
  <si>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</si>
  <si>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</si>
  <si>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</si>
  <si>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</si>
  <si>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</si>
  <si>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</si>
  <si>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</si>
  <si>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</si>
  <si>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</si>
  <si>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</si>
  <si>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</si>
  <si>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</si>
  <si>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</si>
  <si>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</si>
  <si>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</si>
  <si>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</si>
  <si>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</si>
  <si>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</si>
  <si>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</si>
  <si>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</si>
  <si>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</si>
  <si>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</si>
  <si>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</si>
  <si>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</si>
  <si>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</si>
  <si>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</si>
  <si>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</si>
  <si>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</si>
  <si>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</si>
  <si>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</si>
  <si>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</si>
  <si>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</si>
  <si>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</si>
  <si>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</si>
  <si>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</si>
  <si>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</si>
  <si>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</si>
  <si>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</si>
  <si>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</si>
  <si>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</si>
  <si>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</si>
  <si>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</si>
  <si>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</si>
  <si>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</si>
  <si>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</si>
  <si>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</si>
  <si>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</si>
  <si>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</si>
  <si>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</si>
  <si>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</si>
  <si>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</si>
  <si>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</si>
  <si>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</si>
  <si>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</si>
  <si>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</si>
  <si>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</si>
  <si>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</si>
  <si>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</si>
  <si>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</si>
  <si>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</si>
  <si>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</si>
  <si>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</si>
  <si>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</si>
  <si>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</si>
  <si>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</si>
  <si>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</si>
  <si>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</si>
  <si>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</si>
  <si>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</si>
  <si>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</si>
  <si>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</si>
  <si>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</si>
  <si>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</si>
  <si>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</si>
  <si>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</si>
  <si>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</si>
  <si>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</si>
  <si>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</si>
  <si>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</si>
  <si>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</si>
  <si>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</si>
  <si>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</si>
  <si>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</si>
  <si>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</si>
  <si>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</si>
  <si>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</si>
  <si>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</si>
  <si>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</si>
  <si>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</si>
  <si>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</si>
  <si>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</si>
  <si>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</si>
  <si>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</si>
  <si>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</si>
  <si>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</si>
  <si>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</si>
  <si>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</si>
  <si>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</si>
  <si>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</si>
  <si>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</si>
  <si>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</si>
  <si>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</si>
  <si>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</si>
  <si>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</si>
  <si>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</si>
  <si>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</si>
  <si>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</si>
  <si>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</si>
  <si>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</si>
  <si>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</si>
  <si>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</si>
  <si>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</si>
  <si>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</si>
  <si>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</si>
  <si>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</si>
  <si>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</si>
  <si>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</si>
  <si>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</si>
  <si>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</si>
  <si>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</si>
  <si>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</si>
  <si>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</si>
  <si>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</si>
  <si>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</si>
  <si>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</si>
  <si>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</si>
  <si>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</si>
  <si>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</si>
  <si>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</si>
  <si>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</si>
  <si>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</si>
  <si>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</si>
  <si>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</si>
  <si>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</si>
  <si>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</si>
  <si>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</si>
  <si>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</si>
  <si>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</si>
  <si>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</si>
  <si>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</si>
  <si>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</si>
  <si>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</si>
  <si>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</si>
  <si>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</si>
  <si>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</si>
  <si>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</si>
  <si>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</si>
  <si>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</si>
  <si>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</si>
  <si>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</si>
  <si>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</si>
  <si>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</si>
  <si>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</si>
  <si>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</si>
  <si>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</si>
  <si>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</si>
  <si>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</si>
  <si>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</si>
  <si>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</si>
  <si>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</si>
  <si>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</si>
  <si>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</si>
  <si>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</si>
  <si>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</si>
  <si>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</si>
  <si>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</si>
  <si>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</si>
  <si>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</si>
  <si>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</si>
  <si>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</si>
  <si>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</si>
  <si>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</si>
  <si>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</si>
  <si>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</si>
  <si>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</si>
  <si>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</si>
  <si>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</si>
  <si>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</si>
  <si>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</si>
  <si>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</si>
  <si>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</si>
  <si>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</si>
  <si>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</si>
  <si>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</si>
  <si>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</si>
  <si>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</si>
  <si>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</si>
  <si>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</si>
  <si>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</si>
  <si>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</si>
  <si>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</si>
  <si>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</si>
  <si>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</si>
  <si>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</si>
  <si>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</si>
  <si>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</si>
  <si>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</si>
  <si>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</si>
  <si>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</si>
  <si>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</si>
  <si>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</si>
  <si>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</si>
  <si>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</si>
  <si>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</si>
  <si>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</si>
  <si>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</si>
  <si>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</si>
  <si>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</si>
  <si>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</si>
  <si>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</si>
  <si>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</si>
  <si>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</si>
  <si>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</si>
  <si>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</si>
  <si>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</si>
  <si>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</si>
  <si>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</si>
  <si>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</si>
  <si>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</si>
  <si>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</si>
  <si>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</si>
  <si>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</si>
  <si>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</si>
  <si>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</si>
  <si>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</si>
  <si>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</si>
  <si>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</si>
  <si>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</si>
  <si>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</si>
  <si>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</si>
  <si>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</si>
  <si>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</si>
  <si>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</si>
  <si>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</si>
  <si>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</si>
  <si>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</si>
  <si>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</si>
  <si>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</si>
  <si>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</si>
  <si>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</si>
  <si>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</si>
  <si>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</si>
  <si>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</si>
  <si>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</si>
  <si>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</si>
  <si>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</si>
  <si>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</si>
  <si>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</si>
  <si>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</si>
  <si>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</si>
  <si>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</si>
  <si>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</si>
  <si>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</si>
  <si>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</si>
  <si>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</si>
  <si>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</si>
  <si>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</si>
  <si>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</si>
  <si>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</si>
  <si>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</si>
  <si>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</si>
  <si>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</si>
  <si>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</si>
  <si>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</si>
  <si>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</si>
  <si>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</si>
  <si>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</si>
  <si>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</si>
  <si>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</si>
  <si>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</si>
  <si>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</si>
  <si>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</si>
  <si>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</si>
  <si>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</si>
  <si>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</si>
  <si>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</si>
  <si>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</si>
  <si>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</si>
  <si>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</si>
  <si>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</si>
  <si>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</si>
  <si>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</si>
  <si>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</si>
  <si>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</si>
  <si>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</si>
  <si>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</si>
  <si>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</si>
  <si>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</si>
  <si>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</si>
  <si>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</si>
  <si>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</si>
  <si>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</si>
  <si>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</si>
  <si>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</si>
  <si>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</si>
  <si>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</si>
  <si>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</si>
  <si>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</si>
  <si>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</si>
  <si>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</si>
  <si>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</si>
  <si>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</si>
  <si>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</si>
  <si>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</si>
  <si>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</si>
  <si>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</si>
  <si>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</si>
  <si>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</si>
  <si>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</si>
  <si>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</si>
  <si>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</si>
  <si>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</si>
  <si>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</si>
  <si>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</si>
  <si>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</si>
  <si>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</si>
  <si>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</si>
  <si>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</si>
  <si>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</si>
  <si>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</si>
  <si>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</si>
  <si>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</si>
  <si>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</si>
  <si>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</si>
  <si>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</si>
  <si>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</si>
  <si>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</si>
  <si>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</si>
  <si>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</si>
  <si>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</si>
  <si>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</si>
  <si>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</si>
  <si>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</si>
  <si>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</si>
  <si>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</si>
  <si>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</si>
  <si>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</si>
  <si>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</si>
  <si>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</si>
  <si>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</si>
  <si>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</si>
  <si>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</si>
  <si>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</si>
  <si>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</si>
  <si>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</si>
  <si>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</si>
  <si>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</si>
  <si>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</si>
  <si>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</si>
  <si>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</si>
  <si>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</si>
  <si>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</si>
  <si>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</si>
  <si>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</si>
  <si>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</si>
  <si>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</si>
  <si>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</si>
  <si>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</si>
  <si>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</si>
  <si>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</si>
  <si>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</si>
  <si>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</si>
  <si>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</si>
  <si>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</si>
  <si>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</si>
  <si>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</si>
  <si>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</si>
  <si>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</si>
  <si>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</si>
  <si>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</si>
  <si>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</si>
  <si>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</si>
  <si>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</si>
  <si>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</si>
  <si>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</si>
  <si>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</si>
  <si>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</si>
  <si>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</si>
  <si>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</si>
  <si>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</si>
  <si>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</si>
  <si>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</si>
  <si>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</si>
  <si>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</si>
  <si>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</si>
  <si>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</si>
  <si>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</si>
  <si>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</si>
  <si>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</si>
  <si>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</si>
  <si>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</si>
  <si>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</si>
  <si>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</si>
  <si>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</si>
  <si>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</si>
  <si>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</si>
  <si>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</si>
  <si>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</si>
  <si>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</si>
  <si>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</si>
  <si>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</si>
  <si>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</si>
  <si>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</si>
  <si>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</si>
  <si>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</si>
  <si>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</si>
  <si>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</si>
  <si>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</si>
  <si>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</si>
  <si>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</si>
  <si>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</si>
  <si>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</si>
  <si>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</si>
  <si>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</si>
  <si>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</si>
  <si>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</si>
  <si>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</si>
  <si>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</si>
  <si>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</si>
  <si>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</si>
  <si>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</si>
  <si>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</si>
  <si>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</si>
  <si>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</si>
  <si>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</si>
  <si>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</si>
  <si>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</si>
  <si>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</si>
  <si>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</si>
  <si>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</si>
  <si>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</si>
  <si>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</si>
  <si>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</si>
  <si>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</si>
  <si>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</si>
  <si>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</si>
  <si>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</si>
  <si>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</si>
  <si>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</si>
  <si>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</si>
  <si>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</si>
  <si>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</si>
  <si>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</si>
  <si>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</si>
  <si>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</si>
  <si>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</si>
  <si>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</si>
  <si>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</si>
  <si>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</si>
  <si>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</si>
  <si>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</si>
  <si>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</si>
  <si>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</si>
  <si>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</si>
  <si>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</si>
  <si>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</si>
  <si>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</si>
  <si>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</si>
  <si>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</si>
  <si>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</si>
  <si>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</si>
  <si>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</si>
  <si>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</si>
  <si>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</si>
  <si>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</si>
  <si>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</si>
  <si>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</si>
  <si>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</si>
  <si>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</si>
  <si>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</si>
  <si>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</si>
  <si>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</si>
  <si>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</si>
  <si>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</si>
  <si>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</si>
  <si>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</si>
  <si>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</si>
  <si>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</si>
  <si>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</si>
  <si>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</si>
  <si>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</si>
  <si>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</si>
  <si>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</si>
  <si>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</si>
  <si>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</si>
  <si>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</si>
  <si>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</si>
  <si>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</si>
  <si>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</si>
  <si>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</si>
  <si>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</si>
  <si>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</si>
  <si>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</si>
  <si>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</si>
  <si>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</si>
  <si>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</si>
  <si>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</si>
  <si>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</si>
  <si>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</si>
  <si>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</si>
  <si>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</si>
  <si>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</si>
  <si>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</si>
  <si>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</si>
  <si>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</si>
  <si>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</si>
  <si>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</si>
  <si>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</si>
  <si>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</si>
  <si>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</si>
  <si>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</si>
  <si>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</si>
  <si>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</si>
  <si>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</si>
  <si>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</si>
  <si>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</si>
  <si>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</si>
  <si>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</si>
  <si>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</si>
  <si>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</si>
  <si>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</si>
  <si>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</si>
  <si>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</si>
  <si>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</si>
  <si>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</si>
  <si>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</si>
  <si>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</si>
  <si>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</si>
  <si>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</si>
  <si>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</si>
  <si>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</si>
  <si>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</si>
  <si>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</si>
  <si>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</si>
  <si>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</si>
  <si>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</si>
  <si>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</si>
  <si>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</si>
  <si>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</si>
  <si>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</si>
  <si>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</si>
  <si>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</si>
  <si>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</si>
  <si>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</si>
  <si>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</si>
  <si>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</si>
  <si>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</si>
  <si>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</si>
  <si>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</si>
  <si>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</si>
  <si>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</si>
  <si>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</si>
  <si>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</si>
  <si>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</si>
  <si>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</si>
  <si>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</si>
  <si>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</si>
  <si>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</si>
  <si>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</si>
  <si>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</si>
  <si>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</si>
  <si>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</si>
  <si>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</si>
  <si>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</si>
  <si>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</si>
  <si>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</si>
  <si>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</si>
  <si>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</si>
  <si>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</si>
  <si>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</si>
  <si>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</si>
  <si>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</si>
  <si>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</si>
  <si>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</si>
  <si>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</si>
  <si>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</si>
  <si>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</si>
  <si>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</si>
  <si>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</si>
  <si>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</si>
  <si>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</si>
  <si>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</si>
  <si>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</si>
  <si>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</si>
  <si>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</si>
  <si>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</si>
  <si>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</si>
  <si>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</si>
  <si>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</si>
  <si>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</si>
  <si>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</si>
  <si>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</si>
  <si>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</si>
  <si>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</si>
  <si>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</si>
  <si>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</si>
  <si>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</si>
  <si>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</si>
  <si>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</si>
  <si>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</si>
  <si>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</si>
  <si>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</si>
  <si>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</si>
  <si>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</si>
  <si>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</si>
  <si>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</si>
  <si>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</si>
  <si>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</si>
  <si>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</si>
  <si>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</si>
  <si>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</si>
  <si>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</si>
  <si>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</si>
  <si>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</si>
  <si>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</si>
  <si>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</si>
  <si>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</si>
  <si>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</si>
  <si>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</si>
  <si>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</si>
  <si>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</si>
  <si>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</si>
  <si>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</si>
  <si>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</si>
  <si>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</si>
  <si>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</si>
  <si>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</si>
  <si>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</si>
  <si>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</si>
  <si>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</si>
  <si>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</si>
  <si>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</si>
  <si>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</si>
  <si>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</si>
  <si>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</si>
  <si>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</si>
  <si>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</si>
  <si>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</si>
  <si>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</si>
  <si>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</si>
  <si>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</si>
  <si>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</si>
  <si>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</si>
  <si>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</si>
  <si>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</si>
  <si>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</si>
  <si>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</si>
  <si>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</si>
  <si>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</si>
  <si>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</si>
  <si>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</si>
  <si>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</si>
  <si>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</si>
  <si>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</si>
  <si>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</si>
  <si>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</si>
  <si>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</si>
  <si>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</si>
  <si>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</si>
  <si>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</si>
  <si>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</si>
  <si>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</si>
  <si>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</si>
  <si>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</si>
  <si>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</si>
  <si>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</si>
  <si>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</si>
  <si>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</si>
  <si>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</si>
  <si>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</si>
  <si>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</si>
  <si>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</si>
  <si>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</si>
  <si>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</si>
  <si>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</si>
  <si>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</si>
  <si>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</si>
  <si>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</si>
  <si>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</si>
  <si>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</si>
  <si>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</si>
  <si>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</si>
  <si>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</si>
  <si>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</si>
  <si>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</si>
  <si>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</si>
  <si>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</si>
  <si>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</si>
  <si>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</si>
  <si>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</si>
  <si>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</si>
  <si>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</si>
  <si>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</si>
  <si>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</si>
  <si>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</si>
  <si>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</si>
  <si>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</si>
  <si>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</si>
  <si>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</si>
  <si>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</si>
  <si>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</si>
  <si>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</si>
  <si>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</si>
  <si>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</si>
  <si>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</si>
  <si>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</si>
  <si>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</si>
  <si>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</si>
  <si>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</si>
  <si>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</si>
  <si>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</si>
  <si>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</si>
  <si>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</si>
  <si>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</si>
  <si>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</si>
  <si>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</si>
  <si>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</si>
  <si>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</si>
  <si>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</si>
  <si>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</si>
  <si>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</si>
  <si>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</si>
  <si>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</si>
  <si>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</si>
  <si>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</si>
  <si>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</si>
  <si>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</si>
  <si>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</si>
  <si>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</si>
  <si>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</si>
  <si>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</si>
  <si>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</si>
  <si>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</si>
  <si>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</si>
  <si>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</si>
  <si>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</si>
  <si>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</si>
  <si>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</si>
  <si>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</si>
  <si>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</si>
  <si>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</si>
  <si>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</si>
  <si>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</si>
  <si>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</si>
  <si>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</si>
  <si>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</si>
  <si>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</si>
  <si>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</si>
  <si>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</si>
  <si>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</si>
  <si>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</si>
  <si>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</si>
  <si>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</si>
  <si>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</si>
  <si>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</si>
  <si>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</si>
  <si>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</si>
  <si>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</si>
  <si>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</si>
  <si>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</si>
  <si>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</si>
  <si>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</si>
  <si>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</si>
  <si>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</si>
  <si>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</si>
  <si>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</si>
  <si>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</si>
  <si>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</si>
  <si>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</si>
  <si>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</si>
  <si>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</si>
  <si>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</si>
  <si>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</si>
  <si>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</si>
  <si>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</si>
  <si>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</si>
  <si>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</si>
  <si>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</si>
  <si>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</si>
  <si>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</si>
  <si>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</si>
  <si>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</si>
  <si>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</si>
  <si>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</si>
  <si>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</si>
  <si>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</si>
  <si>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</si>
  <si>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</si>
  <si>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</si>
  <si>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</si>
  <si>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</si>
  <si>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</si>
  <si>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</si>
  <si>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</si>
  <si>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</si>
  <si>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</si>
  <si>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</si>
  <si>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</si>
  <si>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</si>
  <si>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</si>
  <si>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</si>
  <si>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</si>
  <si>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</si>
  <si>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</si>
  <si>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</si>
  <si>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</si>
  <si>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</si>
  <si>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</si>
  <si>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</si>
  <si>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</si>
  <si>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</si>
  <si>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</si>
  <si>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</si>
  <si>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</si>
  <si>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</si>
  <si>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</si>
  <si>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</si>
  <si>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</si>
  <si>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</si>
  <si>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</si>
  <si>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</si>
  <si>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</si>
  <si>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</si>
  <si>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</si>
  <si>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</si>
  <si>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</si>
  <si>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</si>
  <si>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</si>
  <si>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</si>
  <si>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</si>
  <si>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</si>
  <si>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</si>
  <si>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</si>
  <si>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</si>
  <si>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</si>
  <si>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</si>
  <si>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</si>
  <si>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</si>
  <si>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</si>
  <si>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</si>
  <si>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</si>
  <si>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</si>
  <si>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</si>
  <si>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</si>
  <si>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</si>
  <si>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</si>
  <si>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</si>
  <si>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</si>
  <si>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</si>
  <si>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</si>
  <si>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</si>
  <si>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</si>
  <si>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</si>
  <si>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</si>
  <si>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</si>
  <si>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</si>
  <si>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</si>
  <si>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</si>
  <si>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</si>
  <si>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</si>
  <si>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</si>
  <si>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</si>
  <si>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</si>
  <si>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</si>
  <si>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</si>
  <si>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</si>
  <si>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</si>
  <si>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</si>
  <si>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</si>
  <si>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</si>
  <si>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</si>
  <si>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</si>
  <si>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</si>
  <si>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</si>
  <si>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</si>
  <si>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</si>
  <si>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</si>
  <si>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</si>
  <si>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</si>
  <si>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</si>
  <si>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</si>
  <si>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</si>
  <si>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</si>
  <si>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</si>
  <si>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</si>
  <si>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</si>
  <si>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</si>
  <si>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</si>
  <si>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</si>
  <si>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</si>
  <si>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</si>
  <si>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</si>
  <si>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</si>
  <si>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</si>
  <si>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</si>
  <si>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</si>
  <si>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</si>
  <si>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</si>
  <si>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</si>
  <si>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</si>
  <si>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</si>
  <si>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</si>
  <si>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</si>
  <si>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</si>
  <si>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</si>
  <si>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</si>
  <si>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</si>
  <si>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</si>
  <si>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</si>
  <si>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</si>
  <si>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</si>
  <si>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</si>
  <si>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</si>
  <si>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</si>
  <si>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</si>
  <si>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</si>
  <si>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</si>
  <si>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</si>
  <si>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</si>
  <si>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</si>
  <si>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</si>
  <si>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</si>
  <si>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</si>
  <si>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</si>
  <si>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</si>
  <si>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</si>
  <si>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</si>
  <si>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</si>
  <si>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</si>
  <si>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</si>
  <si>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</si>
  <si>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</si>
  <si>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</si>
  <si>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</si>
  <si>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</si>
  <si>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</si>
  <si>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</si>
  <si>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</si>
  <si>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</si>
  <si>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</si>
  <si>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</si>
  <si>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</si>
  <si>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</si>
  <si>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</si>
  <si>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</si>
  <si>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</si>
  <si>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</si>
  <si>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</si>
  <si>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</si>
  <si>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</si>
  <si>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</si>
  <si>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</si>
  <si>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</si>
  <si>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</si>
  <si>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</si>
  <si>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</si>
  <si>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</si>
  <si>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</si>
  <si>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</si>
  <si>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</si>
  <si>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</si>
  <si>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</si>
  <si>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</si>
  <si>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</si>
  <si>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</si>
  <si>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</si>
  <si>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</si>
  <si>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</si>
  <si>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</si>
  <si>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</si>
  <si>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</si>
  <si>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</si>
  <si>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</si>
  <si>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</si>
  <si>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</si>
  <si>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</si>
  <si>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</si>
  <si>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</si>
  <si>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</si>
  <si>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</si>
  <si>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</si>
  <si>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</si>
  <si>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</si>
  <si>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</si>
  <si>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</si>
  <si>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</si>
  <si>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</si>
  <si>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</si>
  <si>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</si>
  <si>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</si>
  <si>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</si>
  <si>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</si>
  <si>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</si>
  <si>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</si>
  <si>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</si>
  <si>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</si>
  <si>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</si>
  <si>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</si>
  <si>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</si>
  <si>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</si>
  <si>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</si>
  <si>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</si>
  <si>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</si>
  <si>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</si>
  <si>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</si>
  <si>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</si>
  <si>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</si>
  <si>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</si>
  <si>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</si>
  <si>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</si>
  <si>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</si>
  <si>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</si>
  <si>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</si>
  <si>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</si>
  <si>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</si>
  <si>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</si>
  <si>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</si>
  <si>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</si>
  <si>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</si>
  <si>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</si>
  <si>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</si>
  <si>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</si>
  <si>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</si>
  <si>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</si>
  <si>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</si>
  <si>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</si>
  <si>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</si>
  <si>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</si>
  <si>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</si>
  <si>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</si>
  <si>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</si>
  <si>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</si>
  <si>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</si>
  <si>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</si>
  <si>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</si>
  <si>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</si>
  <si>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</si>
  <si>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</si>
  <si>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</si>
  <si>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</si>
  <si>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</si>
  <si>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</si>
  <si>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</si>
  <si>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</si>
  <si>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</si>
  <si>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</si>
  <si>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</si>
  <si>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</si>
  <si>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</si>
  <si>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</si>
  <si>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</si>
  <si>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</si>
  <si>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</si>
  <si>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</si>
  <si>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</si>
  <si>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</si>
  <si>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</si>
  <si>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</si>
  <si>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</si>
  <si>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</si>
  <si>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</si>
  <si>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</si>
  <si>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</si>
  <si>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</si>
  <si>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</si>
  <si>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</si>
  <si>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</si>
  <si>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</si>
  <si>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</si>
  <si>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</si>
  <si>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</si>
  <si>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</si>
  <si>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</si>
  <si>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</si>
  <si>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</si>
  <si>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</si>
  <si>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</si>
  <si>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</si>
  <si>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</si>
  <si>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</si>
  <si>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</si>
  <si>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</si>
  <si>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</si>
  <si>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</si>
  <si>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</si>
  <si>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</si>
  <si>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</si>
  <si>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</si>
  <si>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</si>
  <si>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</si>
  <si>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</si>
  <si>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</si>
  <si>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</si>
  <si>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</si>
  <si>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</si>
  <si>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</si>
  <si>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</si>
  <si>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</si>
  <si>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</si>
  <si>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</si>
  <si>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</si>
  <si>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</si>
  <si>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</si>
  <si>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</si>
  <si>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</si>
  <si>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</si>
  <si>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</si>
  <si>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</si>
  <si>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</si>
  <si>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</si>
  <si>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</si>
  <si>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</si>
  <si>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</si>
  <si>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</si>
  <si>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</si>
  <si>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</si>
  <si>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</si>
  <si>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</si>
  <si>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</si>
  <si>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</si>
  <si>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</si>
  <si>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</si>
  <si>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</si>
  <si>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</si>
  <si>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</si>
  <si>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</si>
  <si>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</si>
  <si>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</si>
  <si>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</si>
  <si>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</si>
  <si>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</si>
  <si>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</si>
  <si>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</si>
  <si>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</si>
  <si>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</si>
  <si>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</si>
  <si>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</si>
  <si>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</si>
  <si>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</si>
  <si>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</si>
  <si>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</si>
  <si>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</si>
  <si>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</si>
  <si>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</si>
  <si>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</si>
  <si>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</si>
  <si>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</si>
  <si>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</si>
  <si>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</si>
  <si>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</si>
  <si>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</si>
  <si>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</si>
  <si>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</si>
  <si>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</si>
  <si>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</si>
  <si>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</si>
  <si>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</si>
  <si>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</si>
  <si>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</si>
  <si>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</si>
  <si>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</si>
  <si>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</si>
  <si>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</si>
  <si>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</si>
  <si>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</si>
  <si>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</si>
  <si>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</si>
  <si>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</si>
  <si>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</si>
  <si>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</si>
  <si>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</si>
  <si>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</si>
  <si>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</si>
  <si>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</si>
  <si>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</si>
  <si>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</si>
  <si>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</si>
  <si>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</si>
  <si>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</si>
  <si>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</si>
  <si>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</si>
  <si>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</si>
  <si>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</si>
  <si>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</si>
  <si>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</si>
  <si>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</si>
  <si>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</si>
  <si>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</si>
  <si>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</si>
  <si>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</si>
  <si>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</si>
  <si>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</si>
  <si>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</si>
  <si>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</si>
  <si>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</si>
  <si>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</si>
  <si>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</si>
  <si>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</si>
  <si>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</si>
  <si>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</si>
  <si>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</si>
  <si>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</si>
  <si>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</si>
  <si>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</si>
  <si>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</si>
  <si>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</si>
  <si>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</si>
  <si>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</si>
  <si>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</si>
  <si>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</si>
  <si>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</si>
  <si>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</si>
  <si>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</si>
  <si>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</si>
  <si>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</si>
  <si>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</si>
  <si>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</si>
  <si>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</si>
  <si>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</si>
  <si>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</si>
  <si>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</si>
  <si>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</si>
  <si>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</si>
  <si>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</si>
  <si>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</si>
  <si>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</si>
  <si>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</si>
  <si>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</si>
  <si>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</si>
  <si>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</si>
  <si>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</si>
  <si>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</si>
  <si>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</si>
  <si>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</si>
  <si>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</si>
  <si>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</si>
  <si>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</si>
  <si>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</si>
  <si>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</si>
  <si>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</si>
  <si>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</si>
  <si>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</si>
  <si>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</si>
  <si>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</si>
  <si>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</si>
  <si>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</si>
  <si>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</si>
  <si>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</si>
  <si>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</si>
  <si>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</si>
  <si>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</si>
  <si>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</si>
  <si>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</si>
  <si>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</si>
  <si>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</si>
  <si>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</si>
  <si>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</si>
  <si>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</si>
  <si>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</si>
  <si>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</si>
  <si>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</si>
  <si>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</si>
  <si>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</si>
  <si>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</si>
  <si>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</si>
  <si>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</si>
  <si>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</si>
  <si>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</si>
  <si>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</si>
  <si>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</si>
  <si>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</si>
  <si>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</si>
  <si>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</si>
  <si>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</si>
  <si>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</si>
  <si>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</si>
  <si>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</si>
  <si>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</si>
  <si>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</si>
  <si>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</si>
  <si>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</si>
  <si>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</si>
  <si>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</si>
  <si>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</si>
  <si>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</si>
  <si>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</si>
  <si>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</si>
  <si>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</si>
  <si>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</si>
  <si>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</si>
  <si>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</si>
  <si>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</si>
  <si>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</si>
  <si>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</si>
  <si>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</si>
  <si>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</si>
  <si>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</si>
  <si>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</si>
  <si>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</si>
  <si>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</si>
  <si>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</si>
  <si>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</si>
  <si>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</si>
  <si>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</si>
  <si>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</si>
  <si>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</si>
  <si>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</si>
  <si>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</si>
  <si>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</si>
  <si>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</si>
  <si>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</si>
  <si>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</si>
  <si>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</si>
  <si>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</si>
  <si>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</si>
  <si>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</si>
  <si>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</si>
  <si>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</si>
  <si>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</si>
  <si>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</si>
  <si>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</si>
  <si>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</si>
  <si>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</si>
  <si>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</si>
  <si>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</si>
  <si>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</si>
  <si>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</si>
  <si>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</si>
  <si>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</si>
  <si>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</si>
  <si>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</si>
  <si>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</si>
  <si>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</si>
  <si>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</si>
  <si>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</si>
  <si>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</si>
  <si>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</si>
  <si>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</si>
  <si>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</si>
  <si>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</si>
  <si>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</si>
  <si>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</si>
  <si>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</si>
  <si>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</si>
  <si>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</si>
  <si>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</si>
  <si>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</si>
  <si>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</si>
  <si>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</si>
  <si>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</si>
  <si>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</si>
  <si>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</si>
  <si>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</si>
  <si>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</si>
  <si>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</si>
  <si>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</si>
  <si>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</si>
  <si>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</si>
  <si>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</si>
  <si>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</si>
  <si>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</si>
  <si>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</si>
  <si>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</si>
  <si>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</si>
  <si>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</si>
  <si>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</si>
  <si>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</si>
  <si>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</si>
  <si>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</si>
  <si>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</si>
  <si>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</si>
  <si>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</si>
  <si>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</si>
  <si>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</si>
  <si>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</si>
  <si>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</si>
  <si>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</si>
  <si>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</si>
  <si>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</si>
  <si>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</si>
  <si>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</si>
  <si>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</si>
  <si>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</si>
  <si>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</si>
  <si>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</si>
  <si>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</si>
  <si>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</si>
  <si>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</si>
  <si>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</si>
  <si>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</si>
  <si>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</si>
  <si>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</si>
  <si>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</si>
  <si>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</si>
  <si>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</si>
  <si>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</si>
  <si>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</si>
  <si>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</si>
  <si>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</si>
  <si>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</si>
  <si>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</si>
  <si>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</si>
  <si>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</si>
  <si>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</si>
  <si>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</si>
  <si>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</si>
  <si>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</si>
  <si>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</si>
  <si>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</si>
  <si>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</si>
  <si>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</si>
  <si>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</si>
  <si>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</si>
  <si>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</si>
  <si>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</si>
  <si>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</si>
  <si>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</si>
  <si>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</si>
  <si>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</si>
  <si>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</si>
  <si>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</si>
  <si>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</si>
  <si>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</si>
  <si>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</si>
  <si>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</si>
  <si>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</si>
  <si>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</si>
  <si>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</si>
  <si>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</si>
  <si>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</si>
  <si>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</si>
  <si>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</si>
  <si>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</si>
  <si>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</si>
  <si>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</si>
  <si>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</si>
  <si>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</si>
  <si>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</si>
  <si>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</si>
  <si>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</si>
  <si>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</si>
  <si>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</si>
  <si>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</si>
  <si>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</si>
  <si>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</si>
  <si>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</si>
  <si>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</si>
  <si>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</si>
  <si>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</si>
  <si>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</si>
  <si>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</si>
  <si>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</si>
  <si>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</si>
  <si>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</si>
  <si>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</si>
  <si>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</si>
  <si>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</si>
  <si>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</si>
  <si>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</si>
  <si>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</si>
  <si>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</si>
  <si>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</si>
  <si>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</si>
  <si>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</si>
  <si>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</si>
  <si>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</si>
  <si>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</si>
  <si>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</si>
  <si>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</si>
  <si>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</si>
  <si>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</si>
  <si>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</si>
  <si>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</si>
  <si>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</si>
  <si>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</si>
  <si>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</si>
  <si>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</si>
  <si>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</si>
  <si>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</si>
  <si>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</si>
  <si>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</si>
  <si>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</si>
  <si>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</si>
  <si>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</si>
  <si>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</si>
  <si>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</si>
  <si>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</si>
  <si>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</si>
  <si>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</si>
  <si>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</si>
  <si>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</si>
  <si>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</si>
  <si>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</si>
  <si>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</si>
  <si>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</si>
  <si>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</si>
  <si>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</si>
  <si>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</si>
  <si>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</si>
  <si>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</si>
  <si>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</si>
  <si>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</si>
  <si>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</si>
  <si>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</si>
  <si>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</si>
  <si>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</si>
  <si>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</si>
  <si>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</si>
  <si>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</si>
  <si>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</si>
  <si>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</si>
  <si>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</si>
  <si>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</si>
  <si>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</si>
  <si>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</si>
  <si>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</si>
  <si>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</si>
  <si>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</si>
  <si>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</si>
  <si>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</si>
  <si>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</si>
  <si>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</si>
  <si>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</si>
  <si>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</si>
  <si>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</si>
  <si>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</si>
  <si>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</si>
  <si>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</si>
  <si>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</si>
  <si>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</si>
  <si>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</si>
  <si>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</si>
  <si>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</si>
  <si>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</si>
  <si>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</si>
  <si>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</si>
  <si>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</si>
  <si>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</si>
  <si>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</si>
  <si>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</si>
  <si>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</si>
  <si>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</si>
  <si>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</si>
  <si>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</si>
  <si>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</si>
  <si>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</si>
  <si>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</si>
  <si>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</si>
  <si>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</si>
  <si>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</si>
  <si>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</si>
  <si>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</si>
  <si>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</si>
  <si>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</si>
  <si>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</si>
  <si>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</si>
  <si>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</si>
  <si>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</si>
  <si>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</si>
  <si>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</si>
  <si>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</si>
  <si>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</si>
  <si>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</si>
  <si>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</si>
  <si>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</si>
  <si>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</si>
  <si>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</si>
  <si>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</si>
  <si>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</si>
  <si>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</si>
  <si>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</si>
  <si>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</si>
  <si>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</si>
  <si>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</si>
  <si>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</si>
  <si>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</si>
  <si>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</si>
  <si>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</si>
  <si>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</si>
  <si>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</si>
  <si>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</si>
  <si>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</si>
  <si>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</si>
  <si>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</si>
  <si>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</si>
  <si>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</si>
  <si>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</si>
  <si>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</si>
  <si>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</si>
  <si>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</si>
  <si>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</si>
  <si>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</si>
  <si>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</si>
  <si>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</si>
  <si>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</si>
  <si>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</si>
  <si>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</si>
  <si>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</si>
  <si>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</si>
  <si>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</si>
  <si>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</si>
  <si>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</si>
  <si>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</si>
  <si>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</si>
  <si>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</si>
  <si>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</si>
  <si>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</si>
  <si>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</si>
  <si>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</si>
  <si>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</si>
  <si>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</si>
  <si>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</si>
  <si>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</si>
  <si>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</si>
  <si>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</si>
  <si>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</si>
  <si>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</si>
  <si>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</si>
  <si>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</si>
  <si>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</si>
  <si>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</si>
  <si>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</si>
  <si>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</si>
  <si>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</si>
  <si>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</si>
  <si>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</si>
  <si>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</si>
  <si>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</si>
  <si>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</si>
  <si>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</si>
  <si>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</si>
  <si>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</si>
  <si>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</si>
  <si>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</si>
  <si>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</si>
  <si>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</si>
  <si>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</si>
  <si>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</si>
  <si>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</si>
  <si>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</si>
  <si>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</si>
  <si>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</si>
  <si>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</si>
  <si>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</si>
  <si>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</si>
  <si>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</si>
  <si>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</si>
  <si>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</si>
  <si>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</si>
  <si>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</si>
  <si>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</si>
  <si>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</si>
  <si>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</si>
  <si>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</si>
  <si>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</si>
  <si>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</si>
  <si>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</si>
  <si>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</si>
  <si>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</si>
  <si>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</si>
  <si>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</si>
  <si>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</si>
  <si>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</si>
  <si>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</si>
  <si>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</si>
  <si>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</si>
  <si>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</si>
  <si>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</si>
  <si>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</si>
  <si>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</si>
  <si>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</si>
  <si>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</si>
  <si>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</si>
  <si>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</si>
  <si>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</si>
  <si>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</si>
  <si>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</si>
  <si>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</si>
  <si>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</si>
  <si>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</si>
  <si>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</si>
  <si>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</si>
  <si>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</si>
  <si>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</si>
  <si>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</si>
  <si>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</si>
  <si>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</si>
  <si>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</si>
  <si>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</si>
  <si>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</si>
  <si>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</si>
  <si>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</si>
  <si>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</si>
  <si>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</si>
  <si>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</si>
  <si>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</si>
  <si>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</si>
  <si>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</si>
  <si>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</si>
  <si>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</si>
  <si>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</si>
  <si>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</si>
  <si>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</si>
  <si>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</si>
  <si>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</si>
  <si>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</si>
  <si>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</si>
  <si>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</si>
  <si>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</si>
  <si>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</si>
  <si>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</si>
  <si>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</si>
  <si>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</si>
  <si>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</si>
  <si>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</si>
  <si>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</si>
  <si>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</si>
  <si>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</si>
  <si>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</si>
  <si>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</si>
  <si>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</si>
  <si>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</si>
  <si>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</si>
  <si>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</si>
  <si>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</si>
  <si>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</si>
  <si>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</si>
  <si>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</si>
  <si>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</si>
  <si>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</si>
  <si>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</si>
  <si>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</si>
  <si>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</si>
  <si>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</si>
  <si>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</si>
  <si>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</si>
  <si>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</si>
  <si>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</si>
  <si>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</si>
  <si>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</si>
  <si>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</si>
  <si>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</si>
  <si>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</si>
  <si>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</si>
  <si>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</si>
  <si>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</si>
  <si>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</si>
  <si>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</si>
  <si>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</si>
  <si>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</si>
  <si>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</si>
  <si>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</si>
  <si>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</si>
  <si>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</si>
  <si>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</si>
  <si>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</si>
  <si>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</si>
  <si>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</si>
  <si>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</si>
  <si>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</si>
  <si>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</si>
  <si>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</si>
  <si>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</si>
  <si>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</si>
  <si>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</si>
  <si>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</si>
  <si>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</si>
  <si>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</si>
  <si>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</si>
  <si>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</si>
  <si>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</si>
  <si>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</si>
  <si>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</si>
  <si>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</si>
  <si>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</si>
  <si>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</si>
  <si>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</si>
  <si>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</si>
  <si>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</si>
  <si>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</si>
  <si>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</si>
  <si>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</si>
  <si>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</si>
  <si>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</si>
  <si>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</si>
  <si>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</si>
  <si>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</si>
  <si>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</si>
  <si>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</si>
  <si>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</si>
  <si>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</si>
  <si>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</si>
  <si>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</si>
  <si>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</si>
  <si>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</si>
  <si>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</si>
  <si>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</si>
  <si>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</si>
  <si>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</si>
  <si>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</si>
  <si>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</si>
  <si>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</si>
  <si>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</si>
  <si>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</si>
  <si>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</si>
  <si>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</si>
  <si>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</si>
  <si>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</si>
  <si>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</si>
  <si>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</si>
  <si>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</si>
  <si>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</si>
  <si>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</si>
  <si>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</si>
  <si>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</si>
  <si>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</si>
  <si>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</si>
  <si>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</si>
  <si>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</si>
  <si>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</si>
  <si>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</si>
  <si>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</si>
  <si>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</si>
  <si>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</si>
  <si>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</si>
  <si>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</si>
  <si>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</si>
  <si>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</si>
  <si>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</si>
  <si>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</si>
  <si>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</si>
  <si>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</si>
  <si>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</si>
  <si>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</si>
  <si>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</si>
  <si>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</si>
  <si>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</si>
  <si>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</si>
  <si>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</si>
  <si>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</si>
  <si>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</si>
  <si>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</si>
  <si>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</si>
  <si>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</si>
  <si>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</si>
  <si>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</si>
  <si>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</si>
  <si>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</si>
  <si>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</si>
  <si>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</si>
  <si>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</si>
  <si>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</si>
  <si>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</si>
  <si>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</si>
  <si>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</si>
  <si>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</si>
  <si>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</si>
  <si>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</si>
  <si>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</si>
  <si>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</si>
  <si>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</si>
  <si>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</si>
  <si>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</si>
  <si>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</si>
  <si>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</si>
  <si>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</si>
  <si>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</si>
  <si>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</si>
  <si>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</si>
  <si>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</si>
  <si>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</si>
  <si>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</si>
  <si>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</si>
  <si>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</si>
  <si>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</si>
  <si>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</si>
  <si>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</si>
  <si>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</si>
  <si>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</si>
  <si>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</si>
  <si>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</si>
  <si>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</si>
  <si>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</si>
  <si>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</si>
  <si>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</si>
  <si>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</si>
  <si>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</si>
  <si>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</si>
  <si>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</si>
  <si>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</si>
  <si>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</si>
  <si>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</si>
  <si>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</si>
  <si>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</si>
  <si>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</si>
  <si>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</si>
  <si>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</si>
  <si>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</si>
  <si>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</si>
  <si>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</si>
  <si>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</si>
  <si>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</si>
  <si>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</si>
  <si>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</si>
  <si>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</si>
  <si>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</si>
  <si>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</si>
  <si>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</si>
  <si>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</si>
  <si>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</si>
  <si>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</si>
  <si>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</si>
  <si>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</si>
  <si>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</si>
  <si>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</si>
  <si>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</si>
  <si>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</si>
  <si>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</si>
  <si>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</si>
  <si>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</si>
  <si>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</si>
  <si>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</si>
  <si>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</si>
  <si>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</si>
  <si>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</si>
  <si>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</si>
  <si>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</si>
  <si>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</si>
  <si>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</si>
  <si>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</si>
  <si>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</si>
  <si>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</si>
  <si>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</si>
  <si>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</si>
  <si>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</si>
  <si>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</si>
  <si>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</si>
  <si>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</si>
  <si>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</si>
  <si>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</si>
  <si>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</si>
  <si>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</si>
  <si>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</si>
  <si>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</si>
  <si>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</si>
  <si>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</si>
  <si>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</si>
  <si>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</si>
  <si>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</si>
  <si>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</si>
  <si>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</si>
  <si>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</si>
  <si>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</si>
  <si>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</si>
  <si>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</si>
  <si>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</si>
  <si>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</si>
  <si>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</si>
  <si>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</si>
  <si>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</si>
  <si>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</si>
  <si>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</si>
  <si>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</si>
  <si>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</si>
  <si>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</si>
  <si>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</si>
  <si>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</si>
  <si>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</si>
  <si>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</si>
  <si>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</si>
  <si>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</si>
  <si>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</si>
  <si>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</si>
  <si>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</si>
  <si>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</si>
  <si>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</si>
  <si>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</si>
  <si>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</si>
  <si>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</si>
  <si>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</si>
  <si>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</si>
  <si>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</si>
  <si>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</si>
  <si>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</si>
  <si>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</si>
  <si>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</si>
  <si>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</si>
  <si>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</si>
  <si>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</si>
  <si>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</si>
  <si>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</si>
  <si>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</si>
  <si>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</si>
  <si>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</si>
  <si>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</si>
  <si>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</si>
  <si>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</si>
  <si>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</si>
  <si>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</si>
  <si>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</si>
  <si>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</si>
  <si>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</si>
  <si>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</si>
  <si>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</si>
  <si>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</si>
  <si>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</si>
  <si>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</si>
  <si>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</si>
  <si>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</si>
  <si>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</si>
  <si>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</si>
  <si>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</si>
  <si>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</si>
  <si>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</si>
  <si>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</si>
  <si>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</si>
  <si>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</si>
  <si>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</si>
  <si>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</si>
  <si>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</si>
  <si>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</si>
  <si>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</si>
  <si>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</si>
  <si>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</si>
  <si>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</si>
  <si>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</si>
  <si>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</si>
  <si>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</si>
  <si>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</si>
  <si>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</si>
  <si>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</si>
  <si>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</si>
  <si>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</si>
  <si>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</si>
  <si>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</si>
  <si>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</si>
  <si>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</si>
  <si>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</si>
  <si>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</si>
  <si>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</si>
  <si>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</si>
  <si>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</si>
  <si>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</si>
  <si>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</si>
  <si>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</si>
  <si>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</si>
  <si>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</si>
  <si>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</si>
  <si>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</si>
  <si>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</si>
  <si>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</si>
  <si>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</si>
  <si>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</si>
  <si>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</si>
  <si>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</si>
  <si>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</si>
  <si>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</si>
  <si>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</si>
  <si>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</si>
  <si>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</si>
  <si>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</si>
  <si>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</si>
  <si>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</si>
  <si>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</si>
  <si>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</si>
  <si>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</si>
  <si>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</si>
  <si>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</si>
  <si>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</si>
  <si>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</si>
  <si>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</si>
  <si>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</si>
  <si>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</si>
  <si>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</si>
  <si>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</si>
  <si>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</si>
  <si>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</si>
  <si>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</si>
  <si>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</si>
  <si>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</si>
  <si>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</si>
  <si>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</si>
  <si>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</si>
  <si>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</si>
  <si>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</si>
  <si>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</si>
  <si>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</si>
  <si>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</si>
  <si>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</si>
  <si>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</si>
  <si>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</si>
  <si>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</si>
  <si>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</si>
  <si>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</si>
  <si>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</si>
  <si>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</si>
  <si>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</si>
  <si>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</si>
  <si>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</si>
  <si>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</si>
  <si>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</si>
  <si>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</si>
  <si>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</si>
  <si>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</si>
  <si>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</si>
  <si>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</si>
  <si>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</si>
  <si>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</si>
  <si>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</si>
  <si>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</si>
  <si>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</si>
  <si>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</si>
  <si>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</si>
  <si>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</si>
  <si>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</si>
  <si>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</si>
  <si>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</si>
  <si>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</si>
  <si>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</si>
  <si>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</si>
  <si>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</si>
  <si>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</si>
  <si>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</si>
  <si>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</si>
  <si>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</si>
  <si>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</si>
  <si>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</si>
  <si>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</si>
  <si>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</si>
  <si>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</si>
  <si>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</si>
  <si>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</si>
  <si>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</si>
  <si>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</si>
  <si>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</si>
  <si>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</si>
  <si>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</si>
  <si>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</si>
  <si>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</si>
  <si>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</si>
  <si>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</si>
  <si>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</si>
  <si>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</si>
  <si>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</si>
  <si>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</si>
  <si>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</si>
  <si>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</si>
  <si>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</si>
  <si>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</si>
  <si>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</si>
  <si>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</si>
  <si>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</si>
  <si>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</si>
  <si>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</si>
  <si>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</si>
  <si>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</si>
  <si>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</si>
  <si>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</si>
  <si>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</si>
  <si>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</si>
  <si>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</si>
  <si>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</si>
  <si>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</si>
  <si>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</si>
  <si>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</si>
  <si>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</si>
  <si>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</si>
  <si>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</si>
  <si>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</si>
  <si>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</si>
  <si>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</si>
  <si>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</si>
  <si>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</si>
  <si>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</si>
  <si>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</si>
  <si>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</si>
  <si>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</si>
  <si>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</si>
  <si>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</si>
  <si>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</si>
  <si>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</si>
  <si>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</si>
  <si>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</si>
  <si>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</si>
  <si>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</si>
  <si>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</si>
  <si>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</si>
  <si>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</si>
  <si>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</si>
  <si>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</si>
  <si>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</si>
  <si>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</si>
  <si>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</si>
  <si>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</si>
  <si>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</si>
  <si>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</si>
  <si>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</si>
  <si>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</si>
  <si>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</si>
  <si>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</si>
  <si>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</si>
  <si>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</si>
  <si>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</si>
  <si>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</si>
  <si>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</si>
  <si>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</si>
  <si>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</si>
  <si>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</si>
  <si>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</si>
  <si>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</si>
  <si>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</si>
  <si>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</si>
  <si>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</si>
  <si>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</si>
  <si>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</si>
  <si>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</si>
  <si>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</si>
  <si>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</si>
  <si>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</si>
  <si>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</si>
  <si>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</si>
  <si>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</si>
  <si>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</si>
  <si>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</si>
  <si>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</si>
  <si>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</si>
  <si>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</si>
  <si>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</si>
  <si>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</si>
  <si>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</si>
  <si>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</si>
  <si>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</si>
  <si>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</si>
  <si>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</si>
  <si>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</si>
  <si>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</si>
  <si>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</si>
  <si>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</si>
  <si>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</si>
  <si>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</si>
  <si>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</si>
  <si>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</si>
  <si>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</si>
  <si>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</si>
  <si>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</si>
  <si>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</si>
  <si>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</si>
  <si>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</si>
  <si>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</si>
  <si>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</si>
  <si>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</si>
  <si>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</si>
  <si>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</si>
  <si>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</si>
  <si>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</si>
  <si>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</si>
  <si>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</si>
  <si>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</si>
  <si>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</si>
  <si>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</si>
  <si>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</si>
  <si>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</si>
  <si>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</si>
  <si>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</si>
  <si>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</si>
  <si>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</si>
  <si>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</si>
  <si>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</si>
  <si>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</si>
  <si>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</si>
  <si>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</si>
  <si>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</si>
  <si>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</si>
  <si>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</si>
  <si>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</si>
  <si>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</si>
  <si>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</si>
  <si>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</si>
  <si>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</si>
  <si>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</si>
  <si>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</si>
  <si>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</si>
  <si>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</si>
  <si>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</si>
  <si>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</si>
  <si>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</si>
  <si>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</si>
  <si>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</si>
  <si>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</si>
  <si>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</si>
  <si>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</si>
  <si>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</si>
  <si>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</si>
  <si>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</si>
  <si>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</si>
  <si>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</si>
  <si>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</si>
  <si>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</si>
  <si>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</si>
  <si>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</si>
  <si>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</si>
  <si>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</si>
  <si>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</si>
  <si>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</si>
  <si>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</si>
  <si>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</si>
  <si>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</si>
  <si>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</si>
  <si>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</si>
  <si>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</si>
  <si>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</si>
  <si>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</si>
  <si>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</si>
  <si>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</si>
  <si>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</si>
  <si>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</si>
  <si>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</si>
  <si>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</si>
  <si>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</si>
  <si>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</si>
  <si>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</si>
  <si>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</si>
  <si>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</si>
  <si>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</si>
  <si>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</si>
  <si>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</si>
  <si>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</si>
  <si>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</si>
  <si>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</si>
  <si>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</si>
  <si>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</si>
  <si>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</si>
  <si>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</si>
  <si>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</si>
  <si>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</si>
  <si>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</si>
  <si>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</si>
  <si>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</si>
  <si>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</si>
  <si>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</si>
  <si>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</si>
  <si>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</si>
  <si>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</si>
  <si>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</si>
  <si>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</si>
  <si>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</si>
  <si>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</si>
  <si>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</si>
  <si>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</si>
  <si>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</si>
  <si>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</si>
  <si>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</si>
  <si>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</si>
  <si>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</si>
  <si>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</si>
  <si>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</si>
  <si>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</si>
  <si>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</si>
  <si>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</si>
  <si>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</si>
  <si>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</si>
  <si>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</si>
  <si>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</si>
  <si>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</si>
  <si>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</si>
  <si>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</si>
  <si>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</si>
  <si>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</si>
  <si>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</si>
  <si>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</si>
  <si>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</si>
  <si>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</si>
  <si>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</si>
  <si>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</si>
  <si>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</si>
  <si>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</si>
  <si>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</si>
  <si>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</si>
  <si>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</si>
  <si>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</si>
  <si>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</si>
  <si>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</si>
  <si>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</si>
  <si>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</si>
  <si>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</si>
  <si>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</si>
  <si>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</si>
  <si>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</si>
  <si>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</si>
  <si>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</si>
  <si>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</si>
  <si>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</si>
  <si>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</si>
  <si>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</si>
  <si>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</si>
  <si>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</si>
  <si>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</si>
  <si>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</si>
  <si>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</si>
  <si>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</si>
  <si>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</si>
  <si>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</si>
  <si>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</si>
  <si>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</si>
  <si>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</si>
  <si>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</si>
  <si>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</si>
  <si>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</si>
  <si>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</si>
  <si>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</si>
  <si>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</si>
  <si>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</si>
  <si>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</si>
  <si>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</si>
  <si>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</si>
  <si>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</si>
  <si>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</si>
  <si>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</si>
  <si>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</si>
  <si>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</si>
  <si>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</si>
  <si>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</si>
  <si>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</si>
  <si>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</si>
  <si>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</si>
  <si>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</si>
  <si>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</si>
  <si>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</si>
  <si>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</si>
  <si>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</si>
  <si>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</si>
  <si>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</si>
  <si>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</si>
  <si>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</si>
  <si>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</si>
  <si>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</si>
  <si>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</si>
  <si>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</si>
  <si>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</si>
  <si>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</si>
  <si>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</si>
  <si>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</si>
  <si>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</si>
  <si>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</si>
  <si>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</si>
  <si>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</si>
  <si>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</si>
  <si>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</si>
  <si>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</si>
  <si>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</si>
  <si>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</si>
  <si>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</si>
  <si>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</si>
  <si>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</si>
  <si>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</si>
  <si>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</si>
  <si>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</si>
  <si>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</si>
  <si>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</si>
  <si>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</si>
  <si>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</si>
  <si>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</si>
  <si>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</si>
  <si>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</si>
  <si>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</si>
  <si>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</si>
  <si>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</si>
  <si>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</si>
  <si>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</si>
  <si>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</si>
  <si>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</si>
  <si>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</si>
  <si>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</si>
  <si>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</si>
  <si>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</si>
  <si>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</si>
  <si>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</si>
  <si>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</si>
  <si>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</si>
  <si>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</si>
  <si>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</si>
  <si>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</si>
  <si>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</si>
  <si>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</si>
  <si>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</si>
  <si>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</si>
  <si>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</si>
  <si>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</si>
  <si>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</si>
  <si>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</si>
  <si>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</si>
  <si>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</si>
  <si>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</si>
  <si>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</si>
  <si>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</si>
  <si>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</si>
  <si>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</si>
  <si>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</si>
  <si>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</si>
  <si>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</si>
  <si>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</si>
  <si>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</si>
  <si>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</si>
  <si>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</si>
  <si>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</si>
  <si>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</si>
  <si>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</si>
  <si>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</si>
  <si>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</si>
  <si>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</si>
  <si>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</si>
  <si>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</si>
  <si>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</si>
  <si>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</si>
  <si>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</si>
  <si>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</si>
  <si>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</si>
  <si>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</si>
  <si>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</si>
  <si>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</si>
  <si>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</si>
  <si>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</si>
  <si>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</si>
  <si>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</si>
  <si>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</si>
  <si>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</si>
  <si>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</si>
  <si>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</si>
  <si>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</si>
  <si>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</si>
  <si>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</si>
  <si>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</si>
  <si>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</si>
  <si>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</si>
  <si>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</si>
  <si>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</si>
  <si>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</si>
  <si>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</si>
  <si>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</si>
  <si>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</si>
  <si>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</si>
  <si>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</si>
  <si>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</si>
  <si>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</si>
  <si>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</si>
  <si>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</si>
  <si>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</si>
  <si>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</si>
  <si>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</si>
  <si>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</si>
  <si>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</si>
  <si>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</si>
  <si>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</si>
  <si>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</si>
  <si>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</si>
  <si>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</si>
  <si>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</si>
  <si>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</si>
  <si>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</si>
  <si>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</si>
  <si>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</si>
  <si>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</si>
  <si>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</si>
  <si>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</si>
  <si>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</si>
  <si>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</si>
  <si>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</si>
  <si>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</si>
  <si>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</si>
  <si>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</si>
  <si>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</si>
  <si>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</si>
  <si>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</si>
  <si>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</si>
  <si>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</si>
  <si>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</si>
  <si>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</si>
  <si>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</si>
  <si>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</si>
  <si>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</si>
  <si>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</si>
  <si>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</si>
  <si>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</si>
  <si>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</si>
  <si>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</si>
  <si>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</si>
  <si>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</si>
  <si>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</si>
  <si>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</si>
  <si>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</si>
  <si>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</si>
  <si>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</si>
  <si>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</si>
  <si>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</si>
  <si>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</si>
  <si>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</si>
  <si>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</si>
  <si>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</si>
  <si>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</si>
  <si>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</si>
  <si>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</si>
  <si>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</si>
  <si>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</si>
  <si>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</si>
  <si>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</si>
  <si>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</si>
  <si>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</si>
  <si>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</si>
  <si>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</si>
  <si>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</si>
  <si>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</si>
  <si>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</si>
  <si>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</si>
  <si>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</si>
  <si>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</si>
  <si>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</si>
  <si>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</si>
  <si>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</si>
  <si>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</si>
  <si>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</si>
  <si>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</si>
  <si>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</si>
  <si>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</si>
  <si>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</si>
  <si>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</si>
  <si>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</si>
  <si>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</si>
  <si>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</si>
  <si>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</si>
  <si>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</si>
  <si>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</si>
  <si>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</si>
  <si>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</si>
  <si>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</si>
  <si>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</si>
  <si>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</si>
  <si>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</si>
  <si>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</si>
  <si>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</si>
  <si>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</si>
  <si>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</si>
  <si>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</si>
  <si>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</si>
  <si>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</si>
  <si>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</si>
  <si>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</si>
  <si>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</si>
  <si>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</si>
  <si>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</si>
  <si>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</si>
  <si>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</si>
  <si>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</si>
  <si>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</si>
  <si>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</si>
  <si>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</si>
  <si>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</si>
  <si>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</si>
  <si>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</si>
  <si>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</si>
  <si>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</si>
  <si>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</si>
  <si>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</si>
  <si>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</si>
  <si>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</si>
  <si>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</si>
  <si>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</si>
  <si>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</si>
  <si>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</si>
  <si>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</si>
  <si>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</si>
  <si>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</si>
  <si>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</si>
  <si>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</si>
  <si>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</si>
  <si>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</si>
  <si>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</si>
  <si>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</si>
  <si>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</si>
  <si>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</si>
  <si>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</si>
  <si>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</si>
  <si>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</si>
  <si>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</si>
  <si>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</si>
  <si>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</si>
  <si>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</si>
  <si>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</si>
  <si>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</si>
  <si>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</si>
  <si>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</si>
  <si>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</si>
  <si>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</si>
  <si>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</si>
  <si>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</si>
  <si>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</si>
  <si>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</si>
  <si>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</si>
  <si>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</si>
  <si>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</si>
  <si>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</si>
  <si>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</si>
  <si>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</si>
  <si>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</si>
  <si>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</si>
  <si>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</si>
  <si>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</si>
  <si>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</si>
  <si>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</si>
  <si>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</si>
  <si>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</si>
  <si>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</si>
  <si>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</si>
  <si>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</si>
  <si>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</si>
  <si>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</si>
  <si>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</si>
  <si>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</si>
  <si>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</si>
  <si>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</si>
  <si>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</si>
  <si>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</si>
  <si>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</si>
  <si>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</si>
  <si>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</si>
  <si>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</si>
  <si>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</si>
  <si>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</si>
  <si>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</si>
  <si>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</si>
  <si>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</si>
  <si>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</si>
  <si>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</si>
  <si>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</si>
  <si>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</si>
  <si>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</si>
  <si>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</si>
  <si>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</si>
  <si>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</si>
  <si>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</si>
  <si>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</si>
  <si>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</si>
  <si>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</si>
  <si>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</si>
  <si>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</si>
  <si>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</si>
  <si>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</si>
  <si>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</si>
  <si>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</si>
  <si>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</si>
  <si>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</si>
  <si>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</si>
  <si>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</si>
  <si>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</si>
  <si>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</si>
  <si>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</si>
  <si>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</si>
  <si>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</si>
  <si>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</si>
  <si>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</si>
  <si>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</si>
  <si>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</si>
  <si>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</si>
  <si>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</si>
  <si>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</si>
  <si>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</si>
  <si>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</si>
  <si>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</si>
  <si>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</si>
  <si>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</si>
  <si>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</si>
  <si>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</si>
  <si>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</si>
  <si>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</si>
  <si>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</si>
  <si>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</si>
  <si>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</si>
  <si>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</si>
  <si>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</si>
  <si>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</si>
  <si>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</si>
  <si>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</si>
  <si>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</si>
  <si>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</si>
  <si>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</si>
  <si>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</si>
  <si>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</si>
  <si>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</si>
  <si>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</si>
  <si>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</si>
  <si>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</si>
  <si>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</si>
  <si>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</si>
  <si>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</si>
  <si>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</si>
  <si>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</si>
  <si>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</si>
  <si>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</si>
  <si>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</si>
  <si>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</si>
  <si>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</si>
  <si>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</si>
  <si>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</si>
  <si>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</si>
  <si>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</si>
  <si>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</si>
  <si>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</si>
  <si>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</si>
  <si>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</si>
  <si>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</si>
  <si>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</si>
  <si>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</si>
  <si>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</si>
  <si>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</si>
  <si>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</si>
  <si>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</si>
  <si>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</si>
  <si>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</si>
  <si>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</si>
  <si>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</si>
  <si>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</si>
  <si>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</si>
  <si>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</si>
  <si>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</si>
  <si>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</si>
  <si>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</si>
  <si>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</si>
  <si>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</si>
  <si>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</si>
  <si>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</si>
  <si>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</si>
  <si>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</si>
  <si>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</si>
  <si>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</si>
  <si>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</si>
  <si>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</si>
  <si>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</si>
  <si>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</si>
  <si>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</si>
  <si>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</si>
  <si>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</si>
  <si>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</si>
  <si>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</si>
  <si>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</si>
  <si>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</si>
  <si>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</si>
  <si>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</si>
  <si>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</si>
  <si>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</si>
  <si>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</si>
  <si>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</si>
  <si>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</si>
  <si>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</si>
  <si>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</si>
  <si>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</si>
  <si>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</si>
  <si>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</si>
  <si>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</si>
  <si>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</si>
  <si>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</si>
  <si>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</si>
  <si>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</si>
  <si>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</si>
  <si>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</si>
  <si>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</si>
  <si>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</si>
  <si>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</si>
  <si>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</si>
  <si>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</si>
  <si>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</si>
  <si>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</si>
  <si>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</si>
  <si>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</si>
  <si>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</si>
  <si>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</si>
  <si>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</si>
  <si>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</si>
  <si>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</si>
  <si>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</si>
  <si>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</si>
  <si>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</si>
  <si>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</si>
  <si>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</si>
  <si>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</si>
  <si>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</si>
  <si>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</si>
  <si>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</si>
  <si>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</si>
  <si>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</si>
  <si>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</si>
  <si>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</si>
  <si>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</si>
  <si>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</si>
  <si>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</si>
  <si>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</si>
  <si>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</si>
  <si>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</si>
  <si>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</si>
  <si>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</si>
  <si>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</si>
  <si>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</si>
  <si>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</si>
  <si>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</si>
  <si>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</si>
  <si>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</si>
  <si>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</si>
  <si>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</si>
  <si>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</si>
  <si>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</si>
  <si>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</si>
  <si>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</si>
  <si>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</si>
  <si>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</si>
  <si>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</si>
  <si>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</si>
  <si>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</si>
  <si>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</si>
  <si>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</si>
  <si>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</si>
  <si>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</si>
  <si>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</si>
  <si>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</si>
  <si>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</si>
  <si>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</si>
  <si>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</si>
  <si>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</si>
  <si>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</si>
  <si>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</si>
  <si>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</si>
  <si>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</si>
  <si>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</si>
  <si>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</si>
  <si>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</si>
  <si>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</si>
  <si>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</si>
  <si>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</si>
  <si>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</si>
  <si>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</si>
  <si>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</si>
  <si>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</si>
  <si>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</si>
  <si>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</si>
  <si>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</si>
  <si>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</si>
  <si>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</si>
  <si>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</si>
  <si>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</si>
  <si>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</si>
  <si>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</si>
  <si>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</si>
  <si>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</si>
  <si>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</si>
  <si>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</si>
  <si>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</si>
  <si>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</si>
  <si>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</si>
  <si>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</si>
  <si>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</si>
  <si>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</si>
  <si>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</si>
  <si>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</si>
  <si>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</si>
  <si>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</si>
  <si>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</si>
  <si>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</si>
  <si>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</si>
  <si>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</si>
  <si>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</si>
  <si>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</si>
  <si>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</si>
  <si>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</si>
  <si>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</si>
  <si>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</si>
  <si>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</si>
  <si>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</si>
  <si>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</si>
  <si>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</si>
  <si>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</si>
  <si>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</si>
  <si>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</si>
  <si>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</si>
  <si>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</si>
  <si>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</si>
  <si>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</si>
  <si>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</si>
  <si>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</si>
  <si>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</si>
  <si>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</si>
  <si>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</si>
  <si>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</si>
  <si>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</si>
  <si>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</si>
  <si>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</si>
  <si>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</si>
  <si>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</si>
  <si>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</si>
  <si>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</si>
  <si>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</si>
  <si>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</si>
  <si>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</si>
  <si>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</si>
  <si>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</si>
  <si>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</si>
  <si>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</si>
  <si>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</si>
  <si>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</si>
  <si>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</si>
  <si>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</si>
  <si>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</si>
  <si>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</si>
  <si>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</si>
  <si>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</si>
  <si>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</si>
  <si>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</si>
  <si>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</si>
  <si>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</si>
  <si>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</si>
  <si>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</si>
  <si>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</si>
  <si>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</si>
  <si>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</si>
  <si>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</si>
  <si>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</si>
  <si>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</si>
  <si>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</si>
  <si>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</si>
  <si>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</si>
  <si>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</si>
  <si>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</si>
  <si>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</si>
  <si>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</si>
  <si>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</si>
  <si>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</si>
  <si>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</si>
  <si>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</si>
  <si>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</si>
  <si>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</si>
  <si>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</si>
  <si>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</si>
  <si>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</si>
  <si>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</si>
  <si>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</si>
  <si>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</si>
  <si>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</si>
  <si>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</si>
  <si>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</si>
  <si>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</si>
  <si>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</si>
  <si>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</si>
  <si>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</si>
  <si>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</si>
  <si>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</si>
  <si>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</si>
  <si>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</si>
  <si>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</si>
  <si>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</si>
  <si>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</si>
  <si>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</si>
  <si>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</si>
  <si>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</si>
  <si>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</si>
  <si>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</si>
  <si>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</si>
  <si>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</si>
  <si>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</si>
  <si>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</si>
  <si>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</si>
  <si>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</si>
  <si>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</si>
  <si>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</si>
  <si>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</si>
  <si>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</si>
  <si>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</si>
  <si>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</si>
  <si>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</si>
  <si>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</si>
  <si>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</si>
  <si>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</si>
  <si>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</si>
  <si>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</si>
  <si>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</si>
  <si>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</si>
  <si>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</si>
  <si>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</si>
  <si>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</si>
  <si>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</si>
  <si>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</si>
  <si>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</si>
  <si>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</si>
  <si>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</si>
  <si>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</si>
  <si>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</si>
  <si>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</si>
  <si>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</si>
  <si>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</si>
  <si>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</si>
  <si>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</si>
  <si>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</si>
  <si>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</si>
  <si>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</si>
  <si>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</si>
  <si>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</si>
  <si>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</si>
  <si>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</si>
  <si>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</si>
  <si>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</si>
  <si>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</si>
  <si>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</si>
  <si>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</si>
  <si>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</si>
  <si>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</si>
  <si>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</si>
  <si>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</si>
  <si>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</si>
  <si>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</si>
  <si>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</si>
  <si>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</si>
  <si>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</si>
  <si>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</si>
  <si>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</si>
  <si>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</si>
  <si>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</si>
  <si>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</si>
  <si>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</si>
  <si>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</si>
  <si>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</si>
  <si>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</si>
  <si>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</si>
  <si>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</si>
  <si>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</si>
  <si>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</si>
  <si>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</si>
  <si>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</si>
  <si>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</si>
  <si>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</si>
  <si>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</si>
  <si>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</si>
  <si>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</si>
  <si>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</si>
  <si>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</si>
  <si>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</si>
  <si>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</si>
  <si>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</si>
  <si>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</si>
  <si>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</si>
  <si>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</si>
  <si>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</si>
  <si>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</si>
  <si>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</si>
  <si>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</si>
  <si>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</si>
  <si>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</si>
  <si>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</si>
  <si>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</si>
  <si>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</si>
  <si>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</si>
  <si>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</si>
  <si>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</si>
  <si>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</si>
  <si>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</si>
  <si>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</si>
  <si>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</si>
  <si>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</si>
  <si>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</si>
  <si>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</si>
  <si>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</si>
  <si>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</si>
  <si>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</si>
  <si>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</si>
  <si>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</si>
  <si>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</si>
  <si>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</si>
  <si>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</si>
  <si>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</si>
  <si>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</si>
  <si>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</si>
  <si>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</si>
  <si>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</si>
  <si>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</si>
  <si>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</si>
  <si>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</si>
  <si>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</si>
  <si>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</si>
  <si>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</si>
  <si>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</si>
  <si>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</si>
  <si>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</si>
  <si>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</si>
  <si>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</si>
  <si>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</si>
  <si>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</si>
  <si>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</si>
  <si>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</si>
  <si>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</si>
  <si>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</si>
  <si>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</si>
  <si>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</si>
  <si>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</si>
  <si>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</si>
  <si>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</si>
  <si>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</si>
  <si>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</si>
  <si>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</si>
  <si>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</si>
  <si>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</si>
  <si>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</si>
  <si>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</si>
  <si>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</si>
  <si>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</si>
  <si>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</si>
  <si>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</si>
  <si>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</si>
  <si>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</si>
  <si>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</si>
  <si>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</si>
  <si>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</si>
  <si>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</si>
  <si>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</si>
  <si>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</si>
  <si>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</si>
  <si>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</si>
  <si>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</si>
  <si>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</si>
  <si>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</si>
  <si>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</si>
  <si>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</si>
  <si>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</si>
  <si>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</si>
  <si>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</si>
  <si>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</si>
  <si>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</si>
  <si>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</si>
  <si>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</si>
  <si>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</si>
  <si>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</si>
  <si>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</si>
  <si>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</si>
  <si>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</si>
  <si>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</si>
  <si>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</si>
  <si>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</si>
  <si>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</si>
  <si>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</si>
  <si>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</si>
  <si>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</si>
  <si>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</si>
  <si>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</si>
  <si>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</si>
  <si>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</si>
  <si>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</si>
  <si>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</si>
  <si>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</si>
  <si>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</si>
  <si>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</si>
  <si>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</si>
  <si>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</si>
  <si>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</si>
  <si>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</si>
  <si>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</si>
  <si>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</si>
  <si>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</si>
  <si>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</si>
  <si>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</si>
  <si>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</si>
  <si>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</si>
  <si>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</si>
  <si>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</si>
  <si>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</si>
  <si>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</si>
  <si>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</si>
  <si>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</si>
  <si>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</si>
  <si>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</si>
  <si>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</si>
  <si>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</si>
  <si>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</si>
  <si>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</si>
  <si>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</si>
  <si>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</si>
  <si>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</si>
  <si>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</si>
  <si>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</si>
  <si>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</si>
  <si>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</si>
  <si>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</si>
  <si>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</si>
  <si>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</si>
  <si>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</si>
  <si>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</si>
  <si>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</si>
  <si>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</si>
  <si>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</si>
  <si>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</si>
  <si>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</si>
  <si>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</si>
  <si>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</si>
  <si>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</si>
  <si>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</si>
  <si>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</si>
  <si>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</si>
  <si>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</si>
  <si>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</si>
  <si>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</si>
  <si>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</si>
  <si>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</si>
  <si>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</si>
  <si>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</si>
  <si>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</si>
  <si>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</si>
  <si>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</si>
  <si>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</si>
  <si>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</si>
  <si>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</si>
  <si>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</si>
  <si>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</si>
  <si>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</si>
  <si>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</si>
  <si>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</si>
  <si>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</si>
  <si>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</si>
  <si>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</si>
  <si>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</si>
  <si>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</si>
  <si>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</si>
  <si>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</si>
  <si>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</si>
  <si>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</si>
  <si>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</si>
  <si>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</si>
  <si>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</si>
  <si>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</si>
  <si>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</si>
  <si>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</si>
  <si>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</si>
  <si>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</si>
  <si>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</si>
  <si>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</si>
  <si>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</si>
  <si>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</si>
  <si>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</si>
  <si>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</si>
  <si>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</si>
  <si>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</si>
  <si>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</si>
  <si>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</si>
  <si>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</si>
  <si>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</si>
  <si>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</si>
  <si>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</si>
  <si>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</si>
  <si>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</si>
  <si>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</si>
  <si>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</si>
  <si>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</si>
  <si>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</si>
  <si>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</si>
  <si>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</si>
  <si>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</si>
  <si>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</si>
  <si>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</si>
  <si>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</si>
  <si>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</si>
  <si>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</si>
  <si>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</si>
  <si>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</si>
  <si>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</si>
  <si>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</si>
  <si>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</si>
  <si>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</si>
  <si>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</si>
  <si>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</si>
  <si>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</si>
  <si>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</si>
  <si>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</si>
  <si>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</si>
  <si>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</si>
  <si>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</si>
  <si>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</si>
  <si>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</si>
  <si>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</si>
  <si>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</si>
  <si>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</si>
  <si>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</si>
  <si>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</si>
  <si>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</si>
  <si>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</si>
  <si>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</si>
  <si>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</si>
  <si>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</si>
  <si>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</si>
  <si>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</si>
  <si>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</si>
  <si>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</si>
  <si>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</si>
  <si>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</si>
  <si>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</si>
  <si>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</si>
  <si>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</si>
  <si>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</si>
  <si>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</si>
  <si>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</si>
  <si>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</si>
  <si>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</si>
  <si>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</si>
  <si>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</si>
  <si>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</si>
  <si>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</si>
  <si>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</si>
  <si>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</si>
  <si>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</si>
  <si>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</si>
  <si>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</si>
  <si>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</si>
  <si>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</si>
  <si>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</si>
  <si>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</si>
  <si>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</si>
  <si>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</si>
  <si>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</si>
  <si>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</si>
  <si>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</si>
  <si>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</si>
  <si>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</si>
  <si>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</si>
  <si>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</si>
  <si>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</si>
  <si>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</si>
  <si>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</si>
  <si>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</si>
  <si>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</si>
  <si>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</si>
  <si>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</si>
  <si>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</si>
  <si>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</si>
  <si>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</si>
  <si>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</si>
  <si>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</si>
  <si>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</si>
  <si>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</si>
  <si>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</si>
  <si>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</si>
  <si>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</si>
  <si>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</si>
  <si>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</si>
  <si>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</si>
  <si>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</si>
  <si>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</si>
  <si>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</si>
  <si>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</si>
  <si>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</si>
  <si>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</si>
  <si>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</si>
  <si>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</si>
  <si>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</si>
  <si>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</si>
  <si>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</si>
  <si>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</si>
  <si>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</si>
  <si>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</si>
  <si>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</si>
  <si>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</si>
  <si>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</si>
  <si>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</si>
  <si>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</si>
  <si>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</si>
  <si>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</si>
  <si>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</si>
  <si>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</si>
  <si>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</si>
  <si>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</si>
  <si>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</si>
  <si>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</si>
  <si>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</si>
  <si>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</si>
  <si>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</si>
  <si>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</si>
  <si>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</si>
  <si>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</si>
  <si>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</si>
  <si>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</si>
  <si>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</si>
  <si>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</si>
  <si>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</si>
  <si>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</si>
  <si>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</si>
  <si>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</si>
  <si>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</si>
  <si>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</si>
  <si>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</si>
  <si>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</si>
  <si>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</si>
  <si>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</si>
  <si>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</si>
  <si>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</si>
  <si>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</si>
  <si>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</si>
  <si>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</si>
  <si>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</si>
  <si>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</si>
  <si>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</si>
  <si>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</si>
  <si>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</si>
  <si>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</si>
  <si>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</si>
  <si>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</si>
  <si>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</si>
  <si>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</si>
  <si>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</si>
  <si>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</si>
  <si>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</si>
  <si>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</si>
  <si>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</si>
  <si>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</si>
  <si>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</si>
  <si>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</si>
  <si>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</si>
  <si>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</si>
  <si>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</si>
  <si>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</si>
  <si>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</si>
  <si>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</si>
  <si>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</si>
  <si>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</si>
  <si>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</si>
  <si>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</si>
  <si>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</si>
  <si>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</si>
  <si>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</si>
  <si>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</si>
  <si>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</si>
  <si>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</si>
  <si>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</si>
  <si>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</si>
  <si>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</si>
  <si>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</si>
  <si>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</si>
  <si>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</si>
  <si>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</si>
  <si>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</si>
  <si>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</si>
  <si>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</si>
  <si>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</si>
  <si>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</si>
  <si>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</si>
  <si>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</si>
  <si>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</si>
  <si>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</si>
  <si>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</si>
  <si>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</si>
  <si>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</si>
  <si>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</si>
  <si>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</si>
  <si>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</si>
  <si>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</si>
  <si>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</si>
  <si>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</si>
  <si>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</si>
  <si>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</si>
  <si>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</si>
  <si>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</si>
  <si>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</si>
  <si>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</si>
  <si>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</si>
  <si>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</si>
  <si>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</si>
  <si>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</si>
  <si>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</si>
  <si>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</si>
  <si>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</si>
  <si>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</si>
  <si>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</si>
  <si>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</si>
  <si>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</si>
  <si>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</si>
  <si>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</si>
  <si>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</si>
  <si>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</si>
  <si>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</si>
  <si>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</si>
  <si>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</si>
  <si>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</si>
  <si>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</si>
  <si>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</si>
  <si>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</si>
  <si>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</si>
  <si>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</si>
  <si>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</si>
  <si>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</si>
  <si>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</si>
  <si>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</si>
  <si>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</si>
  <si>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</si>
  <si>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</si>
  <si>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</si>
  <si>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</si>
  <si>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</si>
  <si>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</si>
  <si>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</si>
  <si>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</si>
  <si>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</si>
  <si>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</si>
  <si>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</si>
  <si>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</si>
  <si>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</si>
  <si>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</si>
  <si>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</si>
  <si>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</si>
  <si>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</si>
  <si>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</si>
  <si>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</si>
  <si>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</si>
  <si>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</si>
  <si>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</si>
  <si>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</si>
  <si>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</si>
  <si>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</si>
  <si>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</si>
  <si>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</si>
  <si>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</si>
  <si>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</si>
  <si>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</si>
  <si>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</si>
  <si>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</si>
  <si>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</si>
  <si>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</si>
  <si>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</si>
  <si>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</si>
  <si>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</si>
  <si>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</si>
  <si>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</si>
  <si>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</si>
  <si>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</si>
  <si>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</si>
  <si>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</si>
  <si>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</si>
  <si>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</si>
  <si>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</si>
  <si>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</si>
  <si>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</si>
  <si>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</si>
  <si>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</si>
  <si>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</si>
  <si>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</si>
  <si>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</si>
  <si>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</si>
  <si>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</si>
  <si>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</si>
  <si>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</si>
  <si>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</si>
  <si>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</si>
  <si>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</si>
  <si>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</si>
  <si>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</si>
  <si>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</si>
  <si>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</si>
  <si>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</si>
  <si>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</si>
  <si>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</si>
  <si>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</si>
  <si>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</si>
  <si>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</si>
  <si>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</si>
  <si>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</si>
  <si>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</si>
  <si>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</si>
  <si>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</si>
  <si>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</si>
  <si>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</si>
  <si>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</si>
  <si>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</si>
  <si>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</si>
  <si>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</si>
  <si>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</si>
  <si>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</si>
  <si>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</si>
  <si>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</si>
  <si>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</si>
  <si>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</si>
  <si>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</si>
  <si>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</si>
  <si>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</si>
  <si>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</si>
  <si>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</si>
  <si>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</si>
  <si>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</si>
  <si>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</si>
  <si>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</si>
  <si>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</si>
  <si>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</si>
  <si>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</si>
  <si>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</si>
  <si>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</si>
  <si>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</si>
  <si>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</si>
  <si>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</si>
  <si>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</si>
  <si>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</si>
  <si>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</si>
  <si>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</si>
  <si>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</si>
  <si>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</si>
  <si>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</si>
  <si>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</si>
  <si>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</si>
  <si>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</si>
  <si>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</si>
  <si>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</si>
  <si>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</si>
  <si>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</si>
  <si>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</si>
  <si>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</si>
  <si>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</si>
  <si>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</si>
  <si>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</si>
  <si>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</si>
  <si>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</si>
  <si>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</si>
  <si>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</si>
  <si>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</si>
  <si>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</si>
  <si>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</si>
  <si>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</si>
  <si>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</si>
  <si>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</si>
  <si>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</si>
  <si>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</si>
  <si>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</si>
  <si>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</si>
  <si>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</si>
  <si>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</si>
  <si>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</si>
  <si>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</si>
  <si>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</si>
  <si>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</si>
  <si>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</si>
  <si>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</si>
  <si>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</si>
  <si>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</si>
  <si>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</si>
  <si>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</si>
  <si>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</si>
  <si>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</si>
  <si>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</si>
  <si>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</si>
  <si>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</si>
  <si>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</si>
  <si>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</si>
  <si>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</si>
  <si>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</si>
  <si>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</si>
  <si>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</si>
  <si>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</si>
  <si>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</si>
  <si>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</si>
  <si>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</si>
  <si>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</si>
  <si>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</si>
  <si>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</si>
  <si>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</si>
  <si>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</si>
  <si>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</si>
  <si>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</si>
  <si>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</si>
  <si>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</si>
  <si>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</si>
  <si>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</si>
  <si>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</si>
  <si>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</si>
  <si>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</si>
  <si>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</si>
  <si>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</si>
  <si>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</si>
  <si>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</si>
  <si>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</si>
  <si>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</si>
  <si>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</si>
  <si>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</si>
  <si>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</si>
  <si>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</si>
  <si>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</si>
  <si>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</si>
  <si>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</si>
  <si>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</si>
  <si>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</si>
  <si>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</si>
  <si>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</si>
  <si>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</si>
  <si>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</si>
  <si>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</si>
  <si>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</si>
  <si>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</si>
  <si>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</si>
  <si>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</si>
  <si>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</si>
  <si>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</si>
  <si>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</si>
  <si>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</si>
  <si>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</si>
  <si>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</si>
  <si>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</si>
  <si>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</si>
  <si>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</si>
  <si>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</si>
  <si>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</si>
  <si>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</si>
  <si>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</si>
  <si>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</si>
  <si>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</si>
  <si>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</si>
  <si>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</si>
  <si>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</si>
  <si>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</si>
  <si>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</si>
  <si>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</si>
  <si>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</si>
  <si>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</si>
  <si>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</si>
  <si>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</si>
  <si>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</si>
  <si>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</si>
  <si>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</si>
  <si>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</si>
  <si>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</si>
  <si>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</si>
  <si>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</si>
  <si>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</si>
  <si>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</si>
  <si>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</si>
  <si>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</si>
  <si>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</si>
  <si>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</si>
  <si>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</si>
  <si>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</si>
  <si>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</si>
  <si>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</si>
  <si>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</si>
  <si>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</si>
  <si>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</si>
  <si>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</si>
  <si>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</si>
  <si>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</si>
  <si>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</si>
  <si>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</si>
  <si>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</si>
  <si>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</si>
  <si>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</si>
  <si>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</si>
  <si>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</si>
  <si>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</si>
  <si>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</si>
  <si>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</si>
  <si>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</si>
  <si>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</si>
  <si>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</si>
  <si>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</si>
  <si>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</si>
  <si>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</si>
  <si>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</si>
  <si>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</si>
  <si>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</si>
  <si>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</si>
  <si>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</si>
  <si>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</si>
  <si>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</si>
  <si>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</si>
  <si>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</si>
  <si>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</si>
  <si>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</si>
  <si>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</si>
  <si>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</si>
  <si>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</si>
  <si>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</si>
  <si>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</si>
  <si>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</si>
  <si>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</si>
  <si>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</si>
  <si>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</si>
  <si>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</si>
  <si>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</si>
  <si>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</si>
  <si>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</si>
  <si>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</si>
  <si>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</si>
  <si>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</si>
  <si>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</si>
  <si>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</si>
  <si>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</si>
  <si>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</si>
  <si>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</si>
  <si>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</si>
  <si>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</si>
  <si>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</si>
  <si>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</si>
  <si>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</si>
  <si>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</si>
  <si>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</si>
  <si>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</si>
  <si>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</si>
  <si>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</si>
  <si>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</si>
  <si>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</si>
  <si>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</si>
  <si>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</si>
  <si>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</si>
  <si>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</si>
  <si>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</si>
  <si>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</si>
  <si>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</si>
  <si>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</si>
  <si>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</si>
  <si>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</si>
  <si>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</si>
  <si>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</si>
  <si>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</si>
  <si>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</si>
  <si>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</si>
  <si>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</si>
  <si>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</si>
  <si>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</si>
  <si>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</si>
  <si>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</si>
  <si>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</si>
  <si>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</si>
  <si>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</si>
  <si>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</si>
  <si>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</si>
  <si>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</si>
  <si>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</si>
  <si>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</si>
  <si>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</si>
  <si>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</si>
  <si>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</si>
  <si>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</si>
  <si>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</si>
  <si>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</si>
  <si>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</si>
  <si>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</si>
  <si>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</si>
  <si>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</si>
  <si>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</si>
  <si>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</si>
  <si>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</si>
  <si>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</si>
  <si>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</si>
  <si>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</si>
  <si>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</si>
  <si>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</si>
  <si>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</si>
  <si>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</si>
  <si>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</si>
  <si>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</si>
  <si>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</si>
  <si>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</si>
  <si>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</si>
  <si>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</si>
  <si>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</si>
  <si>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</si>
  <si>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</si>
  <si>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</si>
  <si>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</si>
  <si>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</si>
  <si>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</si>
  <si>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</si>
  <si>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</si>
  <si>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</si>
  <si>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</si>
  <si>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</si>
  <si>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</si>
  <si>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</si>
  <si>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</si>
  <si>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</si>
  <si>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</si>
  <si>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</si>
  <si>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</si>
  <si>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</si>
  <si>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</si>
  <si>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</si>
  <si>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</si>
  <si>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</si>
  <si>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</si>
  <si>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</si>
  <si>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</si>
  <si>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</si>
  <si>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</si>
  <si>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</si>
  <si>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</si>
  <si>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</si>
  <si>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</si>
  <si>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</si>
  <si>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</si>
  <si>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</si>
  <si>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</si>
  <si>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</si>
  <si>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</si>
  <si>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</si>
  <si>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</si>
  <si>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</si>
  <si>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</si>
  <si>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</si>
  <si>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</si>
  <si>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</si>
  <si>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</si>
  <si>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</si>
  <si>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</si>
  <si>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</si>
  <si>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</si>
  <si>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</si>
  <si>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</si>
  <si>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</si>
  <si>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</si>
  <si>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</si>
  <si>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</si>
  <si>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</si>
  <si>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</si>
  <si>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</si>
  <si>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</si>
  <si>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</si>
  <si>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</si>
  <si>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</si>
  <si>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</si>
  <si>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</si>
  <si>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</si>
  <si>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</si>
  <si>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</si>
  <si>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</si>
  <si>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</si>
  <si>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</si>
  <si>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</si>
  <si>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</si>
  <si>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</si>
  <si>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</si>
  <si>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</si>
  <si>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</si>
  <si>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</si>
  <si>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</si>
  <si>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</si>
  <si>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</si>
  <si>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</si>
  <si>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</si>
  <si>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</si>
  <si>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</si>
  <si>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</si>
  <si>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</si>
  <si>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</si>
  <si>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</si>
  <si>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</si>
  <si>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</si>
  <si>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</si>
  <si>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</si>
  <si>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</si>
  <si>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</si>
  <si>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</si>
  <si>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</si>
  <si>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</si>
  <si>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</si>
  <si>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</si>
  <si>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</si>
  <si>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</si>
  <si>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</si>
  <si>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</si>
  <si>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</si>
  <si>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</si>
  <si>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</si>
  <si>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</si>
  <si>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</si>
  <si>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</si>
  <si>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</si>
  <si>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</si>
  <si>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</si>
  <si>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</si>
  <si>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</si>
  <si>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</si>
  <si>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</si>
  <si>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</si>
  <si>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</si>
  <si>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</si>
  <si>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</si>
  <si>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</si>
  <si>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</si>
  <si>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</si>
  <si>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</si>
  <si>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</si>
  <si>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</si>
  <si>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</si>
  <si>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</si>
  <si>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</si>
  <si>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</si>
  <si>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</si>
  <si>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</si>
  <si>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</si>
  <si>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</si>
  <si>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</si>
  <si>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</si>
  <si>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</si>
  <si>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</si>
  <si>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</si>
  <si>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</si>
  <si>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</si>
  <si>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</si>
  <si>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</si>
  <si>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</si>
  <si>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</si>
  <si>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</si>
  <si>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</si>
  <si>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</si>
  <si>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</si>
  <si>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</si>
  <si>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</si>
  <si>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</si>
  <si>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</si>
  <si>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</si>
  <si>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</si>
  <si>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</si>
  <si>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</si>
  <si>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</si>
  <si>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</si>
  <si>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</si>
  <si>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</si>
  <si>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</si>
  <si>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</si>
  <si>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</si>
  <si>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</si>
  <si>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</si>
  <si>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</si>
  <si>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</si>
  <si>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</si>
  <si>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</si>
  <si>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</si>
  <si>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</si>
  <si>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</si>
  <si>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</si>
  <si>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</si>
  <si>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</si>
  <si>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</si>
  <si>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</si>
  <si>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</si>
  <si>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</si>
  <si>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</si>
  <si>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</si>
  <si>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</si>
  <si>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</si>
  <si>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</si>
  <si>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</si>
  <si>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</si>
  <si>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</si>
  <si>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</si>
  <si>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</si>
  <si>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</si>
  <si>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</si>
  <si>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</si>
  <si>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</si>
  <si>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</si>
  <si>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</si>
  <si>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</si>
  <si>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</si>
  <si>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</si>
  <si>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</si>
  <si>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</si>
  <si>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</si>
  <si>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</si>
  <si>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</si>
  <si>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</si>
  <si>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</si>
  <si>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</si>
  <si>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</si>
  <si>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</si>
  <si>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</si>
  <si>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</si>
  <si>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</si>
  <si>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</si>
  <si>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</si>
  <si>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</si>
  <si>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</si>
  <si>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</si>
  <si>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</si>
  <si>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</si>
  <si>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</si>
  <si>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</si>
  <si>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</si>
  <si>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</si>
  <si>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</si>
  <si>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</si>
  <si>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</si>
  <si>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</si>
  <si>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</si>
  <si>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</si>
  <si>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</si>
  <si>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</si>
  <si>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</si>
  <si>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</si>
  <si>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</si>
  <si>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</si>
  <si>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</si>
  <si>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</si>
  <si>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</si>
  <si>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</si>
  <si>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</si>
  <si>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</si>
  <si>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</si>
  <si>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</si>
  <si>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</si>
  <si>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</si>
  <si>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</si>
  <si>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</si>
  <si>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</si>
  <si>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</si>
  <si>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</si>
  <si>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</si>
  <si>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</si>
  <si>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</si>
  <si>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</si>
  <si>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</si>
  <si>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</si>
  <si>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</si>
  <si>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</si>
  <si>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</si>
  <si>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</si>
  <si>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</si>
  <si>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</si>
  <si>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</si>
  <si>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</si>
  <si>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</si>
  <si>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</si>
  <si>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</si>
  <si>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</si>
  <si>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</si>
  <si>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</si>
  <si>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</si>
  <si>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</si>
  <si>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</si>
  <si>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</si>
  <si>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</si>
  <si>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</si>
  <si>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</si>
  <si>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</si>
  <si>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</si>
  <si>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</si>
  <si>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</si>
  <si>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</si>
  <si>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</si>
  <si>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</si>
  <si>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</si>
  <si>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</si>
  <si>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</si>
  <si>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</si>
  <si>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</si>
  <si>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</si>
  <si>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</si>
  <si>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</si>
  <si>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</si>
  <si>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</si>
  <si>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</si>
  <si>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</si>
  <si>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</si>
  <si>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</si>
  <si>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</si>
  <si>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</si>
  <si>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</si>
  <si>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</si>
  <si>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</si>
  <si>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</si>
  <si>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</si>
  <si>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</si>
  <si>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</si>
  <si>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</si>
  <si>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</si>
  <si>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</si>
  <si>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</si>
  <si>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</si>
  <si>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</si>
  <si>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</si>
  <si>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</si>
  <si>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</si>
  <si>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</si>
  <si>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</si>
  <si>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</si>
  <si>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</si>
  <si>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</si>
  <si>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</si>
  <si>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</si>
  <si>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</si>
  <si>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</si>
  <si>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</si>
  <si>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</si>
  <si>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</si>
  <si>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</si>
  <si>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</si>
  <si>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</si>
  <si>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</si>
  <si>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</si>
  <si>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</si>
  <si>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</si>
  <si>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</si>
  <si>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</si>
  <si>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</si>
  <si>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</si>
  <si>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</si>
  <si>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</si>
  <si>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</si>
  <si>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</si>
  <si>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</si>
  <si>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</si>
  <si>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</si>
  <si>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</si>
  <si>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</si>
  <si>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</si>
  <si>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</si>
  <si>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</si>
  <si>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</si>
  <si>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</si>
  <si>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</si>
  <si>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</si>
  <si>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</si>
  <si>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</si>
  <si>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</si>
  <si>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</si>
  <si>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</si>
  <si>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</si>
  <si>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</si>
  <si>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</si>
  <si>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</si>
  <si>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</si>
  <si>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</si>
  <si>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</si>
  <si>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</si>
  <si>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</si>
  <si>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</si>
  <si>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</si>
  <si>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</si>
  <si>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</si>
  <si>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</si>
  <si>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</si>
  <si>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</si>
  <si>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</si>
  <si>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</si>
  <si>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</si>
  <si>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</si>
  <si>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</si>
  <si>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</si>
  <si>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</si>
  <si>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</si>
  <si>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</si>
  <si>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</si>
  <si>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</si>
  <si>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</si>
  <si>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</si>
  <si>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</si>
  <si>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</si>
  <si>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</si>
  <si>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</si>
  <si>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</si>
  <si>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</si>
  <si>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</si>
  <si>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</si>
  <si>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</si>
  <si>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</si>
  <si>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</si>
  <si>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</si>
  <si>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</si>
  <si>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</si>
  <si>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</si>
  <si>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</si>
  <si>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</si>
  <si>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</si>
  <si>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</si>
  <si>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</si>
  <si>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</si>
  <si>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</si>
  <si>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</si>
  <si>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</si>
  <si>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</si>
  <si>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</si>
  <si>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</si>
  <si>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</si>
  <si>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</si>
  <si>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</si>
  <si>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</si>
  <si>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</si>
  <si>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</si>
  <si>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</si>
  <si>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</si>
  <si>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</si>
  <si>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</si>
  <si>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</si>
  <si>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</si>
  <si>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</si>
  <si>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</si>
  <si>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</si>
  <si>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</si>
  <si>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</si>
  <si>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</si>
  <si>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</si>
  <si>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</si>
  <si>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</si>
  <si>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</si>
  <si>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</si>
  <si>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</si>
  <si>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</si>
  <si>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</si>
  <si>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</si>
  <si>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</si>
  <si>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</si>
  <si>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</si>
  <si>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</si>
  <si>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</si>
  <si>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</si>
  <si>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</si>
  <si>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</si>
  <si>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</si>
  <si>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</si>
  <si>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</si>
  <si>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</si>
  <si>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</si>
  <si>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</si>
  <si>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</si>
  <si>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</si>
  <si>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</si>
  <si>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</si>
  <si>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</si>
  <si>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</si>
  <si>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</si>
  <si>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</si>
  <si>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</si>
  <si>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</si>
  <si>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</si>
  <si>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</si>
  <si>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</si>
  <si>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</si>
  <si>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</si>
  <si>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</si>
  <si>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</si>
  <si>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</si>
  <si>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</si>
  <si>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</si>
  <si>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</si>
  <si>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</si>
  <si>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</si>
  <si>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</si>
  <si>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</si>
  <si>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</si>
  <si>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</si>
  <si>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</si>
  <si>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</si>
  <si>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</si>
  <si>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</si>
  <si>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</si>
  <si>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</si>
  <si>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</si>
  <si>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</si>
  <si>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</si>
  <si>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</si>
  <si>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</si>
  <si>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</si>
  <si>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</si>
  <si>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</si>
  <si>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</si>
  <si>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</si>
  <si>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</si>
  <si>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</si>
  <si>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</si>
  <si>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</si>
  <si>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</si>
  <si>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</si>
  <si>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</si>
  <si>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</si>
  <si>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</si>
  <si>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</si>
  <si>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</si>
  <si>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</si>
  <si>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</si>
  <si>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</si>
  <si>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</si>
  <si>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</si>
  <si>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</si>
  <si>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</si>
  <si>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</si>
  <si>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</si>
  <si>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</si>
  <si>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</si>
  <si>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</si>
  <si>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</si>
  <si>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</si>
  <si>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</si>
  <si>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</si>
  <si>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</si>
  <si>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</si>
  <si>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</si>
  <si>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</si>
  <si>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</si>
  <si>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</si>
  <si>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</si>
  <si>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</si>
  <si>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</si>
  <si>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</si>
  <si>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</si>
  <si>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</si>
  <si>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</si>
  <si>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</si>
  <si>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</si>
  <si>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</si>
  <si>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</si>
  <si>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</si>
  <si>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</si>
  <si>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</si>
  <si>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</si>
  <si>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</si>
  <si>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</si>
  <si>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</si>
  <si>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</si>
  <si>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</si>
  <si>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</si>
  <si>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</si>
  <si>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</si>
  <si>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</si>
  <si>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</si>
  <si>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</si>
  <si>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</si>
  <si>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</si>
  <si>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</si>
  <si>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</si>
  <si>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</si>
  <si>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</si>
  <si>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</si>
  <si>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</si>
  <si>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</si>
  <si>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</si>
  <si>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</si>
  <si>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</si>
  <si>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</si>
  <si>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</si>
  <si>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</si>
  <si>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</si>
  <si>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</si>
  <si>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</si>
  <si>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</si>
  <si>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</si>
  <si>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</si>
  <si>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</si>
  <si>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</si>
  <si>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</si>
  <si>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</si>
  <si>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</si>
  <si>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</si>
  <si>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</si>
  <si>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</si>
  <si>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</si>
  <si>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</si>
  <si>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</si>
  <si>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</si>
  <si>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</si>
  <si>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</si>
  <si>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</si>
  <si>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</si>
  <si>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</si>
  <si>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</si>
  <si>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</si>
  <si>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</si>
  <si>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</si>
  <si>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</si>
  <si>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</si>
  <si>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</si>
  <si>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</si>
  <si>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</si>
  <si>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</si>
  <si>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</si>
  <si>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</si>
  <si>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</si>
  <si>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</si>
  <si>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</si>
  <si>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</si>
  <si>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</si>
  <si>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</si>
  <si>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</si>
  <si>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</si>
  <si>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</si>
  <si>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</si>
  <si>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</si>
  <si>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</si>
  <si>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</si>
  <si>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</si>
  <si>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</si>
  <si>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</si>
  <si>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</si>
  <si>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</si>
  <si>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</si>
  <si>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</si>
  <si>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</si>
  <si>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</si>
  <si>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</si>
  <si>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</si>
  <si>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</si>
  <si>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</si>
  <si>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</si>
  <si>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</si>
  <si>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</si>
  <si>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</si>
  <si>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</si>
  <si>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</si>
  <si>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</si>
  <si>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</si>
  <si>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</si>
  <si>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</si>
  <si>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</si>
  <si>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</si>
  <si>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</si>
  <si>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</si>
  <si>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</si>
  <si>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</si>
  <si>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</si>
  <si>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</si>
  <si>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</si>
  <si>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</si>
  <si>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</si>
  <si>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</si>
  <si>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</si>
  <si>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</si>
  <si>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</si>
  <si>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</si>
  <si>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</si>
  <si>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</si>
  <si>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</si>
  <si>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</si>
  <si>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</si>
  <si>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</si>
  <si>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</si>
  <si>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</si>
  <si>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</si>
  <si>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</si>
  <si>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</si>
  <si>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</si>
  <si>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</si>
  <si>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</si>
  <si>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</si>
  <si>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</si>
  <si>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</si>
  <si>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</si>
  <si>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</si>
  <si>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</si>
  <si>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</si>
  <si>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</si>
  <si>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</si>
  <si>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</si>
  <si>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</si>
  <si>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</si>
  <si>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</si>
  <si>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</si>
  <si>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</si>
  <si>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</si>
  <si>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</si>
  <si>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</si>
  <si>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</si>
  <si>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</si>
  <si>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</si>
  <si>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</si>
  <si>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</si>
  <si>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</si>
  <si>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</si>
  <si>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</si>
  <si>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</si>
  <si>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</si>
  <si>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</si>
  <si>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</si>
  <si>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</si>
  <si>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</si>
  <si>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</si>
  <si>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</si>
  <si>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</si>
  <si>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</si>
  <si>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</si>
  <si>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</si>
  <si>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</si>
  <si>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</si>
  <si>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</si>
  <si>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</si>
  <si>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</si>
  <si>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</si>
  <si>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</si>
  <si>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</si>
  <si>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</si>
  <si>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</si>
  <si>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</si>
  <si>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</si>
  <si>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</si>
  <si>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</si>
  <si>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</si>
  <si>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</si>
  <si>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</si>
  <si>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</si>
  <si>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</si>
  <si>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</si>
  <si>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</si>
  <si>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</si>
  <si>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</si>
  <si>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</si>
  <si>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</si>
  <si>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</si>
  <si>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</si>
  <si>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</si>
  <si>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</si>
  <si>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</si>
  <si>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</si>
  <si>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</si>
  <si>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</si>
  <si>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</si>
  <si>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</si>
  <si>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</si>
  <si>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</si>
  <si>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</si>
  <si>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</si>
  <si>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</si>
  <si>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</si>
  <si>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</si>
  <si>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</si>
  <si>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</si>
  <si>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</si>
  <si>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</si>
  <si>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</si>
  <si>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</si>
  <si>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</si>
  <si>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</si>
  <si>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</si>
  <si>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</si>
  <si>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</si>
  <si>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</si>
  <si>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</si>
  <si>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</si>
  <si>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</si>
  <si>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</si>
  <si>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</si>
  <si>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</si>
  <si>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</si>
  <si>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Pledged</t>
  </si>
  <si>
    <t>Goal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</si>
  <si>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</si>
  <si>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</si>
  <si>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</si>
  <si>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</si>
  <si>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</si>
  <si>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</si>
  <si>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</si>
  <si>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</si>
  <si>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</si>
  <si>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</si>
  <si>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</si>
  <si>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</si>
  <si>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</si>
  <si>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</si>
  <si>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</si>
  <si>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 Created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</si>
  <si>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</si>
  <si>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</si>
  <si>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</si>
  <si>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</si>
  <si>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</si>
  <si>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</si>
  <si>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</si>
  <si>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</si>
  <si>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</si>
  <si>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</si>
  <si>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</si>
  <si>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</si>
  <si>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</si>
  <si>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</si>
  <si>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</si>
  <si>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</si>
  <si>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</si>
  <si>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</si>
  <si>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</si>
  <si>
    <t>Success Rate</t>
  </si>
  <si>
    <t>Total</t>
  </si>
  <si>
    <t>S</t>
  </si>
  <si>
    <t>F</t>
  </si>
  <si>
    <t>C</t>
  </si>
  <si>
    <t>S Rate</t>
  </si>
  <si>
    <t>F Rate</t>
  </si>
  <si>
    <t>Average F Rate</t>
  </si>
  <si>
    <t>Failed and &gt;= 10,000</t>
  </si>
  <si>
    <t>Successful and &gt;=10,000</t>
  </si>
  <si>
    <t>Successful and &lt;= 5,000</t>
  </si>
  <si>
    <t>Successful and &gt;= 5,000&lt; 10,000</t>
  </si>
  <si>
    <t>Failed and &gt;= 5,000 &lt; 10,000</t>
  </si>
  <si>
    <t>Of Total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</si>
</sst>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/>
    <xf numFmtId="165" fontId="0" fillId="0" borderId="2" xfId="0" applyNumberFormat="1" applyBorder="1"/>
    <xf numFmtId="165" fontId="0" fillId="0" borderId="3" xfId="0" applyNumberFormat="1" applyBorder="1"/>
    <xf numFmtId="165" fontId="0" fillId="0" borderId="4" xfId="0" applyNumberFormat="1" applyBorder="1"/>
    <xf numFmtId="165" fontId="0" fillId="0" borderId="5" xfId="0" applyNumberForma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Border="1"/>
    <xf numFmtId="165" fontId="0" fillId="0" borderId="0" xfId="0" applyNumberFormat="1" applyBorder="1"/>
    <xf numFmtId="0" fontId="1" fillId="2" borderId="0" xfId="0" applyFont="1" applyFill="1" applyAlignment="1">
      <alignment horizontal="center"/>
    </xf>
    <xf numFmtId="44" fontId="1" fillId="2" borderId="0" xfId="0" applyNumberFormat="1" applyFont="1" applyFill="1" applyAlignment="1">
      <alignment horizontal="center"/>
    </xf>
    <xf numFmtId="9" fontId="0" fillId="0" borderId="0" xfId="1" applyFont="1"/>
    <xf numFmtId="9" fontId="0" fillId="0" borderId="0" xfId="0" applyNumberFormat="1"/>
    <xf numFmtId="0" fontId="0" fillId="0" borderId="7" xfId="0" applyBorder="1"/>
    <xf numFmtId="0" fontId="0" fillId="0" borderId="6" xfId="0" applyBorder="1"/>
    <xf numFmtId="10" fontId="0" fillId="0" borderId="6" xfId="0" applyNumberFormat="1" applyBorder="1"/>
    <xf numFmtId="0" fontId="0" fillId="0" borderId="8" xfId="0" applyBorder="1"/>
    <xf numFmtId="10" fontId="0" fillId="0" borderId="8" xfId="0" applyNumberFormat="1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0" fillId="0" borderId="12" xfId="0" applyBorder="1"/>
    <xf numFmtId="10" fontId="0" fillId="0" borderId="13" xfId="0" applyNumberFormat="1" applyBorder="1"/>
    <xf numFmtId="0" fontId="0" fillId="0" borderId="14" xfId="0" applyBorder="1"/>
    <xf numFmtId="10" fontId="0" fillId="0" borderId="15" xfId="0" applyNumberFormat="1" applyBorder="1"/>
    <xf numFmtId="0" fontId="0" fillId="0" borderId="4" xfId="0" applyBorder="1"/>
    <xf numFmtId="0" fontId="0" fillId="0" borderId="16" xfId="0" applyBorder="1"/>
    <xf numFmtId="10" fontId="0" fillId="0" borderId="16" xfId="0" applyNumberFormat="1" applyBorder="1"/>
    <xf numFmtId="10" fontId="0" fillId="0" borderId="5" xfId="0" applyNumberFormat="1" applyBorder="1"/>
    <xf numFmtId="0" fontId="0" fillId="0" borderId="17" xfId="0" applyBorder="1"/>
    <xf numFmtId="10" fontId="0" fillId="0" borderId="18" xfId="0" applyNumberFormat="1" applyFill="1" applyBorder="1"/>
    <xf numFmtId="0" fontId="0" fillId="0" borderId="22" xfId="0" applyBorder="1"/>
    <xf numFmtId="0" fontId="0" fillId="0" borderId="23" xfId="0" applyBorder="1"/>
    <xf numFmtId="9" fontId="0" fillId="0" borderId="23" xfId="1" applyFont="1" applyBorder="1"/>
    <xf numFmtId="9" fontId="0" fillId="0" borderId="24" xfId="1" applyFont="1" applyBorder="1"/>
    <xf numFmtId="0" fontId="1" fillId="0" borderId="19" xfId="0" applyFont="1" applyBorder="1"/>
    <xf numFmtId="0" fontId="1" fillId="0" borderId="20" xfId="0" applyFont="1" applyBorder="1"/>
    <xf numFmtId="0" fontId="1" fillId="0" borderId="21" xfId="0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[Kickstarter_Challenge1.xlsx]Theatre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by</a:t>
            </a:r>
            <a:r>
              <a:rPr lang="en-US" baseline="0"/>
              <a:t>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0-4062-A098-67A5A63A8C1C}"/>
            </c:ext>
          </c:extLst>
        </c:ser>
        <c:ser>
          <c:idx val="1"/>
          <c:order val="1"/>
          <c:tx>
            <c:strRef>
              <c:f>'Theatre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0-4062-A098-67A5A63A8C1C}"/>
            </c:ext>
          </c:extLst>
        </c:ser>
        <c:ser>
          <c:idx val="2"/>
          <c:order val="2"/>
          <c:tx>
            <c:strRef>
              <c:f>'Theatre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E0-4062-A098-67A5A63A8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091264"/>
        <c:axId val="1171089600"/>
      </c:lineChart>
      <c:catAx>
        <c:axId val="117109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89600"/>
        <c:crosses val="autoZero"/>
        <c:auto val="1"/>
        <c:lblAlgn val="ctr"/>
        <c:lblOffset val="100"/>
        <c:noMultiLvlLbl val="0"/>
      </c:catAx>
      <c:valAx>
        <c:axId val="11710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9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CF-44AC-B517-1A7EC7CC161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CF-44AC-B517-1A7EC7CC161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CF-44AC-B517-1A7EC7CC1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625071"/>
        <c:axId val="1734625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8CF-44AC-B517-1A7EC7CC161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8CF-44AC-B517-1A7EC7CC161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8CF-44AC-B517-1A7EC7CC161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8CF-44AC-B517-1A7EC7CC161E}"/>
                  </c:ext>
                </c:extLst>
              </c15:ser>
            </c15:filteredLineSeries>
          </c:ext>
        </c:extLst>
      </c:lineChart>
      <c:catAx>
        <c:axId val="173462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625487"/>
        <c:crosses val="autoZero"/>
        <c:auto val="1"/>
        <c:lblAlgn val="ctr"/>
        <c:lblOffset val="100"/>
        <c:noMultiLvlLbl val="0"/>
      </c:catAx>
      <c:valAx>
        <c:axId val="173462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62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r>
              <a:rPr lang="en-US"/>
              <a:t>(Positive</a:t>
            </a:r>
            <a:r>
              <a:rPr lang="en-US" baseline="0"/>
              <a:t> Skew)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88-4DAC-A0B7-B9BC7F048B04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88-4DAC-A0B7-B9BC7F048B04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88-4DAC-A0B7-B9BC7F048B04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88-4DAC-A0B7-B9BC7F048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9481504"/>
        <c:axId val="1879481920"/>
      </c:barChart>
      <c:catAx>
        <c:axId val="187948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481920"/>
        <c:crosses val="autoZero"/>
        <c:auto val="1"/>
        <c:lblAlgn val="ctr"/>
        <c:lblOffset val="100"/>
        <c:noMultiLvlLbl val="0"/>
      </c:catAx>
      <c:valAx>
        <c:axId val="187948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48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526-B875-645D8DF63217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526-B875-645D8DF63217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526-B875-645D8DF63217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526-B875-645D8DF63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5159231"/>
        <c:axId val="2075159647"/>
      </c:barChart>
      <c:catAx>
        <c:axId val="207515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159647"/>
        <c:crosses val="autoZero"/>
        <c:auto val="1"/>
        <c:lblAlgn val="ctr"/>
        <c:lblOffset val="100"/>
        <c:noMultiLvlLbl val="0"/>
      </c:catAx>
      <c:valAx>
        <c:axId val="207515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15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9-41DE-8EBF-9095D1C8D69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49-41DE-8EBF-9095D1C8D69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49-41DE-8EBF-9095D1C8D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617983"/>
        <c:axId val="88615903"/>
      </c:barChart>
      <c:catAx>
        <c:axId val="8861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15903"/>
        <c:crosses val="autoZero"/>
        <c:auto val="1"/>
        <c:lblAlgn val="ctr"/>
        <c:lblOffset val="100"/>
        <c:noMultiLvlLbl val="0"/>
      </c:catAx>
      <c:valAx>
        <c:axId val="8861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1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9-4FCA-B5FE-3E320691E1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99-4FCA-B5FE-3E320691E1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99-4FCA-B5FE-3E320691E1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99-4FCA-B5FE-3E320691E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076063"/>
        <c:axId val="95074815"/>
      </c:lineChart>
      <c:catAx>
        <c:axId val="9507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4815"/>
        <c:crosses val="autoZero"/>
        <c:auto val="1"/>
        <c:lblAlgn val="ctr"/>
        <c:lblOffset val="100"/>
        <c:noMultiLvlLbl val="0"/>
      </c:catAx>
      <c:valAx>
        <c:axId val="9507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11</xdr:row>
      <xdr:rowOff>166687</xdr:rowOff>
    </xdr:from>
    <xdr:to>
      <xdr:col>14</xdr:col>
      <xdr:colOff>9525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867D7-153E-4560-AC62-F0194B78B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16</xdr:row>
      <xdr:rowOff>52386</xdr:rowOff>
    </xdr:from>
    <xdr:to>
      <xdr:col>7</xdr:col>
      <xdr:colOff>923925</xdr:colOff>
      <xdr:row>43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300305-553C-4F7B-913F-9A20AAC27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352425</xdr:colOff>
      <xdr:row>17</xdr:row>
      <xdr:rowOff>128587</xdr:rowOff>
    </xdr:from>
    <xdr:to>
      <xdr:col>12</xdr:col>
      <xdr:colOff>1171575</xdr:colOff>
      <xdr:row>32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A48CB0-0514-4C41-9700-FCA17C632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13</xdr:col>
      <xdr:colOff>209550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EEE81-A10E-42E3-A635-77620986B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F71989-586D-4FF2-9867-0D02515AD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109537</xdr:rowOff>
    </xdr:from>
    <xdr:to>
      <xdr:col>14</xdr:col>
      <xdr:colOff>314325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E53740-7276-4E35-827E-9671A0A90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vis Goodnight" refreshedDate="44444.521524189811" createdVersion="7" refreshedVersion="7" minRefreshableVersion="3" recordCount="4114" xr:uid="{82A339A7-1D29-4CA7-BE9F-2F6CCB52FE3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vis Goodnight" refreshedDate="44445.869925694446" createdVersion="7" refreshedVersion="7" minRefreshableVersion="3" recordCount="4114" xr:uid="{1E01C492-EFA3-4143-B4EF-C89595B7855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vis Goodnight" refreshedDate="44448.728807638887" createdVersion="7" refreshedVersion="7" minRefreshableVersion="3" recordCount="4114" xr:uid="{0665EA91-3771-4F39-8F3D-645F9AC85A0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9AD6D-79F3-4550-BE3B-43533ED26218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9C92F-F4BE-4895-8315-5AC3B1A4FD9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11AC6-E5D4-4FF9-9C88-07E7B8E7C4BB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F3DA21-A12B-4557-B51C-BA51408CC93C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31DAD-C2FA-40A8-AC80-A1A52A5AAAFA}">
  <dimension ref="A2:X19"/>
  <sheetViews>
    <sheetView tabSelected="1" workbookViewId="0">
      <selection activeCell="K8" sqref="K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24" max="24" width="14.28515625" bestFit="1" customWidth="1"/>
  </cols>
  <sheetData>
    <row r="2" spans="1:24" x14ac:dyDescent="0.25">
      <c r="A2" s="10" t="s">
        <v>8358</v>
      </c>
      <c r="B2" t="s">
        <v>8315</v>
      </c>
    </row>
    <row r="3" spans="1:24" x14ac:dyDescent="0.25">
      <c r="A3" s="10" t="s">
        <v>8398</v>
      </c>
      <c r="B3" t="s">
        <v>8363</v>
      </c>
    </row>
    <row r="5" spans="1:24" x14ac:dyDescent="0.25">
      <c r="A5" s="10" t="s">
        <v>8364</v>
      </c>
      <c r="B5" s="10" t="s">
        <v>8362</v>
      </c>
      <c r="R5" t="s">
        <v>8420</v>
      </c>
      <c r="S5" t="s">
        <v>8421</v>
      </c>
      <c r="T5" t="s">
        <v>8422</v>
      </c>
      <c r="U5" t="s">
        <v>8419</v>
      </c>
      <c r="V5" t="s">
        <v>8423</v>
      </c>
      <c r="W5" t="s">
        <v>8424</v>
      </c>
      <c r="X5" t="s">
        <v>8425</v>
      </c>
    </row>
    <row r="6" spans="1:24" x14ac:dyDescent="0.25">
      <c r="A6" s="10" t="s">
        <v>8360</v>
      </c>
      <c r="B6" t="s">
        <v>8218</v>
      </c>
      <c r="C6" t="s">
        <v>8220</v>
      </c>
      <c r="D6" t="s">
        <v>8219</v>
      </c>
      <c r="E6" t="s">
        <v>8361</v>
      </c>
      <c r="F6" t="s">
        <v>8418</v>
      </c>
      <c r="Q6" s="15" t="s">
        <v>8373</v>
      </c>
      <c r="R6" s="12">
        <v>56</v>
      </c>
      <c r="S6" s="12">
        <v>33</v>
      </c>
      <c r="T6" s="12">
        <v>7</v>
      </c>
      <c r="U6">
        <f>SUM(R6:T6)</f>
        <v>96</v>
      </c>
      <c r="V6" s="27">
        <f>R6/U6</f>
        <v>0.58333333333333337</v>
      </c>
      <c r="W6" s="27">
        <f>1-V6</f>
        <v>0.41666666666666663</v>
      </c>
      <c r="X6" s="28">
        <f>AVERAGE(W6:W17)</f>
        <v>0.39440243575770512</v>
      </c>
    </row>
    <row r="7" spans="1:24" x14ac:dyDescent="0.25">
      <c r="A7" s="15" t="s">
        <v>8373</v>
      </c>
      <c r="B7" s="12">
        <v>56</v>
      </c>
      <c r="C7" s="12">
        <v>33</v>
      </c>
      <c r="D7" s="12">
        <v>7</v>
      </c>
      <c r="E7" s="12">
        <v>96</v>
      </c>
      <c r="Q7" s="15" t="s">
        <v>8374</v>
      </c>
      <c r="R7" s="12">
        <v>71</v>
      </c>
      <c r="S7" s="12">
        <v>39</v>
      </c>
      <c r="T7" s="12">
        <v>3</v>
      </c>
      <c r="U7">
        <f t="shared" ref="U7:U17" si="0">SUM(R7:T7)</f>
        <v>113</v>
      </c>
      <c r="V7" s="27">
        <f t="shared" ref="V7:V17" si="1">R7/U7</f>
        <v>0.62831858407079644</v>
      </c>
      <c r="W7" s="27">
        <f t="shared" ref="W7:W17" si="2">1-V7</f>
        <v>0.37168141592920356</v>
      </c>
    </row>
    <row r="8" spans="1:24" x14ac:dyDescent="0.25">
      <c r="A8" s="15" t="s">
        <v>8374</v>
      </c>
      <c r="B8" s="12">
        <v>71</v>
      </c>
      <c r="C8" s="12">
        <v>39</v>
      </c>
      <c r="D8" s="12">
        <v>3</v>
      </c>
      <c r="E8" s="12">
        <v>113</v>
      </c>
      <c r="Q8" s="15" t="s">
        <v>8375</v>
      </c>
      <c r="R8" s="12">
        <v>56</v>
      </c>
      <c r="S8" s="12">
        <v>33</v>
      </c>
      <c r="T8" s="12">
        <v>3</v>
      </c>
      <c r="U8">
        <f t="shared" si="0"/>
        <v>92</v>
      </c>
      <c r="V8" s="27">
        <f t="shared" si="1"/>
        <v>0.60869565217391308</v>
      </c>
      <c r="W8" s="27">
        <f t="shared" si="2"/>
        <v>0.39130434782608692</v>
      </c>
    </row>
    <row r="9" spans="1:24" x14ac:dyDescent="0.25">
      <c r="A9" s="15" t="s">
        <v>8375</v>
      </c>
      <c r="B9" s="12">
        <v>56</v>
      </c>
      <c r="C9" s="12">
        <v>33</v>
      </c>
      <c r="D9" s="12">
        <v>3</v>
      </c>
      <c r="E9" s="12">
        <v>92</v>
      </c>
      <c r="Q9" s="15" t="s">
        <v>8376</v>
      </c>
      <c r="R9" s="12">
        <v>71</v>
      </c>
      <c r="S9" s="12">
        <v>40</v>
      </c>
      <c r="T9" s="12">
        <v>2</v>
      </c>
      <c r="U9">
        <f t="shared" si="0"/>
        <v>113</v>
      </c>
      <c r="V9" s="27">
        <f t="shared" si="1"/>
        <v>0.62831858407079644</v>
      </c>
      <c r="W9" s="27">
        <f t="shared" si="2"/>
        <v>0.37168141592920356</v>
      </c>
    </row>
    <row r="10" spans="1:24" x14ac:dyDescent="0.25">
      <c r="A10" s="15" t="s">
        <v>8376</v>
      </c>
      <c r="B10" s="12">
        <v>71</v>
      </c>
      <c r="C10" s="12">
        <v>40</v>
      </c>
      <c r="D10" s="12">
        <v>2</v>
      </c>
      <c r="E10" s="12">
        <v>113</v>
      </c>
      <c r="Q10" s="15" t="s">
        <v>8367</v>
      </c>
      <c r="R10" s="12">
        <v>111</v>
      </c>
      <c r="S10" s="12">
        <v>52</v>
      </c>
      <c r="T10" s="12">
        <v>3</v>
      </c>
      <c r="U10">
        <f t="shared" si="0"/>
        <v>166</v>
      </c>
      <c r="V10" s="27">
        <f t="shared" si="1"/>
        <v>0.66867469879518071</v>
      </c>
      <c r="W10" s="27">
        <f t="shared" si="2"/>
        <v>0.33132530120481929</v>
      </c>
    </row>
    <row r="11" spans="1:24" x14ac:dyDescent="0.25">
      <c r="A11" s="15" t="s">
        <v>8367</v>
      </c>
      <c r="B11" s="12">
        <v>111</v>
      </c>
      <c r="C11" s="12">
        <v>52</v>
      </c>
      <c r="D11" s="12">
        <v>3</v>
      </c>
      <c r="E11" s="12">
        <v>166</v>
      </c>
      <c r="Q11" s="15" t="s">
        <v>8377</v>
      </c>
      <c r="R11" s="12">
        <v>100</v>
      </c>
      <c r="S11" s="12">
        <v>49</v>
      </c>
      <c r="T11" s="12">
        <v>4</v>
      </c>
      <c r="U11">
        <f t="shared" si="0"/>
        <v>153</v>
      </c>
      <c r="V11" s="27">
        <f t="shared" si="1"/>
        <v>0.65359477124183007</v>
      </c>
      <c r="W11" s="27">
        <f t="shared" si="2"/>
        <v>0.34640522875816993</v>
      </c>
    </row>
    <row r="12" spans="1:24" x14ac:dyDescent="0.25">
      <c r="A12" s="15" t="s">
        <v>8377</v>
      </c>
      <c r="B12" s="12">
        <v>100</v>
      </c>
      <c r="C12" s="12">
        <v>49</v>
      </c>
      <c r="D12" s="12">
        <v>4</v>
      </c>
      <c r="E12" s="12">
        <v>153</v>
      </c>
      <c r="Q12" s="15" t="s">
        <v>8368</v>
      </c>
      <c r="R12" s="12">
        <v>87</v>
      </c>
      <c r="S12" s="12">
        <v>50</v>
      </c>
      <c r="T12" s="12">
        <v>1</v>
      </c>
      <c r="U12">
        <f t="shared" si="0"/>
        <v>138</v>
      </c>
      <c r="V12" s="27">
        <f t="shared" si="1"/>
        <v>0.63043478260869568</v>
      </c>
      <c r="W12" s="27">
        <f t="shared" si="2"/>
        <v>0.36956521739130432</v>
      </c>
    </row>
    <row r="13" spans="1:24" x14ac:dyDescent="0.25">
      <c r="A13" s="15" t="s">
        <v>8368</v>
      </c>
      <c r="B13" s="12">
        <v>87</v>
      </c>
      <c r="C13" s="12">
        <v>50</v>
      </c>
      <c r="D13" s="12">
        <v>1</v>
      </c>
      <c r="E13" s="12">
        <v>138</v>
      </c>
      <c r="Q13" s="15" t="s">
        <v>8369</v>
      </c>
      <c r="R13" s="12">
        <v>72</v>
      </c>
      <c r="S13" s="12">
        <v>47</v>
      </c>
      <c r="T13" s="12">
        <v>4</v>
      </c>
      <c r="U13">
        <f t="shared" si="0"/>
        <v>123</v>
      </c>
      <c r="V13" s="27">
        <f t="shared" si="1"/>
        <v>0.58536585365853655</v>
      </c>
      <c r="W13" s="27">
        <f t="shared" si="2"/>
        <v>0.41463414634146345</v>
      </c>
    </row>
    <row r="14" spans="1:24" x14ac:dyDescent="0.25">
      <c r="A14" s="15" t="s">
        <v>8369</v>
      </c>
      <c r="B14" s="12">
        <v>72</v>
      </c>
      <c r="C14" s="12">
        <v>47</v>
      </c>
      <c r="D14" s="12">
        <v>4</v>
      </c>
      <c r="E14" s="12">
        <v>123</v>
      </c>
      <c r="Q14" s="15" t="s">
        <v>8370</v>
      </c>
      <c r="R14" s="12">
        <v>59</v>
      </c>
      <c r="S14" s="12">
        <v>34</v>
      </c>
      <c r="T14" s="12">
        <v>4</v>
      </c>
      <c r="U14">
        <f t="shared" si="0"/>
        <v>97</v>
      </c>
      <c r="V14" s="27">
        <f t="shared" si="1"/>
        <v>0.60824742268041232</v>
      </c>
      <c r="W14" s="27">
        <f t="shared" si="2"/>
        <v>0.39175257731958768</v>
      </c>
    </row>
    <row r="15" spans="1:24" x14ac:dyDescent="0.25">
      <c r="A15" s="15" t="s">
        <v>8370</v>
      </c>
      <c r="B15" s="12">
        <v>59</v>
      </c>
      <c r="C15" s="12">
        <v>34</v>
      </c>
      <c r="D15" s="12">
        <v>4</v>
      </c>
      <c r="E15" s="12">
        <v>97</v>
      </c>
      <c r="Q15" s="15" t="s">
        <v>8371</v>
      </c>
      <c r="R15" s="12">
        <v>65</v>
      </c>
      <c r="S15" s="12">
        <v>50</v>
      </c>
      <c r="T15" s="12"/>
      <c r="U15">
        <f t="shared" si="0"/>
        <v>115</v>
      </c>
      <c r="V15" s="27">
        <f t="shared" si="1"/>
        <v>0.56521739130434778</v>
      </c>
      <c r="W15" s="27">
        <f t="shared" si="2"/>
        <v>0.43478260869565222</v>
      </c>
    </row>
    <row r="16" spans="1:24" x14ac:dyDescent="0.25">
      <c r="A16" s="15" t="s">
        <v>8371</v>
      </c>
      <c r="B16" s="12">
        <v>65</v>
      </c>
      <c r="C16" s="12">
        <v>50</v>
      </c>
      <c r="D16" s="12"/>
      <c r="E16" s="12">
        <v>115</v>
      </c>
      <c r="Q16" s="15" t="s">
        <v>8372</v>
      </c>
      <c r="R16" s="12">
        <v>54</v>
      </c>
      <c r="S16" s="12">
        <v>31</v>
      </c>
      <c r="T16" s="12">
        <v>3</v>
      </c>
      <c r="U16">
        <f t="shared" si="0"/>
        <v>88</v>
      </c>
      <c r="V16" s="27">
        <f t="shared" si="1"/>
        <v>0.61363636363636365</v>
      </c>
      <c r="W16" s="27">
        <f t="shared" si="2"/>
        <v>0.38636363636363635</v>
      </c>
    </row>
    <row r="17" spans="1:23" x14ac:dyDescent="0.25">
      <c r="A17" s="15" t="s">
        <v>8372</v>
      </c>
      <c r="B17" s="12">
        <v>54</v>
      </c>
      <c r="C17" s="12">
        <v>31</v>
      </c>
      <c r="D17" s="12">
        <v>3</v>
      </c>
      <c r="E17" s="12">
        <v>88</v>
      </c>
      <c r="Q17" s="15" t="s">
        <v>8378</v>
      </c>
      <c r="R17" s="12">
        <v>37</v>
      </c>
      <c r="S17" s="12">
        <v>35</v>
      </c>
      <c r="T17" s="12">
        <v>3</v>
      </c>
      <c r="U17">
        <f t="shared" si="0"/>
        <v>75</v>
      </c>
      <c r="V17" s="27">
        <f t="shared" si="1"/>
        <v>0.49333333333333335</v>
      </c>
      <c r="W17" s="27">
        <f t="shared" si="2"/>
        <v>0.5066666666666666</v>
      </c>
    </row>
    <row r="18" spans="1:23" x14ac:dyDescent="0.25">
      <c r="A18" s="15" t="s">
        <v>8378</v>
      </c>
      <c r="B18" s="12">
        <v>37</v>
      </c>
      <c r="C18" s="12">
        <v>35</v>
      </c>
      <c r="D18" s="12">
        <v>3</v>
      </c>
      <c r="E18" s="12">
        <v>75</v>
      </c>
    </row>
    <row r="19" spans="1:23" x14ac:dyDescent="0.25">
      <c r="A19" s="15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0" zoomScaleNormal="80" workbookViewId="0">
      <selection activeCell="D541" sqref="D54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5" bestFit="1" customWidth="1"/>
    <col min="5" max="5" width="13.4257812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4" bestFit="1" customWidth="1"/>
    <col min="20" max="20" width="22.28515625" style="14" bestFit="1" customWidth="1"/>
    <col min="21" max="21" width="1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26" t="s">
        <v>8216</v>
      </c>
      <c r="E1" s="6" t="s">
        <v>8217</v>
      </c>
      <c r="F1" s="25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3" t="s">
        <v>8365</v>
      </c>
      <c r="T1" s="13" t="s">
        <v>8366</v>
      </c>
      <c r="U1" s="16" t="s">
        <v>8398</v>
      </c>
    </row>
    <row r="2" spans="1:21" ht="60" hidden="1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9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9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9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9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9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9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9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9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9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9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9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9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9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9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9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9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9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9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9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9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9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9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9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9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9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9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9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3">
      <customFilters and="1">
        <customFilter operator="greaterThanOrEqual" val="1000"/>
        <customFilter operator="lessThanOrEqual" val="4999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5B2B6-E3DB-4795-A4C7-B2EB7B31910B}">
  <dimension ref="A1:N15"/>
  <sheetViews>
    <sheetView workbookViewId="0">
      <selection activeCell="L15" sqref="L15"/>
    </sheetView>
  </sheetViews>
  <sheetFormatPr defaultRowHeight="15" x14ac:dyDescent="0.25"/>
  <cols>
    <col min="1" max="1" width="27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2" max="12" width="28.85546875" bestFit="1" customWidth="1"/>
    <col min="13" max="13" width="25.5703125" bestFit="1" customWidth="1"/>
    <col min="14" max="14" width="10" bestFit="1" customWidth="1"/>
  </cols>
  <sheetData>
    <row r="1" spans="1:14" ht="15.75" thickBot="1" x14ac:dyDescent="0.3">
      <c r="A1" s="34" t="s">
        <v>8382</v>
      </c>
      <c r="B1" s="35" t="s">
        <v>8399</v>
      </c>
      <c r="C1" s="35" t="s">
        <v>8400</v>
      </c>
      <c r="D1" s="35" t="s">
        <v>8401</v>
      </c>
      <c r="E1" s="35" t="s">
        <v>8402</v>
      </c>
      <c r="F1" s="35" t="s">
        <v>8403</v>
      </c>
      <c r="G1" s="35" t="s">
        <v>8404</v>
      </c>
      <c r="H1" s="36" t="s">
        <v>8405</v>
      </c>
    </row>
    <row r="2" spans="1:14" x14ac:dyDescent="0.25">
      <c r="A2" s="37" t="s">
        <v>8406</v>
      </c>
      <c r="B2" s="32">
        <f>COUNTIFS(Kickstarter!$D$2:$D$4115,"&lt;1000",Kickstarter!$F$2:$F$4115,"=successful",Kickstarter!$R$2:$R$4115,"=plays")</f>
        <v>141</v>
      </c>
      <c r="C2" s="32">
        <f>COUNTIFS(Kickstarter!$D$2:$D$4115,"&lt;1000",Kickstarter!$F$2:$F$4115,"=failed",Kickstarter!$R$2:$R$4115,"=plays")</f>
        <v>45</v>
      </c>
      <c r="D2" s="32">
        <f>COUNTIFS(Kickstarter!$D$2:$D$4115,"&lt;1000",Kickstarter!$F$2:$F$4115,"=canceled",Kickstarter!$R$2:$R$4115,"=plays")</f>
        <v>0</v>
      </c>
      <c r="E2" s="32">
        <f>SUM(B2:D2)</f>
        <v>186</v>
      </c>
      <c r="F2" s="33">
        <f>B2/$E$2</f>
        <v>0.75806451612903225</v>
      </c>
      <c r="G2" s="33">
        <f>C2/$E$2</f>
        <v>0.24193548387096775</v>
      </c>
      <c r="H2" s="38">
        <f>D2/$E$2</f>
        <v>0</v>
      </c>
    </row>
    <row r="3" spans="1:14" ht="15.75" thickBot="1" x14ac:dyDescent="0.3">
      <c r="A3" s="39" t="s">
        <v>8407</v>
      </c>
      <c r="B3" s="30">
        <f>COUNTIFS(Kickstarter!$D$2:$D$4115,"&lt;5000",Kickstarter!$F$2:$F$4115,"=successful",Kickstarter!$R$2:$R$4115,"=plays",Kickstarter!$D$2:$D$4115,"&gt;=1000")</f>
        <v>388</v>
      </c>
      <c r="C3" s="30">
        <f>COUNTIFS(Kickstarter!$D$2:$D$4115,"&lt;5000",Kickstarter!$F$2:$F$4115,"=failed",Kickstarter!$R$2:$R$4115,"=plays",Kickstarter!$D$2:$D$4115,"&gt;=1000")</f>
        <v>146</v>
      </c>
      <c r="D3" s="30">
        <f>COUNTIFS(Kickstarter!$D$2:$D$4115,"&lt;5000",Kickstarter!$F$2:$F$4115,"=canceled",Kickstarter!$R$2:$R$4115,"=plays",Kickstarter!$D$2:$D$4115,"&gt;=1000")</f>
        <v>0</v>
      </c>
      <c r="E3" s="30">
        <f t="shared" ref="E3:E13" si="0">SUM(B3:D3)</f>
        <v>534</v>
      </c>
      <c r="F3" s="31">
        <f>B3/$E3</f>
        <v>0.72659176029962547</v>
      </c>
      <c r="G3" s="31">
        <f t="shared" ref="G3:H13" si="1">C3/$E3</f>
        <v>0.27340823970037453</v>
      </c>
      <c r="H3" s="40">
        <f t="shared" si="1"/>
        <v>0</v>
      </c>
    </row>
    <row r="4" spans="1:14" x14ac:dyDescent="0.25">
      <c r="A4" s="39" t="s">
        <v>8408</v>
      </c>
      <c r="B4" s="30">
        <f>COUNTIFS(Kickstarter!$D$2:$D$4115,"&lt;10000",Kickstarter!$F$2:$F$4115,"=successful",Kickstarter!$R$2:$R$4115,"=plays",Kickstarter!$D$2:$D$4115,"&gt;=5000")</f>
        <v>93</v>
      </c>
      <c r="C4" s="30">
        <f>COUNTIFS(Kickstarter!$D$2:$D$4115,"&lt;10000",Kickstarter!$F$2:$F$4115,"=failed",Kickstarter!$R$2:$R$4115,"=plays",Kickstarter!$D$2:$D$4115,"&gt;=5000")</f>
        <v>76</v>
      </c>
      <c r="D4" s="30">
        <f>COUNTIFS(Kickstarter!$D$2:$D$4115,"&lt;10000",Kickstarter!$F$2:$F$4115,"=canceled",Kickstarter!$R$2:$R$4115,"=plays",Kickstarter!$D$2:$D$4115,"&gt;=5000")</f>
        <v>0</v>
      </c>
      <c r="E4" s="30">
        <f t="shared" si="0"/>
        <v>169</v>
      </c>
      <c r="F4" s="31">
        <f t="shared" ref="F4:F13" si="2">B4/$E4</f>
        <v>0.55029585798816572</v>
      </c>
      <c r="G4" s="31">
        <f t="shared" si="1"/>
        <v>0.44970414201183434</v>
      </c>
      <c r="H4" s="40">
        <f t="shared" si="1"/>
        <v>0</v>
      </c>
      <c r="J4" s="51" t="s">
        <v>8420</v>
      </c>
      <c r="K4" s="52" t="s">
        <v>8421</v>
      </c>
      <c r="L4" s="52" t="s">
        <v>8427</v>
      </c>
      <c r="M4" s="53" t="s">
        <v>8426</v>
      </c>
      <c r="N4" s="16" t="s">
        <v>8431</v>
      </c>
    </row>
    <row r="5" spans="1:14" ht="15.75" thickBot="1" x14ac:dyDescent="0.3">
      <c r="A5" s="39" t="s">
        <v>8409</v>
      </c>
      <c r="B5" s="30">
        <f>COUNTIFS(Kickstarter!$D$2:$D$4115,"&lt;15000",Kickstarter!$F$2:$F$4115,"=successful",Kickstarter!$R$2:$R$4115,"=plays",Kickstarter!$D$2:$D$4115,"&gt;=10000")</f>
        <v>39</v>
      </c>
      <c r="C5" s="30">
        <f>COUNTIFS(Kickstarter!$D$2:$D$4115,"&lt;15000",Kickstarter!$F$2:$F$4115,"=failed",Kickstarter!$R$2:$R$4115,"=plays",Kickstarter!$D$2:$D$4115,"&gt;=10000")</f>
        <v>33</v>
      </c>
      <c r="D5" s="30">
        <f>COUNTIFS(Kickstarter!$D$2:$D$4115,"&lt;15000",Kickstarter!$F$2:$F$4115,"=canceled",Kickstarter!$R$2:$R$4115,"=plays",Kickstarter!$D$2:$D$4115,"&gt;=10000")</f>
        <v>0</v>
      </c>
      <c r="E5" s="30">
        <f t="shared" si="0"/>
        <v>72</v>
      </c>
      <c r="F5" s="31">
        <f t="shared" si="2"/>
        <v>0.54166666666666663</v>
      </c>
      <c r="G5" s="31">
        <f>C5/$E5</f>
        <v>0.45833333333333331</v>
      </c>
      <c r="H5" s="40">
        <f t="shared" si="1"/>
        <v>0</v>
      </c>
      <c r="J5" s="47">
        <f>SUM(B5:B13)</f>
        <v>72</v>
      </c>
      <c r="K5" s="48">
        <f>SUM(C5:C13)</f>
        <v>82</v>
      </c>
      <c r="L5" s="49">
        <f>J5/SUM(J5:K5)</f>
        <v>0.46753246753246752</v>
      </c>
      <c r="M5" s="50">
        <f>K5/SUM(J5:K5)</f>
        <v>0.53246753246753242</v>
      </c>
      <c r="N5" s="27" cm="1">
        <f t="array" ref="N5">SUM(J5:K5/E14)</f>
        <v>0.1476510067114094</v>
      </c>
    </row>
    <row r="6" spans="1:14" ht="15.75" thickBot="1" x14ac:dyDescent="0.3">
      <c r="A6" s="39" t="s">
        <v>8410</v>
      </c>
      <c r="B6" s="30">
        <f>COUNTIFS(Kickstarter!$D$2:$D$4115,"&lt;20000",Kickstarter!$F$2:$F$4115,"=successful",Kickstarter!$R$2:$R$4115,"=plays",Kickstarter!$D$2:$D$4115,"&gt;=15000")</f>
        <v>12</v>
      </c>
      <c r="C6" s="30">
        <f>COUNTIFS(Kickstarter!$D$2:$D$4115,"&lt;20000",Kickstarter!$F$2:$F$4115,"=failed",Kickstarter!$R$2:$R$4115,"=plays",Kickstarter!$D$2:$D$4115,"&gt;=15000")</f>
        <v>12</v>
      </c>
      <c r="D6" s="30">
        <f>COUNTIFS(Kickstarter!$D$2:$D$4115,"&lt;20000",Kickstarter!$F$2:$F$4115,"=canceled",Kickstarter!$R$2:$R$4115,"=plays",Kickstarter!$D$2:$D$4115,"&gt;=15000")</f>
        <v>0</v>
      </c>
      <c r="E6" s="30">
        <f t="shared" si="0"/>
        <v>24</v>
      </c>
      <c r="F6" s="31">
        <f t="shared" si="2"/>
        <v>0.5</v>
      </c>
      <c r="G6" s="31">
        <f t="shared" si="1"/>
        <v>0.5</v>
      </c>
      <c r="H6" s="40">
        <f t="shared" si="1"/>
        <v>0</v>
      </c>
    </row>
    <row r="7" spans="1:14" x14ac:dyDescent="0.25">
      <c r="A7" s="39" t="s">
        <v>8411</v>
      </c>
      <c r="B7" s="30">
        <f>COUNTIFS(Kickstarter!$D$2:$D$4115,"&lt;25000",Kickstarter!$F$2:$F$4115,"=successful",Kickstarter!$R$2:$R$4115,"=plays",Kickstarter!$D$2:$D$4115,"&gt;=20000")</f>
        <v>9</v>
      </c>
      <c r="C7" s="30">
        <f>COUNTIFS(Kickstarter!$D$2:$D$4115,"&lt;25000",Kickstarter!$F$2:$F$4115,"=failed",Kickstarter!$R$2:$R$4115,"=plays",Kickstarter!$D$2:$D$4115,"&gt;=20000")</f>
        <v>11</v>
      </c>
      <c r="D7" s="30">
        <f>COUNTIFS(Kickstarter!$D$2:$D$4115,"&lt;25000",Kickstarter!$F$2:$F$4115,"=canceled",Kickstarter!$R$2:$R$4115,"=plays",Kickstarter!$D$2:$D$4115,"&gt;=20000")</f>
        <v>0</v>
      </c>
      <c r="E7" s="30">
        <f t="shared" si="0"/>
        <v>20</v>
      </c>
      <c r="F7" s="31">
        <f t="shared" si="2"/>
        <v>0.45</v>
      </c>
      <c r="G7" s="31">
        <f t="shared" si="1"/>
        <v>0.55000000000000004</v>
      </c>
      <c r="H7" s="40">
        <f t="shared" si="1"/>
        <v>0</v>
      </c>
      <c r="J7" s="51" t="s">
        <v>8420</v>
      </c>
      <c r="K7" s="52" t="s">
        <v>8421</v>
      </c>
      <c r="L7" s="52" t="s">
        <v>8429</v>
      </c>
      <c r="M7" s="53" t="s">
        <v>8430</v>
      </c>
      <c r="N7" s="16" t="s">
        <v>8431</v>
      </c>
    </row>
    <row r="8" spans="1:14" ht="15.75" thickBot="1" x14ac:dyDescent="0.3">
      <c r="A8" s="39" t="s">
        <v>8412</v>
      </c>
      <c r="B8" s="30">
        <f>COUNTIFS(Kickstarter!$D$2:$D$4115,"&lt;30000",Kickstarter!$F$2:$F$4115,"=successful",Kickstarter!$R$2:$R$4115,"=plays",Kickstarter!$D$2:$D$4115,"&gt;=25000")</f>
        <v>1</v>
      </c>
      <c r="C8" s="30">
        <f>COUNTIFS(Kickstarter!$D$2:$D$4115,"&lt;30000",Kickstarter!$F$2:$F$4115,"=failed",Kickstarter!$R$2:$R$4115,"=plays",Kickstarter!$D$2:$D$4115,"&gt;=25000")</f>
        <v>4</v>
      </c>
      <c r="D8" s="30">
        <f>COUNTIFS(Kickstarter!$D$2:$D$4115,"&lt;30000",Kickstarter!$F$2:$F$4115,"=canceled",Kickstarter!$R$2:$R$4115,"=plays",Kickstarter!$D$2:$D$4115,"&gt;=25000")</f>
        <v>0</v>
      </c>
      <c r="E8" s="30">
        <f t="shared" si="0"/>
        <v>5</v>
      </c>
      <c r="F8" s="31">
        <f t="shared" si="2"/>
        <v>0.2</v>
      </c>
      <c r="G8" s="31">
        <f t="shared" si="1"/>
        <v>0.8</v>
      </c>
      <c r="H8" s="40">
        <f t="shared" si="1"/>
        <v>0</v>
      </c>
      <c r="J8" s="47">
        <f>SUM(B4)</f>
        <v>93</v>
      </c>
      <c r="K8" s="48">
        <f>SUM(C4)</f>
        <v>76</v>
      </c>
      <c r="L8" s="49">
        <f>J8/SUM(J8:K8)</f>
        <v>0.55029585798816572</v>
      </c>
      <c r="M8" s="50">
        <f>K8/SUM(J8:K8)</f>
        <v>0.44970414201183434</v>
      </c>
      <c r="N8" s="27" cm="1">
        <f t="array" ref="N8">SUM(J8:K8/E14)</f>
        <v>0.16203259827420902</v>
      </c>
    </row>
    <row r="9" spans="1:14" ht="15.75" thickBot="1" x14ac:dyDescent="0.3">
      <c r="A9" s="39" t="s">
        <v>8413</v>
      </c>
      <c r="B9" s="30">
        <f>COUNTIFS(Kickstarter!$D$2:$D$4115,"&lt;35000",Kickstarter!$F$2:$F$4115,"=successful",Kickstarter!$R$2:$R$4115,"=plays",Kickstarter!$D$2:$D$4115,"&gt;=30000")</f>
        <v>3</v>
      </c>
      <c r="C9" s="30">
        <f>COUNTIFS(Kickstarter!$D$2:$D$4115,"&lt;35000",Kickstarter!$F$2:$F$4115,"=failed",Kickstarter!$R$2:$R$4115,"=plays",Kickstarter!$D$2:$D$4115,"&gt;=30000")</f>
        <v>8</v>
      </c>
      <c r="D9" s="30">
        <f>COUNTIFS(Kickstarter!$D$2:$D$4115,"&lt;35000",Kickstarter!$F$2:$F$4115,"=canceled",Kickstarter!$R$2:$R$4115,"=plays",Kickstarter!$D$2:$D$4115,"&gt;=30000")</f>
        <v>0</v>
      </c>
      <c r="E9" s="30">
        <f t="shared" si="0"/>
        <v>11</v>
      </c>
      <c r="F9" s="31">
        <f t="shared" si="2"/>
        <v>0.27272727272727271</v>
      </c>
      <c r="G9" s="31">
        <f t="shared" si="1"/>
        <v>0.72727272727272729</v>
      </c>
      <c r="H9" s="40">
        <f t="shared" si="1"/>
        <v>0</v>
      </c>
    </row>
    <row r="10" spans="1:14" x14ac:dyDescent="0.25">
      <c r="A10" s="39" t="s">
        <v>8414</v>
      </c>
      <c r="B10" s="30">
        <f>COUNTIFS(Kickstarter!$D$2:$D$4115,"&lt;40000",Kickstarter!$F$2:$F$4115,"=successful",Kickstarter!$R$2:$R$4115,"=plays",Kickstarter!$D$2:$D$4115,"&gt;=35000")</f>
        <v>4</v>
      </c>
      <c r="C10" s="30">
        <f>COUNTIFS(Kickstarter!$D$2:$D$4115,"&lt;40000",Kickstarter!$F$2:$F$4115,"=failed",Kickstarter!$R$2:$R$4115,"=plays",Kickstarter!$D$2:$D$4115,"&gt;=35000")</f>
        <v>2</v>
      </c>
      <c r="D10" s="30">
        <f>COUNTIFS(Kickstarter!$D$2:$D$4115,"&lt;40000",Kickstarter!$F$2:$F$4115,"=canceled",Kickstarter!$R$2:$R$4115,"=plays",Kickstarter!$D$2:$D$4115,"&gt;=35000")</f>
        <v>0</v>
      </c>
      <c r="E10" s="30">
        <f t="shared" si="0"/>
        <v>6</v>
      </c>
      <c r="F10" s="31">
        <f t="shared" si="2"/>
        <v>0.66666666666666663</v>
      </c>
      <c r="G10" s="31">
        <f t="shared" si="1"/>
        <v>0.33333333333333331</v>
      </c>
      <c r="H10" s="40">
        <f t="shared" si="1"/>
        <v>0</v>
      </c>
      <c r="J10" s="51" t="s">
        <v>8420</v>
      </c>
      <c r="K10" s="52" t="s">
        <v>8421</v>
      </c>
      <c r="L10" s="52" t="s">
        <v>8428</v>
      </c>
      <c r="M10" s="53" t="s">
        <v>8428</v>
      </c>
      <c r="N10" s="16" t="s">
        <v>8431</v>
      </c>
    </row>
    <row r="11" spans="1:14" ht="15.75" thickBot="1" x14ac:dyDescent="0.3">
      <c r="A11" s="39" t="s">
        <v>8415</v>
      </c>
      <c r="B11" s="30">
        <f>COUNTIFS(Kickstarter!$D$2:$D$4115,"&lt;45000",Kickstarter!$F$2:$F$4115,"=successful",Kickstarter!$R$2:$R$4115,"=plays",Kickstarter!$D$2:$D$4115,"&gt;=40000")</f>
        <v>2</v>
      </c>
      <c r="C11" s="30">
        <f>COUNTIFS(Kickstarter!$D$2:$D$4115,"&lt;45000",Kickstarter!$F$2:$F$4115,"=failed",Kickstarter!$R$2:$R$4115,"=plays",Kickstarter!$D$2:$D$4115,"&gt;=40000")</f>
        <v>1</v>
      </c>
      <c r="D11" s="30">
        <f>COUNTIFS(Kickstarter!$D$2:$D$4115,"&lt;40000",Kickstarter!$F$2:$F$4115,"=canceled",Kickstarter!$R$2:$R$4115,"=plays",Kickstarter!$D$2:$D$4115,"&gt;=45000")</f>
        <v>0</v>
      </c>
      <c r="E11" s="30">
        <f t="shared" si="0"/>
        <v>3</v>
      </c>
      <c r="F11" s="31">
        <f t="shared" ref="F11:F12" si="3">B11/$E11</f>
        <v>0.66666666666666663</v>
      </c>
      <c r="G11" s="31">
        <f t="shared" ref="G11:G12" si="4">C11/$E11</f>
        <v>0.33333333333333331</v>
      </c>
      <c r="H11" s="40">
        <f t="shared" ref="H11:H12" si="5">D11/$E11</f>
        <v>0</v>
      </c>
      <c r="J11" s="47">
        <f>SUM(B2:B3)</f>
        <v>529</v>
      </c>
      <c r="K11" s="48">
        <f>SUM(C2:C3)</f>
        <v>191</v>
      </c>
      <c r="L11" s="49">
        <f>J11/SUM(J11:K11)</f>
        <v>0.73472222222222228</v>
      </c>
      <c r="M11" s="50">
        <f>K11/SUM(J11:K11)</f>
        <v>0.26527777777777778</v>
      </c>
      <c r="N11" s="27" cm="1">
        <f t="array" ref="N11">SUM(J11:K11/E14)</f>
        <v>0.69031639501438158</v>
      </c>
    </row>
    <row r="12" spans="1:14" x14ac:dyDescent="0.25">
      <c r="A12" s="39" t="s">
        <v>8416</v>
      </c>
      <c r="B12" s="30">
        <f>COUNTIFS(Kickstarter!$D$2:$D$4115,"&lt;50000",Kickstarter!$F$2:$F$4115,"=successful",Kickstarter!$R$2:$R$4115,"=plays",Kickstarter!$D$2:$D$4115,"&gt;=45000")</f>
        <v>0</v>
      </c>
      <c r="C12" s="30">
        <f>COUNTIFS(Kickstarter!$D$2:$D$4115,"&lt;50000",Kickstarter!$F$2:$F$4115,"=failed",Kickstarter!$R$2:$R$4115,"=plays",Kickstarter!$D$2:$D$4115,"&gt;=45000")</f>
        <v>1</v>
      </c>
      <c r="D12" s="30">
        <f>COUNTIFS(Kickstarter!$D$2:$D$4115,"&lt;50000",Kickstarter!$F$2:$F$4115,"=canceled",Kickstarter!$R$2:$R$4115,"=plays",Kickstarter!$D$2:$D$4115,"&gt;=45000")</f>
        <v>0</v>
      </c>
      <c r="E12" s="30">
        <f t="shared" si="0"/>
        <v>1</v>
      </c>
      <c r="F12" s="31">
        <f t="shared" si="3"/>
        <v>0</v>
      </c>
      <c r="G12" s="31">
        <f t="shared" si="4"/>
        <v>1</v>
      </c>
      <c r="H12" s="40">
        <f t="shared" si="5"/>
        <v>0</v>
      </c>
    </row>
    <row r="13" spans="1:14" ht="15.75" thickBot="1" x14ac:dyDescent="0.3">
      <c r="A13" s="41" t="s">
        <v>8417</v>
      </c>
      <c r="B13" s="42">
        <f>COUNTIFS(Kickstarter!$D$2:$D$4115,"&gt;50000",Kickstarter!$F$2:$F$4115,"=successful",Kickstarter!$R$2:$R$4115,"=plays")</f>
        <v>2</v>
      </c>
      <c r="C13" s="42">
        <f>COUNTIFS(Kickstarter!$D$2:$D$4115,"&gt;50000",Kickstarter!$F$2:$F$4115,"=failed",Kickstarter!$R$2:$R$4115,"=plays")</f>
        <v>10</v>
      </c>
      <c r="D13" s="42">
        <f>COUNTIFS(Kickstarter!$D$2:$D$4115,"&gt;50000",Kickstarter!$F$2:$F$4115,"=canceled",Kickstarter!$R$2:$R$4115,"=plays")</f>
        <v>0</v>
      </c>
      <c r="E13" s="42">
        <f t="shared" si="0"/>
        <v>12</v>
      </c>
      <c r="F13" s="43">
        <f t="shared" si="2"/>
        <v>0.16666666666666666</v>
      </c>
      <c r="G13" s="43">
        <f t="shared" si="1"/>
        <v>0.83333333333333337</v>
      </c>
      <c r="H13" s="44">
        <f t="shared" si="1"/>
        <v>0</v>
      </c>
    </row>
    <row r="14" spans="1:14" ht="15.75" thickBot="1" x14ac:dyDescent="0.3">
      <c r="B14" s="45">
        <f>SUM(B2:B13)</f>
        <v>694</v>
      </c>
      <c r="C14" s="45">
        <f>SUM(C2:C13)</f>
        <v>349</v>
      </c>
      <c r="E14" s="29">
        <f>SUM(E2:E13)</f>
        <v>1043</v>
      </c>
      <c r="F14" s="46">
        <f>B14/E14</f>
        <v>0.66538830297219564</v>
      </c>
      <c r="G14" s="46">
        <f>C14/E14</f>
        <v>0.33461169702780441</v>
      </c>
    </row>
    <row r="15" spans="1:14" ht="15.75" thickTop="1" x14ac:dyDescent="0.25">
      <c r="B15">
        <f>AVERAGE(B2:B13)</f>
        <v>57.833333333333336</v>
      </c>
      <c r="C15">
        <f>AVERAGE(C2:C13)</f>
        <v>29.083333333333332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C6C88-A7E0-4D04-A695-8CC1AFB32053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1.7109375" bestFit="1" customWidth="1"/>
    <col min="3" max="3" width="12.5703125" bestFit="1" customWidth="1"/>
  </cols>
  <sheetData>
    <row r="1" spans="1:3" ht="15.75" thickBot="1" x14ac:dyDescent="0.3">
      <c r="B1" s="22" t="s">
        <v>8384</v>
      </c>
      <c r="C1" s="22" t="s">
        <v>8385</v>
      </c>
    </row>
    <row r="2" spans="1:3" ht="15.75" thickBot="1" x14ac:dyDescent="0.3">
      <c r="A2" s="17" t="s">
        <v>8386</v>
      </c>
      <c r="B2" s="18" t="e">
        <f>AVERAGE(#REF!)</f>
        <v>#REF!</v>
      </c>
      <c r="C2" s="19" t="e">
        <f>AVERAGE(#REF!)</f>
        <v>#REF!</v>
      </c>
    </row>
    <row r="3" spans="1:3" ht="15.75" thickBot="1" x14ac:dyDescent="0.3">
      <c r="A3" s="17" t="s">
        <v>8387</v>
      </c>
      <c r="B3" s="20" t="e">
        <f>MEDIAN(#REF!)</f>
        <v>#REF!</v>
      </c>
      <c r="C3" s="21" t="e">
        <f>MEDIAN(#REF!)</f>
        <v>#REF!</v>
      </c>
    </row>
    <row r="4" spans="1:3" x14ac:dyDescent="0.25">
      <c r="A4" s="23" t="s">
        <v>8390</v>
      </c>
      <c r="B4" s="24" t="e">
        <f>_xlfn.STDEV.P(#REF!)</f>
        <v>#REF!</v>
      </c>
      <c r="C4" s="24" t="e">
        <f>_xlfn.STDEV.P(#REF!)</f>
        <v>#REF!</v>
      </c>
    </row>
    <row r="5" spans="1:3" x14ac:dyDescent="0.25">
      <c r="A5" s="23" t="s">
        <v>8391</v>
      </c>
      <c r="B5" s="24" t="e">
        <f>_xlfn.QUARTILE.EXC(#REF!, 3)</f>
        <v>#REF!</v>
      </c>
      <c r="C5" s="24" t="e">
        <f>_xlfn.QUARTILE.EXC(#REF!, 3)</f>
        <v>#REF!</v>
      </c>
    </row>
    <row r="6" spans="1:3" x14ac:dyDescent="0.25">
      <c r="A6" s="23" t="s">
        <v>8392</v>
      </c>
      <c r="B6" s="24" t="e">
        <f>_xlfn.QUARTILE.EXC(#REF!, 1)</f>
        <v>#REF!</v>
      </c>
      <c r="C6" s="24" t="e">
        <f>_xlfn.QUARTILE.EXC(#REF!, 1)</f>
        <v>#REF!</v>
      </c>
    </row>
    <row r="7" spans="1:3" x14ac:dyDescent="0.25">
      <c r="A7" s="23" t="s">
        <v>8393</v>
      </c>
      <c r="B7" s="24" t="e">
        <f>B5-B6</f>
        <v>#REF!</v>
      </c>
      <c r="C7" s="24" t="e">
        <f>C5-C6</f>
        <v>#REF!</v>
      </c>
    </row>
    <row r="8" spans="1:3" ht="15.75" thickBot="1" x14ac:dyDescent="0.3"/>
    <row r="9" spans="1:3" ht="15.75" thickBot="1" x14ac:dyDescent="0.3">
      <c r="A9" s="17" t="s">
        <v>8388</v>
      </c>
      <c r="B9" s="18" t="e">
        <f>AVERAGE(#REF!)</f>
        <v>#REF!</v>
      </c>
      <c r="C9" s="19" t="e">
        <f>AVERAGE(#REF!)</f>
        <v>#REF!</v>
      </c>
    </row>
    <row r="10" spans="1:3" ht="15.75" thickBot="1" x14ac:dyDescent="0.3">
      <c r="A10" s="17" t="s">
        <v>8389</v>
      </c>
      <c r="B10" s="20" t="e">
        <f>MEDIAN(#REF!)</f>
        <v>#REF!</v>
      </c>
      <c r="C10" s="21" t="e">
        <f>MEDIAN(#REF!)</f>
        <v>#REF!</v>
      </c>
    </row>
    <row r="11" spans="1:3" x14ac:dyDescent="0.25">
      <c r="A11" s="23" t="s">
        <v>8394</v>
      </c>
      <c r="B11" s="24" t="e">
        <f>_xlfn.STDEV.P(#REF!)</f>
        <v>#REF!</v>
      </c>
      <c r="C11" s="24" t="e">
        <f>_xlfn.STDEV.P(#REF!)</f>
        <v>#REF!</v>
      </c>
    </row>
    <row r="12" spans="1:3" x14ac:dyDescent="0.25">
      <c r="A12" s="23" t="s">
        <v>8395</v>
      </c>
      <c r="B12" s="24" t="e">
        <f>_xlfn.QUARTILE.EXC(#REF!, 3)</f>
        <v>#REF!</v>
      </c>
      <c r="C12" s="24" t="e">
        <f>_xlfn.QUARTILE.EXC(#REF!, 3)</f>
        <v>#REF!</v>
      </c>
    </row>
    <row r="13" spans="1:3" x14ac:dyDescent="0.25">
      <c r="A13" s="23" t="s">
        <v>8396</v>
      </c>
      <c r="B13" s="24" t="e">
        <f>_xlfn.QUARTILE.EXC(#REF!, 1)</f>
        <v>#REF!</v>
      </c>
      <c r="C13" s="24" t="e">
        <f>_xlfn.QUARTILE.EXC(#REF!, 1)</f>
        <v>#REF!</v>
      </c>
    </row>
    <row r="14" spans="1:3" x14ac:dyDescent="0.25">
      <c r="A14" s="23" t="s">
        <v>8397</v>
      </c>
      <c r="B14" s="24" t="e">
        <f>B12-B13</f>
        <v>#REF!</v>
      </c>
      <c r="C14" s="24" t="e">
        <f>C12-C13</f>
        <v>#REF!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0DFA-155E-45DD-96A7-DD2B7F811AAB}">
  <dimension ref="A1:F6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9" width="15.85546875" bestFit="1" customWidth="1"/>
    <col min="40" max="40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8364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F8AFF-3EFF-41E9-8FE0-971B1A0B55D6}">
  <dimension ref="A1:E7"/>
  <sheetViews>
    <sheetView workbookViewId="0">
      <selection activeCell="I31" sqref="I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18" max="18" width="23.42578125" bestFit="1" customWidth="1"/>
    <col min="19" max="19" width="7.140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8358</v>
      </c>
      <c r="B2" t="s">
        <v>8363</v>
      </c>
    </row>
    <row r="4" spans="1:5" x14ac:dyDescent="0.25">
      <c r="A4" s="10" t="s">
        <v>8364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085B1-891E-478B-8927-B35320DA4079}">
  <dimension ref="A1:F18"/>
  <sheetViews>
    <sheetView workbookViewId="0">
      <selection activeCell="J26" sqref="J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8363</v>
      </c>
    </row>
    <row r="4" spans="1:6" x14ac:dyDescent="0.25">
      <c r="A4" s="10" t="s">
        <v>8364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789BA-0E19-4AA9-B625-2501E234CA5F}">
  <dimension ref="A1:F6"/>
  <sheetViews>
    <sheetView workbookViewId="0">
      <selection activeCell="E2" sqref="E2"/>
    </sheetView>
  </sheetViews>
  <sheetFormatPr defaultRowHeight="15" x14ac:dyDescent="0.25"/>
  <cols>
    <col min="1" max="1" width="33.1406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16" t="s">
        <v>8380</v>
      </c>
      <c r="B1" s="16" t="s">
        <v>4110</v>
      </c>
      <c r="C1" s="16" t="s">
        <v>8382</v>
      </c>
      <c r="D1" s="16" t="s">
        <v>8381</v>
      </c>
      <c r="E1" s="16" t="s">
        <v>8307</v>
      </c>
      <c r="F1" s="16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Theatre Outcomes by Launch Date</vt:lpstr>
      <vt:lpstr>Kickstarter</vt:lpstr>
      <vt:lpstr>Outcomes Based On Goals</vt:lpstr>
      <vt:lpstr>Descriptive Statistics</vt:lpstr>
      <vt:lpstr>Parent Category Statistics</vt:lpstr>
      <vt:lpstr>Subcategory Statistics</vt:lpstr>
      <vt:lpstr>Outcomes Based On Launch Date</vt:lpstr>
      <vt:lpstr>Vlookups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Tavis Goodnight</cp:lastModifiedBy>
  <dcterms:created xsi:type="dcterms:W3CDTF">2017-04-20T15:17:24Z</dcterms:created>
  <dcterms:modified xsi:type="dcterms:W3CDTF">2021-09-20T01:49:49Z</dcterms:modified>
</cp:coreProperties>
</file>