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nt\Documents\Monarch Butterflies\Projects\Des Moines Lobe MW Augmentation\"/>
    </mc:Choice>
  </mc:AlternateContent>
  <xr:revisionPtr revIDLastSave="0" documentId="13_ncr:1_{4D8F6C3A-DAAB-4E37-84AE-039D3770E880}" xr6:coauthVersionLast="36" xr6:coauthVersionMax="36" xr10:uidLastSave="{00000000-0000-0000-0000-000000000000}"/>
  <bookViews>
    <workbookView xWindow="0" yWindow="0" windowWidth="28800" windowHeight="14025" xr2:uid="{2843510B-169A-4081-9190-3AA9F210176D}"/>
  </bookViews>
  <sheets>
    <sheet name="Model Runs" sheetId="2" r:id="rId1"/>
    <sheet name="Monarch Density" sheetId="5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3" i="5"/>
  <c r="E4" i="5"/>
  <c r="E3" i="5"/>
  <c r="C3" i="5"/>
  <c r="C4" i="5"/>
  <c r="L96" i="2" l="1"/>
  <c r="X88" i="2" l="1"/>
  <c r="W88" i="2"/>
  <c r="V88" i="2"/>
  <c r="V85" i="2"/>
  <c r="V89" i="2"/>
  <c r="X85" i="2" l="1"/>
  <c r="W85" i="2"/>
  <c r="V86" i="2"/>
  <c r="Q57" i="2" l="1"/>
  <c r="R57" i="2"/>
  <c r="S57" i="2" s="1"/>
  <c r="Q58" i="2"/>
  <c r="R58" i="2"/>
  <c r="S58" i="2"/>
  <c r="Q59" i="2"/>
  <c r="R59" i="2" s="1"/>
  <c r="S59" i="2" s="1"/>
  <c r="S60" i="2"/>
  <c r="R60" i="2"/>
  <c r="Q60" i="2"/>
  <c r="M84" i="2"/>
  <c r="M39" i="2" l="1"/>
  <c r="M40" i="2"/>
  <c r="M41" i="2"/>
  <c r="M42" i="2"/>
  <c r="M43" i="2" l="1"/>
  <c r="R34" i="2" l="1"/>
  <c r="R33" i="2" s="1"/>
  <c r="S33" i="2" s="1"/>
  <c r="T33" i="2" s="1"/>
  <c r="P42" i="2"/>
  <c r="Q30" i="2"/>
  <c r="P26" i="2" l="1"/>
  <c r="Q26" i="2" s="1"/>
  <c r="R26" i="2" s="1"/>
  <c r="S26" i="2" s="1"/>
  <c r="R22" i="2" l="1"/>
  <c r="S22" i="2" s="1"/>
  <c r="Q22" i="2"/>
  <c r="R18" i="2"/>
  <c r="Q18" i="2"/>
  <c r="Q19" i="2"/>
  <c r="P15" i="2"/>
  <c r="R12" i="2"/>
  <c r="S12" i="2" s="1"/>
  <c r="T12" i="2" s="1"/>
  <c r="Q8" i="2"/>
  <c r="R8" i="2" s="1"/>
  <c r="Q4" i="2"/>
  <c r="T4" i="2"/>
  <c r="S4" i="2"/>
  <c r="R4" i="2"/>
</calcChain>
</file>

<file path=xl/sharedStrings.xml><?xml version="1.0" encoding="utf-8"?>
<sst xmlns="http://schemas.openxmlformats.org/spreadsheetml/2006/main" count="308" uniqueCount="164">
  <si>
    <t>Date</t>
  </si>
  <si>
    <t>Scenario</t>
  </si>
  <si>
    <t>Shapefile</t>
  </si>
  <si>
    <t>Max ProbEggs</t>
  </si>
  <si>
    <t>Agents</t>
  </si>
  <si>
    <t>Job ID</t>
  </si>
  <si>
    <t>Output File Name</t>
  </si>
  <si>
    <t>Notes</t>
  </si>
  <si>
    <t>DMLModel4LL.shp</t>
  </si>
  <si>
    <t>Test Des Moines Lobe shapefile</t>
  </si>
  <si>
    <t>200x50 = 10,000</t>
  </si>
  <si>
    <t>Time for Longest Instance</t>
  </si>
  <si>
    <t>65 mins</t>
  </si>
  <si>
    <t>Monarchs.2020.Dec.17.17_40_51.txt</t>
  </si>
  <si>
    <t>500x100 =50,000</t>
  </si>
  <si>
    <t>Test larger numbers of monarch agents</t>
  </si>
  <si>
    <t>400x100 = 40,000</t>
  </si>
  <si>
    <t>Monarchs.2020.Dec.18.17_01_00.txt</t>
  </si>
  <si>
    <t>3hrs?</t>
  </si>
  <si>
    <t>Test 400x100</t>
  </si>
  <si>
    <t>1.5 hrs</t>
  </si>
  <si>
    <t>Monarchs.2020.Dec.21.10_53_50.txt</t>
  </si>
  <si>
    <t>Monarchs.2020.Dec.21.16_08_24.txt</t>
  </si>
  <si>
    <t>2 hrs 8 mins</t>
  </si>
  <si>
    <t>Test 500x100 again, seems good</t>
  </si>
  <si>
    <t>2nd run of 4 final runs</t>
  </si>
  <si>
    <t>Monarchs.2020.Dec.21.19_58_57.txt</t>
  </si>
  <si>
    <t>160 mins</t>
  </si>
  <si>
    <t>3rd run of 4 final runs</t>
  </si>
  <si>
    <t>Monarchs.2020.Dec.22.09_48_27.txt</t>
  </si>
  <si>
    <t>167 mins</t>
  </si>
  <si>
    <t>4th run of 4 final runs</t>
  </si>
  <si>
    <t>161 mins</t>
  </si>
  <si>
    <t>Monarchs.2020.Dec.22.16_06_23.txt</t>
  </si>
  <si>
    <t>real time for running R code that I stopped 12/29/20</t>
  </si>
  <si>
    <t>days</t>
  </si>
  <si>
    <t>percent done of first output file</t>
  </si>
  <si>
    <t>combine run 2 maps in R</t>
  </si>
  <si>
    <t>combine run 3 maps in R</t>
  </si>
  <si>
    <t>combine run 4 maps in R</t>
  </si>
  <si>
    <t>2nd half of combine run 1 maps in R, first half on home computer</t>
  </si>
  <si>
    <t>DML1.2 ~17 hrs in</t>
  </si>
  <si>
    <t>mins</t>
  </si>
  <si>
    <t>lines</t>
  </si>
  <si>
    <t xml:space="preserve">Spatial_Join_DML4_Counties5_UTMS2LL.shp </t>
  </si>
  <si>
    <t>failed</t>
  </si>
  <si>
    <t>new GISPolyID code, only 14 lines ran</t>
  </si>
  <si>
    <t>upped mem to 750G, forgot to delete folders, so canceled</t>
  </si>
  <si>
    <t>new try after deleted folders, forgot to unzip model jar and didn't have data folder</t>
  </si>
  <si>
    <t>unzipped model jar, try again</t>
  </si>
  <si>
    <t>hard-coded mem to 750G</t>
  </si>
  <si>
    <t>set mem in wrapper instead like IT told me to</t>
  </si>
  <si>
    <t>wrapper mem is 32G, sbatch mem is 500G</t>
  </si>
  <si>
    <t>wrapper mem is 64g, sbatch mem is 700G</t>
  </si>
  <si>
    <t>CumEggsPerZone.2021.Mar.09.19_40_48.txt</t>
  </si>
  <si>
    <t>same as prev</t>
  </si>
  <si>
    <t>163 mins</t>
  </si>
  <si>
    <t>CumEggsPerZone.2021.Mar.10.08_11_03.txt</t>
  </si>
  <si>
    <t>same as prev, some lines seemed to fail, run again</t>
  </si>
  <si>
    <t>CumEggsPerZone.2021.Mar.10.11_58_08.txt</t>
  </si>
  <si>
    <t>same as prev, some failed, but kept them in scen2 folder this time</t>
  </si>
  <si>
    <t>How Many Instances Ran?</t>
  </si>
  <si>
    <t>CumEggsPerZone.2021.Mar.10.13_36_49.txt</t>
  </si>
  <si>
    <t>Misc calcs</t>
  </si>
  <si>
    <t>CumEggsPerZone.2021.Mar.11.10_43_18.txt</t>
  </si>
  <si>
    <t>~160 mins</t>
  </si>
  <si>
    <t>put mem to 1T</t>
  </si>
  <si>
    <t>~120 mins</t>
  </si>
  <si>
    <t>CumEggsPerZone.2021.Mar.11.12_23_45.txt</t>
  </si>
  <si>
    <t>rerun to get a file with all instances in one file, instead of piecemeal</t>
  </si>
  <si>
    <t>CumEggsPerZone.2021.Mar.11.16_34_28.txt</t>
  </si>
  <si>
    <t>R Jobs</t>
  </si>
  <si>
    <t>96 instead of 97 instances found</t>
  </si>
  <si>
    <t>i</t>
  </si>
  <si>
    <t>hrs</t>
  </si>
  <si>
    <t>left out one instance so only combined 39 instances</t>
  </si>
  <si>
    <t>SCENARIO 2</t>
  </si>
  <si>
    <t>SCENARIO 3</t>
  </si>
  <si>
    <t>Time (Days)</t>
  </si>
  <si>
    <t>Run Number</t>
  </si>
  <si>
    <t xml:space="preserve">Spatial_Join_DML4_Counties5_UTMS3LL.shp </t>
  </si>
  <si>
    <t>16g and 1T</t>
  </si>
  <si>
    <t>Time (Seconds) ("Elapsed")</t>
  </si>
  <si>
    <t>CumEggsPerZone.2021.Mar.17.05_14_13.txt</t>
  </si>
  <si>
    <t>~147 mins</t>
  </si>
  <si>
    <t>CumEggsPerZone.2021.Mar.18.03_26_08.txt</t>
  </si>
  <si>
    <t>16g and 1T, but not all instances ran</t>
  </si>
  <si>
    <t>~134 mins</t>
  </si>
  <si>
    <t>trying 8g and 1T</t>
  </si>
  <si>
    <t>?</t>
  </si>
  <si>
    <t>back to 32G and 1T</t>
  </si>
  <si>
    <t>CumEggsPerZone.2021.Mar.19.05_26_33.txt</t>
  </si>
  <si>
    <t>CumEggsPerZone.2021.Mar.19.10_02_28.txt</t>
  </si>
  <si>
    <t>32G and 1T</t>
  </si>
  <si>
    <t>CumEggsPerZone.2021.Mar.19.12_10_19.txt</t>
  </si>
  <si>
    <t>CumEggsPerZone.2021.Mar.20.10_57_04.txt</t>
  </si>
  <si>
    <t>SCENARIO 1 AGAIN</t>
  </si>
  <si>
    <t>Spatial_Join_DML4_Counties5_UTMLL.shp</t>
  </si>
  <si>
    <t>500x50 = 25,000</t>
  </si>
  <si>
    <t>200x20 = 4,000</t>
  </si>
  <si>
    <t>8g and 200G, submitted April 2 10:53 PM, failed, mem not available</t>
  </si>
  <si>
    <t>32g and 600G, submitted 8:30 PM April 1, failed for lack of memory</t>
  </si>
  <si>
    <t>32g and 1T, canceled after ~2 days, never space to run</t>
  </si>
  <si>
    <t>8g and 22G (8g is 1G), 2% of needed monarchs, said mem not avail</t>
  </si>
  <si>
    <t>8g and 170G, mem not avail</t>
  </si>
  <si>
    <t>8g and 22G</t>
  </si>
  <si>
    <t>trying 16g and 150G, 1/8 or 12.5%, some instances killed for out of memory, appear to all be killed due to time limit</t>
  </si>
  <si>
    <t>32g and 210G, 3 hrs allotted, several instances apparently killed for out of memory</t>
  </si>
  <si>
    <t>CumEggsPerZone.2021.Apr.07.09_05_14.txt</t>
  </si>
  <si>
    <t>32g and 500G, 3 hrs allotted, ran after a few hours of pending</t>
  </si>
  <si>
    <t>CumEggsPerZone.2021.Apr.08.00_00_11.txt</t>
  </si>
  <si>
    <t>32g and 500G, 3 hrs allotted</t>
  </si>
  <si>
    <t>~140 mins</t>
  </si>
  <si>
    <t>~130 mins</t>
  </si>
  <si>
    <t>CumEggsPerZone.2021.Apr.08.02_27_34.txt</t>
  </si>
  <si>
    <t>~173 mins</t>
  </si>
  <si>
    <t>CumEggsPerZone.2021.Apr.08.05_49_41.txt</t>
  </si>
  <si>
    <t>~168 mins</t>
  </si>
  <si>
    <t>CumEggsPerZone.2021.Apr.08.08_36_30.txt</t>
  </si>
  <si>
    <t>~181 mins</t>
  </si>
  <si>
    <t>CumEggsPerZone.2021.Apr.08.11_20_15.txt</t>
  </si>
  <si>
    <t>~135 mins</t>
  </si>
  <si>
    <t>CumEggsPerZone.2021.Apr.09.00_22_24.txt</t>
  </si>
  <si>
    <t>CumEggsPerZone.2021.Apr.09.05_27_55.txt</t>
  </si>
  <si>
    <t>~163 mins</t>
  </si>
  <si>
    <t>CumEggsPerZone.2021.Apr.09.09_50_54.txt</t>
  </si>
  <si>
    <t>R jobs</t>
  </si>
  <si>
    <t>s</t>
  </si>
  <si>
    <t>min</t>
  </si>
  <si>
    <t>hr</t>
  </si>
  <si>
    <t>day</t>
  </si>
  <si>
    <t>3.6 days</t>
  </si>
  <si>
    <t>868,617*50</t>
  </si>
  <si>
    <t>"elapsed" from system.time()</t>
  </si>
  <si>
    <t>3.8 days</t>
  </si>
  <si>
    <t>256G RAM, 4 days - canceled</t>
  </si>
  <si>
    <t>128G, 3 days - canceled</t>
  </si>
  <si>
    <t>64G, 4 days - canceled</t>
  </si>
  <si>
    <t>64G, 2 days - canceled</t>
  </si>
  <si>
    <t>32G, 8 days, no partition</t>
  </si>
  <si>
    <t>x</t>
  </si>
  <si>
    <t>Eggs Laid</t>
  </si>
  <si>
    <t>lines done</t>
  </si>
  <si>
    <t>time (mins)</t>
  </si>
  <si>
    <t>32G, 5 days, no partition</t>
  </si>
  <si>
    <t>total</t>
  </si>
  <si>
    <t>2 days 43 mins</t>
  </si>
  <si>
    <t>3 days, 3:40</t>
  </si>
  <si>
    <t>3 days, 4:11</t>
  </si>
  <si>
    <t>3 days, 3:53</t>
  </si>
  <si>
    <t>3 days, 3:44</t>
  </si>
  <si>
    <t>2 days, 19:41</t>
  </si>
  <si>
    <t>3 days, 7:59</t>
  </si>
  <si>
    <t>3 days, 7:34</t>
  </si>
  <si>
    <t>2 days, 22:50</t>
  </si>
  <si>
    <t>32G, 5 days, no partition - accidentally ran run 4 instead of 3</t>
  </si>
  <si>
    <t>2 days, 9:30</t>
  </si>
  <si>
    <t>Story County</t>
  </si>
  <si>
    <t>Des Moines Lobe</t>
  </si>
  <si>
    <t>Monarchs</t>
  </si>
  <si>
    <t>Area (m2)</t>
  </si>
  <si>
    <t>Area (Ha)</t>
  </si>
  <si>
    <t>Density (mons/ha)</t>
  </si>
  <si>
    <t>Density(1 mon/x ha's)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</si>
</sst>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quotePrefix="1"/>
    <xf numFmtId="3" fontId="0" fillId="0" borderId="0" xfId="0" applyNumberFormat="1"/>
    <xf numFmtId="1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61A5-459D-49CC-A74C-16AA3421F113}">
  <dimension ref="A1:X96"/>
  <sheetViews>
    <sheetView tabSelected="1" workbookViewId="0">
      <pane ySplit="1" topLeftCell="A2" activePane="bottomLeft" state="frozen"/>
      <selection pane="bottomLeft" activeCell="A95" sqref="A95:XFD95"/>
    </sheetView>
  </sheetViews>
  <sheetFormatPr defaultRowHeight="15" x14ac:dyDescent="0.25"/>
  <cols>
    <col min="1" max="1" width="10.7109375" bestFit="1" customWidth="1"/>
    <col min="3" max="3" width="41.140625" bestFit="1" customWidth="1"/>
    <col min="4" max="4" width="13.42578125" bestFit="1" customWidth="1"/>
    <col min="5" max="5" width="15.5703125" bestFit="1" customWidth="1"/>
    <col min="6" max="6" width="7" bestFit="1" customWidth="1"/>
    <col min="7" max="7" width="40" bestFit="1" customWidth="1"/>
    <col min="8" max="8" width="12.140625" customWidth="1"/>
    <col min="9" max="9" width="75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11</v>
      </c>
      <c r="I1" s="2" t="s">
        <v>7</v>
      </c>
      <c r="J1" s="8" t="s">
        <v>61</v>
      </c>
      <c r="K1" s="2" t="s">
        <v>79</v>
      </c>
      <c r="L1" s="2" t="s">
        <v>82</v>
      </c>
      <c r="M1" s="2" t="s">
        <v>78</v>
      </c>
    </row>
    <row r="2" spans="1:20" x14ac:dyDescent="0.25">
      <c r="A2" s="3">
        <v>44182</v>
      </c>
      <c r="B2">
        <v>1</v>
      </c>
      <c r="C2" t="s">
        <v>8</v>
      </c>
      <c r="D2">
        <v>6.3E-2</v>
      </c>
      <c r="E2" t="s">
        <v>10</v>
      </c>
      <c r="F2">
        <v>5917</v>
      </c>
      <c r="G2" t="s">
        <v>13</v>
      </c>
      <c r="H2" t="s">
        <v>12</v>
      </c>
      <c r="I2" t="s">
        <v>9</v>
      </c>
      <c r="P2" t="s">
        <v>63</v>
      </c>
    </row>
    <row r="3" spans="1:20" x14ac:dyDescent="0.25">
      <c r="A3" s="3">
        <v>44183</v>
      </c>
      <c r="B3">
        <v>1</v>
      </c>
      <c r="C3" t="s">
        <v>8</v>
      </c>
      <c r="D3">
        <v>6.3E-2</v>
      </c>
      <c r="E3" t="s">
        <v>14</v>
      </c>
      <c r="F3">
        <v>6062</v>
      </c>
      <c r="G3" t="s">
        <v>17</v>
      </c>
      <c r="H3" t="s">
        <v>18</v>
      </c>
      <c r="I3" t="s">
        <v>15</v>
      </c>
    </row>
    <row r="4" spans="1:20" x14ac:dyDescent="0.25">
      <c r="A4" s="3">
        <v>44183</v>
      </c>
      <c r="B4">
        <v>1</v>
      </c>
      <c r="C4" t="s">
        <v>8</v>
      </c>
      <c r="D4">
        <v>6.3E-2</v>
      </c>
      <c r="E4" t="s">
        <v>16</v>
      </c>
      <c r="F4">
        <v>6108</v>
      </c>
      <c r="G4" t="s">
        <v>21</v>
      </c>
      <c r="H4" t="s">
        <v>20</v>
      </c>
      <c r="I4" t="s">
        <v>19</v>
      </c>
      <c r="P4">
        <v>40</v>
      </c>
      <c r="Q4">
        <f>(Q5*P4)/P5</f>
        <v>840.74722934714225</v>
      </c>
      <c r="R4">
        <f>840/60</f>
        <v>14</v>
      </c>
      <c r="S4">
        <f>5*14</f>
        <v>70</v>
      </c>
      <c r="T4">
        <f>70/24</f>
        <v>2.9166666666666665</v>
      </c>
    </row>
    <row r="5" spans="1:20" x14ac:dyDescent="0.25">
      <c r="A5" s="3">
        <v>44186</v>
      </c>
      <c r="B5">
        <v>1</v>
      </c>
      <c r="C5" t="s">
        <v>8</v>
      </c>
      <c r="D5">
        <v>6.3E-2</v>
      </c>
      <c r="E5" t="s">
        <v>14</v>
      </c>
      <c r="F5">
        <v>6586</v>
      </c>
      <c r="G5" t="s">
        <v>22</v>
      </c>
      <c r="H5" t="s">
        <v>23</v>
      </c>
      <c r="I5" t="s">
        <v>24</v>
      </c>
      <c r="P5">
        <v>41326</v>
      </c>
      <c r="Q5">
        <v>868618</v>
      </c>
    </row>
    <row r="6" spans="1:20" x14ac:dyDescent="0.25">
      <c r="A6" s="3">
        <v>44186</v>
      </c>
      <c r="B6">
        <v>1</v>
      </c>
      <c r="C6" t="s">
        <v>8</v>
      </c>
      <c r="D6">
        <v>6.3E-2</v>
      </c>
      <c r="E6" t="s">
        <v>14</v>
      </c>
      <c r="F6">
        <v>6625</v>
      </c>
      <c r="G6" t="s">
        <v>26</v>
      </c>
      <c r="H6" t="s">
        <v>27</v>
      </c>
      <c r="I6" t="s">
        <v>25</v>
      </c>
    </row>
    <row r="7" spans="1:20" x14ac:dyDescent="0.25">
      <c r="A7" s="3">
        <v>44186</v>
      </c>
      <c r="B7">
        <v>1</v>
      </c>
      <c r="C7" t="s">
        <v>8</v>
      </c>
      <c r="D7">
        <v>6.3E-2</v>
      </c>
      <c r="E7" t="s">
        <v>14</v>
      </c>
      <c r="F7">
        <v>6634</v>
      </c>
      <c r="G7" t="s">
        <v>29</v>
      </c>
      <c r="H7" t="s">
        <v>30</v>
      </c>
      <c r="I7" t="s">
        <v>28</v>
      </c>
    </row>
    <row r="8" spans="1:20" x14ac:dyDescent="0.25">
      <c r="A8" s="3">
        <v>44187</v>
      </c>
      <c r="B8">
        <v>1</v>
      </c>
      <c r="C8" t="s">
        <v>8</v>
      </c>
      <c r="D8">
        <v>6.3E-2</v>
      </c>
      <c r="E8" t="s">
        <v>14</v>
      </c>
      <c r="F8">
        <v>6718</v>
      </c>
      <c r="G8" t="s">
        <v>33</v>
      </c>
      <c r="H8" t="s">
        <v>32</v>
      </c>
      <c r="I8" t="s">
        <v>31</v>
      </c>
      <c r="P8">
        <v>40</v>
      </c>
      <c r="Q8">
        <f>(Q9*P8)/P9</f>
        <v>1681.4944586942845</v>
      </c>
      <c r="R8">
        <f>Q8/60</f>
        <v>28.02490764490474</v>
      </c>
    </row>
    <row r="9" spans="1:20" x14ac:dyDescent="0.25">
      <c r="P9" s="5">
        <v>2066300</v>
      </c>
      <c r="Q9">
        <v>86861800</v>
      </c>
    </row>
    <row r="11" spans="1:20" x14ac:dyDescent="0.25">
      <c r="P11" t="s">
        <v>34</v>
      </c>
    </row>
    <row r="12" spans="1:20" x14ac:dyDescent="0.25">
      <c r="P12" s="6">
        <v>575500</v>
      </c>
      <c r="Q12" s="7">
        <v>575500</v>
      </c>
      <c r="R12">
        <f>Q12/60</f>
        <v>9591.6666666666661</v>
      </c>
      <c r="S12">
        <f>R12/60</f>
        <v>159.86111111111111</v>
      </c>
      <c r="T12">
        <f>S12/24</f>
        <v>6.6608796296296298</v>
      </c>
    </row>
    <row r="13" spans="1:20" x14ac:dyDescent="0.25">
      <c r="A13" s="3">
        <v>44196</v>
      </c>
      <c r="F13">
        <v>7661</v>
      </c>
      <c r="G13" t="s">
        <v>22</v>
      </c>
      <c r="I13" t="s">
        <v>40</v>
      </c>
      <c r="T13" t="s">
        <v>35</v>
      </c>
    </row>
    <row r="14" spans="1:20" x14ac:dyDescent="0.25">
      <c r="A14" s="3">
        <v>44196</v>
      </c>
      <c r="F14">
        <v>7404</v>
      </c>
      <c r="G14" t="s">
        <v>26</v>
      </c>
      <c r="I14" t="s">
        <v>37</v>
      </c>
    </row>
    <row r="15" spans="1:20" x14ac:dyDescent="0.25">
      <c r="A15" s="3">
        <v>44196</v>
      </c>
      <c r="F15">
        <v>7658</v>
      </c>
      <c r="G15" t="s">
        <v>29</v>
      </c>
      <c r="I15" t="s">
        <v>38</v>
      </c>
      <c r="P15">
        <f>457005/868618</f>
        <v>0.52612886216956134</v>
      </c>
      <c r="Q15" t="s">
        <v>36</v>
      </c>
    </row>
    <row r="16" spans="1:20" x14ac:dyDescent="0.25">
      <c r="A16" s="3">
        <v>44196</v>
      </c>
      <c r="F16">
        <v>7659</v>
      </c>
      <c r="G16" t="s">
        <v>33</v>
      </c>
      <c r="I16" t="s">
        <v>39</v>
      </c>
    </row>
    <row r="18" spans="1:20" x14ac:dyDescent="0.25">
      <c r="P18">
        <v>5300</v>
      </c>
      <c r="Q18">
        <f>(5300*660)/46</f>
        <v>76043.478260869568</v>
      </c>
      <c r="R18">
        <f>Q5/Q18</f>
        <v>11.422649514008004</v>
      </c>
    </row>
    <row r="19" spans="1:20" x14ac:dyDescent="0.25">
      <c r="A19" s="2" t="s">
        <v>76</v>
      </c>
      <c r="P19">
        <v>46</v>
      </c>
      <c r="Q19">
        <f>11*60</f>
        <v>660</v>
      </c>
    </row>
    <row r="21" spans="1:20" x14ac:dyDescent="0.25">
      <c r="A21" s="3">
        <v>44260</v>
      </c>
      <c r="B21">
        <v>2</v>
      </c>
      <c r="C21" t="s">
        <v>44</v>
      </c>
      <c r="D21">
        <v>7.0000000000000007E-2</v>
      </c>
      <c r="E21" t="s">
        <v>14</v>
      </c>
      <c r="F21">
        <v>46612</v>
      </c>
      <c r="I21" t="s">
        <v>45</v>
      </c>
    </row>
    <row r="22" spans="1:20" x14ac:dyDescent="0.25">
      <c r="A22" s="3">
        <v>44263</v>
      </c>
      <c r="B22">
        <v>2</v>
      </c>
      <c r="C22" t="s">
        <v>44</v>
      </c>
      <c r="D22">
        <v>7.0000000000000007E-2</v>
      </c>
      <c r="E22" t="s">
        <v>14</v>
      </c>
      <c r="F22">
        <v>48099</v>
      </c>
      <c r="I22" t="s">
        <v>46</v>
      </c>
      <c r="P22">
        <v>56</v>
      </c>
      <c r="Q22">
        <f>(Q23*P22)/P23</f>
        <v>6627.0583106267031</v>
      </c>
      <c r="R22">
        <f>Q22/60</f>
        <v>110.45097184377839</v>
      </c>
      <c r="S22">
        <f>R22/24</f>
        <v>4.6021238268240996</v>
      </c>
    </row>
    <row r="23" spans="1:20" x14ac:dyDescent="0.25">
      <c r="A23" s="3">
        <v>44263</v>
      </c>
      <c r="B23">
        <v>2</v>
      </c>
      <c r="C23" t="s">
        <v>44</v>
      </c>
      <c r="D23">
        <v>7.0000000000000007E-2</v>
      </c>
      <c r="E23" t="s">
        <v>14</v>
      </c>
      <c r="F23">
        <v>48164</v>
      </c>
      <c r="I23" t="s">
        <v>47</v>
      </c>
      <c r="P23">
        <v>7340</v>
      </c>
      <c r="Q23">
        <v>868618</v>
      </c>
    </row>
    <row r="24" spans="1:20" x14ac:dyDescent="0.25">
      <c r="A24" s="3">
        <v>44263</v>
      </c>
      <c r="B24">
        <v>2</v>
      </c>
      <c r="C24" t="s">
        <v>44</v>
      </c>
      <c r="D24">
        <v>7.0000000000000007E-2</v>
      </c>
      <c r="E24" t="s">
        <v>14</v>
      </c>
      <c r="F24">
        <v>48176</v>
      </c>
      <c r="I24" t="s">
        <v>48</v>
      </c>
    </row>
    <row r="25" spans="1:20" x14ac:dyDescent="0.25">
      <c r="A25" s="3">
        <v>44263</v>
      </c>
      <c r="B25">
        <v>2</v>
      </c>
      <c r="C25" t="s">
        <v>44</v>
      </c>
      <c r="D25">
        <v>7.0000000000000007E-2</v>
      </c>
      <c r="E25" t="s">
        <v>14</v>
      </c>
      <c r="F25">
        <v>48200</v>
      </c>
      <c r="I25" t="s">
        <v>49</v>
      </c>
      <c r="P25" t="s">
        <v>41</v>
      </c>
    </row>
    <row r="26" spans="1:20" x14ac:dyDescent="0.25">
      <c r="A26" s="3">
        <v>44264</v>
      </c>
      <c r="B26">
        <v>2</v>
      </c>
      <c r="C26" t="s">
        <v>44</v>
      </c>
      <c r="D26">
        <v>7.0000000000000007E-2</v>
      </c>
      <c r="E26" t="s">
        <v>14</v>
      </c>
      <c r="F26">
        <v>48334</v>
      </c>
      <c r="I26" t="s">
        <v>50</v>
      </c>
      <c r="O26" t="s">
        <v>42</v>
      </c>
      <c r="P26">
        <f>16*60+57</f>
        <v>1017</v>
      </c>
      <c r="Q26">
        <f>(Q27*P26)/P27</f>
        <v>6085.4660347333684</v>
      </c>
      <c r="R26">
        <f>Q26/60</f>
        <v>101.42443391222281</v>
      </c>
      <c r="S26">
        <f>R26/24</f>
        <v>4.2260180796759501</v>
      </c>
    </row>
    <row r="27" spans="1:20" x14ac:dyDescent="0.25">
      <c r="A27" s="3">
        <v>44264</v>
      </c>
      <c r="B27">
        <v>2</v>
      </c>
      <c r="C27" t="s">
        <v>44</v>
      </c>
      <c r="D27">
        <v>7.0000000000000007E-2</v>
      </c>
      <c r="E27" t="s">
        <v>14</v>
      </c>
      <c r="F27">
        <v>49054</v>
      </c>
      <c r="I27" t="s">
        <v>51</v>
      </c>
      <c r="O27" t="s">
        <v>43</v>
      </c>
      <c r="P27">
        <v>145163</v>
      </c>
      <c r="Q27">
        <v>868618</v>
      </c>
    </row>
    <row r="28" spans="1:20" x14ac:dyDescent="0.25">
      <c r="A28" s="3">
        <v>44264</v>
      </c>
      <c r="B28">
        <v>2</v>
      </c>
      <c r="C28" t="s">
        <v>44</v>
      </c>
      <c r="D28">
        <v>7.0000000000000007E-2</v>
      </c>
      <c r="E28" t="s">
        <v>14</v>
      </c>
      <c r="F28">
        <v>49058</v>
      </c>
      <c r="I28" t="s">
        <v>52</v>
      </c>
    </row>
    <row r="29" spans="1:20" x14ac:dyDescent="0.25">
      <c r="A29" s="3">
        <v>44264</v>
      </c>
      <c r="B29">
        <v>2</v>
      </c>
      <c r="C29" t="s">
        <v>44</v>
      </c>
      <c r="D29">
        <v>7.0000000000000007E-2</v>
      </c>
      <c r="E29" t="s">
        <v>14</v>
      </c>
      <c r="F29">
        <v>49061</v>
      </c>
      <c r="G29" t="s">
        <v>54</v>
      </c>
      <c r="H29" t="s">
        <v>27</v>
      </c>
      <c r="I29" t="s">
        <v>53</v>
      </c>
      <c r="J29">
        <v>97</v>
      </c>
      <c r="K29">
        <v>1</v>
      </c>
    </row>
    <row r="30" spans="1:20" x14ac:dyDescent="0.25">
      <c r="A30" s="3">
        <v>44264</v>
      </c>
      <c r="B30">
        <v>2</v>
      </c>
      <c r="C30" t="s">
        <v>44</v>
      </c>
      <c r="D30">
        <v>7.0000000000000007E-2</v>
      </c>
      <c r="E30" t="s">
        <v>14</v>
      </c>
      <c r="F30">
        <v>49099</v>
      </c>
      <c r="G30" t="s">
        <v>57</v>
      </c>
      <c r="H30" t="s">
        <v>56</v>
      </c>
      <c r="I30" t="s">
        <v>55</v>
      </c>
      <c r="J30">
        <v>97</v>
      </c>
      <c r="K30">
        <v>2</v>
      </c>
      <c r="Q30">
        <f>64*100</f>
        <v>6400</v>
      </c>
    </row>
    <row r="31" spans="1:20" x14ac:dyDescent="0.25">
      <c r="A31" s="3">
        <v>44265</v>
      </c>
      <c r="B31">
        <v>2</v>
      </c>
      <c r="C31" t="s">
        <v>44</v>
      </c>
      <c r="D31">
        <v>7.0000000000000007E-2</v>
      </c>
      <c r="E31" t="s">
        <v>14</v>
      </c>
      <c r="F31">
        <v>49175</v>
      </c>
      <c r="I31" t="s">
        <v>58</v>
      </c>
    </row>
    <row r="32" spans="1:20" x14ac:dyDescent="0.25">
      <c r="A32" s="3">
        <v>44265</v>
      </c>
      <c r="B32">
        <v>2</v>
      </c>
      <c r="C32" t="s">
        <v>44</v>
      </c>
      <c r="D32">
        <v>7.0000000000000007E-2</v>
      </c>
      <c r="E32" t="s">
        <v>14</v>
      </c>
      <c r="F32">
        <v>49206</v>
      </c>
      <c r="G32" t="s">
        <v>59</v>
      </c>
      <c r="H32" s="4" t="s">
        <v>27</v>
      </c>
      <c r="I32" t="s">
        <v>60</v>
      </c>
      <c r="J32">
        <v>26</v>
      </c>
      <c r="K32">
        <v>3</v>
      </c>
      <c r="Q32" t="s">
        <v>73</v>
      </c>
      <c r="R32" t="s">
        <v>42</v>
      </c>
      <c r="S32" t="s">
        <v>74</v>
      </c>
      <c r="T32" t="s">
        <v>35</v>
      </c>
    </row>
    <row r="33" spans="1:20" x14ac:dyDescent="0.25">
      <c r="A33" s="3">
        <v>44265</v>
      </c>
      <c r="B33">
        <v>2</v>
      </c>
      <c r="C33" t="s">
        <v>44</v>
      </c>
      <c r="D33">
        <v>7.0000000000000007E-2</v>
      </c>
      <c r="E33" t="s">
        <v>14</v>
      </c>
      <c r="F33">
        <v>49313</v>
      </c>
      <c r="G33" t="s">
        <v>62</v>
      </c>
      <c r="H33" t="s">
        <v>65</v>
      </c>
      <c r="I33" t="s">
        <v>60</v>
      </c>
      <c r="J33">
        <v>68</v>
      </c>
      <c r="K33">
        <v>4</v>
      </c>
      <c r="Q33">
        <v>868617</v>
      </c>
      <c r="R33">
        <f>(Q33/Q34)*R34</f>
        <v>5063.5317305830431</v>
      </c>
      <c r="S33">
        <f>R33/60</f>
        <v>84.392195509717382</v>
      </c>
      <c r="T33">
        <f>S33/24</f>
        <v>3.5163414795715577</v>
      </c>
    </row>
    <row r="34" spans="1:20" x14ac:dyDescent="0.25">
      <c r="A34" s="3">
        <v>44265</v>
      </c>
      <c r="B34">
        <v>2</v>
      </c>
      <c r="C34" t="s">
        <v>44</v>
      </c>
      <c r="D34">
        <v>7.0000000000000007E-2</v>
      </c>
      <c r="E34" t="s">
        <v>14</v>
      </c>
      <c r="F34">
        <v>49336</v>
      </c>
      <c r="G34" t="s">
        <v>64</v>
      </c>
      <c r="H34" t="s">
        <v>65</v>
      </c>
      <c r="I34" t="s">
        <v>60</v>
      </c>
      <c r="J34">
        <v>32</v>
      </c>
      <c r="K34">
        <v>5</v>
      </c>
      <c r="Q34">
        <v>196246</v>
      </c>
      <c r="R34">
        <f>19*60+4</f>
        <v>1144</v>
      </c>
    </row>
    <row r="35" spans="1:20" x14ac:dyDescent="0.25">
      <c r="A35" s="3">
        <v>44266</v>
      </c>
      <c r="B35">
        <v>2</v>
      </c>
      <c r="C35" t="s">
        <v>44</v>
      </c>
      <c r="D35">
        <v>7.0000000000000007E-2</v>
      </c>
      <c r="E35" t="s">
        <v>14</v>
      </c>
      <c r="F35">
        <v>50181</v>
      </c>
      <c r="G35" t="s">
        <v>68</v>
      </c>
      <c r="H35" t="s">
        <v>67</v>
      </c>
      <c r="I35" t="s">
        <v>66</v>
      </c>
      <c r="J35">
        <v>100</v>
      </c>
      <c r="K35">
        <v>6</v>
      </c>
    </row>
    <row r="36" spans="1:20" x14ac:dyDescent="0.25">
      <c r="A36" s="3">
        <v>44266</v>
      </c>
      <c r="B36">
        <v>2</v>
      </c>
      <c r="C36" t="s">
        <v>44</v>
      </c>
      <c r="D36">
        <v>7.0000000000000007E-2</v>
      </c>
      <c r="E36" t="s">
        <v>14</v>
      </c>
      <c r="F36">
        <v>50191</v>
      </c>
      <c r="G36" t="s">
        <v>70</v>
      </c>
      <c r="H36" t="s">
        <v>65</v>
      </c>
      <c r="I36" t="s">
        <v>69</v>
      </c>
      <c r="J36">
        <v>40</v>
      </c>
      <c r="K36">
        <v>7</v>
      </c>
    </row>
    <row r="38" spans="1:20" x14ac:dyDescent="0.25">
      <c r="A38" t="s">
        <v>71</v>
      </c>
    </row>
    <row r="39" spans="1:20" x14ac:dyDescent="0.25">
      <c r="A39" s="3">
        <v>44266</v>
      </c>
      <c r="F39">
        <v>50290</v>
      </c>
      <c r="G39" t="s">
        <v>54</v>
      </c>
      <c r="I39" t="s">
        <v>72</v>
      </c>
      <c r="J39">
        <v>96</v>
      </c>
      <c r="K39">
        <v>1</v>
      </c>
      <c r="L39">
        <v>450900.76</v>
      </c>
      <c r="M39">
        <f t="shared" ref="M39:M42" si="0">L39/60/60/24</f>
        <v>5.2187587962962967</v>
      </c>
    </row>
    <row r="40" spans="1:20" x14ac:dyDescent="0.25">
      <c r="A40" s="3">
        <v>44266</v>
      </c>
      <c r="F40">
        <v>50292</v>
      </c>
      <c r="G40" t="s">
        <v>57</v>
      </c>
      <c r="J40">
        <v>97</v>
      </c>
      <c r="K40">
        <v>2</v>
      </c>
      <c r="L40">
        <v>390591.59</v>
      </c>
      <c r="M40">
        <f t="shared" si="0"/>
        <v>4.5207359953703703</v>
      </c>
    </row>
    <row r="41" spans="1:20" x14ac:dyDescent="0.25">
      <c r="A41" s="3">
        <v>44266</v>
      </c>
      <c r="F41">
        <v>50312</v>
      </c>
      <c r="G41" t="s">
        <v>62</v>
      </c>
      <c r="J41">
        <v>68</v>
      </c>
      <c r="K41">
        <v>4</v>
      </c>
      <c r="L41">
        <v>281567.77</v>
      </c>
      <c r="M41">
        <f t="shared" si="0"/>
        <v>3.2588862268518519</v>
      </c>
    </row>
    <row r="42" spans="1:20" x14ac:dyDescent="0.25">
      <c r="A42" s="3">
        <v>44266</v>
      </c>
      <c r="F42">
        <v>50313</v>
      </c>
      <c r="G42" t="s">
        <v>68</v>
      </c>
      <c r="J42">
        <v>100</v>
      </c>
      <c r="K42">
        <v>6</v>
      </c>
      <c r="L42">
        <v>340868.92</v>
      </c>
      <c r="M42">
        <f t="shared" si="0"/>
        <v>3.9452421296296296</v>
      </c>
      <c r="P42">
        <f>868617*68</f>
        <v>59065956</v>
      </c>
    </row>
    <row r="43" spans="1:20" x14ac:dyDescent="0.25">
      <c r="A43" s="3">
        <v>44267</v>
      </c>
      <c r="F43">
        <v>50790</v>
      </c>
      <c r="G43" t="s">
        <v>70</v>
      </c>
      <c r="I43" t="s">
        <v>75</v>
      </c>
      <c r="J43">
        <v>40</v>
      </c>
      <c r="K43">
        <v>7</v>
      </c>
      <c r="L43">
        <v>135036.09899999999</v>
      </c>
      <c r="M43">
        <f>L43/60/60/24</f>
        <v>1.5629178124999996</v>
      </c>
    </row>
    <row r="47" spans="1:20" x14ac:dyDescent="0.25">
      <c r="A47" s="2" t="s">
        <v>77</v>
      </c>
    </row>
    <row r="48" spans="1:20" x14ac:dyDescent="0.25">
      <c r="A48" s="2"/>
    </row>
    <row r="49" spans="1:19" x14ac:dyDescent="0.25">
      <c r="A49" s="3">
        <v>44272</v>
      </c>
      <c r="B49">
        <v>3</v>
      </c>
      <c r="C49" t="s">
        <v>80</v>
      </c>
      <c r="D49">
        <v>7.8750000000000001E-2</v>
      </c>
      <c r="E49" t="s">
        <v>14</v>
      </c>
      <c r="F49">
        <v>52151</v>
      </c>
      <c r="G49" t="s">
        <v>83</v>
      </c>
      <c r="H49" t="s">
        <v>84</v>
      </c>
      <c r="I49" t="s">
        <v>81</v>
      </c>
      <c r="J49">
        <v>100</v>
      </c>
      <c r="K49">
        <v>1</v>
      </c>
    </row>
    <row r="50" spans="1:19" x14ac:dyDescent="0.25">
      <c r="A50" s="3">
        <v>44272</v>
      </c>
      <c r="B50">
        <v>3</v>
      </c>
      <c r="C50" t="s">
        <v>80</v>
      </c>
      <c r="D50">
        <v>7.8750000000000001E-2</v>
      </c>
      <c r="E50" t="s">
        <v>14</v>
      </c>
      <c r="F50">
        <v>52172</v>
      </c>
      <c r="G50" t="s">
        <v>85</v>
      </c>
      <c r="H50" t="s">
        <v>87</v>
      </c>
      <c r="I50" t="s">
        <v>86</v>
      </c>
      <c r="J50" t="s">
        <v>89</v>
      </c>
    </row>
    <row r="51" spans="1:19" x14ac:dyDescent="0.25">
      <c r="A51" s="3">
        <v>44273</v>
      </c>
      <c r="B51">
        <v>3</v>
      </c>
      <c r="C51" t="s">
        <v>80</v>
      </c>
      <c r="D51">
        <v>7.8750000000000001E-2</v>
      </c>
      <c r="E51" t="s">
        <v>14</v>
      </c>
      <c r="F51">
        <v>52554</v>
      </c>
      <c r="G51" t="s">
        <v>91</v>
      </c>
      <c r="I51" t="s">
        <v>88</v>
      </c>
      <c r="J51" t="s">
        <v>89</v>
      </c>
    </row>
    <row r="52" spans="1:19" x14ac:dyDescent="0.25">
      <c r="A52" s="3">
        <v>44274</v>
      </c>
      <c r="B52">
        <v>3</v>
      </c>
      <c r="C52" t="s">
        <v>80</v>
      </c>
      <c r="D52">
        <v>7.8750000000000001E-2</v>
      </c>
      <c r="E52" t="s">
        <v>14</v>
      </c>
      <c r="F52">
        <v>55577</v>
      </c>
      <c r="G52" t="s">
        <v>92</v>
      </c>
      <c r="I52" t="s">
        <v>90</v>
      </c>
      <c r="J52">
        <v>100</v>
      </c>
      <c r="K52">
        <v>2</v>
      </c>
    </row>
    <row r="53" spans="1:19" x14ac:dyDescent="0.25">
      <c r="A53" s="3">
        <v>44274</v>
      </c>
      <c r="B53">
        <v>3</v>
      </c>
      <c r="C53" t="s">
        <v>80</v>
      </c>
      <c r="D53">
        <v>7.8750000000000001E-2</v>
      </c>
      <c r="E53" t="s">
        <v>14</v>
      </c>
      <c r="F53">
        <v>56116</v>
      </c>
      <c r="G53" t="s">
        <v>94</v>
      </c>
      <c r="I53" t="s">
        <v>93</v>
      </c>
      <c r="J53">
        <v>100</v>
      </c>
      <c r="K53">
        <v>3</v>
      </c>
    </row>
    <row r="54" spans="1:19" x14ac:dyDescent="0.25">
      <c r="A54" s="3">
        <v>44274</v>
      </c>
      <c r="B54">
        <v>3</v>
      </c>
      <c r="C54" t="s">
        <v>80</v>
      </c>
      <c r="D54">
        <v>7.8750000000000001E-2</v>
      </c>
      <c r="E54" t="s">
        <v>14</v>
      </c>
      <c r="F54">
        <v>56153</v>
      </c>
      <c r="G54" t="s">
        <v>95</v>
      </c>
      <c r="I54" t="s">
        <v>93</v>
      </c>
      <c r="J54">
        <v>100</v>
      </c>
      <c r="K54">
        <v>4</v>
      </c>
    </row>
    <row r="55" spans="1:19" x14ac:dyDescent="0.25">
      <c r="P55" t="s">
        <v>133</v>
      </c>
    </row>
    <row r="56" spans="1:19" x14ac:dyDescent="0.25">
      <c r="A56" t="s">
        <v>71</v>
      </c>
      <c r="P56" t="s">
        <v>127</v>
      </c>
      <c r="Q56" t="s">
        <v>128</v>
      </c>
      <c r="R56" t="s">
        <v>129</v>
      </c>
      <c r="S56" t="s">
        <v>130</v>
      </c>
    </row>
    <row r="57" spans="1:19" x14ac:dyDescent="0.25">
      <c r="A57" s="3">
        <v>44277</v>
      </c>
      <c r="F57">
        <v>56586</v>
      </c>
      <c r="G57" t="s">
        <v>83</v>
      </c>
      <c r="H57" t="s">
        <v>131</v>
      </c>
      <c r="P57">
        <v>308649.43</v>
      </c>
      <c r="Q57">
        <f t="shared" ref="Q57:R57" si="1">P57/60</f>
        <v>5144.1571666666669</v>
      </c>
      <c r="R57">
        <f t="shared" si="1"/>
        <v>85.735952777777783</v>
      </c>
      <c r="S57">
        <f t="shared" ref="S57:S59" si="2">R57/24</f>
        <v>3.5723313657407409</v>
      </c>
    </row>
    <row r="58" spans="1:19" x14ac:dyDescent="0.25">
      <c r="A58" s="3">
        <v>44277</v>
      </c>
      <c r="F58">
        <v>56588</v>
      </c>
      <c r="G58" t="s">
        <v>92</v>
      </c>
      <c r="H58" t="s">
        <v>134</v>
      </c>
      <c r="P58">
        <v>324030.36</v>
      </c>
      <c r="Q58">
        <f t="shared" ref="Q58:R58" si="3">P58/60</f>
        <v>5400.5059999999994</v>
      </c>
      <c r="R58">
        <f t="shared" si="3"/>
        <v>90.008433333333329</v>
      </c>
      <c r="S58">
        <f t="shared" si="2"/>
        <v>3.7503513888888889</v>
      </c>
    </row>
    <row r="59" spans="1:19" x14ac:dyDescent="0.25">
      <c r="A59" s="3">
        <v>44277</v>
      </c>
      <c r="F59">
        <v>56590</v>
      </c>
      <c r="G59" t="s">
        <v>94</v>
      </c>
      <c r="H59" t="s">
        <v>131</v>
      </c>
      <c r="P59">
        <v>307773.38</v>
      </c>
      <c r="Q59">
        <f t="shared" ref="Q59:R59" si="4">P59/60</f>
        <v>5129.556333333333</v>
      </c>
      <c r="R59">
        <f t="shared" si="4"/>
        <v>85.492605555555556</v>
      </c>
      <c r="S59">
        <f t="shared" si="2"/>
        <v>3.5621918981481482</v>
      </c>
    </row>
    <row r="60" spans="1:19" x14ac:dyDescent="0.25">
      <c r="A60" s="3">
        <v>44277</v>
      </c>
      <c r="F60">
        <v>56591</v>
      </c>
      <c r="G60" t="s">
        <v>95</v>
      </c>
      <c r="H60" t="s">
        <v>131</v>
      </c>
      <c r="P60">
        <v>310299.34999999998</v>
      </c>
      <c r="Q60">
        <f>P60/60</f>
        <v>5171.6558333333332</v>
      </c>
      <c r="R60">
        <f>Q60/60</f>
        <v>86.194263888888884</v>
      </c>
      <c r="S60">
        <f>R60/24</f>
        <v>3.5914276620370367</v>
      </c>
    </row>
    <row r="63" spans="1:19" x14ac:dyDescent="0.25">
      <c r="A63" s="2" t="s">
        <v>96</v>
      </c>
    </row>
    <row r="65" spans="1:11" x14ac:dyDescent="0.25">
      <c r="A65" s="3">
        <v>44285</v>
      </c>
      <c r="B65">
        <v>1</v>
      </c>
      <c r="C65" t="s">
        <v>97</v>
      </c>
      <c r="D65">
        <v>6.3E-2</v>
      </c>
      <c r="E65" t="s">
        <v>14</v>
      </c>
      <c r="F65">
        <v>97919</v>
      </c>
      <c r="I65" t="s">
        <v>102</v>
      </c>
    </row>
    <row r="66" spans="1:11" x14ac:dyDescent="0.25">
      <c r="A66" s="3">
        <v>44287</v>
      </c>
      <c r="B66">
        <v>1</v>
      </c>
      <c r="C66" t="s">
        <v>97</v>
      </c>
      <c r="D66">
        <v>6.3E-2</v>
      </c>
      <c r="E66" t="s">
        <v>98</v>
      </c>
      <c r="F66">
        <v>100897</v>
      </c>
      <c r="I66" t="s">
        <v>101</v>
      </c>
    </row>
    <row r="67" spans="1:11" x14ac:dyDescent="0.25">
      <c r="A67" s="3">
        <v>44288</v>
      </c>
      <c r="B67">
        <v>1</v>
      </c>
      <c r="C67" t="s">
        <v>97</v>
      </c>
      <c r="D67">
        <v>6.3E-2</v>
      </c>
      <c r="E67" t="s">
        <v>10</v>
      </c>
      <c r="F67">
        <v>106280</v>
      </c>
      <c r="I67" t="s">
        <v>100</v>
      </c>
    </row>
    <row r="68" spans="1:11" x14ac:dyDescent="0.25">
      <c r="A68" s="3">
        <v>44288</v>
      </c>
      <c r="B68">
        <v>1</v>
      </c>
      <c r="C68" t="s">
        <v>97</v>
      </c>
      <c r="D68">
        <v>6.3E-2</v>
      </c>
      <c r="E68" t="s">
        <v>99</v>
      </c>
      <c r="F68">
        <v>106520</v>
      </c>
      <c r="I68" t="s">
        <v>103</v>
      </c>
    </row>
    <row r="69" spans="1:11" x14ac:dyDescent="0.25">
      <c r="A69" s="3">
        <v>44291</v>
      </c>
      <c r="B69">
        <v>1</v>
      </c>
      <c r="C69" t="s">
        <v>97</v>
      </c>
      <c r="D69">
        <v>6.3E-2</v>
      </c>
      <c r="E69" t="s">
        <v>99</v>
      </c>
      <c r="F69">
        <v>142139</v>
      </c>
      <c r="I69" t="s">
        <v>104</v>
      </c>
    </row>
    <row r="70" spans="1:11" x14ac:dyDescent="0.25">
      <c r="A70" s="3">
        <v>44291</v>
      </c>
      <c r="B70">
        <v>1</v>
      </c>
      <c r="C70" t="s">
        <v>97</v>
      </c>
      <c r="D70">
        <v>6.3E-2</v>
      </c>
      <c r="E70" t="s">
        <v>99</v>
      </c>
      <c r="F70">
        <v>142140</v>
      </c>
      <c r="I70" t="s">
        <v>105</v>
      </c>
    </row>
    <row r="71" spans="1:11" x14ac:dyDescent="0.25">
      <c r="A71" s="3">
        <v>44293</v>
      </c>
      <c r="B71">
        <v>1</v>
      </c>
      <c r="C71" t="s">
        <v>97</v>
      </c>
      <c r="D71">
        <v>6.3E-2</v>
      </c>
      <c r="E71" t="s">
        <v>98</v>
      </c>
      <c r="F71">
        <v>143441</v>
      </c>
      <c r="I71" t="s">
        <v>106</v>
      </c>
    </row>
    <row r="72" spans="1:11" x14ac:dyDescent="0.25">
      <c r="A72" s="3">
        <v>44293</v>
      </c>
      <c r="B72">
        <v>1</v>
      </c>
      <c r="C72" t="s">
        <v>97</v>
      </c>
      <c r="D72">
        <v>6.3E-2</v>
      </c>
      <c r="E72" t="s">
        <v>98</v>
      </c>
      <c r="F72">
        <v>143453</v>
      </c>
      <c r="G72" t="s">
        <v>108</v>
      </c>
      <c r="H72" t="s">
        <v>113</v>
      </c>
      <c r="I72" t="s">
        <v>107</v>
      </c>
      <c r="J72">
        <v>27</v>
      </c>
      <c r="K72">
        <v>1</v>
      </c>
    </row>
    <row r="73" spans="1:11" x14ac:dyDescent="0.25">
      <c r="A73" s="3">
        <v>44293</v>
      </c>
      <c r="B73">
        <v>1</v>
      </c>
      <c r="C73" t="s">
        <v>97</v>
      </c>
      <c r="D73">
        <v>6.3E-2</v>
      </c>
      <c r="E73" t="s">
        <v>98</v>
      </c>
      <c r="F73">
        <v>143588</v>
      </c>
      <c r="G73" t="s">
        <v>110</v>
      </c>
      <c r="H73" t="s">
        <v>112</v>
      </c>
      <c r="I73" t="s">
        <v>109</v>
      </c>
      <c r="J73">
        <v>50</v>
      </c>
      <c r="K73">
        <v>2</v>
      </c>
    </row>
    <row r="74" spans="1:11" x14ac:dyDescent="0.25">
      <c r="A74" s="3">
        <v>44294</v>
      </c>
      <c r="B74">
        <v>1</v>
      </c>
      <c r="C74" t="s">
        <v>97</v>
      </c>
      <c r="D74">
        <v>6.3E-2</v>
      </c>
      <c r="E74" t="s">
        <v>98</v>
      </c>
      <c r="F74">
        <v>144368</v>
      </c>
      <c r="G74" t="s">
        <v>114</v>
      </c>
      <c r="H74" t="s">
        <v>65</v>
      </c>
      <c r="I74" t="s">
        <v>111</v>
      </c>
      <c r="J74">
        <v>50</v>
      </c>
      <c r="K74">
        <v>3</v>
      </c>
    </row>
    <row r="75" spans="1:11" x14ac:dyDescent="0.25">
      <c r="A75" s="3">
        <v>44294</v>
      </c>
      <c r="B75">
        <v>1</v>
      </c>
      <c r="C75" t="s">
        <v>97</v>
      </c>
      <c r="D75">
        <v>6.3E-2</v>
      </c>
      <c r="E75" t="s">
        <v>98</v>
      </c>
      <c r="F75">
        <v>144572</v>
      </c>
      <c r="G75" t="s">
        <v>116</v>
      </c>
      <c r="H75" t="s">
        <v>115</v>
      </c>
      <c r="I75" t="s">
        <v>111</v>
      </c>
      <c r="J75">
        <v>50</v>
      </c>
      <c r="K75">
        <v>4</v>
      </c>
    </row>
    <row r="76" spans="1:11" x14ac:dyDescent="0.25">
      <c r="A76" s="3">
        <v>44294</v>
      </c>
      <c r="B76">
        <v>1</v>
      </c>
      <c r="C76" t="s">
        <v>97</v>
      </c>
      <c r="D76">
        <v>6.3E-2</v>
      </c>
      <c r="E76" t="s">
        <v>98</v>
      </c>
      <c r="F76">
        <v>145013</v>
      </c>
      <c r="G76" t="s">
        <v>118</v>
      </c>
      <c r="H76" t="s">
        <v>117</v>
      </c>
      <c r="I76" t="s">
        <v>111</v>
      </c>
      <c r="J76">
        <v>50</v>
      </c>
      <c r="K76">
        <v>5</v>
      </c>
    </row>
    <row r="77" spans="1:11" x14ac:dyDescent="0.25">
      <c r="A77" s="3">
        <v>44294</v>
      </c>
      <c r="B77">
        <v>1</v>
      </c>
      <c r="C77" t="s">
        <v>97</v>
      </c>
      <c r="D77">
        <v>6.3E-2</v>
      </c>
      <c r="E77" t="s">
        <v>98</v>
      </c>
      <c r="F77">
        <v>146628</v>
      </c>
      <c r="G77" t="s">
        <v>120</v>
      </c>
      <c r="H77" t="s">
        <v>119</v>
      </c>
      <c r="I77" t="s">
        <v>111</v>
      </c>
      <c r="J77">
        <v>50</v>
      </c>
      <c r="K77">
        <v>6</v>
      </c>
    </row>
    <row r="78" spans="1:11" x14ac:dyDescent="0.25">
      <c r="A78" s="3">
        <v>44294</v>
      </c>
      <c r="B78">
        <v>1</v>
      </c>
      <c r="C78" t="s">
        <v>97</v>
      </c>
      <c r="D78">
        <v>6.3E-2</v>
      </c>
      <c r="E78" t="s">
        <v>98</v>
      </c>
      <c r="F78">
        <v>148215</v>
      </c>
      <c r="G78" t="s">
        <v>122</v>
      </c>
      <c r="H78" t="s">
        <v>121</v>
      </c>
      <c r="I78" t="s">
        <v>111</v>
      </c>
      <c r="J78">
        <v>50</v>
      </c>
      <c r="K78">
        <v>7</v>
      </c>
    </row>
    <row r="79" spans="1:11" x14ac:dyDescent="0.25">
      <c r="A79" s="3">
        <v>44295</v>
      </c>
      <c r="B79">
        <v>1</v>
      </c>
      <c r="C79" t="s">
        <v>97</v>
      </c>
      <c r="D79">
        <v>6.3E-2</v>
      </c>
      <c r="E79" t="s">
        <v>98</v>
      </c>
      <c r="F79">
        <v>152597</v>
      </c>
      <c r="G79" t="s">
        <v>123</v>
      </c>
      <c r="H79" t="s">
        <v>124</v>
      </c>
      <c r="I79" t="s">
        <v>111</v>
      </c>
      <c r="J79">
        <v>50</v>
      </c>
      <c r="K79">
        <v>8</v>
      </c>
    </row>
    <row r="80" spans="1:11" x14ac:dyDescent="0.25">
      <c r="A80" s="3">
        <v>44295</v>
      </c>
      <c r="B80">
        <v>1</v>
      </c>
      <c r="C80" t="s">
        <v>97</v>
      </c>
      <c r="D80">
        <v>6.3E-2</v>
      </c>
      <c r="E80" t="s">
        <v>98</v>
      </c>
      <c r="F80">
        <v>152641</v>
      </c>
      <c r="G80" t="s">
        <v>125</v>
      </c>
      <c r="H80" t="s">
        <v>115</v>
      </c>
      <c r="I80" t="s">
        <v>111</v>
      </c>
      <c r="J80">
        <v>50</v>
      </c>
      <c r="K80">
        <v>9</v>
      </c>
    </row>
    <row r="82" spans="1:24" x14ac:dyDescent="0.25">
      <c r="A82" t="s">
        <v>126</v>
      </c>
      <c r="L82" t="s">
        <v>141</v>
      </c>
    </row>
    <row r="83" spans="1:24" x14ac:dyDescent="0.25">
      <c r="A83" s="3">
        <v>44298</v>
      </c>
      <c r="F83">
        <v>178573</v>
      </c>
      <c r="G83" t="s">
        <v>110</v>
      </c>
      <c r="H83" s="9" t="s">
        <v>140</v>
      </c>
      <c r="I83" t="s">
        <v>135</v>
      </c>
      <c r="J83">
        <v>50</v>
      </c>
      <c r="K83">
        <v>2</v>
      </c>
      <c r="M83" s="4" t="s">
        <v>132</v>
      </c>
    </row>
    <row r="84" spans="1:24" x14ac:dyDescent="0.25">
      <c r="A84" s="3">
        <v>44298</v>
      </c>
      <c r="F84">
        <v>178588</v>
      </c>
      <c r="G84" t="s">
        <v>114</v>
      </c>
      <c r="H84" s="9" t="s">
        <v>140</v>
      </c>
      <c r="I84" t="s">
        <v>136</v>
      </c>
      <c r="J84">
        <v>50</v>
      </c>
      <c r="K84">
        <v>3</v>
      </c>
      <c r="M84">
        <f>868617*50</f>
        <v>43430850</v>
      </c>
      <c r="U84" t="s">
        <v>142</v>
      </c>
      <c r="V84" t="s">
        <v>143</v>
      </c>
      <c r="W84" t="s">
        <v>74</v>
      </c>
      <c r="X84" t="s">
        <v>35</v>
      </c>
    </row>
    <row r="85" spans="1:24" x14ac:dyDescent="0.25">
      <c r="A85" s="3">
        <v>44298</v>
      </c>
      <c r="F85">
        <v>178596</v>
      </c>
      <c r="G85" t="s">
        <v>116</v>
      </c>
      <c r="H85" s="9" t="s">
        <v>140</v>
      </c>
      <c r="I85" t="s">
        <v>137</v>
      </c>
      <c r="J85">
        <v>50</v>
      </c>
      <c r="K85">
        <v>4</v>
      </c>
      <c r="O85" t="s">
        <v>133</v>
      </c>
      <c r="U85">
        <v>868617</v>
      </c>
      <c r="V85">
        <f>(U85/U86)*V86</f>
        <v>4993.7086010288995</v>
      </c>
      <c r="W85">
        <f>V85/60</f>
        <v>83.228476683814989</v>
      </c>
      <c r="X85">
        <f>W85/24</f>
        <v>3.4678531951589577</v>
      </c>
    </row>
    <row r="86" spans="1:24" x14ac:dyDescent="0.25">
      <c r="A86" s="3">
        <v>44298</v>
      </c>
      <c r="F86">
        <v>178703</v>
      </c>
      <c r="G86" t="s">
        <v>118</v>
      </c>
      <c r="H86" s="9" t="s">
        <v>140</v>
      </c>
      <c r="I86" t="s">
        <v>138</v>
      </c>
      <c r="J86">
        <v>50</v>
      </c>
      <c r="K86">
        <v>5</v>
      </c>
      <c r="O86" t="s">
        <v>127</v>
      </c>
      <c r="P86" t="s">
        <v>128</v>
      </c>
      <c r="Q86" t="s">
        <v>129</v>
      </c>
      <c r="R86" t="s">
        <v>130</v>
      </c>
      <c r="U86">
        <v>168724</v>
      </c>
      <c r="V86">
        <f>16*60+10</f>
        <v>970</v>
      </c>
    </row>
    <row r="87" spans="1:24" x14ac:dyDescent="0.25">
      <c r="A87" s="3">
        <v>44298</v>
      </c>
      <c r="F87">
        <v>179641</v>
      </c>
      <c r="G87" t="s">
        <v>120</v>
      </c>
      <c r="H87" s="10" t="s">
        <v>150</v>
      </c>
      <c r="I87" t="s">
        <v>139</v>
      </c>
      <c r="J87">
        <v>50</v>
      </c>
      <c r="K87">
        <v>6</v>
      </c>
      <c r="L87">
        <v>5405090</v>
      </c>
      <c r="O87">
        <v>272376.516</v>
      </c>
    </row>
    <row r="88" spans="1:24" x14ac:dyDescent="0.25">
      <c r="A88" s="3">
        <v>44298</v>
      </c>
      <c r="F88">
        <v>179658</v>
      </c>
      <c r="G88" t="s">
        <v>122</v>
      </c>
      <c r="H88" s="10" t="s">
        <v>149</v>
      </c>
      <c r="I88" t="s">
        <v>139</v>
      </c>
      <c r="J88">
        <v>50</v>
      </c>
      <c r="K88">
        <v>7</v>
      </c>
      <c r="L88">
        <v>5397660</v>
      </c>
      <c r="O88">
        <v>272956.00699999998</v>
      </c>
      <c r="U88">
        <v>868617</v>
      </c>
      <c r="V88">
        <f>(U88/U89)*V89</f>
        <v>4497.4093793176744</v>
      </c>
      <c r="W88">
        <f>V88/60</f>
        <v>74.956822988627906</v>
      </c>
      <c r="X88">
        <f>W88/24</f>
        <v>3.1232009578594959</v>
      </c>
    </row>
    <row r="89" spans="1:24" x14ac:dyDescent="0.25">
      <c r="A89" s="3">
        <v>44298</v>
      </c>
      <c r="F89">
        <v>179662</v>
      </c>
      <c r="G89" t="s">
        <v>123</v>
      </c>
      <c r="H89" s="10" t="s">
        <v>147</v>
      </c>
      <c r="I89" t="s">
        <v>139</v>
      </c>
      <c r="J89">
        <v>50</v>
      </c>
      <c r="K89">
        <v>8</v>
      </c>
      <c r="L89">
        <v>5395736</v>
      </c>
      <c r="O89">
        <v>272182.97700000001</v>
      </c>
      <c r="U89">
        <v>564540</v>
      </c>
      <c r="V89">
        <f>48*60+43</f>
        <v>2923</v>
      </c>
    </row>
    <row r="90" spans="1:24" x14ac:dyDescent="0.25">
      <c r="A90" s="3">
        <v>44298</v>
      </c>
      <c r="F90">
        <v>179664</v>
      </c>
      <c r="G90" t="s">
        <v>125</v>
      </c>
      <c r="H90" s="10" t="s">
        <v>148</v>
      </c>
      <c r="I90" t="s">
        <v>139</v>
      </c>
      <c r="J90">
        <v>50</v>
      </c>
      <c r="K90">
        <v>9</v>
      </c>
      <c r="L90">
        <v>5406912</v>
      </c>
      <c r="O90">
        <v>274048.95400000003</v>
      </c>
    </row>
    <row r="91" spans="1:24" x14ac:dyDescent="0.25">
      <c r="A91" s="3">
        <v>44299</v>
      </c>
      <c r="F91">
        <v>182348</v>
      </c>
      <c r="G91" t="s">
        <v>110</v>
      </c>
      <c r="H91" s="10" t="s">
        <v>151</v>
      </c>
      <c r="I91" t="s">
        <v>144</v>
      </c>
      <c r="J91">
        <v>50</v>
      </c>
      <c r="K91">
        <v>2</v>
      </c>
      <c r="L91">
        <v>5407136</v>
      </c>
    </row>
    <row r="92" spans="1:24" x14ac:dyDescent="0.25">
      <c r="A92" s="3">
        <v>44299</v>
      </c>
      <c r="F92">
        <v>182349</v>
      </c>
      <c r="G92" t="s">
        <v>116</v>
      </c>
      <c r="H92" s="10" t="s">
        <v>152</v>
      </c>
      <c r="I92" t="s">
        <v>155</v>
      </c>
      <c r="J92">
        <v>50</v>
      </c>
      <c r="K92">
        <v>3</v>
      </c>
      <c r="L92">
        <v>5397322</v>
      </c>
      <c r="V92" t="s">
        <v>146</v>
      </c>
    </row>
    <row r="93" spans="1:24" x14ac:dyDescent="0.25">
      <c r="A93" s="3">
        <v>44299</v>
      </c>
      <c r="F93">
        <v>182350</v>
      </c>
      <c r="G93" t="s">
        <v>116</v>
      </c>
      <c r="H93" s="10" t="s">
        <v>153</v>
      </c>
      <c r="I93" t="s">
        <v>144</v>
      </c>
      <c r="J93">
        <v>50</v>
      </c>
      <c r="K93">
        <v>4</v>
      </c>
      <c r="L93">
        <v>5397322</v>
      </c>
    </row>
    <row r="94" spans="1:24" x14ac:dyDescent="0.25">
      <c r="A94" s="3">
        <v>44299</v>
      </c>
      <c r="F94">
        <v>182351</v>
      </c>
      <c r="G94" t="s">
        <v>118</v>
      </c>
      <c r="H94" s="10" t="s">
        <v>154</v>
      </c>
      <c r="I94" t="s">
        <v>144</v>
      </c>
      <c r="J94">
        <v>50</v>
      </c>
      <c r="K94">
        <v>5</v>
      </c>
      <c r="L94">
        <v>5396626</v>
      </c>
    </row>
    <row r="95" spans="1:24" x14ac:dyDescent="0.25">
      <c r="A95" s="3">
        <v>44305</v>
      </c>
      <c r="F95">
        <v>192490</v>
      </c>
      <c r="G95" t="s">
        <v>114</v>
      </c>
      <c r="H95" s="10" t="s">
        <v>156</v>
      </c>
      <c r="I95" t="s">
        <v>144</v>
      </c>
      <c r="J95">
        <v>50</v>
      </c>
      <c r="K95">
        <v>3</v>
      </c>
      <c r="L95">
        <v>5394048</v>
      </c>
    </row>
    <row r="96" spans="1:24" x14ac:dyDescent="0.25">
      <c r="L96">
        <f>SUM(L87:L91)+SUM(L93:L95)</f>
        <v>43200530</v>
      </c>
      <c r="M96" t="s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24F4-F479-4002-8A2B-271FA253B2AD}">
  <dimension ref="A2:F4"/>
  <sheetViews>
    <sheetView workbookViewId="0">
      <selection activeCell="J3" sqref="J3"/>
    </sheetView>
  </sheetViews>
  <sheetFormatPr defaultRowHeight="15" x14ac:dyDescent="0.25"/>
  <cols>
    <col min="1" max="1" width="16.140625" bestFit="1" customWidth="1"/>
    <col min="2" max="2" width="13.85546875" bestFit="1" customWidth="1"/>
    <col min="3" max="3" width="9.28515625" bestFit="1" customWidth="1"/>
    <col min="4" max="4" width="10.140625" bestFit="1" customWidth="1"/>
    <col min="5" max="5" width="17.7109375" bestFit="1" customWidth="1"/>
  </cols>
  <sheetData>
    <row r="2" spans="1:6" x14ac:dyDescent="0.25">
      <c r="B2" t="s">
        <v>160</v>
      </c>
      <c r="C2" t="s">
        <v>161</v>
      </c>
      <c r="D2" t="s">
        <v>159</v>
      </c>
      <c r="E2" t="s">
        <v>162</v>
      </c>
      <c r="F2" t="s">
        <v>163</v>
      </c>
    </row>
    <row r="3" spans="1:6" x14ac:dyDescent="0.25">
      <c r="A3" t="s">
        <v>157</v>
      </c>
      <c r="B3" s="5">
        <v>1484654000</v>
      </c>
      <c r="C3" s="5">
        <f>B3/10000</f>
        <v>148465.4</v>
      </c>
      <c r="D3" s="5">
        <v>10000</v>
      </c>
      <c r="E3">
        <f>D3/C3</f>
        <v>6.7355761005594567E-2</v>
      </c>
      <c r="F3">
        <f>1/E3</f>
        <v>14.846540000000001</v>
      </c>
    </row>
    <row r="4" spans="1:6" x14ac:dyDescent="0.25">
      <c r="A4" t="s">
        <v>158</v>
      </c>
      <c r="B4" s="5">
        <v>31617406483.099899</v>
      </c>
      <c r="C4" s="5">
        <f>B4/10000</f>
        <v>3161740.6483099898</v>
      </c>
      <c r="D4" s="5">
        <v>200000</v>
      </c>
      <c r="E4">
        <f>D4/C4</f>
        <v>6.3256295264731408E-2</v>
      </c>
      <c r="F4">
        <f>1/E4</f>
        <v>15.808703241549948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Runs</vt:lpstr>
      <vt:lpstr>Monarch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Tyler J [NREM]</dc:creator>
  <cp:lastModifiedBy>Grant, Tyler J [NREM]</cp:lastModifiedBy>
  <dcterms:created xsi:type="dcterms:W3CDTF">2020-12-17T19:42:31Z</dcterms:created>
  <dcterms:modified xsi:type="dcterms:W3CDTF">2021-12-01T23:18:23Z</dcterms:modified>
</cp:coreProperties>
</file>