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iago\Downloads\"/>
    </mc:Choice>
  </mc:AlternateContent>
  <bookViews>
    <workbookView xWindow="480" yWindow="180" windowWidth="20730" windowHeight="9980" xr2:uid="{00000000-000D-0000-FFFF-FFFF00000000}"/>
  </bookViews>
  <sheets>
    <sheet name="TBM Flow 1D" sheetId="8" r:id="rId1"/>
  </sheets>
  <calcPr calcId="171027" iterate="1"/>
</workbook>
</file>

<file path=xl/calcChain.xml><?xml version="1.0" encoding="utf-8"?>
<calcChain xmlns="http://schemas.openxmlformats.org/spreadsheetml/2006/main">
  <c r="G3" i="8" l="1"/>
  <c r="B11" i="8"/>
  <c r="B13" i="8" s="1"/>
  <c r="B14" i="8" l="1"/>
  <c r="E3" i="8" l="1"/>
  <c r="D23" i="8"/>
  <c r="D4" i="8" s="1"/>
  <c r="H23" i="8"/>
  <c r="E4" i="8" l="1"/>
  <c r="F4" i="8" s="1"/>
  <c r="F3" i="8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E5" i="8" l="1"/>
  <c r="F5" i="8" s="1"/>
  <c r="E6" i="8" l="1"/>
  <c r="F6" i="8" s="1"/>
  <c r="E7" i="8" l="1"/>
  <c r="F7" i="8" s="1"/>
  <c r="E8" i="8" l="1"/>
  <c r="F8" i="8" s="1"/>
  <c r="E9" i="8" l="1"/>
  <c r="F9" i="8" s="1"/>
  <c r="E10" i="8" l="1"/>
  <c r="F10" i="8" s="1"/>
  <c r="E11" i="8" l="1"/>
  <c r="F11" i="8" s="1"/>
  <c r="E12" i="8" l="1"/>
  <c r="E13" i="8" s="1"/>
  <c r="F12" i="8"/>
  <c r="F13" i="8" l="1"/>
  <c r="E14" i="8"/>
  <c r="F14" i="8" l="1"/>
  <c r="E15" i="8"/>
  <c r="F15" i="8" l="1"/>
  <c r="E16" i="8"/>
  <c r="F16" i="8" l="1"/>
  <c r="E17" i="8"/>
  <c r="F17" i="8" l="1"/>
  <c r="E18" i="8"/>
  <c r="F18" i="8" l="1"/>
  <c r="E19" i="8"/>
  <c r="F19" i="8" l="1"/>
  <c r="E20" i="8"/>
  <c r="F20" i="8" l="1"/>
  <c r="E21" i="8"/>
  <c r="E22" i="8" l="1"/>
  <c r="F21" i="8"/>
  <c r="F22" i="8" l="1"/>
  <c r="E23" i="8"/>
  <c r="F23" i="8" s="1"/>
  <c r="H3" i="8"/>
  <c r="I3" i="8"/>
  <c r="J3" i="8"/>
  <c r="K3" i="8"/>
  <c r="L3" i="8"/>
  <c r="M3" i="8"/>
  <c r="G4" i="8"/>
  <c r="H4" i="8"/>
  <c r="I4" i="8"/>
  <c r="J4" i="8"/>
  <c r="K4" i="8"/>
  <c r="L4" i="8"/>
  <c r="M4" i="8"/>
  <c r="G5" i="8"/>
  <c r="H5" i="8"/>
  <c r="I5" i="8"/>
  <c r="J5" i="8"/>
  <c r="K5" i="8"/>
  <c r="L5" i="8"/>
  <c r="M5" i="8"/>
  <c r="G6" i="8"/>
  <c r="H6" i="8"/>
  <c r="I6" i="8"/>
  <c r="J6" i="8"/>
  <c r="K6" i="8"/>
  <c r="L6" i="8"/>
  <c r="M6" i="8"/>
  <c r="G7" i="8"/>
  <c r="H7" i="8"/>
  <c r="I7" i="8"/>
  <c r="J7" i="8"/>
  <c r="K7" i="8"/>
  <c r="L7" i="8"/>
  <c r="M7" i="8"/>
  <c r="G8" i="8"/>
  <c r="H8" i="8"/>
  <c r="I8" i="8"/>
  <c r="J8" i="8"/>
  <c r="K8" i="8"/>
  <c r="L8" i="8"/>
  <c r="M8" i="8"/>
  <c r="G9" i="8"/>
  <c r="H9" i="8"/>
  <c r="I9" i="8"/>
  <c r="J9" i="8"/>
  <c r="K9" i="8"/>
  <c r="L9" i="8"/>
  <c r="M9" i="8"/>
  <c r="G10" i="8"/>
  <c r="H10" i="8"/>
  <c r="I10" i="8"/>
  <c r="J10" i="8"/>
  <c r="K10" i="8"/>
  <c r="L10" i="8"/>
  <c r="M10" i="8"/>
  <c r="G11" i="8"/>
  <c r="H11" i="8"/>
  <c r="I11" i="8"/>
  <c r="J11" i="8"/>
  <c r="K11" i="8"/>
  <c r="L11" i="8"/>
  <c r="M11" i="8"/>
  <c r="G12" i="8"/>
  <c r="H12" i="8"/>
  <c r="I12" i="8"/>
  <c r="J12" i="8"/>
  <c r="K12" i="8"/>
  <c r="L12" i="8"/>
  <c r="M12" i="8"/>
  <c r="G13" i="8"/>
  <c r="H13" i="8"/>
  <c r="I13" i="8"/>
  <c r="J13" i="8"/>
  <c r="K13" i="8"/>
  <c r="L13" i="8"/>
  <c r="M13" i="8"/>
  <c r="G14" i="8"/>
  <c r="H14" i="8"/>
  <c r="I14" i="8"/>
  <c r="J14" i="8"/>
  <c r="K14" i="8"/>
  <c r="L14" i="8"/>
  <c r="M14" i="8"/>
  <c r="A15" i="8"/>
  <c r="B15" i="8"/>
  <c r="G15" i="8"/>
  <c r="H15" i="8"/>
  <c r="I15" i="8"/>
  <c r="J15" i="8"/>
  <c r="K15" i="8"/>
  <c r="L15" i="8"/>
  <c r="M15" i="8"/>
  <c r="G16" i="8"/>
  <c r="H16" i="8"/>
  <c r="I16" i="8"/>
  <c r="J16" i="8"/>
  <c r="K16" i="8"/>
  <c r="L16" i="8"/>
  <c r="M16" i="8"/>
  <c r="G17" i="8"/>
  <c r="H17" i="8"/>
  <c r="I17" i="8"/>
  <c r="J17" i="8"/>
  <c r="K17" i="8"/>
  <c r="L17" i="8"/>
  <c r="M17" i="8"/>
  <c r="G18" i="8"/>
  <c r="H18" i="8"/>
  <c r="I18" i="8"/>
  <c r="J18" i="8"/>
  <c r="K18" i="8"/>
  <c r="L18" i="8"/>
  <c r="M18" i="8"/>
  <c r="G19" i="8"/>
  <c r="H19" i="8"/>
  <c r="I19" i="8"/>
  <c r="J19" i="8"/>
  <c r="K19" i="8"/>
  <c r="L19" i="8"/>
  <c r="M19" i="8"/>
  <c r="G20" i="8"/>
  <c r="H20" i="8"/>
  <c r="I20" i="8"/>
  <c r="J20" i="8"/>
  <c r="K20" i="8"/>
  <c r="L20" i="8"/>
  <c r="M20" i="8"/>
  <c r="G21" i="8"/>
  <c r="H21" i="8"/>
  <c r="I21" i="8"/>
  <c r="J21" i="8"/>
  <c r="K21" i="8"/>
  <c r="L21" i="8"/>
  <c r="M21" i="8"/>
  <c r="G22" i="8"/>
  <c r="H22" i="8"/>
  <c r="I22" i="8"/>
  <c r="J22" i="8"/>
  <c r="K22" i="8"/>
  <c r="L22" i="8"/>
  <c r="M22" i="8"/>
  <c r="G23" i="8"/>
  <c r="I23" i="8"/>
  <c r="J23" i="8"/>
  <c r="K23" i="8"/>
  <c r="L23" i="8"/>
  <c r="M2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TD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Longitudinal distance (along the excavation direction) from the tunnel face
Calculation points</t>
        </r>
      </text>
    </comment>
    <comment ref="E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Radius of the shield at the position L</t>
        </r>
      </text>
    </comment>
    <comment ref="F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Pressure at the cavity considering a full convergence / The ground comes in contact with the shield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Pressure field along the shield for the muck flow (from the face towards the tail)</t>
        </r>
      </text>
    </comment>
    <comment ref="H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Pressure field along the shield for the grout flow (from the tail towards the face)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Equilibrium fluid pressure (highest between the muck σ and the grout σ)</t>
        </r>
      </text>
    </comment>
    <comment ref="J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Cavity radius considering the convergence due to the difference between the initial total stress and the equilibrium σ</t>
        </r>
      </text>
    </comment>
    <comment ref="K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Gap between the cavity and the shield (cavity R - Shield R at the position L)</t>
        </r>
      </text>
    </comment>
    <comment ref="L2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Volume loss associated with the cavity convergence, considering the equilibrium σ
+ = convergence
- = expansion</t>
        </r>
      </text>
    </comment>
    <comment ref="M2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Identifies which material sets the pressure at a certain position L</t>
        </r>
      </text>
    </comment>
    <comment ref="A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Radius of the cutterhead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Difference between the radius of the cutterhead (excavation radius) and the radius of the shield immediately after the cutterhead</t>
        </r>
      </text>
    </comment>
    <comment ref="A12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Difference between the shield radius just after the cutterhead and where the shield ends</t>
        </r>
      </text>
    </comment>
  </commentList>
</comments>
</file>

<file path=xl/sharedStrings.xml><?xml version="1.0" encoding="utf-8"?>
<sst xmlns="http://schemas.openxmlformats.org/spreadsheetml/2006/main" count="24" uniqueCount="24">
  <si>
    <t>Face Pressure (kPa)</t>
  </si>
  <si>
    <t>Material</t>
  </si>
  <si>
    <t>Shield R (m)</t>
  </si>
  <si>
    <t>L (m) from Face</t>
  </si>
  <si>
    <t>Overcutting (m)</t>
  </si>
  <si>
    <t>Grout Pressure (kPa)</t>
  </si>
  <si>
    <t>Ground Shear Modulus (MPa)</t>
  </si>
  <si>
    <t>Ground Total Stress (kPa)</t>
  </si>
  <si>
    <t>Excavation Radius (m)</t>
  </si>
  <si>
    <t>Grout Yield Strength (kPa)</t>
  </si>
  <si>
    <t>PRESSURE x DISPLACEMENT FIELD ALONG THE TBM</t>
  </si>
  <si>
    <t>Shield Front Radius (m)</t>
  </si>
  <si>
    <t>Shield Tail Radius (m)</t>
  </si>
  <si>
    <t>Shield Length (m)</t>
  </si>
  <si>
    <t>Shield Tapering (m)</t>
  </si>
  <si>
    <t>Cavity R (m)</t>
  </si>
  <si>
    <t>GAP (m)</t>
  </si>
  <si>
    <t>Muck Yield Strength (kPa)</t>
  </si>
  <si>
    <t>VL (%)</t>
  </si>
  <si>
    <t>TBM FLOW</t>
  </si>
  <si>
    <t>Muck (kPa)</t>
  </si>
  <si>
    <t>Converged (kPa)</t>
  </si>
  <si>
    <t>Equilibrium (kPa)</t>
  </si>
  <si>
    <t>Grout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</si>
</sst>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0000"/>
    <numFmt numFmtId="165" formatCode="0.E+00"/>
    <numFmt numFmtId="166" formatCode="0.000"/>
    <numFmt numFmtId="167" formatCode="0.0000"/>
    <numFmt numFmtId="168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3" borderId="0" xfId="0" applyFont="1" applyFill="1" applyBorder="1" applyAlignment="1">
      <alignment horizontal="center" vertical="center"/>
    </xf>
    <xf numFmtId="1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166" fontId="0" fillId="3" borderId="0" xfId="0" applyNumberFormat="1" applyFont="1" applyFill="1" applyBorder="1" applyAlignment="1">
      <alignment horizontal="center" vertical="center"/>
    </xf>
    <xf numFmtId="167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165" fontId="0" fillId="3" borderId="0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 vertical="center"/>
    </xf>
    <xf numFmtId="166" fontId="0" fillId="3" borderId="0" xfId="0" applyNumberFormat="1" applyFont="1" applyFill="1" applyBorder="1" applyAlignment="1">
      <alignment vertical="center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 vertical="center"/>
    </xf>
    <xf numFmtId="1" fontId="0" fillId="3" borderId="10" xfId="0" applyNumberFormat="1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/>
    </xf>
    <xf numFmtId="166" fontId="0" fillId="3" borderId="2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166" fontId="0" fillId="3" borderId="7" xfId="0" applyNumberFormat="1" applyFont="1" applyFill="1" applyBorder="1" applyAlignment="1">
      <alignment horizontal="center" vertical="center"/>
    </xf>
    <xf numFmtId="2" fontId="0" fillId="3" borderId="7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167" fontId="2" fillId="3" borderId="0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left" vertical="center"/>
    </xf>
    <xf numFmtId="2" fontId="0" fillId="3" borderId="13" xfId="0" applyNumberFormat="1" applyFont="1" applyFill="1" applyBorder="1" applyAlignment="1">
      <alignment horizontal="center" vertical="center"/>
    </xf>
    <xf numFmtId="2" fontId="0" fillId="3" borderId="1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left" vertical="center"/>
    </xf>
    <xf numFmtId="2" fontId="0" fillId="4" borderId="13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left" vertical="center"/>
    </xf>
    <xf numFmtId="0" fontId="0" fillId="4" borderId="14" xfId="0" applyFont="1" applyFill="1" applyBorder="1" applyAlignment="1">
      <alignment horizontal="center" vertical="center"/>
    </xf>
    <xf numFmtId="1" fontId="0" fillId="4" borderId="12" xfId="0" applyNumberFormat="1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0" fontId="0" fillId="3" borderId="0" xfId="1" applyNumberFormat="1" applyFont="1" applyFill="1" applyBorder="1" applyAlignment="1">
      <alignment horizontal="center" vertical="center"/>
    </xf>
    <xf numFmtId="10" fontId="0" fillId="3" borderId="7" xfId="1" applyNumberFormat="1" applyFont="1" applyFill="1" applyBorder="1" applyAlignment="1">
      <alignment horizontal="center" vertical="center"/>
    </xf>
    <xf numFmtId="168" fontId="0" fillId="3" borderId="0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06006944444445"/>
          <c:y val="2.8707407407407407E-2"/>
          <c:w val="0.74007604166666663"/>
          <c:h val="0.77603425925925928"/>
        </c:manualLayout>
      </c:layout>
      <c:scatterChart>
        <c:scatterStyle val="lineMarker"/>
        <c:varyColors val="0"/>
        <c:ser>
          <c:idx val="0"/>
          <c:order val="1"/>
          <c:tx>
            <c:v>Cavity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'TBM Flow 1D'!$D$3:$D$23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'TBM Flow 1D'!$J$3:$J$23</c:f>
              <c:numCache>
                <c:formatCode>0.000</c:formatCode>
                <c:ptCount val="21"/>
                <c:pt idx="0">
                  <c:v>4.9950000000000001</c:v>
                </c:pt>
                <c:pt idx="1">
                  <c:v>4.9948059371040392</c:v>
                </c:pt>
                <c:pt idx="2">
                  <c:v>4.9946229356132417</c:v>
                </c:pt>
                <c:pt idx="3">
                  <c:v>4.9944501204125249</c:v>
                </c:pt>
                <c:pt idx="4">
                  <c:v>4.9942866789818412</c:v>
                </c:pt>
                <c:pt idx="5">
                  <c:v>4.9941318627462241</c:v>
                </c:pt>
                <c:pt idx="6">
                  <c:v>4.9961325157272602</c:v>
                </c:pt>
                <c:pt idx="7">
                  <c:v>4.9979540886006975</c:v>
                </c:pt>
                <c:pt idx="8">
                  <c:v>4.9994593031600081</c:v>
                </c:pt>
                <c:pt idx="9">
                  <c:v>5.0007648257776438</c:v>
                </c:pt>
                <c:pt idx="10">
                  <c:v>5.0019296228647612</c:v>
                </c:pt>
                <c:pt idx="11">
                  <c:v>5.0029884056807443</c:v>
                </c:pt>
                <c:pt idx="12">
                  <c:v>5.0039636462242827</c:v>
                </c:pt>
                <c:pt idx="13">
                  <c:v>5.0048708781465274</c:v>
                </c:pt>
                <c:pt idx="14">
                  <c:v>5.0057213678227876</c:v>
                </c:pt>
                <c:pt idx="15">
                  <c:v>5.0065235933264152</c:v>
                </c:pt>
                <c:pt idx="16">
                  <c:v>5.0072841233714351</c:v>
                </c:pt>
                <c:pt idx="17">
                  <c:v>5.0080081693259002</c:v>
                </c:pt>
                <c:pt idx="18">
                  <c:v>5.0086999476442768</c:v>
                </c:pt>
                <c:pt idx="19">
                  <c:v>5.0093629266821456</c:v>
                </c:pt>
                <c:pt idx="20">
                  <c:v>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1-4374-B442-EBC7198B8D55}"/>
            </c:ext>
          </c:extLst>
        </c:ser>
        <c:ser>
          <c:idx val="2"/>
          <c:order val="2"/>
          <c:tx>
            <c:v>Shield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'TBM Flow 1D'!$D$3:$D$23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'TBM Flow 1D'!$E$3:$E$23</c:f>
              <c:numCache>
                <c:formatCode>0.000000</c:formatCode>
                <c:ptCount val="21"/>
                <c:pt idx="0" formatCode="0.000">
                  <c:v>4.99</c:v>
                </c:pt>
                <c:pt idx="1">
                  <c:v>4.9895000000000005</c:v>
                </c:pt>
                <c:pt idx="2">
                  <c:v>4.9890000000000008</c:v>
                </c:pt>
                <c:pt idx="3" formatCode="0.000">
                  <c:v>4.988500000000001</c:v>
                </c:pt>
                <c:pt idx="4" formatCode="0.000">
                  <c:v>4.9880000000000013</c:v>
                </c:pt>
                <c:pt idx="5" formatCode="0.000">
                  <c:v>4.9875000000000016</c:v>
                </c:pt>
                <c:pt idx="6" formatCode="0.000">
                  <c:v>4.9870000000000019</c:v>
                </c:pt>
                <c:pt idx="7" formatCode="0.000">
                  <c:v>4.9865000000000022</c:v>
                </c:pt>
                <c:pt idx="8" formatCode="0.000">
                  <c:v>4.9860000000000024</c:v>
                </c:pt>
                <c:pt idx="9" formatCode="0.000">
                  <c:v>4.9855000000000027</c:v>
                </c:pt>
                <c:pt idx="10" formatCode="0.000">
                  <c:v>4.985000000000003</c:v>
                </c:pt>
                <c:pt idx="11" formatCode="0.000">
                  <c:v>4.9845000000000033</c:v>
                </c:pt>
                <c:pt idx="12" formatCode="0.000">
                  <c:v>4.9840000000000035</c:v>
                </c:pt>
                <c:pt idx="13" formatCode="0.000">
                  <c:v>4.9835000000000038</c:v>
                </c:pt>
                <c:pt idx="14" formatCode="0.000">
                  <c:v>4.9830000000000041</c:v>
                </c:pt>
                <c:pt idx="15" formatCode="0.000">
                  <c:v>4.9825000000000044</c:v>
                </c:pt>
                <c:pt idx="16" formatCode="0.000">
                  <c:v>4.9820000000000046</c:v>
                </c:pt>
                <c:pt idx="17" formatCode="0.000">
                  <c:v>4.9815000000000049</c:v>
                </c:pt>
                <c:pt idx="18" formatCode="0.000">
                  <c:v>4.9810000000000052</c:v>
                </c:pt>
                <c:pt idx="19" formatCode="0.000">
                  <c:v>4.9805000000000055</c:v>
                </c:pt>
                <c:pt idx="20" formatCode="0.000">
                  <c:v>4.9800000000000058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1-4374-B442-EBC7198B8D55}"/>
            </c:ext>
          </c:extLst>
        </c:ser>
        <c:ser>
          <c:idx val="3"/>
          <c:order val="0"/>
          <c:tx>
            <c:v>Initial</c:v>
          </c:tx>
          <c:spPr>
            <a:ln w="22225"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('TBM Flow 1D'!$A$14,'TBM Flow 1D'!$B$9)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5</c:v>
                </c:pt>
              </c:numCache>
            </c:numRef>
          </c:xVal>
          <c:yVal>
            <c:numRef>
              <c:f>('TBM Flow 1D'!$B$9,'TBM Flow 1D'!$B$9)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E1-4374-B442-EBC7198B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41248"/>
        <c:axId val="157151616"/>
      </c:scatterChart>
      <c:valAx>
        <c:axId val="157141248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tunnel face (m)</a:t>
                </a:r>
              </a:p>
            </c:rich>
          </c:tx>
          <c:overlay val="0"/>
        </c:title>
        <c:numFmt formatCode="0" sourceLinked="0"/>
        <c:majorTickMark val="in"/>
        <c:minorTickMark val="none"/>
        <c:tickLblPos val="low"/>
        <c:spPr>
          <a:ln w="0">
            <a:solidFill>
              <a:schemeClr val="bg1">
                <a:lumMod val="75000"/>
              </a:schemeClr>
            </a:solidFill>
          </a:ln>
        </c:spPr>
        <c:crossAx val="157151616"/>
        <c:crosses val="autoZero"/>
        <c:crossBetween val="midCat"/>
        <c:majorUnit val="1"/>
      </c:valAx>
      <c:valAx>
        <c:axId val="157151616"/>
        <c:scaling>
          <c:orientation val="minMax"/>
          <c:max val="5.01"/>
          <c:min val="4.980000000000000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Radius (m)</a:t>
                </a:r>
              </a:p>
            </c:rich>
          </c:tx>
          <c:overlay val="0"/>
        </c:title>
        <c:numFmt formatCode="#,##0.00" sourceLinked="0"/>
        <c:majorTickMark val="in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157141248"/>
        <c:crosses val="autoZero"/>
        <c:crossBetween val="midCat"/>
        <c:majorUnit val="1.0000000000000002E-2"/>
      </c:valAx>
      <c:spPr>
        <a:ln w="6350">
          <a:solidFill>
            <a:schemeClr val="bg1">
              <a:lumMod val="7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1215277777779"/>
          <c:y val="2.8707407407407407E-2"/>
          <c:w val="0.75862395833333329"/>
          <c:h val="0.76427500000000004"/>
        </c:manualLayout>
      </c:layout>
      <c:scatterChart>
        <c:scatterStyle val="lineMarker"/>
        <c:varyColors val="0"/>
        <c:ser>
          <c:idx val="1"/>
          <c:order val="0"/>
          <c:tx>
            <c:v>Initial</c:v>
          </c:tx>
          <c:spPr>
            <a:ln w="19050">
              <a:solidFill>
                <a:srgbClr val="00B050"/>
              </a:solidFill>
              <a:prstDash val="sysDot"/>
            </a:ln>
          </c:spPr>
          <c:marker>
            <c:symbol val="none"/>
          </c:marker>
          <c:xVal>
            <c:numRef>
              <c:f>('TBM Flow 1D'!$A$14,'TBM Flow 1D'!$B$9)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5</c:v>
                </c:pt>
              </c:numCache>
            </c:numRef>
          </c:xVal>
          <c:yVal>
            <c:numRef>
              <c:f>('TBM Flow 1D'!$B$5,'TBM Flow 1D'!$B$5)</c:f>
              <c:numCache>
                <c:formatCode>General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C-4352-9838-4F8272C5612F}"/>
            </c:ext>
          </c:extLst>
        </c:ser>
        <c:ser>
          <c:idx val="0"/>
          <c:order val="1"/>
          <c:tx>
            <c:v>Cavity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'TBM Flow 1D'!$D$3:$D$23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'TBM Flow 1D'!$I$3:$I$23</c:f>
              <c:numCache>
                <c:formatCode>0.00</c:formatCode>
                <c:ptCount val="21"/>
                <c:pt idx="0">
                  <c:v>300</c:v>
                </c:pt>
                <c:pt idx="1">
                  <c:v>296.11874208078319</c:v>
                </c:pt>
                <c:pt idx="2">
                  <c:v>292.45871226483007</c:v>
                </c:pt>
                <c:pt idx="3">
                  <c:v>289.00240825049286</c:v>
                </c:pt>
                <c:pt idx="4">
                  <c:v>285.73357963682582</c:v>
                </c:pt>
                <c:pt idx="5">
                  <c:v>282.63725492448543</c:v>
                </c:pt>
                <c:pt idx="6">
                  <c:v>322.65031454519647</c:v>
                </c:pt>
                <c:pt idx="7">
                  <c:v>359.08177201395478</c:v>
                </c:pt>
                <c:pt idx="8">
                  <c:v>389.18606320015408</c:v>
                </c:pt>
                <c:pt idx="9">
                  <c:v>415.29651555288063</c:v>
                </c:pt>
                <c:pt idx="10">
                  <c:v>438.5924572952178</c:v>
                </c:pt>
                <c:pt idx="11">
                  <c:v>459.76811361489473</c:v>
                </c:pt>
                <c:pt idx="12">
                  <c:v>479.27292448565299</c:v>
                </c:pt>
                <c:pt idx="13">
                  <c:v>497.41756293054999</c:v>
                </c:pt>
                <c:pt idx="14">
                  <c:v>514.42735645574442</c:v>
                </c:pt>
                <c:pt idx="15">
                  <c:v>530.47186652831135</c:v>
                </c:pt>
                <c:pt idx="16">
                  <c:v>545.68246742869405</c:v>
                </c:pt>
                <c:pt idx="17">
                  <c:v>560.1633865180072</c:v>
                </c:pt>
                <c:pt idx="18">
                  <c:v>573.99895288554501</c:v>
                </c:pt>
                <c:pt idx="19">
                  <c:v>587.25853364291459</c:v>
                </c:pt>
                <c:pt idx="20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2C-4352-9838-4F8272C5612F}"/>
            </c:ext>
          </c:extLst>
        </c:ser>
        <c:ser>
          <c:idx val="3"/>
          <c:order val="2"/>
          <c:tx>
            <c:v>Shield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'TBM Flow 1D'!$D$3:$D$23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'TBM Flow 1D'!$F$3:$F$23</c:f>
              <c:numCache>
                <c:formatCode>0.00</c:formatCode>
                <c:ptCount val="21"/>
                <c:pt idx="0">
                  <c:v>200.00000000000426</c:v>
                </c:pt>
                <c:pt idx="1">
                  <c:v>190.00000000000983</c:v>
                </c:pt>
                <c:pt idx="2">
                  <c:v>180.00000000001538</c:v>
                </c:pt>
                <c:pt idx="3">
                  <c:v>170.00000000002086</c:v>
                </c:pt>
                <c:pt idx="4">
                  <c:v>160.00000000002643</c:v>
                </c:pt>
                <c:pt idx="5">
                  <c:v>150.00000000003197</c:v>
                </c:pt>
                <c:pt idx="6">
                  <c:v>140.00000000003752</c:v>
                </c:pt>
                <c:pt idx="7">
                  <c:v>130.00000000004309</c:v>
                </c:pt>
                <c:pt idx="8">
                  <c:v>120.0000000000486</c:v>
                </c:pt>
                <c:pt idx="9">
                  <c:v>110.00000000005417</c:v>
                </c:pt>
                <c:pt idx="10">
                  <c:v>100.00000000005969</c:v>
                </c:pt>
                <c:pt idx="11">
                  <c:v>90.000000000065199</c:v>
                </c:pt>
                <c:pt idx="12">
                  <c:v>80.00000000007077</c:v>
                </c:pt>
                <c:pt idx="13">
                  <c:v>70.000000000076284</c:v>
                </c:pt>
                <c:pt idx="14">
                  <c:v>60.000000000081855</c:v>
                </c:pt>
                <c:pt idx="15">
                  <c:v>50.000000000087425</c:v>
                </c:pt>
                <c:pt idx="16">
                  <c:v>40.000000000092939</c:v>
                </c:pt>
                <c:pt idx="17">
                  <c:v>30.00000000009851</c:v>
                </c:pt>
                <c:pt idx="18">
                  <c:v>20.000000000104023</c:v>
                </c:pt>
                <c:pt idx="19">
                  <c:v>10.000000000109537</c:v>
                </c:pt>
                <c:pt idx="20">
                  <c:v>1.1510792319313623E-10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2C-4352-9838-4F8272C5612F}"/>
            </c:ext>
          </c:extLst>
        </c:ser>
        <c:ser>
          <c:idx val="2"/>
          <c:order val="3"/>
          <c:tx>
            <c:v>Muck</c:v>
          </c:tx>
          <c:spPr>
            <a:ln w="9525">
              <a:solidFill>
                <a:srgbClr val="7030A0"/>
              </a:solidFill>
              <a:prstDash val="lgDash"/>
            </a:ln>
          </c:spPr>
          <c:marker>
            <c:symbol val="none"/>
          </c:marker>
          <c:xVal>
            <c:numRef>
              <c:f>'TBM Flow 1D'!$D$3:$D$23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'TBM Flow 1D'!$G$3:$G$23</c:f>
              <c:numCache>
                <c:formatCode>0.00</c:formatCode>
                <c:ptCount val="21"/>
                <c:pt idx="0">
                  <c:v>300</c:v>
                </c:pt>
                <c:pt idx="1">
                  <c:v>296.11874208078319</c:v>
                </c:pt>
                <c:pt idx="2">
                  <c:v>292.45871226483007</c:v>
                </c:pt>
                <c:pt idx="3">
                  <c:v>289.00240825049286</c:v>
                </c:pt>
                <c:pt idx="4">
                  <c:v>285.73357963682582</c:v>
                </c:pt>
                <c:pt idx="5">
                  <c:v>282.63725492448543</c:v>
                </c:pt>
                <c:pt idx="6">
                  <c:v>280.09988879442909</c:v>
                </c:pt>
                <c:pt idx="7">
                  <c:v>278.15687772942863</c:v>
                </c:pt>
                <c:pt idx="8">
                  <c:v>276.55131553283132</c:v>
                </c:pt>
                <c:pt idx="9">
                  <c:v>275.15875807401926</c:v>
                </c:pt>
                <c:pt idx="10">
                  <c:v>273.91630784776129</c:v>
                </c:pt>
                <c:pt idx="11">
                  <c:v>272.78693951071187</c:v>
                </c:pt>
                <c:pt idx="12">
                  <c:v>271.74668293093811</c:v>
                </c:pt>
                <c:pt idx="13">
                  <c:v>270.77896888054357</c:v>
                </c:pt>
                <c:pt idx="14">
                  <c:v>269.8717798925332</c:v>
                </c:pt>
                <c:pt idx="15">
                  <c:v>269.01607268866297</c:v>
                </c:pt>
                <c:pt idx="16">
                  <c:v>268.20484064064254</c:v>
                </c:pt>
                <c:pt idx="17">
                  <c:v>267.43252495587916</c:v>
                </c:pt>
                <c:pt idx="18">
                  <c:v>266.69462808294378</c:v>
                </c:pt>
                <c:pt idx="19">
                  <c:v>265.98745044255071</c:v>
                </c:pt>
                <c:pt idx="20">
                  <c:v>265.30790557017281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2C-4352-9838-4F8272C5612F}"/>
            </c:ext>
          </c:extLst>
        </c:ser>
        <c:ser>
          <c:idx val="4"/>
          <c:order val="4"/>
          <c:tx>
            <c:v>Grout</c:v>
          </c:tx>
          <c:spPr>
            <a:ln w="9525">
              <a:solidFill>
                <a:srgbClr val="00B050"/>
              </a:solidFill>
              <a:prstDash val="lgDash"/>
            </a:ln>
          </c:spPr>
          <c:marker>
            <c:symbol val="none"/>
          </c:marker>
          <c:xVal>
            <c:numRef>
              <c:f>'TBM Flow 1D'!$D$3:$D$23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xVal>
          <c:yVal>
            <c:numRef>
              <c:f>'TBM Flow 1D'!$H$3:$H$23</c:f>
              <c:numCache>
                <c:formatCode>0.00</c:formatCode>
                <c:ptCount val="21"/>
                <c:pt idx="0">
                  <c:v>0</c:v>
                </c:pt>
                <c:pt idx="1">
                  <c:v>22.296815426056455</c:v>
                </c:pt>
                <c:pt idx="2">
                  <c:v>90.922374475177563</c:v>
                </c:pt>
                <c:pt idx="3">
                  <c:v>155.72807474400003</c:v>
                </c:pt>
                <c:pt idx="4">
                  <c:v>217.01861125025755</c:v>
                </c:pt>
                <c:pt idx="5">
                  <c:v>275.07469960663968</c:v>
                </c:pt>
                <c:pt idx="6">
                  <c:v>322.65031454519647</c:v>
                </c:pt>
                <c:pt idx="7">
                  <c:v>359.08177201395478</c:v>
                </c:pt>
                <c:pt idx="8">
                  <c:v>389.18606320015408</c:v>
                </c:pt>
                <c:pt idx="9">
                  <c:v>415.29651555288063</c:v>
                </c:pt>
                <c:pt idx="10">
                  <c:v>438.5924572952178</c:v>
                </c:pt>
                <c:pt idx="11">
                  <c:v>459.76811361489473</c:v>
                </c:pt>
                <c:pt idx="12">
                  <c:v>479.27292448565299</c:v>
                </c:pt>
                <c:pt idx="13">
                  <c:v>497.41756293054999</c:v>
                </c:pt>
                <c:pt idx="14">
                  <c:v>514.42735645574442</c:v>
                </c:pt>
                <c:pt idx="15">
                  <c:v>530.47186652831135</c:v>
                </c:pt>
                <c:pt idx="16">
                  <c:v>545.68246742869405</c:v>
                </c:pt>
                <c:pt idx="17">
                  <c:v>560.1633865180072</c:v>
                </c:pt>
                <c:pt idx="18">
                  <c:v>573.99895288554501</c:v>
                </c:pt>
                <c:pt idx="19">
                  <c:v>587.25853364291459</c:v>
                </c:pt>
                <c:pt idx="20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2C-4352-9838-4F8272C56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9792"/>
        <c:axId val="157091712"/>
      </c:scatterChart>
      <c:valAx>
        <c:axId val="157089792"/>
        <c:scaling>
          <c:orientation val="minMax"/>
          <c:max val="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the tunnel face (m)</a:t>
                </a:r>
              </a:p>
            </c:rich>
          </c:tx>
          <c:overlay val="0"/>
        </c:title>
        <c:numFmt formatCode="0" sourceLinked="0"/>
        <c:majorTickMark val="in"/>
        <c:minorTickMark val="none"/>
        <c:tickLblPos val="low"/>
        <c:spPr>
          <a:ln w="0">
            <a:solidFill>
              <a:schemeClr val="bg1">
                <a:lumMod val="75000"/>
              </a:schemeClr>
            </a:solidFill>
          </a:ln>
        </c:spPr>
        <c:crossAx val="157091712"/>
        <c:crosses val="autoZero"/>
        <c:crossBetween val="midCat"/>
        <c:majorUnit val="1"/>
      </c:valAx>
      <c:valAx>
        <c:axId val="157091712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(kPa)</a:t>
                </a:r>
              </a:p>
            </c:rich>
          </c:tx>
          <c:layout>
            <c:manualLayout>
              <c:xMode val="edge"/>
              <c:yMode val="edge"/>
              <c:x val="5.9513888888888865E-4"/>
              <c:y val="0.2210138888888889"/>
            </c:manualLayout>
          </c:layout>
          <c:overlay val="0"/>
        </c:title>
        <c:numFmt formatCode="#,##0" sourceLinked="0"/>
        <c:majorTickMark val="in"/>
        <c:minorTickMark val="none"/>
        <c:tickLblPos val="nextTo"/>
        <c:spPr>
          <a:ln w="0">
            <a:solidFill>
              <a:schemeClr val="bg1">
                <a:lumMod val="75000"/>
              </a:schemeClr>
            </a:solidFill>
          </a:ln>
        </c:spPr>
        <c:crossAx val="157089792"/>
        <c:crosses val="autoZero"/>
        <c:crossBetween val="midCat"/>
      </c:valAx>
      <c:spPr>
        <a:ln w="6350">
          <a:solidFill>
            <a:schemeClr val="bg1">
              <a:lumMod val="7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1763950781509805"/>
          <c:y val="4.6204590465073955E-2"/>
          <c:w val="0.63694280013302307"/>
          <c:h val="0.23083064647295759"/>
        </c:manualLayout>
      </c:layout>
      <c:overlay val="1"/>
      <c:spPr>
        <a:noFill/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666746</xdr:colOff>
      <xdr:row>18</xdr:row>
      <xdr:rowOff>125422</xdr:rowOff>
    </xdr:from>
    <xdr:to>
      <xdr:col>10</xdr:col>
      <xdr:colOff>184149</xdr:colOff>
      <xdr:row>33</xdr:row>
      <xdr:rowOff>184149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13</xdr:row>
      <xdr:rowOff>76200</xdr:rowOff>
    </xdr:from>
    <xdr:to>
      <xdr:col>2</xdr:col>
      <xdr:colOff>435338</xdr:colOff>
      <xdr:row>24</xdr:row>
      <xdr:rowOff>57150</xdr:rowOff>
    </xdr:to>
    <xdr:pic>
      <xdr:nvPicPr>
        <xdr:cNvPr id="5" name="Picture 4" descr="C:\Users\Administrator\Dropbox\02. Tunnels\Paper.3 Lecture PCMSGE\IMG\Slide5.EM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552700"/>
          <a:ext cx="2768963" cy="2076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76200</xdr:rowOff>
    </xdr:from>
    <xdr:to>
      <xdr:col>1</xdr:col>
      <xdr:colOff>185737</xdr:colOff>
      <xdr:row>26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8200"/>
          <a:ext cx="2014537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27</xdr:row>
      <xdr:rowOff>66674</xdr:rowOff>
    </xdr:from>
    <xdr:to>
      <xdr:col>0</xdr:col>
      <xdr:colOff>1343025</xdr:colOff>
      <xdr:row>30</xdr:row>
      <xdr:rowOff>118026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0174"/>
          <a:ext cx="1343025" cy="622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12700</xdr:colOff>
      <xdr:row>18</xdr:row>
      <xdr:rowOff>88900</xdr:rowOff>
    </xdr:from>
    <xdr:to>
      <xdr:col>6</xdr:col>
      <xdr:colOff>676550</xdr:colOff>
      <xdr:row>34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5ED326-9D36-410D-8F11-A3DA33541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M31"/>
  <sheetViews>
    <sheetView tabSelected="1" zoomScaleNormal="100" workbookViewId="0">
      <selection activeCell="B29" sqref="B29"/>
    </sheetView>
  </sheetViews>
  <sheetFormatPr defaultColWidth="9.1796875" defaultRowHeight="14.5" x14ac:dyDescent="0.35"/>
  <cols>
    <col min="1" max="1" width="27.453125" style="6" bestFit="1" customWidth="1"/>
    <col min="2" max="2" width="7.7265625" style="1" customWidth="1"/>
    <col min="3" max="3" width="6.7265625" style="1" customWidth="1"/>
    <col min="4" max="4" width="14.7265625" style="1" bestFit="1" customWidth="1"/>
    <col min="5" max="5" width="11.7265625" style="6" bestFit="1" customWidth="1"/>
    <col min="6" max="6" width="17.453125" style="1" bestFit="1" customWidth="1"/>
    <col min="7" max="7" width="12.26953125" style="1" bestFit="1" customWidth="1"/>
    <col min="8" max="8" width="12.54296875" style="1" bestFit="1" customWidth="1"/>
    <col min="9" max="9" width="18.1796875" style="1" bestFit="1" customWidth="1"/>
    <col min="10" max="10" width="11.54296875" style="1" bestFit="1" customWidth="1"/>
    <col min="11" max="11" width="8.26953125" style="1" bestFit="1" customWidth="1"/>
    <col min="12" max="12" width="6.81640625" style="1" bestFit="1" customWidth="1"/>
    <col min="13" max="13" width="8.453125" style="1" bestFit="1" customWidth="1"/>
    <col min="14" max="16384" width="9.1796875" style="1"/>
  </cols>
  <sheetData>
    <row r="1" spans="1:13" x14ac:dyDescent="0.35">
      <c r="A1" s="43" t="s">
        <v>19</v>
      </c>
      <c r="B1" s="44"/>
      <c r="D1" s="45" t="s">
        <v>10</v>
      </c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35">
      <c r="A2" s="33" t="s">
        <v>0</v>
      </c>
      <c r="B2" s="34">
        <v>300</v>
      </c>
      <c r="D2" s="10" t="s">
        <v>3</v>
      </c>
      <c r="E2" s="11" t="s">
        <v>2</v>
      </c>
      <c r="F2" s="11" t="s">
        <v>21</v>
      </c>
      <c r="G2" s="11" t="s">
        <v>20</v>
      </c>
      <c r="H2" s="11" t="s">
        <v>23</v>
      </c>
      <c r="I2" s="11" t="s">
        <v>22</v>
      </c>
      <c r="J2" s="11" t="s">
        <v>15</v>
      </c>
      <c r="K2" s="12" t="s">
        <v>16</v>
      </c>
      <c r="L2" s="12" t="s">
        <v>18</v>
      </c>
      <c r="M2" s="13" t="s">
        <v>1</v>
      </c>
    </row>
    <row r="3" spans="1:13" x14ac:dyDescent="0.35">
      <c r="A3" s="35" t="s">
        <v>5</v>
      </c>
      <c r="B3" s="36">
        <v>600</v>
      </c>
      <c r="D3" s="14">
        <v>0</v>
      </c>
      <c r="E3" s="15">
        <f>$B$11</f>
        <v>4.99</v>
      </c>
      <c r="F3" s="16">
        <f t="shared" ref="F3:F23" si="0">IF($B$5+(2*(E3-$B$9)*$B$4*1000/$B$9)&lt;0,0,$B$5+(2*(E3-$B$9)*$B$4*1000/$B$9))</f>
        <v>200.00000000000426</v>
      </c>
      <c r="G3" s="16">
        <f>$B$2</f>
        <v>300</v>
      </c>
      <c r="H3" s="16">
        <f ca="1">IF(H4-(($D4-$D3)*$B$6/AVERAGE($K3:$K4))&gt;0,H4-(($D4-$D3)*$B$6/AVERAGE($K3:$K4)),0)</f>
        <v>0</v>
      </c>
      <c r="I3" s="16">
        <f t="shared" ref="I3:I23" ca="1" si="1">MAX(F3,IFERROR(G3,0),IFERROR(H3,0))</f>
        <v>300</v>
      </c>
      <c r="J3" s="15">
        <f t="shared" ref="J3:J23" ca="1" si="2">IF($B$9+((I3-$B$5)*$B$9/(2*1000*$B$4))&gt;E3,$B$9+((I3-$B$5)*$B$9/(2*1000*$B$4)),E3)</f>
        <v>4.9950000000000001</v>
      </c>
      <c r="K3" s="15">
        <f t="shared" ref="K3:K23" ca="1" si="3">IFERROR(J3-E3,$B$9-E3)</f>
        <v>4.9999999999998934E-3</v>
      </c>
      <c r="L3" s="39">
        <f ca="1">1-((1-(($B$9-J3)/$B$9))^2)</f>
        <v>1.998999999999973E-3</v>
      </c>
      <c r="M3" s="17" t="str">
        <f ca="1">IF(F3=I3,"Shield",IF(H3=I3,"Grout","Muck"))</f>
        <v>Muck</v>
      </c>
    </row>
    <row r="4" spans="1:13" x14ac:dyDescent="0.35">
      <c r="A4" s="33" t="s">
        <v>6</v>
      </c>
      <c r="B4" s="37">
        <v>50</v>
      </c>
      <c r="C4" s="2"/>
      <c r="D4" s="18">
        <f t="shared" ref="D4:D22" si="4">D3+($D$23/20)</f>
        <v>0.25</v>
      </c>
      <c r="E4" s="42">
        <f t="shared" ref="E4:E23" si="5">E3-(($B$12)/20)</f>
        <v>4.9895000000000005</v>
      </c>
      <c r="F4" s="3">
        <f t="shared" si="0"/>
        <v>190.00000000000983</v>
      </c>
      <c r="G4" s="3">
        <f t="shared" ref="G4:G23" ca="1" si="6">IF(G3-(($D4-$D3)*$B$7/AVERAGE($K3:$K4))&gt;0,G3-(($D4-$D3)*$B$7/AVERAGE($K3:$K4)),0)</f>
        <v>296.11874208078319</v>
      </c>
      <c r="H4" s="3">
        <f ca="1">IF(H5-(($D5-$D4)*$B$6/AVERAGE($K4:$K5))&gt;0,H5-(($D5-$D4)*$B$6/AVERAGE($K4:$K5)),0)</f>
        <v>22.296815426056455</v>
      </c>
      <c r="I4" s="3">
        <f t="shared" ca="1" si="1"/>
        <v>296.11874208078319</v>
      </c>
      <c r="J4" s="4">
        <f t="shared" ca="1" si="2"/>
        <v>4.9948059371040392</v>
      </c>
      <c r="K4" s="4">
        <f t="shared" ca="1" si="3"/>
        <v>5.3059371040387049E-3</v>
      </c>
      <c r="L4" s="40">
        <f t="shared" ref="L4:L23" ca="1" si="7">1-((1-(($B$9-J4)/$B$9))^2)</f>
        <v>2.0765460268096225E-3</v>
      </c>
      <c r="M4" s="19" t="str">
        <f t="shared" ref="M4:M23" ca="1" si="8">IF(F4=I4,"Shield",IF(H4=I4,"Grout","Muck"))</f>
        <v>Muck</v>
      </c>
    </row>
    <row r="5" spans="1:13" x14ac:dyDescent="0.35">
      <c r="A5" s="31" t="s">
        <v>7</v>
      </c>
      <c r="B5" s="38">
        <v>400</v>
      </c>
      <c r="D5" s="18">
        <f t="shared" si="4"/>
        <v>0.5</v>
      </c>
      <c r="E5" s="42">
        <f t="shared" si="5"/>
        <v>4.9890000000000008</v>
      </c>
      <c r="F5" s="3">
        <f t="shared" si="0"/>
        <v>180.00000000001538</v>
      </c>
      <c r="G5" s="3">
        <f t="shared" ca="1" si="6"/>
        <v>292.45871226483007</v>
      </c>
      <c r="H5" s="3">
        <f t="shared" ref="H5:H22" ca="1" si="9">IF(H6-(($D6-$D5)*$B$6/AVERAGE($K5:$K6))&gt;0,H6-(($D6-$D5)*$B$6/AVERAGE($K5:$K6)),0)</f>
        <v>90.922374475177563</v>
      </c>
      <c r="I5" s="3">
        <f t="shared" ca="1" si="1"/>
        <v>292.45871226483007</v>
      </c>
      <c r="J5" s="4">
        <f t="shared" ca="1" si="2"/>
        <v>4.9946229356132417</v>
      </c>
      <c r="K5" s="4">
        <f t="shared" ca="1" si="3"/>
        <v>5.6229356132408981E-3</v>
      </c>
      <c r="L5" s="40">
        <f t="shared" ca="1" si="7"/>
        <v>2.1496692418465635E-3</v>
      </c>
      <c r="M5" s="19" t="str">
        <f t="shared" ca="1" si="8"/>
        <v>Muck</v>
      </c>
    </row>
    <row r="6" spans="1:13" x14ac:dyDescent="0.35">
      <c r="A6" s="31" t="s">
        <v>9</v>
      </c>
      <c r="B6" s="38">
        <v>1.5</v>
      </c>
      <c r="C6" s="9"/>
      <c r="D6" s="18">
        <f t="shared" si="4"/>
        <v>0.75</v>
      </c>
      <c r="E6" s="4">
        <f t="shared" si="5"/>
        <v>4.988500000000001</v>
      </c>
      <c r="F6" s="3">
        <f t="shared" si="0"/>
        <v>170.00000000002086</v>
      </c>
      <c r="G6" s="3">
        <f t="shared" ca="1" si="6"/>
        <v>289.00240825049286</v>
      </c>
      <c r="H6" s="3">
        <f t="shared" ca="1" si="9"/>
        <v>155.72807474400003</v>
      </c>
      <c r="I6" s="3">
        <f t="shared" ca="1" si="1"/>
        <v>289.00240825049286</v>
      </c>
      <c r="J6" s="4">
        <f t="shared" ca="1" si="2"/>
        <v>4.9944501204125249</v>
      </c>
      <c r="K6" s="4">
        <f t="shared" ca="1" si="3"/>
        <v>5.9501204125238516E-3</v>
      </c>
      <c r="L6" s="40">
        <f t="shared" ca="1" si="7"/>
        <v>2.2187197884526721E-3</v>
      </c>
      <c r="M6" s="19" t="str">
        <f t="shared" ca="1" si="8"/>
        <v>Muck</v>
      </c>
    </row>
    <row r="7" spans="1:13" x14ac:dyDescent="0.35">
      <c r="A7" s="35" t="s">
        <v>17</v>
      </c>
      <c r="B7" s="36">
        <v>0.08</v>
      </c>
      <c r="D7" s="18">
        <f t="shared" si="4"/>
        <v>1</v>
      </c>
      <c r="E7" s="4">
        <f t="shared" si="5"/>
        <v>4.9880000000000013</v>
      </c>
      <c r="F7" s="3">
        <f t="shared" si="0"/>
        <v>160.00000000002643</v>
      </c>
      <c r="G7" s="3">
        <f t="shared" ca="1" si="6"/>
        <v>285.73357963682582</v>
      </c>
      <c r="H7" s="3">
        <f t="shared" ca="1" si="9"/>
        <v>217.01861125025755</v>
      </c>
      <c r="I7" s="3">
        <f t="shared" ca="1" si="1"/>
        <v>285.73357963682582</v>
      </c>
      <c r="J7" s="4">
        <f t="shared" ca="1" si="2"/>
        <v>4.9942866789818412</v>
      </c>
      <c r="K7" s="4">
        <f t="shared" ca="1" si="3"/>
        <v>6.2866789818398772E-3</v>
      </c>
      <c r="L7" s="40">
        <f t="shared" ca="1" si="7"/>
        <v>2.2840227257812096E-3</v>
      </c>
      <c r="M7" s="19" t="str">
        <f t="shared" ca="1" si="8"/>
        <v>Muck</v>
      </c>
    </row>
    <row r="8" spans="1:13" x14ac:dyDescent="0.35">
      <c r="A8" s="33" t="s">
        <v>13</v>
      </c>
      <c r="B8" s="34">
        <v>5</v>
      </c>
      <c r="C8" s="4"/>
      <c r="D8" s="18">
        <f t="shared" si="4"/>
        <v>1.25</v>
      </c>
      <c r="E8" s="4">
        <f t="shared" si="5"/>
        <v>4.9875000000000016</v>
      </c>
      <c r="F8" s="3">
        <f t="shared" si="0"/>
        <v>150.00000000003197</v>
      </c>
      <c r="G8" s="3">
        <f t="shared" ca="1" si="6"/>
        <v>282.63725492448543</v>
      </c>
      <c r="H8" s="3">
        <f t="shared" ca="1" si="9"/>
        <v>275.07469960663968</v>
      </c>
      <c r="I8" s="3">
        <f t="shared" ca="1" si="1"/>
        <v>282.63725492448543</v>
      </c>
      <c r="J8" s="4">
        <f t="shared" ca="1" si="2"/>
        <v>4.9941318627462241</v>
      </c>
      <c r="K8" s="4">
        <f t="shared" ca="1" si="3"/>
        <v>6.6318627462225166E-3</v>
      </c>
      <c r="L8" s="40">
        <f t="shared" ca="1" si="7"/>
        <v>2.3458775001172771E-3</v>
      </c>
      <c r="M8" s="19" t="str">
        <f t="shared" ca="1" si="8"/>
        <v>Muck</v>
      </c>
    </row>
    <row r="9" spans="1:13" x14ac:dyDescent="0.35">
      <c r="A9" s="31" t="s">
        <v>8</v>
      </c>
      <c r="B9" s="32">
        <v>5</v>
      </c>
      <c r="D9" s="18">
        <f t="shared" si="4"/>
        <v>1.5</v>
      </c>
      <c r="E9" s="4">
        <f t="shared" si="5"/>
        <v>4.9870000000000019</v>
      </c>
      <c r="F9" s="3">
        <f t="shared" si="0"/>
        <v>140.00000000003752</v>
      </c>
      <c r="G9" s="3">
        <f t="shared" ca="1" si="6"/>
        <v>280.09988879442909</v>
      </c>
      <c r="H9" s="3">
        <f t="shared" ca="1" si="9"/>
        <v>322.65031454519647</v>
      </c>
      <c r="I9" s="3">
        <f t="shared" ca="1" si="1"/>
        <v>322.65031454519647</v>
      </c>
      <c r="J9" s="4">
        <f t="shared" ca="1" si="2"/>
        <v>4.9961325157272602</v>
      </c>
      <c r="K9" s="4">
        <f t="shared" ca="1" si="3"/>
        <v>9.1325157272583724E-3</v>
      </c>
      <c r="L9" s="40">
        <f t="shared" ca="1" si="7"/>
        <v>1.546395411711976E-3</v>
      </c>
      <c r="M9" s="19" t="str">
        <f t="shared" ca="1" si="8"/>
        <v>Grout</v>
      </c>
    </row>
    <row r="10" spans="1:13" x14ac:dyDescent="0.35">
      <c r="A10" s="31" t="s">
        <v>4</v>
      </c>
      <c r="B10" s="32">
        <v>0.01</v>
      </c>
      <c r="D10" s="18">
        <f t="shared" si="4"/>
        <v>1.75</v>
      </c>
      <c r="E10" s="4">
        <f t="shared" si="5"/>
        <v>4.9865000000000022</v>
      </c>
      <c r="F10" s="3">
        <f t="shared" si="0"/>
        <v>130.00000000004309</v>
      </c>
      <c r="G10" s="3">
        <f t="shared" ca="1" si="6"/>
        <v>278.15687772942863</v>
      </c>
      <c r="H10" s="3">
        <f t="shared" ca="1" si="9"/>
        <v>359.08177201395478</v>
      </c>
      <c r="I10" s="3">
        <f t="shared" ca="1" si="1"/>
        <v>359.08177201395478</v>
      </c>
      <c r="J10" s="4">
        <f t="shared" ca="1" si="2"/>
        <v>4.9979540886006975</v>
      </c>
      <c r="K10" s="4">
        <f t="shared" ca="1" si="3"/>
        <v>1.14540886006953E-2</v>
      </c>
      <c r="L10" s="40">
        <f t="shared" ca="1" si="7"/>
        <v>8.1819712958286495E-4</v>
      </c>
      <c r="M10" s="19" t="str">
        <f t="shared" ca="1" si="8"/>
        <v>Grout</v>
      </c>
    </row>
    <row r="11" spans="1:13" x14ac:dyDescent="0.35">
      <c r="A11" s="24" t="s">
        <v>11</v>
      </c>
      <c r="B11" s="29">
        <f>B9-B10</f>
        <v>4.99</v>
      </c>
      <c r="C11" s="4"/>
      <c r="D11" s="18">
        <f t="shared" si="4"/>
        <v>2</v>
      </c>
      <c r="E11" s="4">
        <f t="shared" si="5"/>
        <v>4.9860000000000024</v>
      </c>
      <c r="F11" s="3">
        <f t="shared" si="0"/>
        <v>120.0000000000486</v>
      </c>
      <c r="G11" s="3">
        <f t="shared" ca="1" si="6"/>
        <v>276.55131553283132</v>
      </c>
      <c r="H11" s="3">
        <f t="shared" ca="1" si="9"/>
        <v>389.18606320015408</v>
      </c>
      <c r="I11" s="3">
        <f t="shared" ca="1" si="1"/>
        <v>389.18606320015408</v>
      </c>
      <c r="J11" s="4">
        <f t="shared" ca="1" si="2"/>
        <v>4.9994593031600081</v>
      </c>
      <c r="K11" s="4">
        <f t="shared" ca="1" si="3"/>
        <v>1.3459303160005653E-2</v>
      </c>
      <c r="L11" s="40">
        <f t="shared" ca="1" si="7"/>
        <v>2.1626704187382995E-4</v>
      </c>
      <c r="M11" s="19" t="str">
        <f t="shared" ca="1" si="8"/>
        <v>Grout</v>
      </c>
    </row>
    <row r="12" spans="1:13" x14ac:dyDescent="0.35">
      <c r="A12" s="31" t="s">
        <v>14</v>
      </c>
      <c r="B12" s="32">
        <v>0.01</v>
      </c>
      <c r="C12" s="4"/>
      <c r="D12" s="18">
        <f t="shared" si="4"/>
        <v>2.25</v>
      </c>
      <c r="E12" s="4">
        <f t="shared" si="5"/>
        <v>4.9855000000000027</v>
      </c>
      <c r="F12" s="3">
        <f t="shared" si="0"/>
        <v>110.00000000005417</v>
      </c>
      <c r="G12" s="3">
        <f t="shared" ca="1" si="6"/>
        <v>275.15875807401926</v>
      </c>
      <c r="H12" s="3">
        <f t="shared" ca="1" si="9"/>
        <v>415.29651555288063</v>
      </c>
      <c r="I12" s="3">
        <f t="shared" ca="1" si="1"/>
        <v>415.29651555288063</v>
      </c>
      <c r="J12" s="4">
        <f t="shared" ca="1" si="2"/>
        <v>5.0007648257776438</v>
      </c>
      <c r="K12" s="4">
        <f t="shared" ca="1" si="3"/>
        <v>1.52648257776411E-2</v>
      </c>
      <c r="L12" s="40">
        <f t="shared" ca="1" si="7"/>
        <v>-3.0595370939634492E-4</v>
      </c>
      <c r="M12" s="19" t="str">
        <f t="shared" ca="1" si="8"/>
        <v>Grout</v>
      </c>
    </row>
    <row r="13" spans="1:13" x14ac:dyDescent="0.35">
      <c r="A13" s="25" t="s">
        <v>12</v>
      </c>
      <c r="B13" s="30">
        <f>B11-B12</f>
        <v>4.9800000000000004</v>
      </c>
      <c r="D13" s="18">
        <f t="shared" si="4"/>
        <v>2.5</v>
      </c>
      <c r="E13" s="4">
        <f t="shared" si="5"/>
        <v>4.985000000000003</v>
      </c>
      <c r="F13" s="3">
        <f t="shared" si="0"/>
        <v>100.00000000005969</v>
      </c>
      <c r="G13" s="3">
        <f t="shared" ca="1" si="6"/>
        <v>273.91630784776129</v>
      </c>
      <c r="H13" s="3">
        <f t="shared" ca="1" si="9"/>
        <v>438.5924572952178</v>
      </c>
      <c r="I13" s="3">
        <f t="shared" ca="1" si="1"/>
        <v>438.5924572952178</v>
      </c>
      <c r="J13" s="4">
        <f t="shared" ca="1" si="2"/>
        <v>5.0019296228647612</v>
      </c>
      <c r="K13" s="4">
        <f t="shared" ca="1" si="3"/>
        <v>1.6929622864758187E-2</v>
      </c>
      <c r="L13" s="40">
        <f t="shared" ca="1" si="7"/>
        <v>-7.7199808368066947E-4</v>
      </c>
      <c r="M13" s="19" t="str">
        <f t="shared" ca="1" si="8"/>
        <v>Grout</v>
      </c>
    </row>
    <row r="14" spans="1:13" x14ac:dyDescent="0.35">
      <c r="A14" s="26">
        <v>0</v>
      </c>
      <c r="B14" s="27">
        <f>$B$9-(($B$5-A14)*$B$9/(2000*$B$4))</f>
        <v>4.9800000000000004</v>
      </c>
      <c r="D14" s="18">
        <f t="shared" si="4"/>
        <v>2.75</v>
      </c>
      <c r="E14" s="4">
        <f t="shared" si="5"/>
        <v>4.9845000000000033</v>
      </c>
      <c r="F14" s="3">
        <f t="shared" si="0"/>
        <v>90.000000000065199</v>
      </c>
      <c r="G14" s="3">
        <f t="shared" ca="1" si="6"/>
        <v>272.78693951071187</v>
      </c>
      <c r="H14" s="3">
        <f t="shared" ca="1" si="9"/>
        <v>459.76811361489473</v>
      </c>
      <c r="I14" s="3">
        <f t="shared" ca="1" si="1"/>
        <v>459.76811361489473</v>
      </c>
      <c r="J14" s="4">
        <f t="shared" ca="1" si="2"/>
        <v>5.0029884056807443</v>
      </c>
      <c r="K14" s="4">
        <f t="shared" ca="1" si="3"/>
        <v>1.848840568074106E-2</v>
      </c>
      <c r="L14" s="40">
        <f t="shared" ca="1" si="7"/>
        <v>-1.1957194950380501E-3</v>
      </c>
      <c r="M14" s="19" t="str">
        <f t="shared" ca="1" si="8"/>
        <v>Grout</v>
      </c>
    </row>
    <row r="15" spans="1:13" x14ac:dyDescent="0.35">
      <c r="A15" s="28">
        <f ca="1">MAX(F3:F23,I3:I23)</f>
        <v>600</v>
      </c>
      <c r="B15" s="27">
        <f ca="1">$B$9-(($B$5-A15)*$B$9/(2000*$B$4))</f>
        <v>5.01</v>
      </c>
      <c r="D15" s="18">
        <f t="shared" si="4"/>
        <v>3</v>
      </c>
      <c r="E15" s="4">
        <f t="shared" si="5"/>
        <v>4.9840000000000035</v>
      </c>
      <c r="F15" s="3">
        <f t="shared" si="0"/>
        <v>80.00000000007077</v>
      </c>
      <c r="G15" s="3">
        <f t="shared" ca="1" si="6"/>
        <v>271.74668293093811</v>
      </c>
      <c r="H15" s="3">
        <f t="shared" ca="1" si="9"/>
        <v>479.27292448565299</v>
      </c>
      <c r="I15" s="3">
        <f t="shared" ca="1" si="1"/>
        <v>479.27292448565299</v>
      </c>
      <c r="J15" s="4">
        <f t="shared" ca="1" si="2"/>
        <v>5.0039636462242827</v>
      </c>
      <c r="K15" s="4">
        <f t="shared" ca="1" si="3"/>
        <v>1.9963646224279152E-2</v>
      </c>
      <c r="L15" s="40">
        <f t="shared" ca="1" si="7"/>
        <v>-1.5860869093689001E-3</v>
      </c>
      <c r="M15" s="19" t="str">
        <f t="shared" ca="1" si="8"/>
        <v>Grout</v>
      </c>
    </row>
    <row r="16" spans="1:13" x14ac:dyDescent="0.35">
      <c r="C16" s="5"/>
      <c r="D16" s="18">
        <f t="shared" si="4"/>
        <v>3.25</v>
      </c>
      <c r="E16" s="4">
        <f t="shared" si="5"/>
        <v>4.9835000000000038</v>
      </c>
      <c r="F16" s="3">
        <f t="shared" si="0"/>
        <v>70.000000000076284</v>
      </c>
      <c r="G16" s="3">
        <f t="shared" ca="1" si="6"/>
        <v>270.77896888054357</v>
      </c>
      <c r="H16" s="3">
        <f t="shared" ca="1" si="9"/>
        <v>497.41756293054999</v>
      </c>
      <c r="I16" s="3">
        <f t="shared" ca="1" si="1"/>
        <v>497.41756293054999</v>
      </c>
      <c r="J16" s="4">
        <f t="shared" ca="1" si="2"/>
        <v>5.0048708781465274</v>
      </c>
      <c r="K16" s="4">
        <f t="shared" ca="1" si="3"/>
        <v>2.1370878146523609E-2</v>
      </c>
      <c r="L16" s="40">
        <f t="shared" ca="1" si="7"/>
        <v>-1.9493002767678735E-3</v>
      </c>
      <c r="M16" s="19" t="str">
        <f t="shared" ca="1" si="8"/>
        <v>Grout</v>
      </c>
    </row>
    <row r="17" spans="2:13" x14ac:dyDescent="0.35">
      <c r="C17" s="5"/>
      <c r="D17" s="18">
        <f t="shared" si="4"/>
        <v>3.5</v>
      </c>
      <c r="E17" s="4">
        <f t="shared" si="5"/>
        <v>4.9830000000000041</v>
      </c>
      <c r="F17" s="3">
        <f t="shared" si="0"/>
        <v>60.000000000081855</v>
      </c>
      <c r="G17" s="3">
        <f t="shared" ca="1" si="6"/>
        <v>269.8717798925332</v>
      </c>
      <c r="H17" s="3">
        <f t="shared" ca="1" si="9"/>
        <v>514.42735645574442</v>
      </c>
      <c r="I17" s="3">
        <f t="shared" ca="1" si="1"/>
        <v>514.42735645574442</v>
      </c>
      <c r="J17" s="4">
        <f t="shared" ca="1" si="2"/>
        <v>5.0057213678227876</v>
      </c>
      <c r="K17" s="4">
        <f t="shared" ca="1" si="3"/>
        <v>2.2721367822783556E-2</v>
      </c>
      <c r="L17" s="40">
        <f t="shared" ca="1" si="7"/>
        <v>-2.2898564911055797E-3</v>
      </c>
      <c r="M17" s="19" t="str">
        <f t="shared" ca="1" si="8"/>
        <v>Grout</v>
      </c>
    </row>
    <row r="18" spans="2:13" x14ac:dyDescent="0.35">
      <c r="D18" s="18">
        <f t="shared" si="4"/>
        <v>3.75</v>
      </c>
      <c r="E18" s="4">
        <f t="shared" si="5"/>
        <v>4.9825000000000044</v>
      </c>
      <c r="F18" s="3">
        <f t="shared" si="0"/>
        <v>50.000000000087425</v>
      </c>
      <c r="G18" s="3">
        <f t="shared" ca="1" si="6"/>
        <v>269.01607268866297</v>
      </c>
      <c r="H18" s="3">
        <f t="shared" ca="1" si="9"/>
        <v>530.47186652831135</v>
      </c>
      <c r="I18" s="3">
        <f t="shared" ca="1" si="1"/>
        <v>530.47186652831135</v>
      </c>
      <c r="J18" s="4">
        <f t="shared" ca="1" si="2"/>
        <v>5.0065235933264152</v>
      </c>
      <c r="K18" s="4">
        <f t="shared" ca="1" si="3"/>
        <v>2.4023593326410797E-2</v>
      </c>
      <c r="L18" s="40">
        <f t="shared" ca="1" si="7"/>
        <v>-2.6111396213615023E-3</v>
      </c>
      <c r="M18" s="19" t="str">
        <f t="shared" ca="1" si="8"/>
        <v>Grout</v>
      </c>
    </row>
    <row r="19" spans="2:13" x14ac:dyDescent="0.35">
      <c r="D19" s="18">
        <f t="shared" si="4"/>
        <v>4</v>
      </c>
      <c r="E19" s="4">
        <f t="shared" si="5"/>
        <v>4.9820000000000046</v>
      </c>
      <c r="F19" s="3">
        <f t="shared" si="0"/>
        <v>40.000000000092939</v>
      </c>
      <c r="G19" s="3">
        <f t="shared" ca="1" si="6"/>
        <v>268.20484064064254</v>
      </c>
      <c r="H19" s="3">
        <f t="shared" ca="1" si="9"/>
        <v>545.68246742869405</v>
      </c>
      <c r="I19" s="3">
        <f t="shared" ca="1" si="1"/>
        <v>545.68246742869405</v>
      </c>
      <c r="J19" s="4">
        <f t="shared" ca="1" si="2"/>
        <v>5.0072841233714351</v>
      </c>
      <c r="K19" s="4">
        <f t="shared" ca="1" si="3"/>
        <v>2.5284123371430489E-2</v>
      </c>
      <c r="L19" s="40">
        <f t="shared" ca="1" si="7"/>
        <v>-2.9157716867056482E-3</v>
      </c>
      <c r="M19" s="19" t="str">
        <f t="shared" ca="1" si="8"/>
        <v>Grout</v>
      </c>
    </row>
    <row r="20" spans="2:13" x14ac:dyDescent="0.35">
      <c r="D20" s="18">
        <f t="shared" si="4"/>
        <v>4.25</v>
      </c>
      <c r="E20" s="4">
        <f t="shared" si="5"/>
        <v>4.9815000000000049</v>
      </c>
      <c r="F20" s="3">
        <f t="shared" si="0"/>
        <v>30.00000000009851</v>
      </c>
      <c r="G20" s="3">
        <f t="shared" ca="1" si="6"/>
        <v>267.43252495587916</v>
      </c>
      <c r="H20" s="3">
        <f t="shared" ca="1" si="9"/>
        <v>560.1633865180072</v>
      </c>
      <c r="I20" s="3">
        <f t="shared" ca="1" si="1"/>
        <v>560.1633865180072</v>
      </c>
      <c r="J20" s="4">
        <f t="shared" ca="1" si="2"/>
        <v>5.0080081693259002</v>
      </c>
      <c r="K20" s="4">
        <f t="shared" ca="1" si="3"/>
        <v>2.6508169325895281E-2</v>
      </c>
      <c r="L20" s="40">
        <f t="shared" ca="1" si="7"/>
        <v>-3.2058329613982028E-3</v>
      </c>
      <c r="M20" s="19" t="str">
        <f t="shared" ca="1" si="8"/>
        <v>Grout</v>
      </c>
    </row>
    <row r="21" spans="2:13" x14ac:dyDescent="0.35">
      <c r="D21" s="18">
        <f t="shared" si="4"/>
        <v>4.5</v>
      </c>
      <c r="E21" s="4">
        <f t="shared" si="5"/>
        <v>4.9810000000000052</v>
      </c>
      <c r="F21" s="3">
        <f t="shared" si="0"/>
        <v>20.000000000104023</v>
      </c>
      <c r="G21" s="3">
        <f t="shared" ca="1" si="6"/>
        <v>266.69462808294378</v>
      </c>
      <c r="H21" s="3">
        <f t="shared" ca="1" si="9"/>
        <v>573.99895288554501</v>
      </c>
      <c r="I21" s="3">
        <f t="shared" ca="1" si="1"/>
        <v>573.99895288554501</v>
      </c>
      <c r="J21" s="4">
        <f t="shared" ca="1" si="2"/>
        <v>5.0086999476442768</v>
      </c>
      <c r="K21" s="4">
        <f t="shared" ca="1" si="3"/>
        <v>2.7699947644271639E-2</v>
      </c>
      <c r="L21" s="40">
        <f t="shared" ca="1" si="7"/>
        <v>-3.4830066212714339E-3</v>
      </c>
      <c r="M21" s="19" t="str">
        <f t="shared" ca="1" si="8"/>
        <v>Grout</v>
      </c>
    </row>
    <row r="22" spans="2:13" x14ac:dyDescent="0.35">
      <c r="D22" s="18">
        <f t="shared" si="4"/>
        <v>4.75</v>
      </c>
      <c r="E22" s="4">
        <f t="shared" si="5"/>
        <v>4.9805000000000055</v>
      </c>
      <c r="F22" s="3">
        <f t="shared" si="0"/>
        <v>10.000000000109537</v>
      </c>
      <c r="G22" s="3">
        <f t="shared" ca="1" si="6"/>
        <v>265.98745044255071</v>
      </c>
      <c r="H22" s="3">
        <f t="shared" ca="1" si="9"/>
        <v>587.25853364291459</v>
      </c>
      <c r="I22" s="3">
        <f t="shared" ca="1" si="1"/>
        <v>587.25853364291459</v>
      </c>
      <c r="J22" s="4">
        <f t="shared" ca="1" si="2"/>
        <v>5.0093629266821456</v>
      </c>
      <c r="K22" s="4">
        <f t="shared" ca="1" si="3"/>
        <v>2.8862926682140078E-2</v>
      </c>
      <c r="L22" s="40">
        <f t="shared" ca="1" si="7"/>
        <v>-3.7486772487005382E-3</v>
      </c>
      <c r="M22" s="19" t="str">
        <f t="shared" ca="1" si="8"/>
        <v>Grout</v>
      </c>
    </row>
    <row r="23" spans="2:13" x14ac:dyDescent="0.35">
      <c r="D23" s="20">
        <f>B8</f>
        <v>5</v>
      </c>
      <c r="E23" s="21">
        <f t="shared" si="5"/>
        <v>4.9800000000000058</v>
      </c>
      <c r="F23" s="22">
        <f t="shared" si="0"/>
        <v>1.1510792319313623E-10</v>
      </c>
      <c r="G23" s="22">
        <f t="shared" ca="1" si="6"/>
        <v>265.30790557017281</v>
      </c>
      <c r="H23" s="22">
        <f>$B$3</f>
        <v>600</v>
      </c>
      <c r="I23" s="22">
        <f t="shared" ca="1" si="1"/>
        <v>600</v>
      </c>
      <c r="J23" s="21">
        <f t="shared" ca="1" si="2"/>
        <v>5.01</v>
      </c>
      <c r="K23" s="21">
        <f t="shared" ca="1" si="3"/>
        <v>2.9999999999994031E-2</v>
      </c>
      <c r="L23" s="41">
        <f t="shared" ca="1" si="7"/>
        <v>-4.0039999999998965E-3</v>
      </c>
      <c r="M23" s="23" t="str">
        <f t="shared" ca="1" si="8"/>
        <v>Grout</v>
      </c>
    </row>
    <row r="29" spans="2:13" x14ac:dyDescent="0.35">
      <c r="B29" s="7"/>
      <c r="C29" s="7"/>
      <c r="E29" s="1"/>
    </row>
    <row r="30" spans="2:13" x14ac:dyDescent="0.35">
      <c r="B30"/>
      <c r="F30" s="8"/>
    </row>
    <row r="31" spans="2:13" x14ac:dyDescent="0.35">
      <c r="F31" s="8"/>
    </row>
  </sheetData>
  <mergeCells count="2">
    <mergeCell ref="A1:B1"/>
    <mergeCell ref="D1:M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TBM Flow 1D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DICT</dc:creator>
  <cp:lastModifiedBy>Tiago Dias</cp:lastModifiedBy>
  <dcterms:created xsi:type="dcterms:W3CDTF">2015-06-15T14:25:14Z</dcterms:created>
  <dcterms:modified xsi:type="dcterms:W3CDTF">2017-10-24T09:26:22Z</dcterms:modified>
</cp:coreProperties>
</file>