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B5BB7576-74FE-4EC2-9565-008FD3DD90B4}" xr6:coauthVersionLast="44" xr6:coauthVersionMax="44" xr10:uidLastSave="{00000000-0000-0000-0000-000000000000}"/>
  <bookViews>
    <workbookView xWindow="-120" yWindow="-120" windowWidth="38640" windowHeight="21240" xr2:uid="{00000000-000D-0000-FFFF-FFFF00000000}"/>
  </bookViews>
  <sheets>
    <sheet name="literature" sheetId="1" r:id="rId1"/>
    <sheet name="data sources" sheetId="3" r:id="rId2"/>
    <sheet name="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7" i="3" l="1"/>
  <c r="M37" i="3"/>
  <c r="M36" i="3"/>
  <c r="N26" i="3"/>
  <c r="N24" i="3"/>
  <c r="N30" i="3" s="1"/>
  <c r="N28" i="3"/>
  <c r="L24" i="3"/>
  <c r="K28" i="3"/>
  <c r="K24" i="3"/>
  <c r="K25" i="3"/>
  <c r="K26" i="3"/>
  <c r="G44" i="3"/>
  <c r="J27" i="3"/>
  <c r="J26" i="3"/>
  <c r="J25" i="3"/>
  <c r="J24" i="3"/>
  <c r="G28" i="3"/>
  <c r="G25" i="3"/>
  <c r="G24" i="3"/>
  <c r="F26" i="3"/>
  <c r="G26" i="3" s="1"/>
  <c r="G30" i="3" l="1"/>
  <c r="G31" i="3" s="1"/>
  <c r="H24" i="3" s="1"/>
  <c r="H26" i="3" l="1"/>
  <c r="H28" i="3"/>
  <c r="H25" i="3"/>
  <c r="Q44" i="2" l="1"/>
  <c r="Q36" i="2"/>
  <c r="I35" i="2"/>
  <c r="J35" i="2"/>
  <c r="K35" i="2"/>
  <c r="L35" i="2"/>
  <c r="M35" i="2"/>
  <c r="N35" i="2"/>
  <c r="Q40" i="2"/>
  <c r="Q38" i="2"/>
  <c r="Q37" i="2"/>
  <c r="P40" i="2"/>
  <c r="O40" i="2"/>
  <c r="N40" i="2"/>
  <c r="M40" i="2"/>
  <c r="L40" i="2"/>
  <c r="K40" i="2"/>
  <c r="J40" i="2"/>
  <c r="I40" i="2"/>
  <c r="M23" i="1"/>
  <c r="O27" i="1" l="1"/>
  <c r="O28" i="1"/>
  <c r="N29" i="1"/>
  <c r="N28" i="1"/>
  <c r="N27" i="1"/>
  <c r="P13" i="2" l="1"/>
  <c r="P11" i="2"/>
  <c r="P9" i="2"/>
  <c r="P7" i="2"/>
  <c r="M3" i="2"/>
</calcChain>
</file>

<file path=xl/sharedStrings.xml><?xml version="1.0" encoding="utf-8"?>
<sst xmlns="http://schemas.openxmlformats.org/spreadsheetml/2006/main" count="172" uniqueCount="151">
  <si>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</si>
  <si>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</si>
  <si>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</si>
  <si>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</si>
  <si>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</si>
  <si>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</si>
  <si>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</si>
  <si>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</si>
  <si>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</si>
  <si>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</si>
  <si>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</si>
  <si>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</si>
  <si>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</si>
  <si>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</si>
  <si>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</si>
  <si>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</si>
  <si>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</si>
  <si>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</si>
  <si>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</si>
  <si>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</si>
  <si>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</si>
  <si>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</si>
  <si>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</si>
  <si>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</si>
  <si>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</si>
  <si>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</si>
  <si>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</si>
  <si>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</si>
  <si>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</si>
  <si>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</si>
  <si>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</si>
  <si>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</si>
  <si>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</si>
  <si>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</si>
  <si>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</si>
  <si>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</si>
  <si>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</si>
  <si>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</si>
  <si>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</si>
  <si>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</si>
  <si>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</si>
  <si>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</si>
  <si>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</si>
  <si>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</si>
  <si>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</si>
  <si>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</si>
  <si>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</si>
  <si>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</si>
  <si>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</si>
  <si>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</si>
  <si>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</si>
  <si>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</si>
  <si>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</si>
  <si>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</si>
  <si>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</si>
  <si>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</si>
  <si>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</si>
  <si>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</si>
  <si>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</si>
  <si>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</si>
  <si>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</si>
  <si>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</si>
  <si>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</si>
  <si>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</si>
  <si>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</si>
  <si>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</si>
  <si>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</si>
  <si>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</si>
  <si>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</si>
  <si>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</si>
  <si>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</si>
  <si>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</si>
  <si>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</si>
  <si>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</si>
  <si>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</si>
  <si>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</si>
  <si>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</si>
  <si>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</si>
  <si>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</si>
  <si>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</si>
  <si>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</si>
  <si>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</si>
  <si>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</si>
  <si>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</si>
  <si>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</si>
  <si>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</si>
  <si>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</si>
  <si>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</si>
  <si>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</si>
  <si>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</si>
  <si>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</si>
  <si>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</si>
  <si>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</si>
  <si>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</si>
  <si>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</si>
  <si>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</si>
  <si>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</si>
  <si>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</si>
  <si>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</si>
  <si>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</si>
  <si>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</si>
  <si>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</si>
  <si>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</si>
  <si>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</si>
  <si>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</si>
  <si>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</si>
  <si>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</si>
  <si>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</si>
  <si>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</si>
  <si>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</si>
  <si>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</si>
  <si>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</si>
  <si>
    <t>https://www.bbc.com/future/article/20200401-coronavirus-why-death-and-mortality-rates-differ</t>
  </si>
  <si>
    <t>https://www.nytimes.com/2020/04/04/world/europe/germany-coronavirus-death-rate.html</t>
  </si>
  <si>
    <t>Lockdowns</t>
  </si>
  <si>
    <t>https://auravision.ai/covid19-lockdown-tracker/</t>
  </si>
  <si>
    <t>Death Rates</t>
  </si>
  <si>
    <t>https://www.who.int/docs/default-source/coronaviruse/situation-reports/20200402-sitrep-73-covid-19.pdf?sfvrsn=5ae25bc7_2</t>
  </si>
  <si>
    <t>Asymptomatic rate</t>
  </si>
  <si>
    <t>https://www.eurosurveillance.org/content/10.2807/1560-7917.ES.2020.25.10.2000180</t>
  </si>
  <si>
    <t>https://www.cdc.gov/coronavirus/2019-ncov/covid-data/covidview.html</t>
  </si>
  <si>
    <t>Hospitalization rate</t>
  </si>
  <si>
    <t>Critical</t>
  </si>
  <si>
    <t>Severe</t>
  </si>
  <si>
    <t>Mild</t>
  </si>
  <si>
    <t>Captured Cases</t>
  </si>
  <si>
    <t>Total Cases</t>
  </si>
  <si>
    <t>True Asymptomatic</t>
  </si>
  <si>
    <t>Identifiable Cases</t>
  </si>
  <si>
    <t>a + b + c + d = t</t>
  </si>
  <si>
    <t>c</t>
  </si>
  <si>
    <t>0.179t</t>
  </si>
  <si>
    <t>d/t</t>
  </si>
  <si>
    <t>d</t>
  </si>
  <si>
    <t>a + b + c + 0.179t = t</t>
  </si>
  <si>
    <t xml:space="preserve">a + b + c = </t>
  </si>
  <si>
    <t>.82t</t>
  </si>
  <si>
    <t>a</t>
  </si>
  <si>
    <t>b</t>
  </si>
  <si>
    <t>C</t>
  </si>
  <si>
    <t>0.06c + 0.17c + c = 0.82t</t>
  </si>
  <si>
    <t>0.06c + 0.17c + c + 0.179t = t</t>
  </si>
  <si>
    <t>1.23c + 0.179t = t</t>
  </si>
  <si>
    <t>1.23c = 0.82t</t>
  </si>
  <si>
    <t>1.5c = t</t>
  </si>
  <si>
    <t xml:space="preserve">319 / 13438 </t>
  </si>
  <si>
    <t>Case growth rate</t>
  </si>
  <si>
    <t>Cases captured by type of case</t>
  </si>
  <si>
    <t>https://www.baldingsworld.com/2020/03/29/how-fast-is-corona-spreading-and-how-many-undetected-cases-are-there/?fbclid=IwAR3eIpnPl4VhV3ypLNHVKdM002fz27uq1wz27gMeU7qgY3a2_eT3QOQutPw</t>
  </si>
  <si>
    <t>https://www.nationalreview.com/2020/03/coronavirus-fatality-rate-computing-difficult/#slide-1</t>
  </si>
  <si>
    <t>https://www.nationalreview.com/2020/03/coronavirus-pandemic-doctors-take-serious-disease-shutdown-approach-may-be-imperfect/#slide-1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</si>
</sst>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
      <sz val="13"/>
      <color rgb="FFE6E1DC"/>
      <name val="Lucida Console"/>
      <family val="3"/>
    </font>
    <font>
      <sz val="13"/>
      <color rgb="FFFC6F09"/>
      <name val="Lucida Console"/>
      <family val="3"/>
    </font>
    <font>
      <u/>
      <sz val="13"/>
      <color rgb="FFE6E1DC"/>
      <name val="Lucida Console"/>
      <family val="3"/>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35">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9" fontId="0" fillId="0" borderId="0" xfId="0" applyNumberFormat="1"/>
    <xf numFmtId="10" fontId="0" fillId="0" borderId="0" xfId="0" applyNumberFormat="1"/>
    <xf numFmtId="43" fontId="0" fillId="0" borderId="0" xfId="0" applyNumberFormat="1"/>
    <xf numFmtId="0" fontId="10"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5" Type="http://schemas.openxmlformats.org/officeDocument/2006/relationships/image" Target="../media/image1.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5</xdr:row>
      <xdr:rowOff>0</xdr:rowOff>
    </xdr:from>
    <xdr:to>
      <xdr:col>36</xdr:col>
      <xdr:colOff>524752</xdr:colOff>
      <xdr:row>9</xdr:row>
      <xdr:rowOff>285086</xdr:rowOff>
    </xdr:to>
    <xdr:pic>
      <xdr:nvPicPr>
        <xdr:cNvPr id="7" name="Picture 6" descr="Severity of coronavirus cases in china 1">
          <a:extLst>
            <a:ext uri="{FF2B5EF4-FFF2-40B4-BE49-F238E27FC236}">
              <a16:creationId xmlns:a16="http://schemas.microsoft.com/office/drawing/2014/main" id="{3A259696-ED2F-475A-A943-94A2610F42D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349882" y="1770529"/>
          <a:ext cx="2945223" cy="263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3" Type="http://schemas.openxmlformats.org/officeDocument/2006/relationships/hyperlink" Target="https://pubmed.ncbi.nlm.nih.gov/32133832/?fbclid=IwAR3LHLplRtmPZED3jt_Hjf2ZKysmDcXMU5LgVgNPcqNAtb9EzcQBKMtCIoI" TargetMode="External"/><Relationship Id="rId21" Type="http://schemas.openxmlformats.org/officeDocument/2006/relationships/hyperlink" Target="https://www.cdc.gov/nndss/document/MMWR_Week_overview.pdf" TargetMode="External"/><Relationship Id="rId34" Type="http://schemas.openxmlformats.org/officeDocument/2006/relationships/printerSettings" Target="../printerSettings/printerSettings1.bin"/><Relationship Id="rId7" Type="http://schemas.openxmlformats.org/officeDocument/2006/relationships/hyperlink" Target="https://www.scientificamerican.com/article/heres-how-coronavirus-tests-work-and-who-offers-them/"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33" Type="http://schemas.openxmlformats.org/officeDocument/2006/relationships/hyperlink" Target="https://www.nationalreview.com/2020/03/coronavirus-pandemic-doctors-take-serious-disease-shutdown-approach-may-be-imperfect/"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32" Type="http://schemas.openxmlformats.org/officeDocument/2006/relationships/hyperlink" Target="https://www.nationalreview.com/2020/03/coronavirus-fatality-rate-computing-difficult/" TargetMode="Externa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hyperlink" Target="https://www.baldingsworld.com/2020/03/29/how-fast-is-corona-spreading-and-how-many-undetected-cases-are-there/?fbclid=IwAR3eIpnPl4VhV3ypLNHVKdM002fz27uq1wz27gMeU7qgY3a2_eT3QOQutPw"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hyperlink" Target="https://www.bbc.com/future/article/20200401-coronavirus-why-death-and-mortality-rates-differ" TargetMode="External"/><Relationship Id="rId35" Type="http://schemas.openxmlformats.org/officeDocument/2006/relationships/drawing" Target="../drawings/drawing1.xml"/><Relationship Id="rId8" Type="http://schemas.openxmlformats.org/officeDocument/2006/relationships/hyperlink" Target="https://www.sciencedirect.com/science/article/pii/S0264410X19306656?via%3Dihub"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who.int/docs/default-source/coronaviruse/situation-reports/20200402-sitrep-73-covid-19.pdf?sfvrsn=5ae25bc7_2" TargetMode="External"/><Relationship Id="rId2" Type="http://schemas.openxmlformats.org/officeDocument/2006/relationships/hyperlink" Target="https://www.nytimes.com/2020/04/04/world/europe/germany-coronavirus-death-rate.html" TargetMode="External"/><Relationship Id="rId1" Type="http://schemas.openxmlformats.org/officeDocument/2006/relationships/hyperlink" Target="https://auravision.ai/covid19-lockdown-tracker/" TargetMode="External"/><Relationship Id="rId6" Type="http://schemas.openxmlformats.org/officeDocument/2006/relationships/printerSettings" Target="../printerSettings/printerSettings2.bin"/><Relationship Id="rId5" Type="http://schemas.openxmlformats.org/officeDocument/2006/relationships/hyperlink" Target="https://www.cdc.gov/coronavirus/2019-ncov/covid-data/covidview.html" TargetMode="External"/><Relationship Id="rId4" Type="http://schemas.openxmlformats.org/officeDocument/2006/relationships/hyperlink" Target="https://www.eurosurveillance.org/content/10.2807/1560-7917.ES.2020.25.10.200018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R44"/>
  <sheetViews>
    <sheetView tabSelected="1" workbookViewId="0">
      <selection activeCell="R22" sqref="R22"/>
    </sheetView>
  </sheetViews>
  <sheetFormatPr defaultRowHeight="15" x14ac:dyDescent="0.25"/>
  <sheetData>
    <row r="1" spans="4:4" x14ac:dyDescent="0.25">
      <c r="D1" s="1" t="s">
        <v>148</v>
      </c>
    </row>
    <row r="2" spans="4:4" x14ac:dyDescent="0.25">
      <c r="D2" s="1" t="s">
        <v>5</v>
      </c>
    </row>
    <row r="3" spans="4:4" x14ac:dyDescent="0.25">
      <c r="D3" s="1" t="s">
        <v>4</v>
      </c>
    </row>
    <row r="4" spans="4:4" x14ac:dyDescent="0.25">
      <c r="D4" s="1" t="s">
        <v>102</v>
      </c>
    </row>
    <row r="5" spans="4:4" x14ac:dyDescent="0.25">
      <c r="D5" s="1" t="s">
        <v>149</v>
      </c>
    </row>
    <row r="6" spans="4:4" x14ac:dyDescent="0.25">
      <c r="D6" s="1" t="s">
        <v>150</v>
      </c>
    </row>
    <row r="8" spans="4:4" x14ac:dyDescent="0.25">
      <c r="D8" s="1" t="s">
        <v>1</v>
      </c>
    </row>
    <row r="9" spans="4:4" x14ac:dyDescent="0.25">
      <c r="D9" s="1" t="s">
        <v>2</v>
      </c>
    </row>
    <row r="10" spans="4:4" x14ac:dyDescent="0.25">
      <c r="D10" s="1" t="s">
        <v>3</v>
      </c>
    </row>
    <row r="11" spans="4:4" x14ac:dyDescent="0.25">
      <c r="D11" s="1" t="s">
        <v>6</v>
      </c>
    </row>
    <row r="12" spans="4:4" x14ac:dyDescent="0.25">
      <c r="D12" s="1" t="s">
        <v>73</v>
      </c>
    </row>
    <row r="14" spans="4:4" x14ac:dyDescent="0.25">
      <c r="D14" s="1" t="s">
        <v>75</v>
      </c>
    </row>
    <row r="15" spans="4:4" x14ac:dyDescent="0.25">
      <c r="D15" s="1" t="s">
        <v>74</v>
      </c>
    </row>
    <row r="16" spans="4:4" x14ac:dyDescent="0.25">
      <c r="D16" s="1" t="s">
        <v>0</v>
      </c>
    </row>
    <row r="17" spans="4:18" x14ac:dyDescent="0.25">
      <c r="D17" s="1" t="s">
        <v>76</v>
      </c>
    </row>
    <row r="18" spans="4:18" x14ac:dyDescent="0.25">
      <c r="D18" s="1" t="s">
        <v>77</v>
      </c>
    </row>
    <row r="19" spans="4:18" x14ac:dyDescent="0.25">
      <c r="D19" s="1" t="s">
        <v>78</v>
      </c>
    </row>
    <row r="20" spans="4:18" x14ac:dyDescent="0.25">
      <c r="D20" s="1" t="s">
        <v>79</v>
      </c>
    </row>
    <row r="21" spans="4:18" x14ac:dyDescent="0.25">
      <c r="D21" s="1" t="s">
        <v>80</v>
      </c>
    </row>
    <row r="22" spans="4:18" x14ac:dyDescent="0.25">
      <c r="D22" s="1" t="s">
        <v>81</v>
      </c>
      <c r="K22" t="s">
        <v>83</v>
      </c>
      <c r="L22" t="s">
        <v>84</v>
      </c>
      <c r="M22" t="s">
        <v>85</v>
      </c>
    </row>
    <row r="23" spans="4:18" x14ac:dyDescent="0.25">
      <c r="D23" s="1" t="s">
        <v>82</v>
      </c>
      <c r="K23">
        <v>5</v>
      </c>
      <c r="L23">
        <v>8.5</v>
      </c>
      <c r="M23">
        <f>L23+K23</f>
        <v>13.5</v>
      </c>
    </row>
    <row r="24" spans="4:18" x14ac:dyDescent="0.25">
      <c r="D24" s="1" t="s">
        <v>86</v>
      </c>
    </row>
    <row r="25" spans="4:18" x14ac:dyDescent="0.25">
      <c r="D25" s="1" t="s">
        <v>87</v>
      </c>
    </row>
    <row r="26" spans="4:18" x14ac:dyDescent="0.25">
      <c r="D26" s="1" t="s">
        <v>87</v>
      </c>
      <c r="R26" t="s">
        <v>106</v>
      </c>
    </row>
    <row r="27" spans="4:18" x14ac:dyDescent="0.25">
      <c r="D27" s="1" t="s">
        <v>103</v>
      </c>
      <c r="N27">
        <f>AVERAGE(61, 12)</f>
        <v>36.5</v>
      </c>
      <c r="O27" s="15">
        <f>N27/N29</f>
        <v>1.3443830570902394E-3</v>
      </c>
      <c r="R27" t="s">
        <v>107</v>
      </c>
    </row>
    <row r="28" spans="4:18" x14ac:dyDescent="0.25">
      <c r="N28">
        <f>AVERAGE(810, 140)</f>
        <v>475</v>
      </c>
      <c r="O28" s="15">
        <f>N28/N29</f>
        <v>1.7495395948434623E-2</v>
      </c>
    </row>
    <row r="29" spans="4:18" x14ac:dyDescent="0.25">
      <c r="D29" s="1" t="s">
        <v>112</v>
      </c>
      <c r="N29">
        <f>AVERAGE(45000, 9300)</f>
        <v>27150</v>
      </c>
    </row>
    <row r="30" spans="4:18" x14ac:dyDescent="0.25">
      <c r="D30" s="1" t="s">
        <v>104</v>
      </c>
    </row>
    <row r="31" spans="4:18" x14ac:dyDescent="0.25">
      <c r="D31" s="1" t="s">
        <v>105</v>
      </c>
    </row>
    <row r="32" spans="4:18" x14ac:dyDescent="0.25">
      <c r="D32" s="1" t="s">
        <v>108</v>
      </c>
    </row>
    <row r="33" spans="4:4" x14ac:dyDescent="0.25">
      <c r="D33" s="1" t="s">
        <v>109</v>
      </c>
    </row>
    <row r="34" spans="4:4" x14ac:dyDescent="0.25">
      <c r="D34" s="1" t="s">
        <v>110</v>
      </c>
    </row>
    <row r="35" spans="4:4" x14ac:dyDescent="0.25">
      <c r="D35" s="1" t="s">
        <v>111</v>
      </c>
    </row>
    <row r="36" spans="4:4" x14ac:dyDescent="0.25">
      <c r="D36" t="s">
        <v>91</v>
      </c>
    </row>
    <row r="38" spans="4:4" x14ac:dyDescent="0.25">
      <c r="D38" s="16" t="s">
        <v>88</v>
      </c>
    </row>
    <row r="39" spans="4:4" x14ac:dyDescent="0.25">
      <c r="D39" s="17" t="s">
        <v>89</v>
      </c>
    </row>
    <row r="40" spans="4:4" x14ac:dyDescent="0.25">
      <c r="D40" s="18"/>
    </row>
    <row r="41" spans="4:4" x14ac:dyDescent="0.25">
      <c r="D41" s="16" t="s">
        <v>90</v>
      </c>
    </row>
    <row r="43" spans="4:4" x14ac:dyDescent="0.25">
      <c r="D43" t="s">
        <v>93</v>
      </c>
    </row>
    <row r="44" spans="4:4" x14ac:dyDescent="0.25">
      <c r="D44" s="19" t="s">
        <v>92</v>
      </c>
    </row>
  </sheetData>
  <hyperlinks>
    <hyperlink ref="D16" r:id="rId1" location="S2" display="S2" xr:uid="{E016D803-36A3-45D0-BE0C-0CF81E372776}"/>
    <hyperlink ref="D8" r:id="rId2" location="bib0025" display="bib0025" xr:uid="{2A3FF179-05E8-4DE0-A18D-A77933B2B3F8}"/>
    <hyperlink ref="D9" r:id="rId3" xr:uid="{3D709EE6-5160-4030-93B9-3969A9356103}"/>
    <hyperlink ref="D10" r:id="rId4" xr:uid="{616ED8E6-40D1-4D61-9E14-CF2D2760AFB7}"/>
    <hyperlink ref="D3" r:id="rId5" xr:uid="{A0C9FDAD-377D-41BD-9752-D6043B6B426E}"/>
    <hyperlink ref="D2" r:id="rId6" xr:uid="{760C8F73-DAD9-44A1-8506-3FDE74F815F5}"/>
    <hyperlink ref="D11"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 ref="D29" r:id="rId30" xr:uid="{C7889458-3269-414C-9333-27436CF7008C}"/>
    <hyperlink ref="D1" r:id="rId31" xr:uid="{EA1CEE00-04A5-4E81-AB41-BADD29285011}"/>
    <hyperlink ref="D5" r:id="rId32" location="slide-1" display="https://www.nationalreview.com/2020/03/coronavirus-fatality-rate-computing-difficult/ - slide-1" xr:uid="{CBFCF224-F92B-4F6B-8C80-8AC21BA45F5F}"/>
    <hyperlink ref="D6" r:id="rId33" location="slide-1" display="https://www.nationalreview.com/2020/03/coronavirus-pandemic-doctors-take-serious-disease-shutdown-approach-may-be-imperfect/ - slide-1" xr:uid="{6ABFA900-3386-40FD-B0E9-1D23EB79F04D}"/>
  </hyperlinks>
  <pageMargins left="0.7" right="0.7" top="0.75" bottom="0.75" header="0.3" footer="0.3"/>
  <pageSetup orientation="portrait" r:id="rId34"/>
  <drawing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D97A-1146-4228-8E8F-D571B171B813}">
  <dimension ref="C4:P45"/>
  <sheetViews>
    <sheetView topLeftCell="A15" zoomScale="145" zoomScaleNormal="145" workbookViewId="0">
      <selection activeCell="B51" sqref="B51"/>
    </sheetView>
  </sheetViews>
  <sheetFormatPr defaultRowHeight="15" x14ac:dyDescent="0.25"/>
  <cols>
    <col min="5" max="5" width="18.42578125" customWidth="1"/>
    <col min="10" max="10" width="20.42578125" bestFit="1" customWidth="1"/>
  </cols>
  <sheetData>
    <row r="4" spans="3:3" x14ac:dyDescent="0.25">
      <c r="C4" t="s">
        <v>114</v>
      </c>
    </row>
    <row r="5" spans="3:3" x14ac:dyDescent="0.25">
      <c r="C5" s="1" t="s">
        <v>115</v>
      </c>
    </row>
    <row r="8" spans="3:3" x14ac:dyDescent="0.25">
      <c r="C8" t="s">
        <v>116</v>
      </c>
    </row>
    <row r="9" spans="3:3" x14ac:dyDescent="0.25">
      <c r="C9" s="1" t="s">
        <v>113</v>
      </c>
    </row>
    <row r="13" spans="3:3" x14ac:dyDescent="0.25">
      <c r="C13" t="s">
        <v>118</v>
      </c>
    </row>
    <row r="14" spans="3:3" x14ac:dyDescent="0.25">
      <c r="C14" s="1" t="s">
        <v>117</v>
      </c>
    </row>
    <row r="15" spans="3:3" x14ac:dyDescent="0.25">
      <c r="C15" s="1" t="s">
        <v>119</v>
      </c>
    </row>
    <row r="19" spans="3:14" x14ac:dyDescent="0.25">
      <c r="C19" t="s">
        <v>121</v>
      </c>
    </row>
    <row r="20" spans="3:14" x14ac:dyDescent="0.25">
      <c r="C20" s="1" t="s">
        <v>120</v>
      </c>
    </row>
    <row r="23" spans="3:14" x14ac:dyDescent="0.25">
      <c r="E23" t="s">
        <v>128</v>
      </c>
      <c r="J23" t="s">
        <v>139</v>
      </c>
    </row>
    <row r="24" spans="3:14" x14ac:dyDescent="0.25">
      <c r="E24" t="s">
        <v>122</v>
      </c>
      <c r="F24" s="29">
        <v>0.05</v>
      </c>
      <c r="G24">
        <f>F24*100</f>
        <v>5</v>
      </c>
      <c r="H24">
        <f>G24/$G$31</f>
        <v>4.1049999999999996E-2</v>
      </c>
      <c r="I24" t="s">
        <v>137</v>
      </c>
      <c r="J24" s="22">
        <f>F24/$F$26</f>
        <v>6.1728395061728392E-2</v>
      </c>
      <c r="K24">
        <f>J24/$G$44</f>
        <v>4.1049999999999996E-2</v>
      </c>
      <c r="L24">
        <f>SUM(K24:K25)</f>
        <v>0.15599000000000002</v>
      </c>
      <c r="M24">
        <v>0.9</v>
      </c>
      <c r="N24">
        <f>M24*L24</f>
        <v>0.14039100000000002</v>
      </c>
    </row>
    <row r="25" spans="3:14" x14ac:dyDescent="0.25">
      <c r="E25" t="s">
        <v>123</v>
      </c>
      <c r="F25" s="29">
        <v>0.14000000000000001</v>
      </c>
      <c r="G25">
        <f>F25*100</f>
        <v>14.000000000000002</v>
      </c>
      <c r="H25">
        <f>G25/$G$31</f>
        <v>0.11494000000000001</v>
      </c>
      <c r="I25" t="s">
        <v>138</v>
      </c>
      <c r="J25" s="22">
        <f>F25/$F$26</f>
        <v>0.17283950617283952</v>
      </c>
      <c r="K25">
        <f>J25/$G$44</f>
        <v>0.11494000000000001</v>
      </c>
    </row>
    <row r="26" spans="3:14" x14ac:dyDescent="0.25">
      <c r="E26" t="s">
        <v>124</v>
      </c>
      <c r="F26" s="29">
        <f>1-SUM(F24:F25)</f>
        <v>0.81</v>
      </c>
      <c r="G26">
        <f>F26*100</f>
        <v>81</v>
      </c>
      <c r="H26">
        <f>G26/$G$31</f>
        <v>0.66500999999999999</v>
      </c>
      <c r="I26" t="s">
        <v>130</v>
      </c>
      <c r="J26" s="22">
        <f>F26/$F$26</f>
        <v>1</v>
      </c>
      <c r="K26">
        <f>J26/$G$44</f>
        <v>0.66500999999999999</v>
      </c>
      <c r="M26">
        <v>0.25</v>
      </c>
      <c r="N26">
        <f>M26*K26</f>
        <v>0.1662525</v>
      </c>
    </row>
    <row r="27" spans="3:14" x14ac:dyDescent="0.25">
      <c r="J27" s="31">
        <f>SUM(J24:J26)</f>
        <v>1.2345679012345678</v>
      </c>
    </row>
    <row r="28" spans="3:14" x14ac:dyDescent="0.25">
      <c r="E28" t="s">
        <v>127</v>
      </c>
      <c r="F28" s="30">
        <v>0.17899999999999999</v>
      </c>
      <c r="G28">
        <f>F28*100</f>
        <v>17.899999999999999</v>
      </c>
      <c r="H28">
        <f>G28/$G$31</f>
        <v>0.14695899999999998</v>
      </c>
      <c r="K28">
        <f>1-SUM(K24:K26)</f>
        <v>0.17900000000000005</v>
      </c>
      <c r="M28">
        <v>0.01</v>
      </c>
      <c r="N28">
        <f>M28*K28</f>
        <v>1.7900000000000006E-3</v>
      </c>
    </row>
    <row r="30" spans="3:14" x14ac:dyDescent="0.25">
      <c r="E30" t="s">
        <v>125</v>
      </c>
      <c r="G30">
        <f>SUM(G24:G26)</f>
        <v>100</v>
      </c>
      <c r="N30">
        <f>SUM(N24:N28)</f>
        <v>0.30843350000000003</v>
      </c>
    </row>
    <row r="31" spans="3:14" x14ac:dyDescent="0.25">
      <c r="E31" t="s">
        <v>126</v>
      </c>
      <c r="G31">
        <f>G30/(1-F28)</f>
        <v>121.8026796589525</v>
      </c>
    </row>
    <row r="33" spans="7:16" x14ac:dyDescent="0.25">
      <c r="G33" t="s">
        <v>129</v>
      </c>
    </row>
    <row r="34" spans="7:16" x14ac:dyDescent="0.25">
      <c r="G34" t="s">
        <v>132</v>
      </c>
      <c r="H34">
        <v>0.17899999999999999</v>
      </c>
      <c r="P34" t="s">
        <v>146</v>
      </c>
    </row>
    <row r="35" spans="7:16" ht="16.5" x14ac:dyDescent="0.25">
      <c r="G35" t="s">
        <v>133</v>
      </c>
      <c r="H35" t="s">
        <v>131</v>
      </c>
      <c r="L35" s="32" t="s">
        <v>145</v>
      </c>
      <c r="P35" t="s">
        <v>147</v>
      </c>
    </row>
    <row r="36" spans="7:16" ht="16.5" x14ac:dyDescent="0.25">
      <c r="L36" s="33">
        <v>13438</v>
      </c>
      <c r="M36">
        <f>L36/N30</f>
        <v>43568.548811980538</v>
      </c>
    </row>
    <row r="37" spans="7:16" ht="16.5" x14ac:dyDescent="0.25">
      <c r="G37" t="s">
        <v>134</v>
      </c>
      <c r="L37" s="34">
        <v>319</v>
      </c>
      <c r="M37">
        <f>L37/0.9</f>
        <v>354.44444444444446</v>
      </c>
      <c r="N37">
        <f>M37/M36</f>
        <v>8.1353282151775241E-3</v>
      </c>
    </row>
    <row r="39" spans="7:16" x14ac:dyDescent="0.25">
      <c r="G39" t="s">
        <v>135</v>
      </c>
      <c r="H39" s="30" t="s">
        <v>136</v>
      </c>
    </row>
    <row r="40" spans="7:16" x14ac:dyDescent="0.25">
      <c r="G40" t="s">
        <v>140</v>
      </c>
    </row>
    <row r="41" spans="7:16" x14ac:dyDescent="0.25">
      <c r="G41" t="s">
        <v>141</v>
      </c>
    </row>
    <row r="42" spans="7:16" x14ac:dyDescent="0.25">
      <c r="G42" t="s">
        <v>142</v>
      </c>
    </row>
    <row r="43" spans="7:16" x14ac:dyDescent="0.25">
      <c r="G43" t="s">
        <v>143</v>
      </c>
    </row>
    <row r="44" spans="7:16" x14ac:dyDescent="0.25">
      <c r="G44" s="31">
        <f>J27/(1-F28)</f>
        <v>1.5037367859129938</v>
      </c>
    </row>
    <row r="45" spans="7:16" x14ac:dyDescent="0.25">
      <c r="G45" t="s">
        <v>144</v>
      </c>
    </row>
  </sheetData>
  <hyperlinks>
    <hyperlink ref="C5" r:id="rId1" xr:uid="{356FED09-864D-42B1-9734-3ABB7F56A365}"/>
    <hyperlink ref="C9" r:id="rId2" xr:uid="{F68D2B68-E29A-4C59-AA25-381D80FDD725}"/>
    <hyperlink ref="C14" r:id="rId3" xr:uid="{B64D5734-DC18-4493-B22C-A40B22A6340E}"/>
    <hyperlink ref="C15" r:id="rId4" xr:uid="{90A38EB1-7C22-479C-91C6-6193068E6AE9}"/>
    <hyperlink ref="C20" r:id="rId5" xr:uid="{CAE48047-1268-4B85-80EC-C8C071A160B3}"/>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19" zoomScale="85" zoomScaleNormal="85" workbookViewId="0">
      <selection activeCell="AG6" sqref="AG6"/>
    </sheetView>
  </sheetViews>
  <sheetFormatPr defaultRowHeight="15" x14ac:dyDescent="0.25"/>
  <cols>
    <col min="8" max="8" width="12.140625" customWidth="1"/>
    <col min="17" max="17" width="20.85546875" bestFit="1" customWidth="1"/>
  </cols>
  <sheetData>
    <row r="3" spans="3:16" ht="15.75" thickBot="1" x14ac:dyDescent="0.3">
      <c r="C3" t="s">
        <v>72</v>
      </c>
      <c r="M3" s="4">
        <f>M9/100000</f>
        <v>1.4732E-3</v>
      </c>
    </row>
    <row r="4" spans="3:16" ht="78.75" x14ac:dyDescent="0.25">
      <c r="C4" s="3" t="s">
        <v>7</v>
      </c>
      <c r="D4" s="3" t="s">
        <v>8</v>
      </c>
      <c r="E4" s="3" t="s">
        <v>9</v>
      </c>
      <c r="F4" s="27" t="s">
        <v>10</v>
      </c>
      <c r="G4" s="28"/>
      <c r="H4" s="27" t="s">
        <v>11</v>
      </c>
      <c r="I4" s="28"/>
      <c r="J4" s="27" t="s">
        <v>12</v>
      </c>
      <c r="K4" s="28"/>
      <c r="L4" s="27" t="s">
        <v>13</v>
      </c>
      <c r="M4" s="28"/>
      <c r="N4" s="27" t="s">
        <v>14</v>
      </c>
      <c r="O4" s="28"/>
    </row>
    <row r="5" spans="3:16" x14ac:dyDescent="0.25">
      <c r="C5" s="2"/>
      <c r="D5" s="2"/>
      <c r="E5" s="2"/>
      <c r="F5" s="10" t="s">
        <v>15</v>
      </c>
      <c r="G5" s="11" t="s">
        <v>16</v>
      </c>
      <c r="H5" s="10" t="s">
        <v>15</v>
      </c>
      <c r="I5" s="11" t="s">
        <v>16</v>
      </c>
      <c r="J5" s="10" t="s">
        <v>15</v>
      </c>
      <c r="K5" s="11" t="s">
        <v>16</v>
      </c>
      <c r="L5" s="10" t="s">
        <v>15</v>
      </c>
      <c r="M5" s="11" t="s">
        <v>16</v>
      </c>
      <c r="N5" s="10" t="s">
        <v>15</v>
      </c>
      <c r="O5" s="11" t="s">
        <v>16</v>
      </c>
    </row>
    <row r="6" spans="3:16" ht="15.75" thickBot="1" x14ac:dyDescent="0.3">
      <c r="C6" s="5"/>
      <c r="D6" s="5"/>
      <c r="E6" s="5"/>
      <c r="F6" s="10" t="s">
        <v>17</v>
      </c>
      <c r="G6" s="11" t="s">
        <v>17</v>
      </c>
      <c r="H6" s="10" t="s">
        <v>17</v>
      </c>
      <c r="I6" s="11" t="s">
        <v>17</v>
      </c>
      <c r="J6" s="10" t="s">
        <v>17</v>
      </c>
      <c r="K6" s="11" t="s">
        <v>17</v>
      </c>
      <c r="L6" s="10" t="s">
        <v>17</v>
      </c>
      <c r="M6" s="11" t="s">
        <v>17</v>
      </c>
      <c r="N6" s="10" t="s">
        <v>17</v>
      </c>
      <c r="O6" s="11" t="s">
        <v>17</v>
      </c>
    </row>
    <row r="7" spans="3:16" ht="56.25" x14ac:dyDescent="0.25">
      <c r="C7" s="23" t="s">
        <v>18</v>
      </c>
      <c r="D7" s="6" t="s">
        <v>19</v>
      </c>
      <c r="E7" s="25" t="s">
        <v>20</v>
      </c>
      <c r="F7" s="12">
        <v>10</v>
      </c>
      <c r="G7" s="7">
        <v>0.37</v>
      </c>
      <c r="H7" s="12">
        <v>21</v>
      </c>
      <c r="I7" s="7">
        <v>0.36</v>
      </c>
      <c r="J7" s="12">
        <v>831</v>
      </c>
      <c r="K7" s="7">
        <v>2.11</v>
      </c>
      <c r="L7" s="12">
        <v>8460</v>
      </c>
      <c r="M7" s="7">
        <v>65.010000000000005</v>
      </c>
      <c r="N7" s="12">
        <v>7027</v>
      </c>
      <c r="O7" s="7">
        <v>11.56</v>
      </c>
      <c r="P7" s="4">
        <f>M7/100000</f>
        <v>6.5010000000000003E-4</v>
      </c>
    </row>
    <row r="8" spans="3:16" ht="68.25" thickBot="1" x14ac:dyDescent="0.3">
      <c r="C8" s="24"/>
      <c r="D8" s="8" t="s">
        <v>21</v>
      </c>
      <c r="E8" s="26"/>
      <c r="F8" s="13" t="s">
        <v>22</v>
      </c>
      <c r="G8" s="9" t="s">
        <v>23</v>
      </c>
      <c r="H8" s="13" t="s">
        <v>24</v>
      </c>
      <c r="I8" s="9" t="s">
        <v>25</v>
      </c>
      <c r="J8" s="13" t="s">
        <v>26</v>
      </c>
      <c r="K8" s="9" t="s">
        <v>27</v>
      </c>
      <c r="L8" s="13" t="s">
        <v>28</v>
      </c>
      <c r="M8" s="9" t="s">
        <v>29</v>
      </c>
      <c r="N8" s="13" t="s">
        <v>30</v>
      </c>
      <c r="O8" s="9" t="s">
        <v>31</v>
      </c>
      <c r="P8" s="4"/>
    </row>
    <row r="9" spans="3:16" ht="45" x14ac:dyDescent="0.25">
      <c r="C9" s="23" t="s">
        <v>32</v>
      </c>
      <c r="D9" s="6" t="s">
        <v>33</v>
      </c>
      <c r="E9" s="25" t="s">
        <v>34</v>
      </c>
      <c r="F9" s="12">
        <v>28</v>
      </c>
      <c r="G9" s="7">
        <v>1.05</v>
      </c>
      <c r="H9" s="12">
        <v>5</v>
      </c>
      <c r="I9" s="7" t="s">
        <v>35</v>
      </c>
      <c r="J9" s="12">
        <v>1364</v>
      </c>
      <c r="K9" s="7">
        <v>3.48</v>
      </c>
      <c r="L9" s="12">
        <v>19475</v>
      </c>
      <c r="M9" s="7">
        <v>147.32</v>
      </c>
      <c r="N9" s="12">
        <v>20259</v>
      </c>
      <c r="O9" s="7">
        <v>33.32</v>
      </c>
      <c r="P9" s="4">
        <f>M9/100000</f>
        <v>1.4732E-3</v>
      </c>
    </row>
    <row r="10" spans="3:16" ht="68.25" thickBot="1" x14ac:dyDescent="0.3">
      <c r="C10" s="24"/>
      <c r="D10" s="8" t="s">
        <v>36</v>
      </c>
      <c r="E10" s="26"/>
      <c r="F10" s="13" t="s">
        <v>37</v>
      </c>
      <c r="G10" s="9" t="s">
        <v>38</v>
      </c>
      <c r="H10" s="13" t="s">
        <v>39</v>
      </c>
      <c r="I10" s="9" t="s">
        <v>40</v>
      </c>
      <c r="J10" s="13" t="s">
        <v>41</v>
      </c>
      <c r="K10" s="9" t="s">
        <v>42</v>
      </c>
      <c r="L10" s="13" t="s">
        <v>43</v>
      </c>
      <c r="M10" s="9" t="s">
        <v>44</v>
      </c>
      <c r="N10" s="13" t="s">
        <v>45</v>
      </c>
      <c r="O10" s="9" t="s">
        <v>46</v>
      </c>
      <c r="P10" s="4"/>
    </row>
    <row r="11" spans="3:16" ht="56.25" x14ac:dyDescent="0.25">
      <c r="C11" s="23" t="s">
        <v>47</v>
      </c>
      <c r="D11" s="6" t="s">
        <v>48</v>
      </c>
      <c r="E11" s="25" t="s">
        <v>34</v>
      </c>
      <c r="F11" s="12">
        <v>0</v>
      </c>
      <c r="G11" s="7">
        <v>0</v>
      </c>
      <c r="H11" s="12">
        <v>15</v>
      </c>
      <c r="I11" s="7">
        <v>0.27</v>
      </c>
      <c r="J11" s="12">
        <v>977</v>
      </c>
      <c r="K11" s="7">
        <v>2.5</v>
      </c>
      <c r="L11" s="12">
        <v>10270</v>
      </c>
      <c r="M11" s="7">
        <v>76.81</v>
      </c>
      <c r="N11" s="12">
        <v>15801</v>
      </c>
      <c r="O11" s="7">
        <v>26.05</v>
      </c>
      <c r="P11" s="4">
        <f>M11/100000</f>
        <v>7.6810000000000008E-4</v>
      </c>
    </row>
    <row r="12" spans="3:16" ht="57" thickBot="1" x14ac:dyDescent="0.3">
      <c r="C12" s="24"/>
      <c r="D12" s="8" t="s">
        <v>49</v>
      </c>
      <c r="E12" s="26"/>
      <c r="F12" s="13" t="s">
        <v>50</v>
      </c>
      <c r="G12" s="9" t="s">
        <v>40</v>
      </c>
      <c r="H12" s="13" t="s">
        <v>51</v>
      </c>
      <c r="I12" s="9" t="s">
        <v>52</v>
      </c>
      <c r="J12" s="13" t="s">
        <v>53</v>
      </c>
      <c r="K12" s="9" t="s">
        <v>54</v>
      </c>
      <c r="L12" s="13" t="s">
        <v>55</v>
      </c>
      <c r="M12" s="9" t="s">
        <v>56</v>
      </c>
      <c r="N12" s="13" t="s">
        <v>57</v>
      </c>
      <c r="O12" s="9" t="s">
        <v>58</v>
      </c>
      <c r="P12" s="4"/>
    </row>
    <row r="13" spans="3:16" ht="56.25" x14ac:dyDescent="0.25">
      <c r="C13" s="23" t="s">
        <v>59</v>
      </c>
      <c r="D13" s="6" t="s">
        <v>60</v>
      </c>
      <c r="E13" s="25" t="s">
        <v>61</v>
      </c>
      <c r="F13" s="12">
        <v>38</v>
      </c>
      <c r="G13" s="7">
        <v>1.54</v>
      </c>
      <c r="H13" s="12">
        <v>13</v>
      </c>
      <c r="I13" s="7">
        <v>0.23</v>
      </c>
      <c r="J13" s="12">
        <v>675</v>
      </c>
      <c r="K13" s="7">
        <v>1.74</v>
      </c>
      <c r="L13" s="12">
        <v>19404</v>
      </c>
      <c r="M13" s="7">
        <v>143.43</v>
      </c>
      <c r="N13" s="12">
        <v>24981</v>
      </c>
      <c r="O13" s="7">
        <v>41.23</v>
      </c>
      <c r="P13" s="4">
        <f>M13/100000</f>
        <v>1.4343000000000001E-3</v>
      </c>
    </row>
    <row r="14" spans="3:16" ht="57" thickBot="1" x14ac:dyDescent="0.3">
      <c r="C14" s="24"/>
      <c r="D14" s="8" t="s">
        <v>62</v>
      </c>
      <c r="E14" s="26"/>
      <c r="F14" s="13" t="s">
        <v>63</v>
      </c>
      <c r="G14" s="9" t="s">
        <v>64</v>
      </c>
      <c r="H14" s="13" t="s">
        <v>65</v>
      </c>
      <c r="I14" s="9" t="s">
        <v>52</v>
      </c>
      <c r="J14" s="13" t="s">
        <v>66</v>
      </c>
      <c r="K14" s="9" t="s">
        <v>67</v>
      </c>
      <c r="L14" s="13" t="s">
        <v>68</v>
      </c>
      <c r="M14" s="9" t="s">
        <v>69</v>
      </c>
      <c r="N14" s="13" t="s">
        <v>70</v>
      </c>
      <c r="O14" s="9" t="s">
        <v>71</v>
      </c>
    </row>
    <row r="35" spans="8:17" x14ac:dyDescent="0.25">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25">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25">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25">
      <c r="H38" t="s">
        <v>95</v>
      </c>
      <c r="I38">
        <v>21</v>
      </c>
      <c r="J38">
        <v>9.3000000000000007</v>
      </c>
      <c r="K38">
        <v>34</v>
      </c>
      <c r="L38">
        <v>30</v>
      </c>
      <c r="M38">
        <v>30</v>
      </c>
      <c r="N38">
        <v>24</v>
      </c>
      <c r="O38">
        <v>29</v>
      </c>
      <c r="P38">
        <v>45</v>
      </c>
      <c r="Q38" s="20">
        <f>AVERAGE(I38:P38)</f>
        <v>27.787500000000001</v>
      </c>
    </row>
    <row r="40" spans="8:17" x14ac:dyDescent="0.25">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25">
      <c r="H42" t="s">
        <v>98</v>
      </c>
      <c r="Q42" s="14">
        <v>0.19</v>
      </c>
    </row>
    <row r="44" spans="8:17" x14ac:dyDescent="0.25">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vt:lpstr>
      <vt:lpstr>data sources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2020-04-07T15:06:19Z</dcterms:modified>
</cp:coreProperties>
</file>