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"/>
    </mc:Choice>
  </mc:AlternateContent>
  <xr:revisionPtr revIDLastSave="0" documentId="13_ncr:1_{1EAB440A-C93A-4623-8089-C18BAC77C731}" xr6:coauthVersionLast="44" xr6:coauthVersionMax="44" xr10:uidLastSave="{00000000-0000-0000-0000-000000000000}"/>
  <bookViews>
    <workbookView xWindow="-108" yWindow="-108" windowWidth="23256" windowHeight="12576" xr2:uid="{2084352B-F601-49F1-8B25-E9FF30E33CA6}"/>
  </bookViews>
  <sheets>
    <sheet name="Worksheet" sheetId="1" r:id="rId1"/>
    <sheet name="Sources" sheetId="3" r:id="rId2"/>
    <sheet name="Screenca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O21" i="1"/>
  <c r="O23" i="1" s="1"/>
  <c r="O28" i="1" s="1"/>
  <c r="N21" i="1"/>
  <c r="L21" i="1"/>
  <c r="P29" i="1"/>
  <c r="O29" i="1"/>
  <c r="P22" i="1"/>
  <c r="P23" i="1" s="1"/>
  <c r="P28" i="1" s="1"/>
  <c r="O22" i="1"/>
  <c r="L22" i="1"/>
  <c r="L23" i="1" s="1"/>
  <c r="L28" i="1" s="1"/>
  <c r="N22" i="1" l="1"/>
  <c r="N23" i="1" s="1"/>
  <c r="N28" i="1" s="1"/>
  <c r="L29" i="1"/>
  <c r="M8" i="1"/>
  <c r="M21" i="1" s="1"/>
  <c r="J4" i="1"/>
  <c r="N29" i="1" l="1"/>
  <c r="M22" i="1"/>
  <c r="M23" i="1" s="1"/>
  <c r="M28" i="1" s="1"/>
  <c r="L4" i="1"/>
  <c r="M29" i="1" l="1"/>
  <c r="M24" i="1"/>
  <c r="L24" i="1"/>
  <c r="P24" i="1"/>
  <c r="O24" i="1"/>
  <c r="N24" i="1"/>
  <c r="E4" i="1"/>
  <c r="G16" i="1"/>
  <c r="G15" i="1"/>
  <c r="G14" i="1"/>
  <c r="G13" i="1"/>
  <c r="G12" i="1"/>
  <c r="G11" i="1"/>
  <c r="G10" i="1"/>
  <c r="G9" i="1"/>
  <c r="E16" i="1"/>
  <c r="E15" i="1"/>
  <c r="E14" i="1"/>
  <c r="E13" i="1"/>
  <c r="E12" i="1"/>
  <c r="E11" i="1"/>
  <c r="E10" i="1"/>
  <c r="E9" i="1"/>
  <c r="H10" i="1" l="1"/>
  <c r="H13" i="1"/>
  <c r="H14" i="1"/>
  <c r="H15" i="1"/>
  <c r="H12" i="1"/>
  <c r="H11" i="1"/>
  <c r="H9" i="1"/>
  <c r="H16" i="1"/>
  <c r="I16" i="1" l="1"/>
  <c r="I11" i="1"/>
  <c r="I14" i="1"/>
  <c r="I12" i="1"/>
  <c r="I15" i="1"/>
  <c r="I9" i="1"/>
  <c r="I13" i="1"/>
  <c r="I10" i="1"/>
  <c r="C4" i="1" l="1"/>
  <c r="J11" i="1"/>
  <c r="J10" i="1"/>
  <c r="J9" i="1" s="1"/>
  <c r="C12" i="1"/>
  <c r="C13" i="1" s="1"/>
  <c r="J12" i="1" l="1"/>
  <c r="K12" i="1" s="1"/>
  <c r="C14" i="1"/>
  <c r="J13" i="1"/>
  <c r="K13" i="1" s="1"/>
  <c r="K10" i="1"/>
  <c r="K9" i="1"/>
  <c r="K11" i="1"/>
  <c r="O11" i="1" l="1"/>
  <c r="N11" i="1"/>
  <c r="L11" i="1"/>
  <c r="P11" i="1"/>
  <c r="M11" i="1"/>
  <c r="O9" i="1"/>
  <c r="P9" i="1"/>
  <c r="N9" i="1"/>
  <c r="M9" i="1"/>
  <c r="P10" i="1"/>
  <c r="N10" i="1"/>
  <c r="L10" i="1"/>
  <c r="O10" i="1"/>
  <c r="M10" i="1"/>
  <c r="P13" i="1"/>
  <c r="O13" i="1"/>
  <c r="N13" i="1"/>
  <c r="M13" i="1"/>
  <c r="L13" i="1"/>
  <c r="O12" i="1"/>
  <c r="N12" i="1"/>
  <c r="M12" i="1"/>
  <c r="P12" i="1"/>
  <c r="L12" i="1"/>
  <c r="L9" i="1"/>
  <c r="C15" i="1"/>
  <c r="J14" i="1"/>
  <c r="K14" i="1" s="1"/>
  <c r="L14" i="1" l="1"/>
  <c r="O14" i="1"/>
  <c r="N14" i="1"/>
  <c r="M14" i="1"/>
  <c r="P14" i="1"/>
  <c r="J15" i="1"/>
  <c r="K15" i="1" s="1"/>
  <c r="C16" i="1"/>
  <c r="J16" i="1" s="1"/>
  <c r="K16" i="1" s="1"/>
  <c r="P15" i="1" l="1"/>
  <c r="N15" i="1"/>
  <c r="M15" i="1"/>
  <c r="L15" i="1"/>
  <c r="O15" i="1"/>
  <c r="N16" i="1"/>
  <c r="L16" i="1"/>
  <c r="O16" i="1"/>
  <c r="P16" i="1"/>
  <c r="M16" i="1"/>
  <c r="N27" i="1" l="1"/>
  <c r="N30" i="1" s="1"/>
  <c r="N31" i="1" s="1"/>
  <c r="N32" i="1" s="1"/>
  <c r="O27" i="1"/>
  <c r="O30" i="1" s="1"/>
  <c r="O31" i="1" s="1"/>
  <c r="O32" i="1" s="1"/>
  <c r="P27" i="1"/>
  <c r="P30" i="1" s="1"/>
  <c r="P31" i="1" s="1"/>
  <c r="P32" i="1" s="1"/>
  <c r="L27" i="1"/>
  <c r="L30" i="1" s="1"/>
  <c r="L31" i="1" s="1"/>
  <c r="L32" i="1" s="1"/>
  <c r="M27" i="1"/>
  <c r="M30" i="1" s="1"/>
  <c r="M31" i="1" s="1"/>
  <c r="M32" i="1" s="1"/>
</calcChain>
</file>

<file path=xl/sharedStrings.xml><?xml version="1.0" encoding="utf-8"?>
<sst xmlns="http://schemas.openxmlformats.org/spreadsheetml/2006/main" count="96" uniqueCount="94">
  <si>
    <t>https://www.bloomberg.com/graphics/2017-value-of-life/</t>
  </si>
  <si>
    <t>https://www.imperial.ac.uk/media/imperial-college/medicine/sph/ide/gida-fellowships/Imperial-College-COVID19-NPI-modelling-16-03-2020.pdf</t>
  </si>
  <si>
    <t>80+</t>
  </si>
  <si>
    <t>70-79</t>
  </si>
  <si>
    <t>https://www.ncbi.nlm.nih.gov/pubmed/7565998</t>
  </si>
  <si>
    <t>US GDP</t>
  </si>
  <si>
    <t>https://www.usnews.com/news/healthiest-communities/articles/2020-03-16/what-coronavirus-treatment-could-cost-privately-insured-patients</t>
  </si>
  <si>
    <t>60-69</t>
  </si>
  <si>
    <t>50-59</t>
  </si>
  <si>
    <t>40-49</t>
  </si>
  <si>
    <t>30-39</t>
  </si>
  <si>
    <t>20-29</t>
  </si>
  <si>
    <t>10-19</t>
  </si>
  <si>
    <t>https://www.nytimes.com/2020/03/13/us/coronavirus-deaths-estimate.html</t>
  </si>
  <si>
    <t>Value of Life Years Remaining</t>
  </si>
  <si>
    <t>Life Years Remaining</t>
  </si>
  <si>
    <t>https://www.cdc.gov/nchs/fastats/life-expectancy.htm</t>
  </si>
  <si>
    <t>Statistic</t>
  </si>
  <si>
    <t>Life expectancy overall</t>
  </si>
  <si>
    <t>CDC Death Estimates</t>
  </si>
  <si>
    <t>Imperial College Death Estimates and CFR Estimates</t>
  </si>
  <si>
    <t>Url</t>
  </si>
  <si>
    <t>U.S. Population</t>
  </si>
  <si>
    <t>https://data.census.gov/cedsci/table?q=Population%20Total&amp;hidePreview=false&amp;t=Population%20Total&amp;tid=ACSDP1Y2018.DP05&amp;vintage=2018</t>
  </si>
  <si>
    <t>Estimates for Life Value</t>
  </si>
  <si>
    <t>Age Group</t>
  </si>
  <si>
    <t>Midpoint</t>
  </si>
  <si>
    <t>Case Fatality Rate</t>
  </si>
  <si>
    <t>US Population</t>
  </si>
  <si>
    <t>Life expectancy, contingent on living a long time</t>
  </si>
  <si>
    <t>https://www.bea.gov/news/2020/gross-domestic-product-fourth-quarter-and-year-2019-advance-estimate</t>
  </si>
  <si>
    <t>Fatality Share, Equal Proportion</t>
  </si>
  <si>
    <t>US GDP, 2019</t>
  </si>
  <si>
    <t>Life Value/Year</t>
  </si>
  <si>
    <t>COVID-19 Death Estimates</t>
  </si>
  <si>
    <t>Mechanical Ventilation Cost</t>
  </si>
  <si>
    <t>https://www.researchgate.net/publication/7800750_Daily_cost_of_an_intensive_care_unit_day_The_contribution_of_mechanical_ventilation</t>
  </si>
  <si>
    <t>Economic Forecast, UCLA</t>
  </si>
  <si>
    <t>https://newsroom.ucla.edu/releases/ucla-anderson-forecast-announces-arrival-of-2020-recession-in-revision-of-earlier-forecast</t>
  </si>
  <si>
    <t>At Risk Population Share</t>
  </si>
  <si>
    <t>Population Weighted CFR</t>
  </si>
  <si>
    <t>Inflation calculator</t>
  </si>
  <si>
    <t>https://data.bls.gov/cgi-bin/cpicalc.pl?cost1=10000000&amp;year1=201710&amp;year2=202002</t>
  </si>
  <si>
    <t>Life Value, 2020</t>
  </si>
  <si>
    <t>US Life Expectancy</t>
  </si>
  <si>
    <t>Economic Forecast, Goldman Sachs</t>
  </si>
  <si>
    <t>2020 Economic Forecast, Goldman Sachs</t>
  </si>
  <si>
    <t>Coronavirus Statistics</t>
  </si>
  <si>
    <t>https://ourworldindata.org/coronavirus</t>
  </si>
  <si>
    <t>Severe cost per patient hospitalization</t>
  </si>
  <si>
    <t>Critical cost per patient hospitalization</t>
  </si>
  <si>
    <t>Hospitalization cost of severe cases</t>
  </si>
  <si>
    <t>Hospitalization cost of critical cases</t>
  </si>
  <si>
    <t>Musk recent tweet</t>
  </si>
  <si>
    <t>https://twitter.com/elonmusk/status/1239756900255903744?s=20</t>
  </si>
  <si>
    <t>https://twitter.com/AndrewYang/status/1236395050441027584?s=20</t>
  </si>
  <si>
    <t>Yang tweet</t>
  </si>
  <si>
    <t>Musk first tweet</t>
  </si>
  <si>
    <t>https://twitter.com/elonmusk/status/1236029449042198528?s=20</t>
  </si>
  <si>
    <t>Trump, Fox changing tune on coronavirus</t>
  </si>
  <si>
    <t>https://www.washingtonpost.com/</t>
  </si>
  <si>
    <t>Influenza disease burden</t>
  </si>
  <si>
    <t>https://www.cdc.gov/flu/about/burden/index.html</t>
  </si>
  <si>
    <t>2020 influenza disease burden</t>
  </si>
  <si>
    <t>https://www.cdc.gov/flu/about/burden/preliminary-in-season-estimates.htm</t>
  </si>
  <si>
    <t>https://www.nytimes.com/2020/03/22/health/coronavirus-restrictions-us.html</t>
  </si>
  <si>
    <t>Coronavirus costs</t>
  </si>
  <si>
    <t>https://time.com/5806312/coronavirus-treatment-cost/</t>
  </si>
  <si>
    <t>Coronavirus plan</t>
  </si>
  <si>
    <t>Treatment cost estimates</t>
  </si>
  <si>
    <t>Human cost: Value of lives lost</t>
  </si>
  <si>
    <t>Pct. of 2019 GDP</t>
  </si>
  <si>
    <t>Flu season</t>
  </si>
  <si>
    <t>https://www.cdc.gov/flu/about/season/flu-season.htm</t>
  </si>
  <si>
    <t>https://www.goldmansachs.com/insights/pages/us-daily-20-march-2020.html</t>
  </si>
  <si>
    <t>Calculations</t>
  </si>
  <si>
    <t>Variables</t>
  </si>
  <si>
    <t>Proportion severe</t>
  </si>
  <si>
    <t>Severe or critical</t>
  </si>
  <si>
    <t>Proportion critical, survived</t>
  </si>
  <si>
    <t>Economic Impacts</t>
  </si>
  <si>
    <t>Predicted Proportion of Fatalities, Equal Risk</t>
  </si>
  <si>
    <t>Total severe + critical cases</t>
  </si>
  <si>
    <t>Worst Case: No policy response, no behavioral changes</t>
  </si>
  <si>
    <t>More likely given policy responses and behavioral changes</t>
  </si>
  <si>
    <t>*Not included: opportunity cost of failing to treat people that can't get medical attention because of coronavirus utilization.</t>
  </si>
  <si>
    <t>Total direct human cost*</t>
  </si>
  <si>
    <t>Human cost plus predicted economic impacts</t>
  </si>
  <si>
    <t>Trump cure vs. disease tweet</t>
  </si>
  <si>
    <t>https://twitter.com/realDonaldTrump/status/1241935285916782593</t>
  </si>
  <si>
    <t>Critical Cases, Died</t>
  </si>
  <si>
    <t>Critical Cases, Survived</t>
  </si>
  <si>
    <t>Severe Cases, Survived</t>
  </si>
  <si>
    <t>Proportion critical,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</si>
</sst>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4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65" fontId="0" fillId="0" borderId="0" xfId="0" applyNumberFormat="1"/>
    <xf numFmtId="43" fontId="0" fillId="0" borderId="0" xfId="1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NumberFormat="1" applyFont="1" applyBorder="1"/>
    <xf numFmtId="164" fontId="0" fillId="0" borderId="8" xfId="0" applyNumberFormat="1" applyBorder="1"/>
    <xf numFmtId="10" fontId="0" fillId="0" borderId="8" xfId="0" applyNumberForma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0" xfId="0" applyBorder="1"/>
    <xf numFmtId="10" fontId="0" fillId="0" borderId="0" xfId="0" applyNumberFormat="1" applyBorder="1"/>
    <xf numFmtId="166" fontId="0" fillId="0" borderId="0" xfId="1" applyNumberFormat="1" applyFont="1" applyBorder="1"/>
    <xf numFmtId="9" fontId="0" fillId="0" borderId="0" xfId="3" applyFont="1" applyBorder="1"/>
    <xf numFmtId="167" fontId="0" fillId="0" borderId="0" xfId="1" applyNumberFormat="1" applyFont="1" applyBorder="1"/>
    <xf numFmtId="10" fontId="0" fillId="0" borderId="0" xfId="3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9" fontId="0" fillId="0" borderId="0" xfId="0" applyNumberFormat="1" applyBorder="1"/>
    <xf numFmtId="0" fontId="0" fillId="0" borderId="7" xfId="0" quotePrefix="1" applyBorder="1"/>
    <xf numFmtId="166" fontId="0" fillId="0" borderId="8" xfId="1" applyNumberFormat="1" applyFont="1" applyBorder="1"/>
    <xf numFmtId="9" fontId="0" fillId="0" borderId="8" xfId="3" applyFont="1" applyBorder="1"/>
    <xf numFmtId="167" fontId="0" fillId="0" borderId="8" xfId="1" applyNumberFormat="1" applyFont="1" applyBorder="1"/>
    <xf numFmtId="10" fontId="0" fillId="0" borderId="8" xfId="3" applyNumberFormat="1" applyFont="1" applyBorder="1"/>
    <xf numFmtId="1" fontId="0" fillId="0" borderId="8" xfId="0" applyNumberFormat="1" applyBorder="1"/>
    <xf numFmtId="0" fontId="2" fillId="0" borderId="4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0" fillId="0" borderId="0" xfId="0" quotePrefix="1" applyBorder="1"/>
    <xf numFmtId="44" fontId="0" fillId="0" borderId="0" xfId="2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9" fontId="0" fillId="0" borderId="8" xfId="0" applyNumberFormat="1" applyBorder="1"/>
    <xf numFmtId="9" fontId="0" fillId="0" borderId="9" xfId="0" applyNumberFormat="1" applyBorder="1"/>
    <xf numFmtId="0" fontId="2" fillId="0" borderId="15" xfId="0" applyFont="1" applyBorder="1" applyAlignment="1">
      <alignment horizontal="left" wrapText="1"/>
    </xf>
    <xf numFmtId="164" fontId="0" fillId="0" borderId="19" xfId="2" applyNumberFormat="1" applyFont="1" applyBorder="1"/>
    <xf numFmtId="164" fontId="0" fillId="0" borderId="10" xfId="2" applyNumberFormat="1" applyFont="1" applyBorder="1"/>
    <xf numFmtId="164" fontId="0" fillId="0" borderId="7" xfId="2" applyNumberFormat="1" applyFont="1" applyBorder="1"/>
    <xf numFmtId="164" fontId="0" fillId="0" borderId="22" xfId="2" applyNumberFormat="1" applyFont="1" applyBorder="1"/>
    <xf numFmtId="164" fontId="0" fillId="0" borderId="5" xfId="2" applyNumberFormat="1" applyFont="1" applyBorder="1"/>
    <xf numFmtId="0" fontId="2" fillId="0" borderId="7" xfId="0" applyFont="1" applyFill="1" applyBorder="1" applyAlignment="1">
      <alignment horizontal="left" wrapText="1"/>
    </xf>
    <xf numFmtId="166" fontId="2" fillId="0" borderId="2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6" fontId="0" fillId="0" borderId="18" xfId="1" applyNumberFormat="1" applyFont="1" applyBorder="1" applyAlignment="1">
      <alignment vertical="center"/>
    </xf>
    <xf numFmtId="166" fontId="0" fillId="0" borderId="5" xfId="1" applyNumberFormat="1" applyFont="1" applyBorder="1" applyAlignment="1">
      <alignment vertical="center"/>
    </xf>
    <xf numFmtId="166" fontId="0" fillId="0" borderId="6" xfId="1" applyNumberFormat="1" applyFont="1" applyBorder="1" applyAlignment="1">
      <alignment vertical="center"/>
    </xf>
    <xf numFmtId="166" fontId="0" fillId="0" borderId="20" xfId="0" applyNumberFormat="1" applyBorder="1" applyAlignment="1">
      <alignment vertical="center"/>
    </xf>
    <xf numFmtId="166" fontId="0" fillId="0" borderId="16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164" fontId="0" fillId="0" borderId="19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0" fontId="0" fillId="0" borderId="22" xfId="3" applyNumberFormat="1" applyFont="1" applyBorder="1" applyAlignment="1">
      <alignment vertical="center"/>
    </xf>
    <xf numFmtId="10" fontId="0" fillId="0" borderId="8" xfId="3" applyNumberFormat="1" applyFont="1" applyBorder="1" applyAlignment="1">
      <alignment vertical="center"/>
    </xf>
    <xf numFmtId="10" fontId="0" fillId="0" borderId="9" xfId="3" applyNumberFormat="1" applyFont="1" applyBorder="1" applyAlignment="1">
      <alignment vertical="center"/>
    </xf>
    <xf numFmtId="10" fontId="2" fillId="0" borderId="22" xfId="0" applyNumberFormat="1" applyFont="1" applyBorder="1" applyAlignment="1">
      <alignment vertical="center"/>
    </xf>
    <xf numFmtId="10" fontId="2" fillId="0" borderId="8" xfId="0" applyNumberFormat="1" applyFont="1" applyBorder="1" applyAlignment="1">
      <alignment vertical="center"/>
    </xf>
    <xf numFmtId="10" fontId="2" fillId="0" borderId="9" xfId="0" applyNumberFormat="1" applyFon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164" fontId="0" fillId="0" borderId="18" xfId="2" applyNumberFormat="1" applyFont="1" applyBorder="1" applyAlignment="1">
      <alignment vertical="center"/>
    </xf>
    <xf numFmtId="164" fontId="0" fillId="0" borderId="5" xfId="2" applyNumberFormat="1" applyFont="1" applyBorder="1" applyAlignment="1">
      <alignment vertical="center"/>
    </xf>
    <xf numFmtId="164" fontId="0" fillId="0" borderId="6" xfId="2" applyNumberFormat="1" applyFont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/>
    <xf numFmtId="166" fontId="0" fillId="0" borderId="19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43" fontId="0" fillId="0" borderId="0" xfId="0" applyNumberFormat="1"/>
    <xf numFmtId="0" fontId="2" fillId="0" borderId="23" xfId="0" applyFont="1" applyFill="1" applyBorder="1" applyAlignment="1">
      <alignment horizontal="center" vertical="center" wrapText="1"/>
    </xf>
    <xf numFmtId="10" fontId="0" fillId="0" borderId="22" xfId="0" applyNumberFormat="1" applyBorder="1"/>
    <xf numFmtId="43" fontId="0" fillId="0" borderId="5" xfId="1" applyFont="1" applyBorder="1" applyAlignment="1">
      <alignment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4" xfId="0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510540</xdr:colOff>
      <xdr:row>13</xdr:row>
      <xdr:rowOff>161822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9058D66E-330A-4DCD-BB36-73E16A0C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48940" cy="253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65631</xdr:colOff>
      <xdr:row>0</xdr:row>
      <xdr:rowOff>1</xdr:rowOff>
    </xdr:from>
    <xdr:to>
      <xdr:col>10</xdr:col>
      <xdr:colOff>205740</xdr:colOff>
      <xdr:row>14</xdr:row>
      <xdr:rowOff>107451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58930-7A0F-42A4-AFDF-B1729F47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631" y="1"/>
          <a:ext cx="3188109" cy="266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0</xdr:row>
      <xdr:rowOff>0</xdr:rowOff>
    </xdr:from>
    <xdr:to>
      <xdr:col>19</xdr:col>
      <xdr:colOff>246752</xdr:colOff>
      <xdr:row>4</xdr:row>
      <xdr:rowOff>153246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17E55-541E-49DE-BA6B-FFFB4F9F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0"/>
          <a:ext cx="5336912" cy="88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6</xdr:row>
      <xdr:rowOff>10837</xdr:rowOff>
    </xdr:from>
    <xdr:to>
      <xdr:col>19</xdr:col>
      <xdr:colOff>129540</xdr:colOff>
      <xdr:row>11</xdr:row>
      <xdr:rowOff>121739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43D9D5-BE86-448F-AC62-400E73F1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8920" y="1108117"/>
          <a:ext cx="5113020" cy="102530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15</xdr:row>
      <xdr:rowOff>64186</xdr:rowOff>
    </xdr:from>
    <xdr:to>
      <xdr:col>9</xdr:col>
      <xdr:colOff>579120</xdr:colOff>
      <xdr:row>34</xdr:row>
      <xdr:rowOff>121919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E41C2-09CD-4539-B524-0A36C799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807386"/>
          <a:ext cx="5867400" cy="353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news/2020/gross-domestic-product-fourth-quarter-and-year-2019-advance-estimate" TargetMode="External"/><Relationship Id="rId13" Type="http://schemas.openxmlformats.org/officeDocument/2006/relationships/hyperlink" Target="https://www.washingtonpost.com/" TargetMode="External"/><Relationship Id="rId18" Type="http://schemas.openxmlformats.org/officeDocument/2006/relationships/hyperlink" Target="https://www.nytimes.com/2020/03/22/health/coronavirus-restrictions-us.html" TargetMode="External"/><Relationship Id="rId3" Type="http://schemas.openxmlformats.org/officeDocument/2006/relationships/hyperlink" Target="https://www.cdc.gov/nchs/fastats/life-expectancy.htm" TargetMode="External"/><Relationship Id="rId21" Type="http://schemas.openxmlformats.org/officeDocument/2006/relationships/hyperlink" Target="https://www.goldmansachs.com/insights/pages/us-daily-20-march-2020.html" TargetMode="External"/><Relationship Id="rId7" Type="http://schemas.openxmlformats.org/officeDocument/2006/relationships/hyperlink" Target="https://www.ncbi.nlm.nih.gov/pubmed/7565998" TargetMode="External"/><Relationship Id="rId12" Type="http://schemas.openxmlformats.org/officeDocument/2006/relationships/hyperlink" Target="https://ourworldindata.org/coronavirus" TargetMode="External"/><Relationship Id="rId17" Type="http://schemas.openxmlformats.org/officeDocument/2006/relationships/hyperlink" Target="https://www.cdc.gov/flu/about/burden/preliminary-in-season-estimates.htm" TargetMode="External"/><Relationship Id="rId2" Type="http://schemas.openxmlformats.org/officeDocument/2006/relationships/hyperlink" Target="https://www.imperial.ac.uk/media/imperial-college/medicine/sph/ide/gida-fellowships/Imperial-College-COVID19-NPI-modelling-16-03-2020.pdf" TargetMode="External"/><Relationship Id="rId16" Type="http://schemas.openxmlformats.org/officeDocument/2006/relationships/hyperlink" Target="https://www.cdc.gov/flu/about/burden/index.html" TargetMode="External"/><Relationship Id="rId20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nytimes.com/2020/03/13/us/coronavirus-deaths-estimate.html" TargetMode="External"/><Relationship Id="rId6" Type="http://schemas.openxmlformats.org/officeDocument/2006/relationships/hyperlink" Target="https://www.bloomberg.com/graphics/2017-value-of-life/" TargetMode="External"/><Relationship Id="rId11" Type="http://schemas.openxmlformats.org/officeDocument/2006/relationships/hyperlink" Target="https://data.bls.gov/cgi-bin/cpicalc.pl?cost1=10000000&amp;year1=201710&amp;year2=202002" TargetMode="External"/><Relationship Id="rId5" Type="http://schemas.openxmlformats.org/officeDocument/2006/relationships/hyperlink" Target="https://data.census.gov/cedsci/table?q=Population%20Total&amp;hidePreview=false&amp;t=Population%20Total&amp;tid=ACSDP1Y2018.DP05&amp;vintage=2018" TargetMode="External"/><Relationship Id="rId15" Type="http://schemas.openxmlformats.org/officeDocument/2006/relationships/hyperlink" Target="https://twitter.com/elonmusk/status/1236029449042198528?s=2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newsroom.ucla.edu/releases/ucla-anderson-forecast-announces-arrival-of-2020-recession-in-revision-of-earlier-forecast" TargetMode="External"/><Relationship Id="rId19" Type="http://schemas.openxmlformats.org/officeDocument/2006/relationships/hyperlink" Target="https://time.com/5806312/coronavirus-treatment-cost/" TargetMode="External"/><Relationship Id="rId4" Type="http://schemas.openxmlformats.org/officeDocument/2006/relationships/hyperlink" Target="https://www.usnews.com/news/healthiest-communities/articles/2020-03-16/what-coronavirus-treatment-could-cost-privately-insured-patients" TargetMode="External"/><Relationship Id="rId9" Type="http://schemas.openxmlformats.org/officeDocument/2006/relationships/hyperlink" Target="https://www.researchgate.net/publication/7800750_Daily_cost_of_an_intensive_care_unit_day_The_contribution_of_mechanical_ventilation" TargetMode="External"/><Relationship Id="rId14" Type="http://schemas.openxmlformats.org/officeDocument/2006/relationships/hyperlink" Target="https://twitter.com/AndrewYang/status/1236395050441027584?s=20" TargetMode="External"/><Relationship Id="rId22" Type="http://schemas.openxmlformats.org/officeDocument/2006/relationships/hyperlink" Target="https://twitter.com/realDonaldTrump/status/12419352859167825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6A5-4885-4C36-A714-94AFC14C8180}">
  <dimension ref="B2:Q44"/>
  <sheetViews>
    <sheetView showGridLines="0" tabSelected="1" zoomScale="70" zoomScaleNormal="70" workbookViewId="0"/>
  </sheetViews>
  <sheetFormatPr defaultRowHeight="14.4" x14ac:dyDescent="0.3"/>
  <cols>
    <col min="2" max="10" width="13.33203125" customWidth="1"/>
    <col min="11" max="11" width="20.109375" customWidth="1"/>
    <col min="12" max="15" width="21.44140625" customWidth="1"/>
    <col min="16" max="16" width="24.5546875" customWidth="1"/>
    <col min="17" max="17" width="15" bestFit="1" customWidth="1"/>
  </cols>
  <sheetData>
    <row r="2" spans="2:16" ht="15" thickBot="1" x14ac:dyDescent="0.35">
      <c r="B2" s="7" t="s">
        <v>76</v>
      </c>
    </row>
    <row r="3" spans="2:16" ht="72.599999999999994" thickBot="1" x14ac:dyDescent="0.35">
      <c r="B3" s="9" t="s">
        <v>44</v>
      </c>
      <c r="C3" s="10" t="s">
        <v>32</v>
      </c>
      <c r="D3" s="11" t="s">
        <v>43</v>
      </c>
      <c r="E3" s="11" t="s">
        <v>33</v>
      </c>
      <c r="F3" s="10" t="s">
        <v>46</v>
      </c>
      <c r="G3" s="10" t="s">
        <v>49</v>
      </c>
      <c r="H3" s="10" t="s">
        <v>50</v>
      </c>
      <c r="I3" s="97" t="s">
        <v>93</v>
      </c>
      <c r="J3" s="43" t="s">
        <v>79</v>
      </c>
      <c r="K3" s="43" t="s">
        <v>77</v>
      </c>
      <c r="L3" s="44" t="s">
        <v>78</v>
      </c>
    </row>
    <row r="4" spans="2:16" ht="15" thickBot="1" x14ac:dyDescent="0.35">
      <c r="B4" s="15">
        <v>78.69</v>
      </c>
      <c r="C4" s="16">
        <f>21000*1000000000</f>
        <v>21000000000000</v>
      </c>
      <c r="D4" s="17">
        <v>10487101.84</v>
      </c>
      <c r="E4" s="18">
        <f>D4/80</f>
        <v>131088.77299999999</v>
      </c>
      <c r="F4" s="19">
        <v>-3.7999999999999999E-2</v>
      </c>
      <c r="G4" s="17">
        <v>9763</v>
      </c>
      <c r="H4" s="17">
        <v>20292</v>
      </c>
      <c r="I4" s="98">
        <v>2.3E-2</v>
      </c>
      <c r="J4" s="45">
        <f>0.05-I4</f>
        <v>2.7000000000000003E-2</v>
      </c>
      <c r="K4" s="46">
        <v>0.14000000000000001</v>
      </c>
      <c r="L4" s="47">
        <f>SUM(I4:K4)</f>
        <v>0.19</v>
      </c>
    </row>
    <row r="5" spans="2:16" x14ac:dyDescent="0.3">
      <c r="B5" s="22"/>
      <c r="C5" s="22"/>
      <c r="D5" s="30"/>
      <c r="E5" s="29"/>
      <c r="F5" s="23"/>
      <c r="G5" s="42"/>
      <c r="H5" s="30"/>
    </row>
    <row r="6" spans="2:16" ht="15" customHeight="1" thickBot="1" x14ac:dyDescent="0.35">
      <c r="B6" s="7" t="s">
        <v>75</v>
      </c>
      <c r="F6" s="1"/>
      <c r="G6" s="1"/>
      <c r="H6" s="1"/>
      <c r="I6" s="1"/>
      <c r="L6" s="95" t="s">
        <v>34</v>
      </c>
      <c r="M6" s="95"/>
      <c r="N6" s="95"/>
      <c r="O6" s="95"/>
      <c r="P6" s="95"/>
    </row>
    <row r="7" spans="2:16" ht="30" customHeight="1" thickBot="1" x14ac:dyDescent="0.35">
      <c r="B7" s="89" t="s">
        <v>25</v>
      </c>
      <c r="C7" s="87" t="s">
        <v>26</v>
      </c>
      <c r="D7" s="87" t="s">
        <v>27</v>
      </c>
      <c r="E7" s="87" t="s">
        <v>31</v>
      </c>
      <c r="F7" s="87" t="s">
        <v>28</v>
      </c>
      <c r="G7" s="87" t="s">
        <v>39</v>
      </c>
      <c r="H7" s="87" t="s">
        <v>40</v>
      </c>
      <c r="I7" s="87" t="s">
        <v>81</v>
      </c>
      <c r="J7" s="87" t="s">
        <v>15</v>
      </c>
      <c r="K7" s="87" t="s">
        <v>14</v>
      </c>
      <c r="L7" s="93" t="s">
        <v>84</v>
      </c>
      <c r="M7" s="94"/>
      <c r="N7" s="94"/>
      <c r="O7" s="91" t="s">
        <v>83</v>
      </c>
      <c r="P7" s="92"/>
    </row>
    <row r="8" spans="2:16" ht="42.6" customHeight="1" thickBot="1" x14ac:dyDescent="0.35">
      <c r="B8" s="90"/>
      <c r="C8" s="88"/>
      <c r="D8" s="88"/>
      <c r="E8" s="88"/>
      <c r="F8" s="88"/>
      <c r="G8" s="88"/>
      <c r="H8" s="88"/>
      <c r="I8" s="88"/>
      <c r="J8" s="88"/>
      <c r="K8" s="88"/>
      <c r="L8" s="12">
        <v>200000</v>
      </c>
      <c r="M8" s="13">
        <f>AVERAGE(L8,N8)</f>
        <v>340000</v>
      </c>
      <c r="N8" s="13">
        <v>480000</v>
      </c>
      <c r="O8" s="55">
        <v>1700000</v>
      </c>
      <c r="P8" s="14">
        <v>2200000</v>
      </c>
    </row>
    <row r="9" spans="2:16" x14ac:dyDescent="0.3">
      <c r="B9" s="21" t="s">
        <v>2</v>
      </c>
      <c r="C9" s="22">
        <v>80</v>
      </c>
      <c r="D9" s="23">
        <v>9.2999999999999999E-2</v>
      </c>
      <c r="E9" s="23">
        <f t="shared" ref="E9:E16" si="0">D9/SUM($D$9:$D$16)</f>
        <v>0.53246307110958435</v>
      </c>
      <c r="F9" s="24">
        <v>12473289</v>
      </c>
      <c r="G9" s="25">
        <f t="shared" ref="G9:G16" si="1">F9/SUM($F$9:$F$16)</f>
        <v>4.3352898837219683E-2</v>
      </c>
      <c r="H9" s="26">
        <f t="shared" ref="H9:H15" si="2">G9*E9</f>
        <v>2.3083817656369122E-2</v>
      </c>
      <c r="I9" s="27">
        <f>$H9/SUM($H$9:$H$16)</f>
        <v>0.32928291457378994</v>
      </c>
      <c r="J9" s="28">
        <f>J10*0.5</f>
        <v>2.0949999999999989</v>
      </c>
      <c r="K9" s="29">
        <f t="shared" ref="K9:K16" si="3">J9*$E$4</f>
        <v>274630.97943499981</v>
      </c>
      <c r="L9" s="50">
        <f>L$8*$K9*$I9</f>
        <v>18086257868.122261</v>
      </c>
      <c r="M9" s="53">
        <f t="shared" ref="M9:P16" si="4">M$8*$K9*$I9</f>
        <v>30746638375.807842</v>
      </c>
      <c r="N9" s="30">
        <f t="shared" si="4"/>
        <v>43407018883.493423</v>
      </c>
      <c r="O9" s="49">
        <f t="shared" si="4"/>
        <v>153733191879.03922</v>
      </c>
      <c r="P9" s="31">
        <f t="shared" si="4"/>
        <v>198948836549.34488</v>
      </c>
    </row>
    <row r="10" spans="2:16" x14ac:dyDescent="0.3">
      <c r="B10" s="21" t="s">
        <v>3</v>
      </c>
      <c r="C10" s="22">
        <v>74.5</v>
      </c>
      <c r="D10" s="32">
        <v>5.0999999999999997E-2</v>
      </c>
      <c r="E10" s="23">
        <f t="shared" si="0"/>
        <v>0.29199587770525592</v>
      </c>
      <c r="F10" s="24">
        <v>22842537</v>
      </c>
      <c r="G10" s="25">
        <f t="shared" si="1"/>
        <v>7.9392868692968438E-2</v>
      </c>
      <c r="H10" s="26">
        <f t="shared" si="2"/>
        <v>2.3182390377541454E-2</v>
      </c>
      <c r="I10" s="27">
        <f t="shared" ref="I10:I16" si="5">$H10/SUM($H$9:$H$16)</f>
        <v>0.33068902137155959</v>
      </c>
      <c r="J10" s="28">
        <f t="shared" ref="J10:J16" si="6">$B$4-C10</f>
        <v>4.1899999999999977</v>
      </c>
      <c r="K10" s="29">
        <f t="shared" si="3"/>
        <v>549261.95886999962</v>
      </c>
      <c r="L10" s="50">
        <f t="shared" ref="L10:L16" si="7">L$8*$K10*$I10</f>
        <v>36326979931.069199</v>
      </c>
      <c r="M10" s="30">
        <f t="shared" si="4"/>
        <v>61755865882.817635</v>
      </c>
      <c r="N10" s="30">
        <f t="shared" si="4"/>
        <v>87184751834.566071</v>
      </c>
      <c r="O10" s="49">
        <f t="shared" si="4"/>
        <v>308779329414.0882</v>
      </c>
      <c r="P10" s="31">
        <f t="shared" si="4"/>
        <v>399596779241.76123</v>
      </c>
    </row>
    <row r="11" spans="2:16" x14ac:dyDescent="0.3">
      <c r="B11" s="21" t="s">
        <v>7</v>
      </c>
      <c r="C11" s="22">
        <v>64.5</v>
      </c>
      <c r="D11" s="23">
        <v>2.1999999999999999E-2</v>
      </c>
      <c r="E11" s="23">
        <f t="shared" si="0"/>
        <v>0.12595900606893393</v>
      </c>
      <c r="F11" s="24">
        <v>37770109</v>
      </c>
      <c r="G11" s="25">
        <f t="shared" si="1"/>
        <v>0.13127601826172397</v>
      </c>
      <c r="H11" s="26">
        <f t="shared" si="2"/>
        <v>1.6535396780933971E-2</v>
      </c>
      <c r="I11" s="27">
        <f t="shared" si="5"/>
        <v>0.23587188768828737</v>
      </c>
      <c r="J11" s="28">
        <f t="shared" si="6"/>
        <v>14.189999999999998</v>
      </c>
      <c r="K11" s="29">
        <f t="shared" si="3"/>
        <v>1860149.6888699995</v>
      </c>
      <c r="L11" s="50">
        <f t="shared" si="7"/>
        <v>87751403699.309433</v>
      </c>
      <c r="M11" s="30">
        <f t="shared" si="4"/>
        <v>149177386288.82605</v>
      </c>
      <c r="N11" s="30">
        <f t="shared" si="4"/>
        <v>210603368878.34265</v>
      </c>
      <c r="O11" s="49">
        <f t="shared" si="4"/>
        <v>745886931444.13025</v>
      </c>
      <c r="P11" s="31">
        <f t="shared" si="4"/>
        <v>965265440692.40393</v>
      </c>
    </row>
    <row r="12" spans="2:16" x14ac:dyDescent="0.3">
      <c r="B12" s="21" t="s">
        <v>8</v>
      </c>
      <c r="C12" s="22">
        <f>C11-10</f>
        <v>54.5</v>
      </c>
      <c r="D12" s="23">
        <v>6.0000000000000001E-3</v>
      </c>
      <c r="E12" s="23">
        <f t="shared" si="0"/>
        <v>3.4352456200618352E-2</v>
      </c>
      <c r="F12" s="24">
        <v>42496345</v>
      </c>
      <c r="G12" s="25">
        <f t="shared" si="1"/>
        <v>0.14770280282422593</v>
      </c>
      <c r="H12" s="26">
        <f t="shared" si="2"/>
        <v>5.0739540647277903E-3</v>
      </c>
      <c r="I12" s="27">
        <f t="shared" si="5"/>
        <v>7.2378252493521561E-2</v>
      </c>
      <c r="J12" s="28">
        <f t="shared" si="6"/>
        <v>24.189999999999998</v>
      </c>
      <c r="K12" s="29">
        <f t="shared" si="3"/>
        <v>3171037.4188699992</v>
      </c>
      <c r="L12" s="50">
        <f t="shared" si="7"/>
        <v>45902829393.875542</v>
      </c>
      <c r="M12" s="30">
        <f t="shared" si="4"/>
        <v>78034809969.588409</v>
      </c>
      <c r="N12" s="30">
        <f t="shared" si="4"/>
        <v>110166790545.3013</v>
      </c>
      <c r="O12" s="49">
        <f t="shared" si="4"/>
        <v>390174049847.94208</v>
      </c>
      <c r="P12" s="31">
        <f t="shared" si="4"/>
        <v>504931123332.63092</v>
      </c>
    </row>
    <row r="13" spans="2:16" x14ac:dyDescent="0.3">
      <c r="B13" s="21" t="s">
        <v>9</v>
      </c>
      <c r="C13" s="22">
        <f>C12-10</f>
        <v>44.5</v>
      </c>
      <c r="D13" s="23">
        <v>1.5E-3</v>
      </c>
      <c r="E13" s="23">
        <f t="shared" si="0"/>
        <v>8.5881140501545879E-3</v>
      </c>
      <c r="F13" s="24">
        <v>40660591</v>
      </c>
      <c r="G13" s="25">
        <f t="shared" si="1"/>
        <v>0.14132234796167756</v>
      </c>
      <c r="H13" s="26">
        <f t="shared" si="2"/>
        <v>1.2136924421305186E-3</v>
      </c>
      <c r="I13" s="27">
        <f t="shared" si="5"/>
        <v>1.7312915510344539E-2</v>
      </c>
      <c r="J13" s="28">
        <f t="shared" si="6"/>
        <v>34.19</v>
      </c>
      <c r="K13" s="29">
        <f t="shared" si="3"/>
        <v>4481925.1488699997</v>
      </c>
      <c r="L13" s="50">
        <f t="shared" si="7"/>
        <v>15519038285.214933</v>
      </c>
      <c r="M13" s="30">
        <f t="shared" si="4"/>
        <v>26382365084.865387</v>
      </c>
      <c r="N13" s="30">
        <f t="shared" si="4"/>
        <v>37245691884.515846</v>
      </c>
      <c r="O13" s="49">
        <f t="shared" si="4"/>
        <v>131911825424.32693</v>
      </c>
      <c r="P13" s="31">
        <f t="shared" si="4"/>
        <v>170709421137.36429</v>
      </c>
    </row>
    <row r="14" spans="2:16" x14ac:dyDescent="0.3">
      <c r="B14" s="21" t="s">
        <v>10</v>
      </c>
      <c r="C14" s="22">
        <f>C13-10</f>
        <v>34.5</v>
      </c>
      <c r="D14" s="23">
        <v>8.0000000000000004E-4</v>
      </c>
      <c r="E14" s="23">
        <f t="shared" si="0"/>
        <v>4.5803274934157799E-3</v>
      </c>
      <c r="F14" s="24">
        <v>43595274</v>
      </c>
      <c r="G14" s="25">
        <f t="shared" si="1"/>
        <v>0.1515223052639022</v>
      </c>
      <c r="H14" s="26">
        <f t="shared" si="2"/>
        <v>6.9402178066598982E-4</v>
      </c>
      <c r="I14" s="27">
        <f t="shared" si="5"/>
        <v>9.8999878667094948E-3</v>
      </c>
      <c r="J14" s="28">
        <f t="shared" si="6"/>
        <v>44.19</v>
      </c>
      <c r="K14" s="29">
        <f t="shared" si="3"/>
        <v>5792812.8788699992</v>
      </c>
      <c r="L14" s="50">
        <f t="shared" si="7"/>
        <v>11469755442.986298</v>
      </c>
      <c r="M14" s="30">
        <f t="shared" si="4"/>
        <v>19498584253.076706</v>
      </c>
      <c r="N14" s="30">
        <f t="shared" si="4"/>
        <v>27527413063.167114</v>
      </c>
      <c r="O14" s="49">
        <f t="shared" si="4"/>
        <v>97492921265.38353</v>
      </c>
      <c r="P14" s="31">
        <f t="shared" si="4"/>
        <v>126167309872.84927</v>
      </c>
    </row>
    <row r="15" spans="2:16" x14ac:dyDescent="0.3">
      <c r="B15" s="21" t="s">
        <v>11</v>
      </c>
      <c r="C15" s="22">
        <f>C14-10</f>
        <v>24.5</v>
      </c>
      <c r="D15" s="23">
        <v>2.9999999999999997E-4</v>
      </c>
      <c r="E15" s="23">
        <f t="shared" si="0"/>
        <v>1.7176228100309172E-3</v>
      </c>
      <c r="F15" s="24">
        <v>45038664</v>
      </c>
      <c r="G15" s="25">
        <f t="shared" si="1"/>
        <v>0.15653903666911975</v>
      </c>
      <c r="H15" s="26">
        <f t="shared" si="2"/>
        <v>2.6887502004314625E-4</v>
      </c>
      <c r="I15" s="27">
        <f t="shared" si="5"/>
        <v>3.8354119571493489E-3</v>
      </c>
      <c r="J15" s="28">
        <f t="shared" si="6"/>
        <v>54.19</v>
      </c>
      <c r="K15" s="29">
        <f t="shared" si="3"/>
        <v>7103700.6088699987</v>
      </c>
      <c r="L15" s="50">
        <f t="shared" si="7"/>
        <v>5449123651.0538206</v>
      </c>
      <c r="M15" s="30">
        <f t="shared" si="4"/>
        <v>9263510206.7914963</v>
      </c>
      <c r="N15" s="30">
        <f t="shared" si="4"/>
        <v>13077896762.529171</v>
      </c>
      <c r="O15" s="49">
        <f t="shared" si="4"/>
        <v>46317551033.957474</v>
      </c>
      <c r="P15" s="31">
        <f t="shared" si="4"/>
        <v>59940360161.592033</v>
      </c>
    </row>
    <row r="16" spans="2:16" ht="15" thickBot="1" x14ac:dyDescent="0.35">
      <c r="B16" s="33" t="s">
        <v>12</v>
      </c>
      <c r="C16" s="16">
        <f>C15-10</f>
        <v>14.5</v>
      </c>
      <c r="D16" s="19">
        <v>6.0000000000000002E-5</v>
      </c>
      <c r="E16" s="19">
        <f t="shared" si="0"/>
        <v>3.4352456200618351E-4</v>
      </c>
      <c r="F16" s="34">
        <v>42838415</v>
      </c>
      <c r="G16" s="35">
        <f t="shared" si="1"/>
        <v>0.14889172148916249</v>
      </c>
      <c r="H16" s="36">
        <f>G16*E16</f>
        <v>5.1147963410911205E-5</v>
      </c>
      <c r="I16" s="37">
        <f t="shared" si="5"/>
        <v>7.296085386383843E-4</v>
      </c>
      <c r="J16" s="38">
        <f t="shared" si="6"/>
        <v>64.19</v>
      </c>
      <c r="K16" s="18">
        <f t="shared" si="3"/>
        <v>8414588.3388699982</v>
      </c>
      <c r="L16" s="51">
        <f t="shared" si="7"/>
        <v>1227871100.2333059</v>
      </c>
      <c r="M16" s="17">
        <f t="shared" si="4"/>
        <v>2087380870.3966198</v>
      </c>
      <c r="N16" s="17">
        <f t="shared" si="4"/>
        <v>2946890640.5599341</v>
      </c>
      <c r="O16" s="52">
        <f t="shared" si="4"/>
        <v>10436904351.983099</v>
      </c>
      <c r="P16" s="20">
        <f t="shared" si="4"/>
        <v>13506582102.566364</v>
      </c>
    </row>
    <row r="17" spans="2:17" x14ac:dyDescent="0.3">
      <c r="B17" s="41"/>
      <c r="C17" s="22"/>
      <c r="D17" s="23"/>
      <c r="E17" s="23"/>
      <c r="F17" s="24"/>
      <c r="G17" s="25"/>
      <c r="H17" s="26"/>
      <c r="I17" s="27"/>
      <c r="J17" s="28"/>
      <c r="K17" s="29"/>
      <c r="L17" s="30"/>
      <c r="M17" s="30"/>
      <c r="N17" s="30"/>
      <c r="O17" s="30"/>
      <c r="P17" s="30"/>
    </row>
    <row r="18" spans="2:17" x14ac:dyDescent="0.3">
      <c r="B18" s="41"/>
      <c r="C18" s="22"/>
      <c r="D18" s="23"/>
      <c r="E18" s="23"/>
      <c r="F18" s="24"/>
      <c r="G18" s="25"/>
      <c r="H18" s="26"/>
      <c r="I18" s="27"/>
      <c r="J18" s="28"/>
      <c r="K18" s="29"/>
      <c r="L18" s="30"/>
      <c r="M18" s="30"/>
      <c r="N18" s="30"/>
      <c r="O18" s="30"/>
      <c r="P18" s="30"/>
    </row>
    <row r="19" spans="2:17" ht="15" thickBot="1" x14ac:dyDescent="0.35">
      <c r="B19" s="41"/>
      <c r="C19" s="22"/>
      <c r="D19" s="23"/>
      <c r="E19" s="23"/>
      <c r="F19" s="24"/>
      <c r="G19" s="25"/>
      <c r="H19" s="26"/>
      <c r="I19" s="27"/>
      <c r="J19" s="28"/>
      <c r="K19" s="29"/>
      <c r="L19" s="95"/>
      <c r="M19" s="95"/>
      <c r="N19" s="95"/>
      <c r="O19" s="95"/>
      <c r="P19" s="95"/>
    </row>
    <row r="20" spans="2:17" ht="33" customHeight="1" thickBot="1" x14ac:dyDescent="0.35">
      <c r="D20" s="2"/>
      <c r="E20" s="2"/>
      <c r="F20" s="2"/>
      <c r="H20" s="4"/>
      <c r="I20" s="5"/>
      <c r="K20" s="102"/>
      <c r="L20" s="90" t="s">
        <v>84</v>
      </c>
      <c r="M20" s="88"/>
      <c r="N20" s="88"/>
      <c r="O20" s="100" t="s">
        <v>83</v>
      </c>
      <c r="P20" s="101"/>
    </row>
    <row r="21" spans="2:17" x14ac:dyDescent="0.3">
      <c r="H21" s="4"/>
      <c r="K21" s="39" t="s">
        <v>90</v>
      </c>
      <c r="L21" s="58">
        <f>L8</f>
        <v>200000</v>
      </c>
      <c r="M21" s="59">
        <f t="shared" ref="M21:P21" si="8">M8</f>
        <v>340000</v>
      </c>
      <c r="N21" s="59">
        <f t="shared" si="8"/>
        <v>480000</v>
      </c>
      <c r="O21" s="58">
        <f t="shared" si="8"/>
        <v>1700000</v>
      </c>
      <c r="P21" s="60">
        <f t="shared" si="8"/>
        <v>2200000</v>
      </c>
    </row>
    <row r="22" spans="2:17" ht="28.8" x14ac:dyDescent="0.3">
      <c r="D22" s="6"/>
      <c r="E22" s="6"/>
      <c r="H22" s="4"/>
      <c r="K22" s="40" t="s">
        <v>91</v>
      </c>
      <c r="L22" s="84">
        <f>L21*($J$4/$I$4)</f>
        <v>234782.60869565219</v>
      </c>
      <c r="M22" s="85">
        <f t="shared" ref="M22:P22" si="9">M21*($J$4/$I$4)</f>
        <v>399130.4347826087</v>
      </c>
      <c r="N22" s="85">
        <f t="shared" si="9"/>
        <v>563478.2608695653</v>
      </c>
      <c r="O22" s="84">
        <f t="shared" si="9"/>
        <v>1995652.1739130437</v>
      </c>
      <c r="P22" s="86">
        <f t="shared" si="9"/>
        <v>2582608.6956521743</v>
      </c>
      <c r="Q22" s="96"/>
    </row>
    <row r="23" spans="2:17" ht="28.8" x14ac:dyDescent="0.3">
      <c r="H23" s="4"/>
      <c r="K23" s="48" t="s">
        <v>92</v>
      </c>
      <c r="L23" s="61">
        <f>SUM(L21,L22)*($K$4/($I$4+$J$4))</f>
        <v>1217391.3043478264</v>
      </c>
      <c r="M23" s="62">
        <f t="shared" ref="M23:P23" si="10">SUM(M21,M22)*($K$4/($I$4+$J$4))</f>
        <v>2069565.2173913044</v>
      </c>
      <c r="N23" s="62">
        <f t="shared" si="10"/>
        <v>2921739.1304347832</v>
      </c>
      <c r="O23" s="61">
        <f t="shared" si="10"/>
        <v>10347826.086956523</v>
      </c>
      <c r="P23" s="63">
        <f t="shared" si="10"/>
        <v>13391304.347826088</v>
      </c>
    </row>
    <row r="24" spans="2:17" ht="29.4" thickBot="1" x14ac:dyDescent="0.35">
      <c r="H24" s="4"/>
      <c r="K24" s="57" t="s">
        <v>82</v>
      </c>
      <c r="L24" s="76">
        <f>SUM(L8,L21,L23)</f>
        <v>1617391.3043478264</v>
      </c>
      <c r="M24" s="77">
        <f>SUM(M8,M21,M23)</f>
        <v>2749565.2173913047</v>
      </c>
      <c r="N24" s="77">
        <f>SUM(N8,N21,N23)</f>
        <v>3881739.1304347832</v>
      </c>
      <c r="O24" s="76">
        <f>SUM(O8,O21,O23)</f>
        <v>13747826.086956523</v>
      </c>
      <c r="P24" s="78">
        <f>SUM(P8,P21,P23)</f>
        <v>17791304.347826086</v>
      </c>
    </row>
    <row r="25" spans="2:17" x14ac:dyDescent="0.3">
      <c r="H25" s="4"/>
      <c r="K25" s="82"/>
      <c r="L25" s="99"/>
      <c r="M25" s="99"/>
      <c r="N25" s="99"/>
      <c r="O25" s="99"/>
      <c r="P25" s="99"/>
    </row>
    <row r="26" spans="2:17" ht="15" thickBot="1" x14ac:dyDescent="0.35">
      <c r="H26" s="4"/>
      <c r="K26" s="83" t="s">
        <v>80</v>
      </c>
      <c r="L26" s="77"/>
      <c r="M26" s="77"/>
      <c r="N26" s="77"/>
      <c r="O26" s="77"/>
      <c r="P26" s="77"/>
    </row>
    <row r="27" spans="2:17" ht="28.8" x14ac:dyDescent="0.3">
      <c r="K27" s="39" t="s">
        <v>70</v>
      </c>
      <c r="L27" s="79">
        <f>SUM(L9:L16)</f>
        <v>221733259371.86481</v>
      </c>
      <c r="M27" s="80">
        <f>SUM(M9:M16)</f>
        <v>376946540932.1701</v>
      </c>
      <c r="N27" s="80">
        <f>SUM(N9:N16)</f>
        <v>532159822492.47559</v>
      </c>
      <c r="O27" s="79">
        <f>SUM(O9:O16)</f>
        <v>1884732704660.8511</v>
      </c>
      <c r="P27" s="81">
        <f>SUM(P9:P16)</f>
        <v>2439065853090.5127</v>
      </c>
    </row>
    <row r="28" spans="2:17" ht="28.8" x14ac:dyDescent="0.3">
      <c r="K28" s="40" t="s">
        <v>51</v>
      </c>
      <c r="L28" s="64">
        <f>L23*$G$4</f>
        <v>11885391304.34783</v>
      </c>
      <c r="M28" s="65">
        <f t="shared" ref="M28:P28" si="11">M23*$G$4</f>
        <v>20205165217.391304</v>
      </c>
      <c r="N28" s="65">
        <f t="shared" si="11"/>
        <v>28524939130.434788</v>
      </c>
      <c r="O28" s="64">
        <f t="shared" si="11"/>
        <v>101025826086.95654</v>
      </c>
      <c r="P28" s="66">
        <f t="shared" si="11"/>
        <v>130739304347.8261</v>
      </c>
    </row>
    <row r="29" spans="2:17" ht="28.8" x14ac:dyDescent="0.3">
      <c r="K29" s="40" t="s">
        <v>52</v>
      </c>
      <c r="L29" s="64">
        <f>SUM(L21,L22)*$H$4</f>
        <v>8822608695.652174</v>
      </c>
      <c r="M29" s="65">
        <f t="shared" ref="M29:P29" si="12">SUM(M21,M22)*$H$4</f>
        <v>14998434782.608694</v>
      </c>
      <c r="N29" s="65">
        <f t="shared" si="12"/>
        <v>21174260869.56522</v>
      </c>
      <c r="O29" s="64">
        <f t="shared" si="12"/>
        <v>74992173913.043488</v>
      </c>
      <c r="P29" s="66">
        <f t="shared" si="12"/>
        <v>97048695652.173904</v>
      </c>
    </row>
    <row r="30" spans="2:17" ht="28.8" x14ac:dyDescent="0.3">
      <c r="K30" s="56" t="s">
        <v>86</v>
      </c>
      <c r="L30" s="67">
        <f>SUM(L27:L29)</f>
        <v>242441259371.86481</v>
      </c>
      <c r="M30" s="68">
        <f>SUM(M27:M29)</f>
        <v>412150140932.1701</v>
      </c>
      <c r="N30" s="68">
        <f>SUM(N27:N29)</f>
        <v>581859022492.47559</v>
      </c>
      <c r="O30" s="67">
        <f>SUM(O27:O29)</f>
        <v>2060750704660.8511</v>
      </c>
      <c r="P30" s="69">
        <f>SUM(P27:P29)</f>
        <v>2666853853090.5127</v>
      </c>
    </row>
    <row r="31" spans="2:17" ht="15" thickBot="1" x14ac:dyDescent="0.35">
      <c r="K31" s="57" t="s">
        <v>71</v>
      </c>
      <c r="L31" s="70">
        <f>L30/$C$4*-1</f>
        <v>-1.1544821874850704E-2</v>
      </c>
      <c r="M31" s="71">
        <f t="shared" ref="M31:P31" si="13">M30/$C$4*-1</f>
        <v>-1.9626197187246196E-2</v>
      </c>
      <c r="N31" s="71">
        <f t="shared" si="13"/>
        <v>-2.7707572499641696E-2</v>
      </c>
      <c r="O31" s="70">
        <f t="shared" si="13"/>
        <v>-9.8130985936230999E-2</v>
      </c>
      <c r="P31" s="72">
        <f t="shared" si="13"/>
        <v>-0.12699304062335776</v>
      </c>
    </row>
    <row r="32" spans="2:17" ht="43.8" thickBot="1" x14ac:dyDescent="0.35">
      <c r="K32" s="54" t="s">
        <v>87</v>
      </c>
      <c r="L32" s="73">
        <f>L31+$F$4</f>
        <v>-4.9544821874850702E-2</v>
      </c>
      <c r="M32" s="74">
        <f>M31+$F$4</f>
        <v>-5.7626197187246195E-2</v>
      </c>
      <c r="N32" s="74">
        <f>N31+$F$4</f>
        <v>-6.5707572499641695E-2</v>
      </c>
      <c r="O32" s="73">
        <f>O31+0.5*$F$4</f>
        <v>-0.117130985936231</v>
      </c>
      <c r="P32" s="75">
        <f>P31+0.5*$F$4</f>
        <v>-0.14599304062335774</v>
      </c>
    </row>
    <row r="33" spans="11:16" x14ac:dyDescent="0.3">
      <c r="K33" t="s">
        <v>85</v>
      </c>
    </row>
    <row r="34" spans="11:16" x14ac:dyDescent="0.3">
      <c r="O34" s="2"/>
    </row>
    <row r="37" spans="11:16" x14ac:dyDescent="0.3">
      <c r="K37" s="2"/>
      <c r="L37" s="6"/>
      <c r="M37" s="6"/>
      <c r="N37" s="6"/>
      <c r="O37" s="6"/>
      <c r="P37" s="6"/>
    </row>
    <row r="38" spans="11:16" x14ac:dyDescent="0.3">
      <c r="K38" s="3"/>
      <c r="L38" s="2"/>
      <c r="M38" s="2"/>
      <c r="N38" s="2"/>
      <c r="O38" s="2"/>
      <c r="P38" s="2"/>
    </row>
    <row r="39" spans="11:16" x14ac:dyDescent="0.3">
      <c r="K39" s="2"/>
      <c r="L39" s="2"/>
      <c r="M39" s="2"/>
    </row>
    <row r="40" spans="11:16" x14ac:dyDescent="0.3">
      <c r="K40" s="2"/>
      <c r="L40" s="2"/>
      <c r="M40" s="2"/>
    </row>
    <row r="41" spans="11:16" x14ac:dyDescent="0.3">
      <c r="K41" s="2"/>
      <c r="L41" s="2"/>
      <c r="M41" s="2"/>
    </row>
    <row r="42" spans="11:16" x14ac:dyDescent="0.3">
      <c r="K42" s="2"/>
      <c r="L42" s="2"/>
      <c r="M42" s="2"/>
    </row>
    <row r="43" spans="11:16" x14ac:dyDescent="0.3">
      <c r="K43" s="2"/>
      <c r="L43" s="2"/>
      <c r="M43" s="2"/>
    </row>
    <row r="44" spans="11:16" x14ac:dyDescent="0.3">
      <c r="K44" s="2"/>
      <c r="L44" s="2"/>
      <c r="M44" s="2"/>
    </row>
  </sheetData>
  <mergeCells count="16">
    <mergeCell ref="L19:P19"/>
    <mergeCell ref="L20:N20"/>
    <mergeCell ref="O20:P20"/>
    <mergeCell ref="C7:C8"/>
    <mergeCell ref="B7:B8"/>
    <mergeCell ref="O7:P7"/>
    <mergeCell ref="L7:N7"/>
    <mergeCell ref="L6:P6"/>
    <mergeCell ref="H7:H8"/>
    <mergeCell ref="G7:G8"/>
    <mergeCell ref="F7:F8"/>
    <mergeCell ref="E7:E8"/>
    <mergeCell ref="D7:D8"/>
    <mergeCell ref="K7:K8"/>
    <mergeCell ref="J7:J8"/>
    <mergeCell ref="I7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6D1-AC08-47EC-B644-0F220400F590}">
  <dimension ref="A2:C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4" x14ac:dyDescent="0.3"/>
  <cols>
    <col min="2" max="2" width="44.33203125" customWidth="1"/>
  </cols>
  <sheetData>
    <row r="2" spans="1:3" x14ac:dyDescent="0.3">
      <c r="B2" s="7" t="s">
        <v>17</v>
      </c>
      <c r="C2" s="7" t="s">
        <v>21</v>
      </c>
    </row>
    <row r="3" spans="1:3" x14ac:dyDescent="0.3">
      <c r="A3">
        <v>1</v>
      </c>
      <c r="B3" t="s">
        <v>69</v>
      </c>
      <c r="C3" s="1" t="s">
        <v>6</v>
      </c>
    </row>
    <row r="4" spans="1:3" x14ac:dyDescent="0.3">
      <c r="A4">
        <v>2</v>
      </c>
      <c r="B4" t="s">
        <v>18</v>
      </c>
      <c r="C4" s="1" t="s">
        <v>16</v>
      </c>
    </row>
    <row r="5" spans="1:3" x14ac:dyDescent="0.3">
      <c r="A5">
        <v>3</v>
      </c>
      <c r="B5" t="s">
        <v>19</v>
      </c>
      <c r="C5" s="1" t="s">
        <v>13</v>
      </c>
    </row>
    <row r="6" spans="1:3" x14ac:dyDescent="0.3">
      <c r="A6">
        <v>4</v>
      </c>
      <c r="B6" t="s">
        <v>20</v>
      </c>
      <c r="C6" s="1" t="s">
        <v>1</v>
      </c>
    </row>
    <row r="7" spans="1:3" x14ac:dyDescent="0.3">
      <c r="A7">
        <v>5</v>
      </c>
      <c r="B7" t="s">
        <v>22</v>
      </c>
      <c r="C7" s="1" t="s">
        <v>23</v>
      </c>
    </row>
    <row r="8" spans="1:3" x14ac:dyDescent="0.3">
      <c r="A8">
        <v>6</v>
      </c>
      <c r="B8" t="s">
        <v>24</v>
      </c>
      <c r="C8" s="1" t="s">
        <v>0</v>
      </c>
    </row>
    <row r="9" spans="1:3" x14ac:dyDescent="0.3">
      <c r="A9">
        <v>7</v>
      </c>
      <c r="B9" t="s">
        <v>29</v>
      </c>
      <c r="C9" s="1" t="s">
        <v>4</v>
      </c>
    </row>
    <row r="10" spans="1:3" x14ac:dyDescent="0.3">
      <c r="A10">
        <v>8</v>
      </c>
      <c r="B10" t="s">
        <v>5</v>
      </c>
      <c r="C10" s="1" t="s">
        <v>30</v>
      </c>
    </row>
    <row r="11" spans="1:3" x14ac:dyDescent="0.3">
      <c r="A11">
        <v>9</v>
      </c>
      <c r="B11" t="s">
        <v>35</v>
      </c>
      <c r="C11" s="1" t="s">
        <v>36</v>
      </c>
    </row>
    <row r="12" spans="1:3" x14ac:dyDescent="0.3">
      <c r="A12">
        <v>10</v>
      </c>
      <c r="B12" t="s">
        <v>37</v>
      </c>
      <c r="C12" s="1" t="s">
        <v>38</v>
      </c>
    </row>
    <row r="13" spans="1:3" x14ac:dyDescent="0.3">
      <c r="A13">
        <v>11</v>
      </c>
      <c r="B13" t="s">
        <v>41</v>
      </c>
      <c r="C13" s="1" t="s">
        <v>42</v>
      </c>
    </row>
    <row r="14" spans="1:3" x14ac:dyDescent="0.3">
      <c r="A14">
        <v>12</v>
      </c>
      <c r="B14" t="s">
        <v>45</v>
      </c>
      <c r="C14" s="1" t="s">
        <v>74</v>
      </c>
    </row>
    <row r="15" spans="1:3" x14ac:dyDescent="0.3">
      <c r="A15">
        <v>13</v>
      </c>
      <c r="B15" t="s">
        <v>47</v>
      </c>
      <c r="C15" s="1" t="s">
        <v>48</v>
      </c>
    </row>
    <row r="16" spans="1:3" x14ac:dyDescent="0.3">
      <c r="A16">
        <v>14</v>
      </c>
      <c r="B16" t="s">
        <v>53</v>
      </c>
      <c r="C16" s="8" t="s">
        <v>54</v>
      </c>
    </row>
    <row r="17" spans="1:3" x14ac:dyDescent="0.3">
      <c r="A17">
        <v>15</v>
      </c>
      <c r="B17" t="s">
        <v>56</v>
      </c>
      <c r="C17" s="1" t="s">
        <v>55</v>
      </c>
    </row>
    <row r="18" spans="1:3" x14ac:dyDescent="0.3">
      <c r="A18">
        <v>16</v>
      </c>
      <c r="B18" t="s">
        <v>57</v>
      </c>
      <c r="C18" s="1" t="s">
        <v>58</v>
      </c>
    </row>
    <row r="19" spans="1:3" x14ac:dyDescent="0.3">
      <c r="A19">
        <v>17</v>
      </c>
      <c r="B19" t="s">
        <v>59</v>
      </c>
      <c r="C19" s="1" t="s">
        <v>60</v>
      </c>
    </row>
    <row r="20" spans="1:3" x14ac:dyDescent="0.3">
      <c r="A20">
        <v>18</v>
      </c>
      <c r="B20" t="s">
        <v>61</v>
      </c>
      <c r="C20" s="1" t="s">
        <v>62</v>
      </c>
    </row>
    <row r="21" spans="1:3" x14ac:dyDescent="0.3">
      <c r="A21">
        <v>19</v>
      </c>
      <c r="B21" t="s">
        <v>63</v>
      </c>
      <c r="C21" s="1" t="s">
        <v>64</v>
      </c>
    </row>
    <row r="22" spans="1:3" x14ac:dyDescent="0.3">
      <c r="A22">
        <v>20</v>
      </c>
      <c r="B22" t="s">
        <v>68</v>
      </c>
      <c r="C22" s="1" t="s">
        <v>65</v>
      </c>
    </row>
    <row r="23" spans="1:3" x14ac:dyDescent="0.3">
      <c r="A23">
        <v>21</v>
      </c>
      <c r="B23" t="s">
        <v>66</v>
      </c>
      <c r="C23" s="1" t="s">
        <v>67</v>
      </c>
    </row>
    <row r="24" spans="1:3" x14ac:dyDescent="0.3">
      <c r="A24">
        <v>22</v>
      </c>
      <c r="B24" t="s">
        <v>72</v>
      </c>
      <c r="C24" s="1" t="s">
        <v>73</v>
      </c>
    </row>
    <row r="25" spans="1:3" x14ac:dyDescent="0.3">
      <c r="A25">
        <v>23</v>
      </c>
      <c r="B25" t="s">
        <v>88</v>
      </c>
      <c r="C25" s="1" t="s">
        <v>89</v>
      </c>
    </row>
  </sheetData>
  <hyperlinks>
    <hyperlink ref="C5" r:id="rId1" xr:uid="{D2C74F3C-2D37-4BF3-ABDE-24FE07370526}"/>
    <hyperlink ref="C6" r:id="rId2" xr:uid="{996DB170-F52C-40AF-968B-41E462CA785D}"/>
    <hyperlink ref="C4" r:id="rId3" xr:uid="{427826FD-EB56-41DB-9A90-0CF838D36946}"/>
    <hyperlink ref="C3" r:id="rId4" xr:uid="{90CCBB04-FFB2-427F-B75F-AD0686AFEAFA}"/>
    <hyperlink ref="C7" r:id="rId5" xr:uid="{9F5414D8-FD0D-4447-9F07-6FFAE08F4913}"/>
    <hyperlink ref="C8" r:id="rId6" xr:uid="{B15E2382-2E0B-49A8-988A-9096917CD6E6}"/>
    <hyperlink ref="C9" r:id="rId7" xr:uid="{3472A24C-3C88-44AD-99F3-A2408309222F}"/>
    <hyperlink ref="C10" r:id="rId8" xr:uid="{CF286FB3-D1B0-41E0-8FB8-BA8758B9A71B}"/>
    <hyperlink ref="C11" r:id="rId9" xr:uid="{BFEE5F5C-2033-40BD-9B54-DEECEA7E4F7B}"/>
    <hyperlink ref="C12" r:id="rId10" xr:uid="{9E5C478B-9223-4CD1-874F-094EBF37E62C}"/>
    <hyperlink ref="C13" r:id="rId11" xr:uid="{4A01693F-9659-4129-8E2E-6F3CA7BB3E9A}"/>
    <hyperlink ref="C15" r:id="rId12" xr:uid="{58CA1744-4790-403A-ACA5-EFA4AEF619C4}"/>
    <hyperlink ref="C19" r:id="rId13" xr:uid="{06A193F3-C78F-4A52-AD16-4645C4876E84}"/>
    <hyperlink ref="C17" r:id="rId14" xr:uid="{459817BB-74E8-4AFB-9BF6-941D44B8E160}"/>
    <hyperlink ref="C18" r:id="rId15" xr:uid="{F4A69B3E-AE0D-4E5D-99B8-4A527B147F51}"/>
    <hyperlink ref="C20" r:id="rId16" xr:uid="{0086C45E-033D-45E8-8369-0823562C6BCD}"/>
    <hyperlink ref="C21" r:id="rId17" xr:uid="{3CFA4F82-1922-4A37-8015-E8FB820877B7}"/>
    <hyperlink ref="C22" r:id="rId18" xr:uid="{C3805702-553E-4712-9BDB-D72BFA6AC06D}"/>
    <hyperlink ref="C23" r:id="rId19" xr:uid="{E2926816-4C5B-4E82-B12A-993A11299B86}"/>
    <hyperlink ref="C24" r:id="rId20" xr:uid="{D3C02EDD-BCEA-4F2A-AF7F-16AC4B0F9AA0}"/>
    <hyperlink ref="C14" r:id="rId21" xr:uid="{D7C79AD0-1FF4-47B2-B72D-8D1E90D92F92}"/>
    <hyperlink ref="C25" r:id="rId22" xr:uid="{3603103C-6365-4FD8-96F4-BEF811388D6B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753-CC5F-45A2-9E6F-A8F26D094679}">
  <dimension ref="A1"/>
  <sheetViews>
    <sheetView zoomScale="130" zoomScaleNormal="13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Sources</vt:lpstr>
      <vt:lpstr>Screencaps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2020-03-17T18:07:53Z</dcterms:created>
  <dcterms:modified xsi:type="dcterms:W3CDTF">2020-03-24T14:16:38Z</dcterms:modified>
</cp:coreProperties>
</file>