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wnloads\Tài liệu môn học\TIn DC\"/>
    </mc:Choice>
  </mc:AlternateContent>
  <xr:revisionPtr revIDLastSave="0" documentId="13_ncr:1_{9BDDFDB3-3421-44D7-8712-3D679E2AD88E}" xr6:coauthVersionLast="47" xr6:coauthVersionMax="47" xr10:uidLastSave="{00000000-0000-0000-0000-000000000000}"/>
  <bookViews>
    <workbookView xWindow="28680" yWindow="-120" windowWidth="20730" windowHeight="11040" firstSheet="8" activeTab="12" xr2:uid="{00000000-000D-0000-FFFF-FFFF00000000}"/>
  </bookViews>
  <sheets>
    <sheet name="Bài 1" sheetId="1" r:id="rId1"/>
    <sheet name="Bài 2" sheetId="2" r:id="rId2"/>
    <sheet name="Bài 3" sheetId="3" r:id="rId3"/>
    <sheet name="Bai 3" sheetId="4" r:id="rId4"/>
    <sheet name="Bai 4" sheetId="5" r:id="rId5"/>
    <sheet name="Bai 5" sheetId="6" r:id="rId6"/>
    <sheet name="Bai 6" sheetId="7" r:id="rId7"/>
    <sheet name="Bai 7" sheetId="8" r:id="rId8"/>
    <sheet name="Bai 8" sheetId="9" r:id="rId9"/>
    <sheet name="Bai 9" sheetId="10" r:id="rId10"/>
    <sheet name="Bai 10" sheetId="11" r:id="rId11"/>
    <sheet name="Bai 11" sheetId="12" r:id="rId12"/>
    <sheet name="Bai 12" sheetId="13" r:id="rId13"/>
    <sheet name="Bai 13" sheetId="14" r:id="rId14"/>
    <sheet name="Bai 14" sheetId="15" r:id="rId15"/>
    <sheet name="Bai 15" sheetId="16" r:id="rId16"/>
    <sheet name="Bai 16" sheetId="17" r:id="rId17"/>
    <sheet name="Bài 17" sheetId="41" r:id="rId18"/>
    <sheet name="Bài 18" sheetId="42" r:id="rId19"/>
    <sheet name="Bài 19" sheetId="43" r:id="rId20"/>
    <sheet name="Bài 21" sheetId="40" r:id="rId21"/>
    <sheet name="Bài 22" sheetId="39" r:id="rId22"/>
    <sheet name="Bài 23" sheetId="38" r:id="rId23"/>
    <sheet name="Bài 24" sheetId="37" r:id="rId24"/>
    <sheet name="Bài 25" sheetId="36" r:id="rId25"/>
    <sheet name="Bài 26" sheetId="35" r:id="rId26"/>
    <sheet name="Bài 27" sheetId="34" r:id="rId27"/>
    <sheet name="Bài 28" sheetId="30" r:id="rId28"/>
    <sheet name="Bài 29" sheetId="31" r:id="rId29"/>
    <sheet name="Bai 30" sheetId="32" r:id="rId30"/>
    <sheet name="Bai 31" sheetId="33" r:id="rId31"/>
  </sheets>
  <externalReferences>
    <externalReference r:id="rId32"/>
  </externalReferences>
  <definedNames>
    <definedName name="_xlnm._FilterDatabase" localSheetId="19" hidden="1">'Bài 19'!$A$1:$E$11</definedName>
    <definedName name="_xlnm._FilterDatabase" localSheetId="26" hidden="1">'Bài 27'!$A$3:$I$10</definedName>
    <definedName name="_xlnm.Criteria" localSheetId="19">'Bài 19'!$A$3</definedName>
    <definedName name="_xlnm.Extract" localSheetId="19">'Bài 19'!$A$17:$E$17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9" l="1"/>
  <c r="D3" i="39"/>
  <c r="G3" i="39"/>
  <c r="H3" i="39" s="1"/>
  <c r="C4" i="39"/>
  <c r="D4" i="39"/>
  <c r="G4" i="39"/>
  <c r="H4" i="39" s="1"/>
  <c r="C5" i="39"/>
  <c r="D5" i="39"/>
  <c r="G5" i="39"/>
  <c r="H5" i="39"/>
  <c r="I5" i="39"/>
  <c r="C6" i="39"/>
  <c r="D6" i="39"/>
  <c r="G6" i="39"/>
  <c r="H6" i="39" s="1"/>
  <c r="C7" i="39"/>
  <c r="D7" i="39"/>
  <c r="G7" i="39"/>
  <c r="I7" i="39" s="1"/>
  <c r="H7" i="39"/>
  <c r="C8" i="39"/>
  <c r="D8" i="39"/>
  <c r="G8" i="39"/>
  <c r="H8" i="39"/>
  <c r="I8" i="39" s="1"/>
  <c r="C9" i="39"/>
  <c r="D9" i="39"/>
  <c r="G9" i="39"/>
  <c r="I9" i="39" s="1"/>
  <c r="H9" i="39"/>
  <c r="C10" i="39"/>
  <c r="D10" i="39"/>
  <c r="G10" i="39"/>
  <c r="H10" i="39"/>
  <c r="I10" i="39"/>
  <c r="C11" i="39"/>
  <c r="D11" i="39"/>
  <c r="G11" i="39"/>
  <c r="H11" i="39" s="1"/>
  <c r="C12" i="39"/>
  <c r="D12" i="39"/>
  <c r="G12" i="39"/>
  <c r="H12" i="39" s="1"/>
  <c r="B4" i="38"/>
  <c r="C4" i="38"/>
  <c r="E4" i="38" s="1"/>
  <c r="G4" i="38" s="1"/>
  <c r="B5" i="38"/>
  <c r="C5" i="38"/>
  <c r="E5" i="38" s="1"/>
  <c r="G5" i="38" s="1"/>
  <c r="B6" i="38"/>
  <c r="C6" i="38"/>
  <c r="E6" i="38" s="1"/>
  <c r="G6" i="38" s="1"/>
  <c r="B7" i="38"/>
  <c r="C7" i="38"/>
  <c r="E7" i="38" s="1"/>
  <c r="G7" i="38" s="1"/>
  <c r="B8" i="38"/>
  <c r="C8" i="38"/>
  <c r="E8" i="38" s="1"/>
  <c r="G8" i="38" s="1"/>
  <c r="B9" i="38"/>
  <c r="C9" i="38"/>
  <c r="E9" i="38" s="1"/>
  <c r="G9" i="38" s="1"/>
  <c r="B10" i="38"/>
  <c r="C10" i="38"/>
  <c r="E10" i="38" s="1"/>
  <c r="G10" i="38" s="1"/>
  <c r="B11" i="38"/>
  <c r="C11" i="38"/>
  <c r="E11" i="38" s="1"/>
  <c r="G11" i="38" s="1"/>
  <c r="B12" i="38"/>
  <c r="C12" i="38"/>
  <c r="E12" i="38" s="1"/>
  <c r="G12" i="38" s="1"/>
  <c r="B13" i="38"/>
  <c r="C13" i="38"/>
  <c r="E13" i="38" s="1"/>
  <c r="G13" i="38" s="1"/>
  <c r="C25" i="38"/>
  <c r="C27" i="38"/>
  <c r="B3" i="37"/>
  <c r="I5" i="37" s="1"/>
  <c r="C3" i="37"/>
  <c r="D3" i="37"/>
  <c r="E3" i="37"/>
  <c r="F3" i="37" s="1"/>
  <c r="B4" i="37"/>
  <c r="C4" i="37"/>
  <c r="D4" i="37"/>
  <c r="F4" i="37" s="1"/>
  <c r="E4" i="37"/>
  <c r="B5" i="37"/>
  <c r="C5" i="37"/>
  <c r="D5" i="37"/>
  <c r="B15" i="37" s="1"/>
  <c r="B6" i="37"/>
  <c r="B16" i="37" s="1"/>
  <c r="C6" i="37"/>
  <c r="D6" i="37"/>
  <c r="E6" i="37"/>
  <c r="F6" i="37"/>
  <c r="B7" i="37"/>
  <c r="C7" i="37"/>
  <c r="D7" i="37"/>
  <c r="E7" i="37"/>
  <c r="F7" i="37" s="1"/>
  <c r="B8" i="37"/>
  <c r="C8" i="37"/>
  <c r="D8" i="37"/>
  <c r="E8" i="37" s="1"/>
  <c r="F8" i="37" s="1"/>
  <c r="B9" i="37"/>
  <c r="C9" i="37"/>
  <c r="D9" i="37"/>
  <c r="E9" i="37"/>
  <c r="F9" i="37" s="1"/>
  <c r="B10" i="37"/>
  <c r="C10" i="37"/>
  <c r="D10" i="37"/>
  <c r="E10" i="37"/>
  <c r="F10" i="37"/>
  <c r="B11" i="37"/>
  <c r="C11" i="37"/>
  <c r="D11" i="37"/>
  <c r="B17" i="37" s="1"/>
  <c r="C3" i="36"/>
  <c r="D3" i="36"/>
  <c r="L4" i="36" s="1"/>
  <c r="E3" i="36"/>
  <c r="G3" i="36"/>
  <c r="H3" i="36"/>
  <c r="C4" i="36"/>
  <c r="D4" i="36"/>
  <c r="E4" i="36"/>
  <c r="H4" i="36" s="1"/>
  <c r="G4" i="36"/>
  <c r="C5" i="36"/>
  <c r="D5" i="36"/>
  <c r="E5" i="36"/>
  <c r="H5" i="36" s="1"/>
  <c r="G5" i="36"/>
  <c r="C6" i="36"/>
  <c r="D6" i="36"/>
  <c r="E6" i="36"/>
  <c r="H6" i="36" s="1"/>
  <c r="G6" i="36"/>
  <c r="C7" i="36"/>
  <c r="D7" i="36"/>
  <c r="E7" i="36"/>
  <c r="G7" i="36"/>
  <c r="H7" i="36"/>
  <c r="C8" i="36"/>
  <c r="D8" i="36"/>
  <c r="E8" i="36"/>
  <c r="G8" i="36"/>
  <c r="H8" i="36" s="1"/>
  <c r="C9" i="36"/>
  <c r="D9" i="36"/>
  <c r="E9" i="36"/>
  <c r="H9" i="36" s="1"/>
  <c r="G9" i="36"/>
  <c r="C10" i="36"/>
  <c r="D10" i="36"/>
  <c r="E10" i="36"/>
  <c r="H10" i="36" s="1"/>
  <c r="G10" i="36"/>
  <c r="D3" i="35"/>
  <c r="E3" i="35"/>
  <c r="G3" i="35" s="1"/>
  <c r="H3" i="35" s="1"/>
  <c r="I3" i="35"/>
  <c r="L3" i="35"/>
  <c r="D4" i="35"/>
  <c r="E4" i="35"/>
  <c r="G4" i="35" s="1"/>
  <c r="H4" i="35" s="1"/>
  <c r="M4" i="35" s="1"/>
  <c r="I4" i="35"/>
  <c r="L4" i="35"/>
  <c r="D5" i="35"/>
  <c r="E5" i="35"/>
  <c r="G5" i="35" s="1"/>
  <c r="H5" i="35" s="1"/>
  <c r="I5" i="35"/>
  <c r="L5" i="35"/>
  <c r="D6" i="35"/>
  <c r="E6" i="35"/>
  <c r="G6" i="35" s="1"/>
  <c r="H6" i="35" s="1"/>
  <c r="M5" i="35" s="1"/>
  <c r="I6" i="35"/>
  <c r="L6" i="35"/>
  <c r="D7" i="35"/>
  <c r="E7" i="35"/>
  <c r="G7" i="35" s="1"/>
  <c r="H7" i="35" s="1"/>
  <c r="M6" i="35" s="1"/>
  <c r="I7" i="35"/>
  <c r="D8" i="35"/>
  <c r="E8" i="35"/>
  <c r="G8" i="35" s="1"/>
  <c r="H8" i="35" s="1"/>
  <c r="I8" i="35"/>
  <c r="D9" i="35"/>
  <c r="E9" i="35"/>
  <c r="G9" i="35" s="1"/>
  <c r="H9" i="35" s="1"/>
  <c r="I9" i="35"/>
  <c r="D10" i="35"/>
  <c r="E10" i="35"/>
  <c r="G10" i="35" s="1"/>
  <c r="H10" i="35" s="1"/>
  <c r="I10" i="35"/>
  <c r="F4" i="34"/>
  <c r="G4" i="34" s="1"/>
  <c r="H4" i="34"/>
  <c r="F5" i="34"/>
  <c r="G5" i="34" s="1"/>
  <c r="H5" i="34"/>
  <c r="F6" i="34"/>
  <c r="G6" i="34"/>
  <c r="H6" i="34"/>
  <c r="I6" i="34" s="1"/>
  <c r="M10" i="34" s="1"/>
  <c r="F7" i="34"/>
  <c r="G7" i="34"/>
  <c r="H7" i="34"/>
  <c r="I7" i="34" s="1"/>
  <c r="F8" i="34"/>
  <c r="G8" i="34"/>
  <c r="H8" i="34"/>
  <c r="I8" i="34" s="1"/>
  <c r="L8" i="34"/>
  <c r="F9" i="34"/>
  <c r="G9" i="34" s="1"/>
  <c r="I9" i="34" s="1"/>
  <c r="H9" i="34"/>
  <c r="L9" i="34"/>
  <c r="F10" i="34"/>
  <c r="G10" i="34"/>
  <c r="H10" i="34"/>
  <c r="I10" i="34" s="1"/>
  <c r="L10" i="34"/>
  <c r="C12" i="34"/>
  <c r="C26" i="39" l="1"/>
  <c r="C28" i="39"/>
  <c r="I11" i="39"/>
  <c r="I3" i="39"/>
  <c r="C25" i="39" s="1"/>
  <c r="I6" i="39"/>
  <c r="I12" i="39"/>
  <c r="I4" i="39"/>
  <c r="C27" i="39" s="1"/>
  <c r="D28" i="38"/>
  <c r="D25" i="38"/>
  <c r="C28" i="38"/>
  <c r="D27" i="38"/>
  <c r="D26" i="38"/>
  <c r="C26" i="38"/>
  <c r="E5" i="37"/>
  <c r="F5" i="37" s="1"/>
  <c r="E11" i="37"/>
  <c r="F11" i="37" s="1"/>
  <c r="I3" i="37"/>
  <c r="I4" i="37"/>
  <c r="M3" i="36"/>
  <c r="M4" i="36"/>
  <c r="L3" i="36"/>
  <c r="M3" i="35"/>
  <c r="I5" i="34"/>
  <c r="M9" i="34" s="1"/>
  <c r="I4" i="34"/>
  <c r="M8" i="34" s="1"/>
  <c r="H13" i="31" l="1"/>
  <c r="G13" i="31"/>
  <c r="F13" i="31"/>
  <c r="G12" i="31"/>
  <c r="H12" i="31" s="1"/>
  <c r="F12" i="31"/>
  <c r="G11" i="31"/>
  <c r="H11" i="31" s="1"/>
  <c r="F11" i="31"/>
  <c r="G10" i="31"/>
  <c r="H10" i="31" s="1"/>
  <c r="F10" i="31"/>
  <c r="S9" i="31"/>
  <c r="G9" i="31"/>
  <c r="H9" i="31" s="1"/>
  <c r="F9" i="31"/>
  <c r="G8" i="31"/>
  <c r="H8" i="31" s="1"/>
  <c r="F8" i="31"/>
  <c r="L7" i="31"/>
  <c r="M7" i="31" s="1"/>
  <c r="K7" i="31"/>
  <c r="H7" i="31"/>
  <c r="G7" i="31"/>
  <c r="F7" i="31"/>
  <c r="K6" i="31"/>
  <c r="H6" i="31"/>
  <c r="G6" i="31"/>
  <c r="F6" i="31"/>
  <c r="K5" i="31"/>
  <c r="G5" i="31"/>
  <c r="H5" i="31" s="1"/>
  <c r="S5" i="31" s="1"/>
  <c r="F5" i="31"/>
  <c r="K4" i="31"/>
  <c r="G4" i="31"/>
  <c r="H4" i="31" s="1"/>
  <c r="S4" i="31" s="1"/>
  <c r="F4" i="31"/>
  <c r="L14" i="32"/>
  <c r="L13" i="32"/>
  <c r="G13" i="32" a="1"/>
  <c r="G13" i="32" s="1"/>
  <c r="A13" i="32"/>
  <c r="L12" i="32"/>
  <c r="G12" i="32"/>
  <c r="I12" i="32" s="1"/>
  <c r="G12" i="32" a="1"/>
  <c r="A12" i="32"/>
  <c r="L11" i="32"/>
  <c r="G11" i="32" a="1"/>
  <c r="G11" i="32" s="1"/>
  <c r="A11" i="32"/>
  <c r="G10" i="32" a="1"/>
  <c r="G10" i="32" s="1"/>
  <c r="A10" i="32"/>
  <c r="G9" i="32"/>
  <c r="I9" i="32" s="1"/>
  <c r="G9" i="32" a="1"/>
  <c r="A9" i="32"/>
  <c r="G8" i="32" a="1"/>
  <c r="G8" i="32" s="1"/>
  <c r="A8" i="32"/>
  <c r="G7" i="32" a="1"/>
  <c r="G7" i="32" s="1"/>
  <c r="A7" i="32"/>
  <c r="G6" i="32" a="1"/>
  <c r="G6" i="32" s="1"/>
  <c r="A6" i="32"/>
  <c r="G5" i="32"/>
  <c r="I5" i="32" s="1"/>
  <c r="G5" i="32" a="1"/>
  <c r="A5" i="32"/>
  <c r="G4" i="32" a="1"/>
  <c r="G4" i="32" s="1"/>
  <c r="A4" i="32"/>
  <c r="G12" i="33"/>
  <c r="E12" i="33"/>
  <c r="F12" i="33" s="1"/>
  <c r="B12" i="33"/>
  <c r="G11" i="33"/>
  <c r="E11" i="33"/>
  <c r="F11" i="33" s="1"/>
  <c r="H11" i="33" s="1"/>
  <c r="B11" i="33"/>
  <c r="G10" i="33"/>
  <c r="E10" i="33"/>
  <c r="F10" i="33" s="1"/>
  <c r="H10" i="33" s="1"/>
  <c r="B10" i="33"/>
  <c r="G9" i="33"/>
  <c r="E9" i="33"/>
  <c r="F9" i="33" s="1"/>
  <c r="B9" i="33"/>
  <c r="G8" i="33"/>
  <c r="E8" i="33"/>
  <c r="F8" i="33" s="1"/>
  <c r="B8" i="33"/>
  <c r="G7" i="33"/>
  <c r="E7" i="33"/>
  <c r="F7" i="33" s="1"/>
  <c r="H7" i="33" s="1"/>
  <c r="B7" i="33"/>
  <c r="G6" i="33"/>
  <c r="E6" i="33"/>
  <c r="F6" i="33" s="1"/>
  <c r="B6" i="33"/>
  <c r="G5" i="33"/>
  <c r="E5" i="33"/>
  <c r="F5" i="33" s="1"/>
  <c r="B5" i="33"/>
  <c r="G4" i="33"/>
  <c r="E4" i="33"/>
  <c r="F4" i="33" s="1"/>
  <c r="B4" i="33"/>
  <c r="G12" i="30"/>
  <c r="H12" i="30" s="1" a="1"/>
  <c r="H12" i="30" s="1"/>
  <c r="I12" i="30" s="1"/>
  <c r="D12" i="30"/>
  <c r="H11" i="30" a="1"/>
  <c r="H11" i="30" s="1"/>
  <c r="I11" i="30" s="1"/>
  <c r="G11" i="30"/>
  <c r="D11" i="30"/>
  <c r="G10" i="30"/>
  <c r="H10" i="30" s="1" a="1"/>
  <c r="H10" i="30" s="1"/>
  <c r="I10" i="30" s="1"/>
  <c r="D10" i="30"/>
  <c r="H9" i="30" a="1"/>
  <c r="H9" i="30" s="1"/>
  <c r="I9" i="30" s="1"/>
  <c r="G9" i="30"/>
  <c r="D9" i="30"/>
  <c r="H8" i="30" a="1"/>
  <c r="H8" i="30" s="1"/>
  <c r="I8" i="30" s="1"/>
  <c r="G8" i="30"/>
  <c r="D8" i="30"/>
  <c r="H7" i="30" a="1"/>
  <c r="H7" i="30" s="1"/>
  <c r="I7" i="30" s="1"/>
  <c r="G7" i="30"/>
  <c r="D7" i="30"/>
  <c r="G6" i="30"/>
  <c r="H6" i="30" s="1" a="1"/>
  <c r="H6" i="30" s="1"/>
  <c r="I6" i="30" s="1"/>
  <c r="D6" i="30"/>
  <c r="G5" i="30"/>
  <c r="H5" i="30" s="1" a="1"/>
  <c r="H5" i="30" s="1"/>
  <c r="I5" i="30" s="1"/>
  <c r="D5" i="30"/>
  <c r="G4" i="30"/>
  <c r="H4" i="30" s="1" a="1"/>
  <c r="H4" i="30" s="1"/>
  <c r="I4" i="30" s="1"/>
  <c r="D4" i="30"/>
  <c r="G3" i="30"/>
  <c r="H3" i="30" s="1" a="1"/>
  <c r="H3" i="30" s="1"/>
  <c r="D3" i="30"/>
  <c r="D26" i="17"/>
  <c r="H12" i="17"/>
  <c r="G12" i="17"/>
  <c r="E12" i="17"/>
  <c r="I12" i="17" s="1"/>
  <c r="H11" i="17"/>
  <c r="G11" i="17"/>
  <c r="E11" i="17"/>
  <c r="I11" i="17" s="1"/>
  <c r="H10" i="17"/>
  <c r="G10" i="17"/>
  <c r="E10" i="17"/>
  <c r="I10" i="17" s="1"/>
  <c r="H9" i="17"/>
  <c r="G9" i="17"/>
  <c r="E9" i="17"/>
  <c r="I9" i="17" s="1"/>
  <c r="H8" i="17"/>
  <c r="G8" i="17"/>
  <c r="E8" i="17"/>
  <c r="I8" i="17" s="1"/>
  <c r="H7" i="17"/>
  <c r="G7" i="17"/>
  <c r="E7" i="17"/>
  <c r="I7" i="17" s="1"/>
  <c r="H6" i="17"/>
  <c r="G6" i="17"/>
  <c r="E6" i="17"/>
  <c r="I6" i="17" s="1"/>
  <c r="H5" i="17"/>
  <c r="G5" i="17"/>
  <c r="E5" i="17"/>
  <c r="I5" i="17" s="1"/>
  <c r="H4" i="17"/>
  <c r="G4" i="17"/>
  <c r="E4" i="17"/>
  <c r="I4" i="17" s="1"/>
  <c r="E26" i="17" s="1"/>
  <c r="H3" i="17"/>
  <c r="G3" i="17"/>
  <c r="E3" i="17"/>
  <c r="I3" i="17" s="1"/>
  <c r="H13" i="16"/>
  <c r="I13" i="16" s="1"/>
  <c r="F13" i="16"/>
  <c r="H12" i="16"/>
  <c r="I12" i="16" s="1"/>
  <c r="F12" i="16"/>
  <c r="H11" i="16"/>
  <c r="I11" i="16" s="1"/>
  <c r="F11" i="16"/>
  <c r="I10" i="16"/>
  <c r="H10" i="16"/>
  <c r="F10" i="16"/>
  <c r="H9" i="16"/>
  <c r="I9" i="16" s="1"/>
  <c r="F9" i="16"/>
  <c r="H8" i="16"/>
  <c r="I8" i="16" s="1"/>
  <c r="F8" i="16"/>
  <c r="Q7" i="16"/>
  <c r="H7" i="16"/>
  <c r="I7" i="16" s="1"/>
  <c r="R7" i="16" s="1"/>
  <c r="F7" i="16"/>
  <c r="Q6" i="16"/>
  <c r="H6" i="16"/>
  <c r="I6" i="16" s="1"/>
  <c r="R6" i="16" s="1"/>
  <c r="F6" i="16"/>
  <c r="Q5" i="16"/>
  <c r="H5" i="16"/>
  <c r="I5" i="16" s="1"/>
  <c r="F5" i="16"/>
  <c r="Q4" i="16"/>
  <c r="H4" i="16"/>
  <c r="I4" i="16" s="1"/>
  <c r="F4" i="16"/>
  <c r="J11" i="15"/>
  <c r="H11" i="15"/>
  <c r="G11" i="15"/>
  <c r="I11" i="15" s="1"/>
  <c r="E11" i="15"/>
  <c r="D11" i="15"/>
  <c r="F11" i="15" s="1"/>
  <c r="C11" i="15"/>
  <c r="J10" i="15"/>
  <c r="H10" i="15"/>
  <c r="G10" i="15"/>
  <c r="I10" i="15" s="1"/>
  <c r="E10" i="15"/>
  <c r="D10" i="15"/>
  <c r="F10" i="15" s="1"/>
  <c r="C10" i="15"/>
  <c r="J9" i="15"/>
  <c r="H9" i="15"/>
  <c r="G9" i="15"/>
  <c r="I9" i="15" s="1"/>
  <c r="E9" i="15"/>
  <c r="D9" i="15"/>
  <c r="F9" i="15" s="1"/>
  <c r="C9" i="15"/>
  <c r="J8" i="15"/>
  <c r="H8" i="15"/>
  <c r="G8" i="15"/>
  <c r="I8" i="15" s="1"/>
  <c r="E8" i="15"/>
  <c r="D8" i="15"/>
  <c r="F8" i="15" s="1"/>
  <c r="C8" i="15"/>
  <c r="J7" i="15"/>
  <c r="H7" i="15"/>
  <c r="G7" i="15"/>
  <c r="I7" i="15" s="1"/>
  <c r="E7" i="15"/>
  <c r="D7" i="15"/>
  <c r="F7" i="15" s="1"/>
  <c r="C7" i="15"/>
  <c r="J6" i="15"/>
  <c r="H6" i="15"/>
  <c r="G6" i="15"/>
  <c r="I6" i="15" s="1"/>
  <c r="E6" i="15"/>
  <c r="D6" i="15"/>
  <c r="F6" i="15" s="1"/>
  <c r="C6" i="15"/>
  <c r="J5" i="15"/>
  <c r="H5" i="15"/>
  <c r="G5" i="15"/>
  <c r="I5" i="15" s="1"/>
  <c r="E5" i="15"/>
  <c r="D5" i="15"/>
  <c r="F5" i="15" s="1"/>
  <c r="C5" i="15"/>
  <c r="J4" i="15"/>
  <c r="H4" i="15"/>
  <c r="H12" i="15" s="1"/>
  <c r="G4" i="15"/>
  <c r="G12" i="15" s="1"/>
  <c r="E4" i="15"/>
  <c r="E12" i="15" s="1"/>
  <c r="D4" i="15"/>
  <c r="F4" i="15" s="1"/>
  <c r="C4" i="15"/>
  <c r="G10" i="14"/>
  <c r="D10" i="14"/>
  <c r="G9" i="14"/>
  <c r="D9" i="14"/>
  <c r="G8" i="14"/>
  <c r="D8" i="14"/>
  <c r="G7" i="14"/>
  <c r="D7" i="14"/>
  <c r="G6" i="14"/>
  <c r="D6" i="14"/>
  <c r="G5" i="14"/>
  <c r="D5" i="14"/>
  <c r="G4" i="14"/>
  <c r="D4" i="14"/>
  <c r="G3" i="14"/>
  <c r="D3" i="14"/>
  <c r="F11" i="13"/>
  <c r="H11" i="13" s="1"/>
  <c r="F10" i="13"/>
  <c r="H10" i="13" s="1"/>
  <c r="F9" i="13"/>
  <c r="H9" i="13" s="1"/>
  <c r="F8" i="13"/>
  <c r="H8" i="13" s="1"/>
  <c r="G7" i="13"/>
  <c r="F7" i="13"/>
  <c r="H7" i="13" s="1"/>
  <c r="G6" i="13"/>
  <c r="F6" i="13"/>
  <c r="H6" i="13" s="1"/>
  <c r="F5" i="13"/>
  <c r="H5" i="13" s="1"/>
  <c r="H4" i="13"/>
  <c r="G4" i="13"/>
  <c r="F4" i="13"/>
  <c r="H3" i="13"/>
  <c r="F3" i="13"/>
  <c r="F12" i="13" s="1"/>
  <c r="I12" i="11"/>
  <c r="H12" i="11"/>
  <c r="J12" i="11" s="1"/>
  <c r="K12" i="11" s="1"/>
  <c r="E12" i="11"/>
  <c r="I11" i="11"/>
  <c r="H11" i="11"/>
  <c r="E11" i="11"/>
  <c r="J10" i="11"/>
  <c r="I10" i="11"/>
  <c r="K10" i="11" s="1"/>
  <c r="H10" i="11"/>
  <c r="E10" i="11"/>
  <c r="J9" i="11"/>
  <c r="K9" i="11" s="1"/>
  <c r="I9" i="11"/>
  <c r="H9" i="11"/>
  <c r="E9" i="11"/>
  <c r="I8" i="11"/>
  <c r="H8" i="11"/>
  <c r="J8" i="11" s="1"/>
  <c r="K8" i="11" s="1"/>
  <c r="E8" i="11"/>
  <c r="I7" i="11"/>
  <c r="H7" i="11"/>
  <c r="E7" i="11"/>
  <c r="J6" i="11"/>
  <c r="I6" i="11"/>
  <c r="H6" i="11"/>
  <c r="K6" i="11" s="1"/>
  <c r="E6" i="11"/>
  <c r="J5" i="11"/>
  <c r="K5" i="11" s="1"/>
  <c r="I5" i="11"/>
  <c r="H5" i="11"/>
  <c r="E5" i="11"/>
  <c r="I4" i="11"/>
  <c r="H4" i="11"/>
  <c r="J4" i="11" s="1"/>
  <c r="K4" i="11" s="1"/>
  <c r="E4" i="11"/>
  <c r="I3" i="11"/>
  <c r="H3" i="11"/>
  <c r="C19" i="11" s="1"/>
  <c r="E3" i="11"/>
  <c r="F12" i="10"/>
  <c r="G12" i="10" s="1"/>
  <c r="C12" i="10"/>
  <c r="A12" i="10"/>
  <c r="G11" i="10"/>
  <c r="F11" i="10"/>
  <c r="C11" i="10"/>
  <c r="A11" i="10"/>
  <c r="F10" i="10"/>
  <c r="G10" i="10" s="1"/>
  <c r="C10" i="10"/>
  <c r="A10" i="10"/>
  <c r="F9" i="10"/>
  <c r="G9" i="10" s="1"/>
  <c r="C9" i="10"/>
  <c r="A9" i="10"/>
  <c r="F8" i="10"/>
  <c r="G8" i="10" s="1"/>
  <c r="C8" i="10"/>
  <c r="A8" i="10"/>
  <c r="F7" i="10"/>
  <c r="G7" i="10" s="1"/>
  <c r="C7" i="10"/>
  <c r="A7" i="10"/>
  <c r="F6" i="10"/>
  <c r="G6" i="10" s="1"/>
  <c r="C6" i="10"/>
  <c r="A6" i="10"/>
  <c r="F5" i="10"/>
  <c r="G5" i="10" s="1"/>
  <c r="C5" i="10"/>
  <c r="A5" i="10"/>
  <c r="F4" i="10"/>
  <c r="G4" i="10" s="1"/>
  <c r="C4" i="10"/>
  <c r="A4" i="10"/>
  <c r="M3" i="10"/>
  <c r="M4" i="10" s="1"/>
  <c r="F3" i="10"/>
  <c r="G3" i="10" s="1"/>
  <c r="C3" i="10"/>
  <c r="A3" i="10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H3" i="9"/>
  <c r="G3" i="9"/>
  <c r="F3" i="9"/>
  <c r="I12" i="8"/>
  <c r="J12" i="8" s="1"/>
  <c r="G12" i="8"/>
  <c r="H12" i="8" s="1"/>
  <c r="A12" i="8"/>
  <c r="H11" i="8"/>
  <c r="G11" i="8"/>
  <c r="I11" i="8" s="1"/>
  <c r="J11" i="8" s="1"/>
  <c r="A11" i="8"/>
  <c r="G10" i="8"/>
  <c r="H10" i="8" s="1"/>
  <c r="A10" i="8"/>
  <c r="I9" i="8"/>
  <c r="J9" i="8" s="1"/>
  <c r="H9" i="8"/>
  <c r="G9" i="8"/>
  <c r="A9" i="8"/>
  <c r="G8" i="8"/>
  <c r="I8" i="8" s="1"/>
  <c r="J8" i="8" s="1"/>
  <c r="A8" i="8"/>
  <c r="G7" i="8"/>
  <c r="I7" i="8" s="1"/>
  <c r="J7" i="8" s="1"/>
  <c r="A7" i="8"/>
  <c r="O6" i="8"/>
  <c r="N6" i="8"/>
  <c r="M6" i="8"/>
  <c r="G6" i="8"/>
  <c r="I6" i="8" s="1"/>
  <c r="J6" i="8" s="1"/>
  <c r="A6" i="8"/>
  <c r="O5" i="8"/>
  <c r="N5" i="8"/>
  <c r="M5" i="8"/>
  <c r="G5" i="8"/>
  <c r="I5" i="8" s="1"/>
  <c r="J5" i="8" s="1"/>
  <c r="A5" i="8"/>
  <c r="O4" i="8"/>
  <c r="N4" i="8"/>
  <c r="M4" i="8"/>
  <c r="G4" i="8"/>
  <c r="I4" i="8" s="1"/>
  <c r="J4" i="8" s="1"/>
  <c r="A4" i="8"/>
  <c r="O3" i="8"/>
  <c r="N3" i="8"/>
  <c r="M3" i="8"/>
  <c r="G3" i="8"/>
  <c r="I3" i="8" s="1"/>
  <c r="J3" i="8" s="1"/>
  <c r="A3" i="8"/>
  <c r="F13" i="7"/>
  <c r="E13" i="7"/>
  <c r="G12" i="7"/>
  <c r="A12" i="7"/>
  <c r="H11" i="7"/>
  <c r="I11" i="7" s="1"/>
  <c r="G11" i="7"/>
  <c r="A11" i="7"/>
  <c r="G10" i="7"/>
  <c r="A10" i="7"/>
  <c r="H9" i="7"/>
  <c r="I9" i="7" s="1"/>
  <c r="G9" i="7"/>
  <c r="A9" i="7"/>
  <c r="G8" i="7"/>
  <c r="A8" i="7"/>
  <c r="H7" i="7"/>
  <c r="I7" i="7" s="1"/>
  <c r="G7" i="7"/>
  <c r="A7" i="7"/>
  <c r="G6" i="7"/>
  <c r="A6" i="7"/>
  <c r="H5" i="7"/>
  <c r="I5" i="7" s="1"/>
  <c r="G5" i="7"/>
  <c r="A5" i="7"/>
  <c r="G4" i="7"/>
  <c r="A4" i="7"/>
  <c r="H3" i="7"/>
  <c r="G3" i="7"/>
  <c r="G13" i="7" s="1"/>
  <c r="A3" i="7"/>
  <c r="G12" i="6"/>
  <c r="F12" i="6"/>
  <c r="A12" i="6"/>
  <c r="F11" i="6"/>
  <c r="G11" i="6" s="1"/>
  <c r="A11" i="6"/>
  <c r="F10" i="6"/>
  <c r="G10" i="6" s="1"/>
  <c r="A10" i="6"/>
  <c r="F9" i="6"/>
  <c r="G9" i="6" s="1"/>
  <c r="A9" i="6"/>
  <c r="G8" i="6"/>
  <c r="F8" i="6"/>
  <c r="A8" i="6"/>
  <c r="F7" i="6"/>
  <c r="G7" i="6" s="1"/>
  <c r="A7" i="6"/>
  <c r="G6" i="6"/>
  <c r="F6" i="6"/>
  <c r="A6" i="6"/>
  <c r="F5" i="6"/>
  <c r="G5" i="6" s="1"/>
  <c r="A5" i="6"/>
  <c r="G4" i="6"/>
  <c r="F4" i="6"/>
  <c r="A4" i="6"/>
  <c r="F3" i="6"/>
  <c r="G3" i="6" s="1"/>
  <c r="A3" i="6"/>
  <c r="A15" i="5"/>
  <c r="A14" i="5"/>
  <c r="A13" i="5"/>
  <c r="A9" i="5"/>
  <c r="A8" i="5"/>
  <c r="A7" i="5"/>
  <c r="A6" i="5"/>
  <c r="A5" i="5"/>
  <c r="A4" i="5"/>
  <c r="A3" i="5"/>
  <c r="A2" i="5"/>
  <c r="G4" i="4"/>
  <c r="G5" i="4"/>
  <c r="G6" i="4"/>
  <c r="G7" i="4"/>
  <c r="G8" i="4"/>
  <c r="G9" i="4"/>
  <c r="G10" i="4"/>
  <c r="G11" i="4"/>
  <c r="G12" i="4"/>
  <c r="G3" i="4"/>
  <c r="F4" i="4"/>
  <c r="F5" i="4"/>
  <c r="F6" i="4"/>
  <c r="F7" i="4"/>
  <c r="F8" i="4"/>
  <c r="F9" i="4"/>
  <c r="F10" i="4"/>
  <c r="F11" i="4"/>
  <c r="F12" i="4"/>
  <c r="F3" i="4"/>
  <c r="A12" i="4"/>
  <c r="A11" i="4"/>
  <c r="A10" i="4"/>
  <c r="A9" i="4"/>
  <c r="A8" i="4"/>
  <c r="A7" i="4"/>
  <c r="A6" i="4"/>
  <c r="A5" i="4"/>
  <c r="A4" i="4"/>
  <c r="A3" i="4"/>
  <c r="H12" i="33" l="1"/>
  <c r="H4" i="33"/>
  <c r="H6" i="33"/>
  <c r="H9" i="33"/>
  <c r="H5" i="33"/>
  <c r="H8" i="33"/>
  <c r="N4" i="33"/>
  <c r="I7" i="32"/>
  <c r="H7" i="32" a="1"/>
  <c r="H7" i="32" s="1"/>
  <c r="L14" i="30"/>
  <c r="L11" i="30"/>
  <c r="L13" i="30"/>
  <c r="L12" i="30"/>
  <c r="I3" i="30"/>
  <c r="L10" i="30"/>
  <c r="H4" i="32" a="1"/>
  <c r="H4" i="32" s="1"/>
  <c r="I4" i="32"/>
  <c r="I11" i="32"/>
  <c r="H11" i="32" a="1"/>
  <c r="H11" i="32" s="1"/>
  <c r="H8" i="32" a="1"/>
  <c r="H8" i="32" s="1"/>
  <c r="I8" i="32"/>
  <c r="S6" i="31"/>
  <c r="S7" i="31"/>
  <c r="L5" i="31"/>
  <c r="M5" i="31" s="1"/>
  <c r="H13" i="32" a="1"/>
  <c r="H13" i="32" s="1"/>
  <c r="I13" i="32"/>
  <c r="S8" i="31"/>
  <c r="L6" i="31"/>
  <c r="M6" i="31" s="1"/>
  <c r="H6" i="32" a="1"/>
  <c r="H6" i="32" s="1"/>
  <c r="I6" i="32"/>
  <c r="H10" i="32" a="1"/>
  <c r="H10" i="32" s="1"/>
  <c r="I10" i="32"/>
  <c r="H5" i="32" a="1"/>
  <c r="H5" i="32" s="1"/>
  <c r="H9" i="32" a="1"/>
  <c r="H9" i="32" s="1"/>
  <c r="K4" i="33"/>
  <c r="H12" i="32" a="1"/>
  <c r="H12" i="32" s="1"/>
  <c r="L4" i="31"/>
  <c r="M4" i="31" s="1"/>
  <c r="L4" i="33"/>
  <c r="M4" i="33"/>
  <c r="E25" i="17"/>
  <c r="D25" i="17"/>
  <c r="R4" i="16"/>
  <c r="R5" i="16"/>
  <c r="F12" i="15"/>
  <c r="I4" i="15"/>
  <c r="I12" i="15" s="1"/>
  <c r="D12" i="15"/>
  <c r="H12" i="13"/>
  <c r="G10" i="13"/>
  <c r="G5" i="13"/>
  <c r="G8" i="13"/>
  <c r="G3" i="13"/>
  <c r="G11" i="13"/>
  <c r="G9" i="13"/>
  <c r="C20" i="11"/>
  <c r="J7" i="11"/>
  <c r="K7" i="11" s="1"/>
  <c r="J3" i="11"/>
  <c r="J11" i="11"/>
  <c r="K11" i="11" s="1"/>
  <c r="C18" i="11"/>
  <c r="K3" i="11"/>
  <c r="H8" i="8"/>
  <c r="H3" i="8"/>
  <c r="H4" i="8"/>
  <c r="H5" i="8"/>
  <c r="H6" i="8"/>
  <c r="H7" i="8"/>
  <c r="I10" i="8"/>
  <c r="J10" i="8" s="1"/>
  <c r="I8" i="7"/>
  <c r="H4" i="7"/>
  <c r="I4" i="7" s="1"/>
  <c r="H6" i="7"/>
  <c r="I6" i="7" s="1"/>
  <c r="H8" i="7"/>
  <c r="H10" i="7"/>
  <c r="I10" i="7" s="1"/>
  <c r="H12" i="7"/>
  <c r="I12" i="7" s="1"/>
  <c r="I3" i="7"/>
  <c r="G12" i="13" l="1"/>
  <c r="C17" i="11"/>
  <c r="H13" i="7"/>
  <c r="I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<sst xmlns="http://schemas.openxmlformats.org/spreadsheetml/2006/main" count="1226" uniqueCount="649">
  <si>
    <r>
      <t xml:space="preserve">BỘ GIÁO DỤC VÀ ĐÀO TẠO
TRƯỜNG ĐẠI HỌC HÀ NỘI
</t>
    </r>
    <r>
      <rPr>
        <b/>
        <sz val="12"/>
        <color theme="1"/>
        <rFont val="Times New Roman"/>
        <family val="1"/>
      </rPr>
      <t>o0o</t>
    </r>
  </si>
  <si>
    <r>
      <rPr>
        <b/>
        <sz val="12"/>
        <color theme="1"/>
        <rFont val="Calibri"/>
        <family val="2"/>
        <scheme val="minor"/>
      </rPr>
      <t xml:space="preserve">CỘNG HÒA XÃ HỘI CHỦ NGHĨA VIỆT NAM
Độc lập - Tự do - Hạnh phúc
</t>
    </r>
    <r>
      <rPr>
        <b/>
        <sz val="12"/>
        <color theme="1"/>
        <rFont val="Times New Roman"/>
        <family val="1"/>
      </rPr>
      <t>o0o</t>
    </r>
  </si>
  <si>
    <t>DANH SÁCH SINH VIÊN HỆ 2010 - 2011 KHÓA ĐỢT 1</t>
  </si>
  <si>
    <t>Môn: VIE212: Tin học cơ sở</t>
  </si>
  <si>
    <t>Lớp: THCS01_10</t>
  </si>
  <si>
    <t>STT</t>
  </si>
  <si>
    <t>Mã SV</t>
  </si>
  <si>
    <t>Họ và tên</t>
  </si>
  <si>
    <t>Ngày sinh</t>
  </si>
  <si>
    <t>Giới tính</t>
  </si>
  <si>
    <t>SV Lớp</t>
  </si>
  <si>
    <t>Ghi chú</t>
  </si>
  <si>
    <t xml:space="preserve">Vũ Nguyệt Ánh </t>
  </si>
  <si>
    <t xml:space="preserve">Nữ </t>
  </si>
  <si>
    <t>4Đ-10</t>
  </si>
  <si>
    <t xml:space="preserve">Nguyễn Thị Ngọc Bích </t>
  </si>
  <si>
    <t>7A-10</t>
  </si>
  <si>
    <t>Bùi Lê Yến Chi</t>
  </si>
  <si>
    <t>4NB-10</t>
  </si>
  <si>
    <t>Nguyễn Công Đô</t>
  </si>
  <si>
    <t xml:space="preserve">Nam </t>
  </si>
  <si>
    <t>Đặng Mai Thuỳ Dương</t>
  </si>
  <si>
    <t>2P-10</t>
  </si>
  <si>
    <t>Nguyễn Thái Kim Dương</t>
  </si>
  <si>
    <t>Bùi Thị Hương Giang</t>
  </si>
  <si>
    <t>0904040028</t>
  </si>
  <si>
    <t>Lại Ngọc Hân</t>
  </si>
  <si>
    <t>3TC-09</t>
  </si>
  <si>
    <t>Mạc Hồng Hạnh</t>
  </si>
  <si>
    <t>Hoàng Thu Hồng</t>
  </si>
  <si>
    <t>4Đ-11</t>
  </si>
  <si>
    <t>Hà nội, Ngày ...tháng ...năm 2010</t>
  </si>
  <si>
    <t>NGƯỜI LẬP DANH SÁCH</t>
  </si>
  <si>
    <t>TL. HIỆU TRƯỞNG</t>
  </si>
  <si>
    <t>Lớp: THCS02_10</t>
  </si>
  <si>
    <t>Phạm Hà Anh</t>
  </si>
  <si>
    <t>2I-10</t>
  </si>
  <si>
    <t>0901040003</t>
  </si>
  <si>
    <t>Võ Thị Phương Anh</t>
  </si>
  <si>
    <t>2C-09</t>
  </si>
  <si>
    <t xml:space="preserve">1007010022 </t>
  </si>
  <si>
    <t>Lê Thị Ngọc Ánh</t>
  </si>
  <si>
    <t>6A-10</t>
  </si>
  <si>
    <t>Đặng Thị Bích</t>
  </si>
  <si>
    <t>8A-10</t>
  </si>
  <si>
    <t>Trần Thị Dinh</t>
  </si>
  <si>
    <t>Phạm Danh Nam Dương</t>
  </si>
  <si>
    <t>2Đ-10</t>
  </si>
  <si>
    <t>Đặng Thị Diệu Hằng</t>
  </si>
  <si>
    <t>3P-10</t>
  </si>
  <si>
    <t>Nguyễn Thị Hạnh</t>
  </si>
  <si>
    <t xml:space="preserve">1007050029 </t>
  </si>
  <si>
    <t>Mai Ngọc Hiếu</t>
  </si>
  <si>
    <t>0901040034</t>
  </si>
  <si>
    <t>Nghiêm Mạnh Hùng</t>
  </si>
  <si>
    <t>3C-09</t>
  </si>
  <si>
    <t>Đặng Tuấn Anh</t>
  </si>
  <si>
    <t>1T-10</t>
  </si>
  <si>
    <t xml:space="preserve">0904000005 </t>
  </si>
  <si>
    <t>Nghiêm Xuân Bách</t>
  </si>
  <si>
    <t>5K-09</t>
  </si>
  <si>
    <t xml:space="preserve">0904040011 </t>
  </si>
  <si>
    <t>Hoàng Ngọc Bích</t>
  </si>
  <si>
    <t>1TC-09</t>
  </si>
  <si>
    <t xml:space="preserve">0904000017 </t>
  </si>
  <si>
    <t>Lê Việt Đức</t>
  </si>
  <si>
    <t>2K-09</t>
  </si>
  <si>
    <t>0904000030</t>
  </si>
  <si>
    <t>Nguyễn Hoàng Hiệp</t>
  </si>
  <si>
    <t>4K-09</t>
  </si>
  <si>
    <t xml:space="preserve">0904040033 </t>
  </si>
  <si>
    <t>Nguyễn Hồng Huệ</t>
  </si>
  <si>
    <t>4TC-09</t>
  </si>
  <si>
    <t xml:space="preserve">0904000039 </t>
  </si>
  <si>
    <t>Ngô Thị Mai Hương</t>
  </si>
  <si>
    <t>1K-09</t>
  </si>
  <si>
    <t xml:space="preserve">0904010051 </t>
  </si>
  <si>
    <t>Trần Thị Hường</t>
  </si>
  <si>
    <t>4KT-09</t>
  </si>
  <si>
    <t xml:space="preserve">0904000035 </t>
  </si>
  <si>
    <t>Mai Quang Huy</t>
  </si>
  <si>
    <t>Đỗ Thanh Huyền</t>
  </si>
  <si>
    <t>TT</t>
  </si>
  <si>
    <t>Ngày bán
(dd/mm/yy)</t>
  </si>
  <si>
    <t>Mã hàng</t>
  </si>
  <si>
    <t>Số lượng
(Tấn)</t>
  </si>
  <si>
    <t>Đơn giá
(USD)</t>
  </si>
  <si>
    <t>Thành tiền
(USD)</t>
  </si>
  <si>
    <t>Thành tiền
(VNĐ)</t>
  </si>
  <si>
    <t>X004</t>
  </si>
  <si>
    <t>G002</t>
  </si>
  <si>
    <t>X001</t>
  </si>
  <si>
    <t>N005</t>
  </si>
  <si>
    <t>T002</t>
  </si>
  <si>
    <t>N004</t>
  </si>
  <si>
    <t>C002</t>
  </si>
  <si>
    <t>Họ đệm</t>
  </si>
  <si>
    <t>Tên</t>
  </si>
  <si>
    <t>Mã ngạch</t>
  </si>
  <si>
    <t>Tên ngạch</t>
  </si>
  <si>
    <t>Tên đơn vị</t>
  </si>
  <si>
    <t>Lương CB</t>
  </si>
  <si>
    <t xml:space="preserve">Lê </t>
  </si>
  <si>
    <t>Dung</t>
  </si>
  <si>
    <t> Chuyên viên</t>
  </si>
  <si>
    <t>Phòng Kinh doanh</t>
  </si>
  <si>
    <t xml:space="preserve">Nguyễn </t>
  </si>
  <si>
    <t>Hương</t>
  </si>
  <si>
    <t xml:space="preserve">Phòng Thiết bị </t>
  </si>
  <si>
    <t xml:space="preserve">Hương </t>
  </si>
  <si>
    <t> Chuyên viên cao cấp</t>
  </si>
  <si>
    <t>Phòng QLCL</t>
  </si>
  <si>
    <t xml:space="preserve">Quốc </t>
  </si>
  <si>
    <t>Khánh</t>
  </si>
  <si>
    <t>Phòng Khoa học</t>
  </si>
  <si>
    <t>Đào Hoa</t>
  </si>
  <si>
    <t>Mai</t>
  </si>
  <si>
    <t xml:space="preserve"> Chuyên viên</t>
  </si>
  <si>
    <t>Phòng Hành chính</t>
  </si>
  <si>
    <t xml:space="preserve">Ngô Văn </t>
  </si>
  <si>
    <t>Nhu</t>
  </si>
  <si>
    <t> Chuyên viên chính</t>
  </si>
  <si>
    <t xml:space="preserve">Phạm </t>
  </si>
  <si>
    <t>Thành</t>
  </si>
  <si>
    <t>Phòng Quản trị</t>
  </si>
  <si>
    <t xml:space="preserve">Trần </t>
  </si>
  <si>
    <t>Thủy</t>
  </si>
  <si>
    <t> Kỹ sư</t>
  </si>
  <si>
    <t>Phòng Tài chính</t>
  </si>
  <si>
    <t>BẢNG THỐNG KÊ BÁN HÀNG NĂM 2012</t>
  </si>
  <si>
    <t>Mã SP</t>
  </si>
  <si>
    <t>Ngày bán</t>
  </si>
  <si>
    <t>Số lượng</t>
  </si>
  <si>
    <t>Đơn giá</t>
  </si>
  <si>
    <t>Thành tiền</t>
  </si>
  <si>
    <t>Thành tiền VND</t>
  </si>
  <si>
    <t>CAQ</t>
  </si>
  <si>
    <t>CNQ</t>
  </si>
  <si>
    <t>15/04/2012</t>
  </si>
  <si>
    <t>CRP</t>
  </si>
  <si>
    <t>16/04/2012</t>
  </si>
  <si>
    <t>SAQ</t>
  </si>
  <si>
    <t>SNP</t>
  </si>
  <si>
    <t>SRP</t>
  </si>
  <si>
    <t>TAQ</t>
  </si>
  <si>
    <t>TNQ</t>
  </si>
  <si>
    <t>BẢNG THỐNG KÊ CHI TIẾT BÁN HÀNG THÁNG 12/2012</t>
  </si>
  <si>
    <t>Mã chứng từ</t>
  </si>
  <si>
    <t>Ngày nhập</t>
  </si>
  <si>
    <t>Tên hàng</t>
  </si>
  <si>
    <t>Thuế VAT</t>
  </si>
  <si>
    <t>Tổng cộng</t>
  </si>
  <si>
    <t>Màn hình</t>
  </si>
  <si>
    <t>Đĩa CD</t>
  </si>
  <si>
    <t>Đĩa DVD</t>
  </si>
  <si>
    <t>Bàn phím</t>
  </si>
  <si>
    <t>Webcam</t>
  </si>
  <si>
    <t>Chuột</t>
  </si>
  <si>
    <t>USB</t>
  </si>
  <si>
    <t>Tổng cộng:</t>
  </si>
  <si>
    <t>KẾT QUẢ THI TỐT NGHIỆP NĂM 2012 - 2013</t>
  </si>
  <si>
    <t>Toán</t>
  </si>
  <si>
    <t>Văn</t>
  </si>
  <si>
    <t>Ngoại ngữ</t>
  </si>
  <si>
    <t>Điểm trung bình</t>
  </si>
  <si>
    <t>Kết quả</t>
  </si>
  <si>
    <t>Xếp hạng</t>
  </si>
  <si>
    <t>Khen thưởng</t>
  </si>
  <si>
    <t>Nội dung</t>
  </si>
  <si>
    <t>Môn toán</t>
  </si>
  <si>
    <t>Môn văn</t>
  </si>
  <si>
    <t>Môn ngoại ngữ</t>
  </si>
  <si>
    <t>Hùng</t>
  </si>
  <si>
    <t>Nam</t>
  </si>
  <si>
    <t>Điểm cao nhất</t>
  </si>
  <si>
    <t>Bình</t>
  </si>
  <si>
    <t>Nữ</t>
  </si>
  <si>
    <t>Điểm thấp nhất</t>
  </si>
  <si>
    <t>Vân</t>
  </si>
  <si>
    <t>Điểm trung bình của các bạn Nam</t>
  </si>
  <si>
    <t>Doanh</t>
  </si>
  <si>
    <t>Loan</t>
  </si>
  <si>
    <t>Anh</t>
  </si>
  <si>
    <t>Thu</t>
  </si>
  <si>
    <t>Ngân</t>
  </si>
  <si>
    <t>DANH SÁCH THƯỞNG THÁNG 3, CÔNG TY ANZ</t>
  </si>
  <si>
    <t>Ngày công</t>
  </si>
  <si>
    <t>Thưởng 8-3</t>
  </si>
  <si>
    <t>Thưởng A</t>
  </si>
  <si>
    <t>Thưởng B</t>
  </si>
  <si>
    <t>Trần Thanh</t>
  </si>
  <si>
    <t>Phạm Hùng</t>
  </si>
  <si>
    <t>Cường</t>
  </si>
  <si>
    <t>Lê Ngọc</t>
  </si>
  <si>
    <t>Mơ</t>
  </si>
  <si>
    <t>Dũng</t>
  </si>
  <si>
    <t>Nguyễn Thành</t>
  </si>
  <si>
    <t>Công</t>
  </si>
  <si>
    <t>Lê Hoài</t>
  </si>
  <si>
    <t>Bắc</t>
  </si>
  <si>
    <t>Vũ Ngọc</t>
  </si>
  <si>
    <t>Minh</t>
  </si>
  <si>
    <t>Nguyễn Mai</t>
  </si>
  <si>
    <t>Lan</t>
  </si>
  <si>
    <t>BẢNG CHI TIẾT BÁN HÀNG</t>
  </si>
  <si>
    <t>Thành Tiền</t>
  </si>
  <si>
    <t>Tổng số</t>
  </si>
  <si>
    <t>BDDQ</t>
  </si>
  <si>
    <t>DQ</t>
  </si>
  <si>
    <t>Công tắc</t>
  </si>
  <si>
    <t>BDNT</t>
  </si>
  <si>
    <t>TS</t>
  </si>
  <si>
    <t>Bóng đèn</t>
  </si>
  <si>
    <t>CT</t>
  </si>
  <si>
    <t>NT</t>
  </si>
  <si>
    <t>BDGN</t>
  </si>
  <si>
    <t>GN</t>
  </si>
  <si>
    <t>BDTS</t>
  </si>
  <si>
    <t>DANH SÁCH LƯƠNG THÁNG 12 CHO CÁN BỘ CÔNG TY ABC</t>
  </si>
  <si>
    <t>Họ tên</t>
  </si>
  <si>
    <t>Chức vụ</t>
  </si>
  <si>
    <t>Năm sinh</t>
  </si>
  <si>
    <t>Tuổi</t>
  </si>
  <si>
    <t>Ngày</t>
  </si>
  <si>
    <t>Lương</t>
  </si>
  <si>
    <t>Thưởng</t>
  </si>
  <si>
    <t>Tạm ứng</t>
  </si>
  <si>
    <t>Còn lại</t>
  </si>
  <si>
    <t>Đào Mai</t>
  </si>
  <si>
    <t>GĐ</t>
  </si>
  <si>
    <t>Ngô Nhu</t>
  </si>
  <si>
    <t>PGĐ</t>
  </si>
  <si>
    <t>Mai Lan</t>
  </si>
  <si>
    <t>Ngọc Lân</t>
  </si>
  <si>
    <t>TP</t>
  </si>
  <si>
    <t>Nguyễn Hương</t>
  </si>
  <si>
    <t>Quốc Khánh</t>
  </si>
  <si>
    <t>PTP</t>
  </si>
  <si>
    <t>Phạm Thành</t>
  </si>
  <si>
    <t>Trần Thuỷ</t>
  </si>
  <si>
    <t>NV</t>
  </si>
  <si>
    <t>Lê La</t>
  </si>
  <si>
    <t>Tổng số tiền còn lại phải chi</t>
  </si>
  <si>
    <t>Lương bình quân</t>
  </si>
  <si>
    <t>Lương cao nhất</t>
  </si>
  <si>
    <t>Lương thấp nhất</t>
  </si>
  <si>
    <t>BÁO CÁO TỔNG HỢP PHÂN PHỐI NHIÊN LIỆU</t>
  </si>
  <si>
    <t>Chứng từ</t>
  </si>
  <si>
    <t>Đơn vị nhận</t>
  </si>
  <si>
    <t>Số chứng từ</t>
  </si>
  <si>
    <t>Xăng</t>
  </si>
  <si>
    <t>Gas</t>
  </si>
  <si>
    <t>Dầu lửa</t>
  </si>
  <si>
    <t>Bảng giá</t>
  </si>
  <si>
    <t>Mặt hàng</t>
  </si>
  <si>
    <t>KD</t>
  </si>
  <si>
    <t>CC</t>
  </si>
  <si>
    <t>G001K</t>
  </si>
  <si>
    <t>Mây xanh Co</t>
  </si>
  <si>
    <t>1</t>
  </si>
  <si>
    <t/>
  </si>
  <si>
    <t>X002K</t>
  </si>
  <si>
    <t>Đội xe</t>
  </si>
  <si>
    <t>2</t>
  </si>
  <si>
    <t>G002C</t>
  </si>
  <si>
    <t>XN cơ khí</t>
  </si>
  <si>
    <t>TỔNG HỢP SỐ LIỆU KHÁCH THUÊ PHÒNG KHÁCH SẠN</t>
  </si>
  <si>
    <t>Họ tên khách hàng</t>
  </si>
  <si>
    <t>Số phòng</t>
  </si>
  <si>
    <t>Ngày vào</t>
  </si>
  <si>
    <t>Ngày ra</t>
  </si>
  <si>
    <t>Số ngày ở</t>
  </si>
  <si>
    <t>Số tuần</t>
  </si>
  <si>
    <t>Số ngày lẻ</t>
  </si>
  <si>
    <t>100VIP</t>
  </si>
  <si>
    <t>201NOM</t>
  </si>
  <si>
    <t>205NOM</t>
  </si>
  <si>
    <t>209NOM</t>
  </si>
  <si>
    <t>102NOM</t>
  </si>
  <si>
    <t>107VIP</t>
  </si>
  <si>
    <t>210VIP</t>
  </si>
  <si>
    <t>Mộng Mơ</t>
  </si>
  <si>
    <t>202VIP</t>
  </si>
  <si>
    <t>BẢNG LƯƠNG CÁN BỘ CÔNG TY ANZ</t>
  </si>
  <si>
    <t>Thực lĩnh</t>
  </si>
  <si>
    <t>Đào Hoa Mai</t>
  </si>
  <si>
    <t>Ngô Văn Nhu</t>
  </si>
  <si>
    <t>Lê Dung</t>
  </si>
  <si>
    <t>Bảng mã ngạch và phụ cấp</t>
  </si>
  <si>
    <t>Tên ngạch công chức</t>
  </si>
  <si>
    <t>Phụ cấp (%)</t>
  </si>
  <si>
    <t>Chuyên viên cao cấp</t>
  </si>
  <si>
    <t>Chuyên viên chính</t>
  </si>
  <si>
    <t>Chuyên viên</t>
  </si>
  <si>
    <t>Kỹ sư</t>
  </si>
  <si>
    <t>BẢNG THỐNG KÊ MUA BÁN HÀNG HÓA</t>
  </si>
  <si>
    <t>Giá nhập</t>
  </si>
  <si>
    <t>SL nhập</t>
  </si>
  <si>
    <t>Thành tiên</t>
  </si>
  <si>
    <t>Giá xuất</t>
  </si>
  <si>
    <t>SL xuất</t>
  </si>
  <si>
    <t>Tiền xuất</t>
  </si>
  <si>
    <t>Pa0A12</t>
  </si>
  <si>
    <t>Pa0C15</t>
  </si>
  <si>
    <t>Sa0B2</t>
  </si>
  <si>
    <t>To0C23</t>
  </si>
  <si>
    <t>Hi0C12</t>
  </si>
  <si>
    <t>Hi0A13</t>
  </si>
  <si>
    <t>To0B12</t>
  </si>
  <si>
    <t>Cộng:</t>
  </si>
  <si>
    <t>Bảng mã</t>
  </si>
  <si>
    <t>Pa</t>
  </si>
  <si>
    <t>Máy điều hòa Parasonic</t>
  </si>
  <si>
    <t>To</t>
  </si>
  <si>
    <t>Máy điều hòa Tosiba</t>
  </si>
  <si>
    <t>Sa</t>
  </si>
  <si>
    <t>Máy điều hòa Samsung</t>
  </si>
  <si>
    <t>Hi</t>
  </si>
  <si>
    <t>Máy điều hòa Hitachi</t>
  </si>
  <si>
    <r>
      <t xml:space="preserve">BẢNG THEO DÕI VẬT LIỆU XÂY DỰNG
</t>
    </r>
    <r>
      <rPr>
        <i/>
        <sz val="14"/>
        <color theme="1"/>
        <rFont val="Times New Roman"/>
        <family val="1"/>
      </rPr>
      <t>(Năm 2021)</t>
    </r>
  </si>
  <si>
    <t>Bảng tra cứu giá</t>
  </si>
  <si>
    <t>Mã</t>
  </si>
  <si>
    <t>Nhận xét</t>
  </si>
  <si>
    <t>Mã đầu</t>
  </si>
  <si>
    <t>Tổng số lượng</t>
  </si>
  <si>
    <t>Tổng thành tiền</t>
  </si>
  <si>
    <t>B2</t>
  </si>
  <si>
    <t>Giấy</t>
  </si>
  <si>
    <t>A</t>
  </si>
  <si>
    <t>A1</t>
  </si>
  <si>
    <t>Vải bông</t>
  </si>
  <si>
    <t>B</t>
  </si>
  <si>
    <t>D1</t>
  </si>
  <si>
    <t>Xi măng</t>
  </si>
  <si>
    <t>C</t>
  </si>
  <si>
    <t>C2</t>
  </si>
  <si>
    <t>Gạch</t>
  </si>
  <si>
    <t>D</t>
  </si>
  <si>
    <t>A2</t>
  </si>
  <si>
    <t>B3</t>
  </si>
  <si>
    <t>Bìa</t>
  </si>
  <si>
    <t>D2</t>
  </si>
  <si>
    <t>C1</t>
  </si>
  <si>
    <t>Vôi</t>
  </si>
  <si>
    <t>A3</t>
  </si>
  <si>
    <t>B4</t>
  </si>
  <si>
    <t>BẢNG THEO DÕI THANH TOÁN PHÒNG Ở KHÁCH SẠN HOA HỒNG</t>
  </si>
  <si>
    <t>Loại phòng</t>
  </si>
  <si>
    <t>Ngày đi</t>
  </si>
  <si>
    <t>Ngày đến</t>
  </si>
  <si>
    <t>Số ngày</t>
  </si>
  <si>
    <t>Số người</t>
  </si>
  <si>
    <t>Giá phòng</t>
  </si>
  <si>
    <t>Giá phụ thu</t>
  </si>
  <si>
    <t>Tiền phòng</t>
  </si>
  <si>
    <t>Bảng mã đơn giá phòng chia theo loại A, B, C</t>
  </si>
  <si>
    <t>Loại</t>
  </si>
  <si>
    <t>Giá 1</t>
  </si>
  <si>
    <t>Giá 2</t>
  </si>
  <si>
    <t>Phụ thu</t>
  </si>
  <si>
    <t>Số tiền thu được theo từng loại phòng</t>
  </si>
  <si>
    <t>Số người ở</t>
  </si>
  <si>
    <t>Số tiền thu được</t>
  </si>
  <si>
    <t>Tổng hợp doanh số bán hàng của 3 chi nhánh Công ty ANZ năm 2012</t>
  </si>
  <si>
    <t>Chi nhánh</t>
  </si>
  <si>
    <t>Quý 1</t>
  </si>
  <si>
    <t>Quý 2</t>
  </si>
  <si>
    <t>Quý 3</t>
  </si>
  <si>
    <t>Quý 4</t>
  </si>
  <si>
    <t>Chi nhánh Hà Nội</t>
  </si>
  <si>
    <t>Chi nhánh Đà Nẵng</t>
  </si>
  <si>
    <t>Chi nhánh Sài Gòn</t>
  </si>
  <si>
    <t>Đơn vị</t>
  </si>
  <si>
    <t>Số trường tiểu học</t>
  </si>
  <si>
    <t>Số trường chỉ có 1 điểm chính</t>
  </si>
  <si>
    <t>Số trường có điểm trường</t>
  </si>
  <si>
    <t>Vùng khó khăn</t>
  </si>
  <si>
    <t>Nông thôn</t>
  </si>
  <si>
    <t>Thị trấn, Thị xã</t>
  </si>
  <si>
    <t>Thành phố</t>
  </si>
  <si>
    <t>Tỉnh Sơn La</t>
  </si>
  <si>
    <t>Tỉnh Vĩnh Phúc</t>
  </si>
  <si>
    <t>TP. Hải Phòng</t>
  </si>
  <si>
    <t>Tỉnh Ninh Bình</t>
  </si>
  <si>
    <t>Tỉnh Quảng Bình</t>
  </si>
  <si>
    <t>Tỉnh Phú Yên</t>
  </si>
  <si>
    <t>Tỉnh Kon Tum</t>
  </si>
  <si>
    <t>Tỉnh Bình Phước</t>
  </si>
  <si>
    <t>TP Hồ Chí Minh</t>
  </si>
  <si>
    <t>Tỉnh Bến Tre</t>
  </si>
  <si>
    <t>Khó khăn</t>
  </si>
  <si>
    <t>Thị trấn, thị xã</t>
  </si>
  <si>
    <t>Thành phố Hải Phòng</t>
  </si>
  <si>
    <t>Thành phố Hồ Chí Minh</t>
  </si>
  <si>
    <t>Thạc sĩ</t>
  </si>
  <si>
    <t>ĐHSP tiểu học</t>
  </si>
  <si>
    <t>ĐHSP CN  khác</t>
  </si>
  <si>
    <t>CĐSP tiểu học</t>
  </si>
  <si>
    <t>CĐSP CN khác</t>
  </si>
  <si>
    <t>THSP 12+2</t>
  </si>
  <si>
    <t>THSP 9+3, 9+4</t>
  </si>
  <si>
    <t>Dưới THSP</t>
  </si>
  <si>
    <t>Các ngành đào tạo khác</t>
  </si>
  <si>
    <t>BẢNG CHI TIẾT NHẬP XUẤT HÀNG HOÁ QUÍ IV/2012</t>
  </si>
  <si>
    <t>Thuế</t>
  </si>
  <si>
    <t>DBH-DB-N</t>
  </si>
  <si>
    <t>kg</t>
  </si>
  <si>
    <t>GTL-TB-N</t>
  </si>
  <si>
    <t>DBH-TB-X</t>
  </si>
  <si>
    <t>GTL-DB-X</t>
  </si>
  <si>
    <t>DQN-TB-N</t>
  </si>
  <si>
    <t>GNT-DB-X</t>
  </si>
  <si>
    <t>DQN-DB-N</t>
  </si>
  <si>
    <t>DBH-DB-X</t>
  </si>
  <si>
    <t>GNT-TB-N</t>
  </si>
  <si>
    <t>DQN-TB-X</t>
  </si>
  <si>
    <t>Bảng 1: Danh mục hàng hóa</t>
  </si>
  <si>
    <t>Bảng2: Đơn giá</t>
  </si>
  <si>
    <t>DB</t>
  </si>
  <si>
    <t>TB</t>
  </si>
  <si>
    <t>DBH</t>
  </si>
  <si>
    <t>Đường Biên Hoà</t>
  </si>
  <si>
    <t>DQN</t>
  </si>
  <si>
    <t>Đường Quảng Nam</t>
  </si>
  <si>
    <t>GTL</t>
  </si>
  <si>
    <t>Gạo Thái Lan</t>
  </si>
  <si>
    <t>GNT</t>
  </si>
  <si>
    <t>Gạo Nếp Thơm</t>
  </si>
  <si>
    <t>Tổng số tiền thu được theo từng mặt hàng</t>
  </si>
  <si>
    <t>Tổng tiền</t>
  </si>
  <si>
    <t>BẢNG THEO DÕI CHI TIẾT BÁN HÀNG CÔNG TY ABC</t>
  </si>
  <si>
    <t>Loại hàng</t>
  </si>
  <si>
    <t>(mm/dd/yyyy)</t>
  </si>
  <si>
    <t>PEA</t>
  </si>
  <si>
    <t>VTB</t>
  </si>
  <si>
    <t>SGA</t>
  </si>
  <si>
    <t>VTA</t>
  </si>
  <si>
    <t>ELB</t>
  </si>
  <si>
    <t>PEB</t>
  </si>
  <si>
    <t>SGB</t>
  </si>
  <si>
    <t>ELA</t>
  </si>
  <si>
    <t>BẢNG MÃ</t>
  </si>
  <si>
    <t>Loại 1</t>
  </si>
  <si>
    <t>Loại 2</t>
  </si>
  <si>
    <t>EL</t>
  </si>
  <si>
    <t>Elf Gas</t>
  </si>
  <si>
    <t>PE</t>
  </si>
  <si>
    <t>Petrolimex</t>
  </si>
  <si>
    <t>SG</t>
  </si>
  <si>
    <t>Sài  Gòn Petro</t>
  </si>
  <si>
    <t>VT</t>
  </si>
  <si>
    <t>VT Gas</t>
  </si>
  <si>
    <t>Tổng số tiền</t>
  </si>
  <si>
    <t>CÔNG TY XUẤT KHẨU Ô TÔ AZ</t>
  </si>
  <si>
    <t>Tên xe</t>
  </si>
  <si>
    <t>Nước lắp ráp</t>
  </si>
  <si>
    <t>Giá xuất xưởng</t>
  </si>
  <si>
    <t>Giá thành</t>
  </si>
  <si>
    <t>Nhãn hiệu</t>
  </si>
  <si>
    <t>TOZAVN</t>
  </si>
  <si>
    <t>TOYOTA</t>
  </si>
  <si>
    <t>FOLAVN</t>
  </si>
  <si>
    <t>FORD</t>
  </si>
  <si>
    <t>TOCONB</t>
  </si>
  <si>
    <t>MITSUBISHI</t>
  </si>
  <si>
    <t>MIJOVN</t>
  </si>
  <si>
    <t>TOCAVN</t>
  </si>
  <si>
    <t>Mã hiệu</t>
  </si>
  <si>
    <t>TO</t>
  </si>
  <si>
    <t>FO</t>
  </si>
  <si>
    <t>MI</t>
  </si>
  <si>
    <t>FOLANB</t>
  </si>
  <si>
    <t>MIPAVN</t>
  </si>
  <si>
    <t>FOESVN</t>
  </si>
  <si>
    <t>MIJONB</t>
  </si>
  <si>
    <t>Mã loại</t>
  </si>
  <si>
    <t>Loại xe</t>
  </si>
  <si>
    <t>Đơn giá (USD)</t>
  </si>
  <si>
    <t>VN</t>
  </si>
  <si>
    <t>NB</t>
  </si>
  <si>
    <t>CO</t>
  </si>
  <si>
    <t>COROLLA</t>
  </si>
  <si>
    <t>CA</t>
  </si>
  <si>
    <t>CAMRY</t>
  </si>
  <si>
    <t>ZA</t>
  </si>
  <si>
    <t>ZACE</t>
  </si>
  <si>
    <t>LA</t>
  </si>
  <si>
    <t>LASER</t>
  </si>
  <si>
    <t>ES</t>
  </si>
  <si>
    <t>ESCAPE</t>
  </si>
  <si>
    <t>JO</t>
  </si>
  <si>
    <t>JOLIE</t>
  </si>
  <si>
    <t>PA</t>
  </si>
  <si>
    <t>PAJERO</t>
  </si>
  <si>
    <t>BÁO CÁO TỔNG HỢP CƯỚC PHÍ BƯU KIỆN</t>
  </si>
  <si>
    <t>Thống kê doanh thu theo hình thức gửi</t>
  </si>
  <si>
    <t>Mã bưu điện</t>
  </si>
  <si>
    <t>Nơi đến</t>
  </si>
  <si>
    <t>Phương tiện</t>
  </si>
  <si>
    <t>Hình thức</t>
  </si>
  <si>
    <t>Trọng lượng
(gram)</t>
  </si>
  <si>
    <t>Giá cước</t>
  </si>
  <si>
    <t>Bình thường</t>
  </si>
  <si>
    <t>Nhanh</t>
  </si>
  <si>
    <t>01USN</t>
  </si>
  <si>
    <t>Máy bay</t>
  </si>
  <si>
    <t>01USE</t>
  </si>
  <si>
    <t>Tàu thủy</t>
  </si>
  <si>
    <t>02AUE</t>
  </si>
  <si>
    <t>01SIE</t>
  </si>
  <si>
    <t>Mã nước</t>
  </si>
  <si>
    <t>Tên nước</t>
  </si>
  <si>
    <t>Giá theo phương tiện</t>
  </si>
  <si>
    <t>02USN</t>
  </si>
  <si>
    <t>01SIN</t>
  </si>
  <si>
    <t>US</t>
  </si>
  <si>
    <t>USA</t>
  </si>
  <si>
    <t>02AUN</t>
  </si>
  <si>
    <t>FR</t>
  </si>
  <si>
    <t>France</t>
  </si>
  <si>
    <t>01AUE</t>
  </si>
  <si>
    <t>AU</t>
  </si>
  <si>
    <t>Australia</t>
  </si>
  <si>
    <t xml:space="preserve"> </t>
  </si>
  <si>
    <t>SI</t>
  </si>
  <si>
    <t>Singapore</t>
  </si>
  <si>
    <t>Mã phương tiện</t>
  </si>
  <si>
    <t>Tên phương tiện</t>
  </si>
  <si>
    <t>SỔ THEO DÕI BÁN HÁNG THÁNG 4/2012, CÔNG TY ANZ</t>
  </si>
  <si>
    <t>Thống kê theo từng mặt hàng</t>
  </si>
  <si>
    <t>Tốc độ</t>
  </si>
  <si>
    <t>PH40X</t>
  </si>
  <si>
    <t>Philips</t>
  </si>
  <si>
    <t>SA52X</t>
  </si>
  <si>
    <t>Samsung</t>
  </si>
  <si>
    <t>PH56X</t>
  </si>
  <si>
    <t>LG/Cyber</t>
  </si>
  <si>
    <t>LG52X</t>
  </si>
  <si>
    <t>Asus</t>
  </si>
  <si>
    <t>AS40X</t>
  </si>
  <si>
    <t>AS56X</t>
  </si>
  <si>
    <t>Mã sản xuất</t>
  </si>
  <si>
    <t>Tên hãng</t>
  </si>
  <si>
    <t>AS52X</t>
  </si>
  <si>
    <t>PH</t>
  </si>
  <si>
    <t>PH60X</t>
  </si>
  <si>
    <t>SA</t>
  </si>
  <si>
    <t>LG</t>
  </si>
  <si>
    <t>AS</t>
  </si>
  <si>
    <r>
      <t xml:space="preserve"> </t>
    </r>
    <r>
      <rPr>
        <b/>
        <sz val="11"/>
        <color rgb="FF000000"/>
        <rFont val="Times New Roman"/>
        <family val="1"/>
      </rPr>
      <t>Giá (USD) phụ thuộc vào số lượng</t>
    </r>
  </si>
  <si>
    <t>&lt;=10</t>
  </si>
  <si>
    <t>&gt;10</t>
  </si>
  <si>
    <r>
      <t xml:space="preserve">BẢNG TỔNG HỢP TIỀN ĐIỆN
</t>
    </r>
    <r>
      <rPr>
        <i/>
        <sz val="12"/>
        <color theme="1"/>
        <rFont val="Times New Roman"/>
        <family val="1"/>
      </rPr>
      <t>Công ty điện lực Thanh Xuân</t>
    </r>
  </si>
  <si>
    <t>Hình thức
sử dụng</t>
  </si>
  <si>
    <t>Tiền công tơ
(đ/tháng)</t>
  </si>
  <si>
    <t>Đơn giá
(đ/số)</t>
  </si>
  <si>
    <t>Chủ hộ</t>
  </si>
  <si>
    <t>Hình thức sử dụng</t>
  </si>
  <si>
    <t>Chỉ số trước</t>
  </si>
  <si>
    <t>Chỉ số sau</t>
  </si>
  <si>
    <t>Điện tiêu thụ</t>
  </si>
  <si>
    <t>Tiền điện</t>
  </si>
  <si>
    <t>Tiền công tơ</t>
  </si>
  <si>
    <t>Sản xuất</t>
  </si>
  <si>
    <t>Hoàng Vân</t>
  </si>
  <si>
    <t>Kinh doanh</t>
  </si>
  <si>
    <t>Thanh Bình</t>
  </si>
  <si>
    <t>Tiêu dùng</t>
  </si>
  <si>
    <t>Duy Khánh</t>
  </si>
  <si>
    <t>Kinh Doanh</t>
  </si>
  <si>
    <t>Số hộ</t>
  </si>
  <si>
    <t>Tiền</t>
  </si>
  <si>
    <t>Mùa Thu</t>
  </si>
  <si>
    <t>Quảng Bình</t>
  </si>
  <si>
    <t>ĐIỂM THI HẾT HỌC KỲ I - NĂM 2011</t>
  </si>
  <si>
    <t>Mã khoa</t>
  </si>
  <si>
    <t>Tên khoa</t>
  </si>
  <si>
    <t>Tin</t>
  </si>
  <si>
    <t>Điểm TB</t>
  </si>
  <si>
    <t>Xếp loại</t>
  </si>
  <si>
    <t>ENG</t>
  </si>
  <si>
    <t>Tiếng Anh</t>
  </si>
  <si>
    <t>ITA</t>
  </si>
  <si>
    <t>FRA</t>
  </si>
  <si>
    <t>Tiếng Pháp</t>
  </si>
  <si>
    <t>RUS</t>
  </si>
  <si>
    <t>Tiếng Nga</t>
  </si>
  <si>
    <t>Tiếng Italia</t>
  </si>
  <si>
    <t>Kém</t>
  </si>
  <si>
    <t>Trung bình</t>
  </si>
  <si>
    <t>Khá</t>
  </si>
  <si>
    <t>Giỏi</t>
  </si>
  <si>
    <t>Xuất sắc</t>
  </si>
  <si>
    <t>0≤ Điểm TB &lt;5</t>
  </si>
  <si>
    <t>5≤ Điểm TB &lt;7</t>
  </si>
  <si>
    <t>7≤ Điểm TB &lt;8</t>
  </si>
  <si>
    <t>8≤ Điểm TB &lt;9</t>
  </si>
  <si>
    <t>Điểm TB ≥9</t>
  </si>
  <si>
    <r>
      <t xml:space="preserve">KẾT QUẢ KINH DOANH BÁNH MỨT
</t>
    </r>
    <r>
      <rPr>
        <i/>
        <sz val="11"/>
        <color theme="1"/>
        <rFont val="Times New Roman"/>
        <family val="1"/>
      </rPr>
      <t>Tháng 6 năm 2012</t>
    </r>
  </si>
  <si>
    <r>
      <t xml:space="preserve">Mã </t>
    </r>
    <r>
      <rPr>
        <b/>
        <sz val="12"/>
        <color rgb="FF000000"/>
        <rFont val="Times New Roman"/>
        <family val="1"/>
      </rPr>
      <t>hàng</t>
    </r>
  </si>
  <si>
    <t>Đơn vị tính</t>
  </si>
  <si>
    <t>Phí vận chuyển</t>
  </si>
  <si>
    <t>Tổng chi phí</t>
  </si>
  <si>
    <t>Bánh ngọt</t>
  </si>
  <si>
    <t>Mứt</t>
  </si>
  <si>
    <t>Trà</t>
  </si>
  <si>
    <t>Cà phê</t>
  </si>
  <si>
    <t>BN00DP</t>
  </si>
  <si>
    <t>Cái</t>
  </si>
  <si>
    <t>Kg</t>
  </si>
  <si>
    <t>BN00MX</t>
  </si>
  <si>
    <t>MU00MX</t>
  </si>
  <si>
    <t>BN00GI</t>
  </si>
  <si>
    <t>BN</t>
  </si>
  <si>
    <t>TR00BL</t>
  </si>
  <si>
    <t>MU</t>
  </si>
  <si>
    <t>CF00BL</t>
  </si>
  <si>
    <t>TR</t>
  </si>
  <si>
    <t>CF00BA</t>
  </si>
  <si>
    <t>CF</t>
  </si>
  <si>
    <t>MU00BA</t>
  </si>
  <si>
    <r>
      <t xml:space="preserve">KẾT QUẢ THI CUỐI KỲ LỚP TIN HỌC
</t>
    </r>
    <r>
      <rPr>
        <i/>
        <sz val="11"/>
        <color theme="1"/>
        <rFont val="Times New Roman"/>
        <family val="1"/>
      </rPr>
      <t>Trung tâm Đào tạo XYZ</t>
    </r>
  </si>
  <si>
    <t>Đạo đức</t>
  </si>
  <si>
    <t>Tổng điểm</t>
  </si>
  <si>
    <t>Học bổng</t>
  </si>
  <si>
    <t xml:space="preserve">&lt;10 </t>
  </si>
  <si>
    <t xml:space="preserve">&gt;=10 và &lt;14 </t>
  </si>
  <si>
    <t>&gt;=14 và &lt;17</t>
  </si>
  <si>
    <t>&gt;=17 và &lt;19</t>
  </si>
  <si>
    <t>&gt;=19</t>
  </si>
  <si>
    <t>Số học sinh</t>
  </si>
  <si>
    <r>
      <t xml:space="preserve">BẢNG LƯƠNG THÁNG 12-2018
</t>
    </r>
    <r>
      <rPr>
        <i/>
        <sz val="11"/>
        <color theme="1"/>
        <rFont val="Times New Roman"/>
        <family val="1"/>
      </rPr>
      <t>Hệ số lương cơ bản: 3.000 USD</t>
    </r>
  </si>
  <si>
    <t>Mã CV</t>
  </si>
  <si>
    <t>Tiền 1 ngày</t>
  </si>
  <si>
    <t>Số ngày LV</t>
  </si>
  <si>
    <t>Phụ cấp CV</t>
  </si>
  <si>
    <t>Thu nhập</t>
  </si>
  <si>
    <t>Tổng thu nhập</t>
  </si>
  <si>
    <t>Thu nhập
bình quân</t>
  </si>
  <si>
    <t>Phụ cấp</t>
  </si>
  <si>
    <t>Tuấn</t>
  </si>
  <si>
    <t>Nga</t>
  </si>
  <si>
    <t>PP</t>
  </si>
  <si>
    <t>Quỳnh</t>
  </si>
  <si>
    <t>BV</t>
  </si>
  <si>
    <t>Chi</t>
  </si>
  <si>
    <t>Sơn</t>
  </si>
  <si>
    <t>Hiền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</si>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</sst>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.\o000\o."/>
    <numFmt numFmtId="165" formatCode="dd/mm/yyyy"/>
    <numFmt numFmtId="166" formatCode="_(&quot;$&quot;* #,##0_);_(&quot;$&quot;* \(#,##0\);_(&quot;$&quot;* &quot;-&quot;??_);_(@_)"/>
    <numFmt numFmtId="167" formatCode="_([$VND]\ * #,##0_);_([$VND]\ * \(#,##0\);_([$VND]\ * &quot;-&quot;_);_(@_)"/>
    <numFmt numFmtId="168" formatCode="_([$$-409]* #,##0.00_);_([$$-409]* \(#,##0.00\);_([$$-409]* &quot;-&quot;??_);_(@_)"/>
    <numFmt numFmtId="169" formatCode="_(* #,##0_);_(* \(#,##0\);_(* &quot;-&quot;??_);_(@_)"/>
    <numFmt numFmtId="170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Calibri"/>
      <family val="2"/>
    </font>
    <font>
      <sz val="11"/>
      <color rgb="FF000000"/>
      <name val="Times New Roman"/>
      <family val="1"/>
    </font>
    <font>
      <b/>
      <u/>
      <sz val="12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12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CC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5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quotePrefix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49" fontId="7" fillId="0" borderId="3" xfId="0" quotePrefix="1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6" fontId="9" fillId="0" borderId="5" xfId="1" applyNumberFormat="1" applyFont="1" applyBorder="1" applyAlignment="1">
      <alignment horizontal="center" vertical="center"/>
    </xf>
    <xf numFmtId="44" fontId="9" fillId="0" borderId="5" xfId="1" applyFont="1" applyBorder="1" applyAlignment="1">
      <alignment vertical="center"/>
    </xf>
    <xf numFmtId="167" fontId="9" fillId="0" borderId="5" xfId="0" applyNumberFormat="1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165" fontId="10" fillId="0" borderId="9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66" fontId="9" fillId="0" borderId="2" xfId="1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justify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justify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justify" vertical="center"/>
    </xf>
    <xf numFmtId="0" fontId="13" fillId="0" borderId="3" xfId="0" applyFont="1" applyBorder="1" applyAlignment="1">
      <alignment horizontal="left" vertical="center" wrapText="1"/>
    </xf>
    <xf numFmtId="167" fontId="13" fillId="0" borderId="3" xfId="0" applyNumberFormat="1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14" fontId="18" fillId="0" borderId="3" xfId="0" applyNumberFormat="1" applyFont="1" applyBorder="1" applyAlignment="1">
      <alignment horizontal="center" vertical="center"/>
    </xf>
    <xf numFmtId="168" fontId="16" fillId="0" borderId="3" xfId="0" applyNumberFormat="1" applyFont="1" applyBorder="1" applyAlignment="1">
      <alignment horizontal="center" vertical="center"/>
    </xf>
    <xf numFmtId="167" fontId="16" fillId="0" borderId="3" xfId="0" applyNumberFormat="1" applyFont="1" applyBorder="1" applyAlignment="1">
      <alignment horizontal="center" vertical="center"/>
    </xf>
    <xf numFmtId="42" fontId="16" fillId="0" borderId="3" xfId="1" applyNumberFormat="1" applyFont="1" applyBorder="1" applyAlignment="1">
      <alignment horizontal="center" vertical="center"/>
    </xf>
    <xf numFmtId="0" fontId="17" fillId="2" borderId="3" xfId="0" applyFont="1" applyFill="1" applyBorder="1" applyAlignment="1">
      <alignment horizontal="left"/>
    </xf>
    <xf numFmtId="42" fontId="17" fillId="2" borderId="3" xfId="0" applyNumberFormat="1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left" wrapText="1"/>
    </xf>
    <xf numFmtId="0" fontId="17" fillId="2" borderId="3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center"/>
    </xf>
    <xf numFmtId="42" fontId="18" fillId="0" borderId="3" xfId="0" applyNumberFormat="1" applyFont="1" applyBorder="1" applyAlignment="1">
      <alignment horizontal="center"/>
    </xf>
    <xf numFmtId="14" fontId="18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8" fillId="0" borderId="3" xfId="0" applyFont="1" applyBorder="1" applyAlignment="1">
      <alignment horizontal="right"/>
    </xf>
    <xf numFmtId="42" fontId="18" fillId="0" borderId="3" xfId="0" applyNumberFormat="1" applyFont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0" fontId="18" fillId="2" borderId="3" xfId="0" applyFont="1" applyFill="1" applyBorder="1" applyAlignment="1">
      <alignment horizontal="right"/>
    </xf>
    <xf numFmtId="42" fontId="18" fillId="2" borderId="3" xfId="0" applyNumberFormat="1" applyFont="1" applyFill="1" applyBorder="1" applyAlignment="1">
      <alignment horizontal="right"/>
    </xf>
    <xf numFmtId="0" fontId="1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justify" vertical="center" wrapText="1"/>
    </xf>
    <xf numFmtId="2" fontId="20" fillId="0" borderId="3" xfId="0" applyNumberFormat="1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3" fontId="20" fillId="0" borderId="3" xfId="0" applyNumberFormat="1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/>
    </xf>
    <xf numFmtId="3" fontId="16" fillId="0" borderId="3" xfId="0" applyNumberFormat="1" applyFont="1" applyBorder="1" applyAlignment="1">
      <alignment vertical="center"/>
    </xf>
    <xf numFmtId="3" fontId="18" fillId="0" borderId="3" xfId="0" applyNumberFormat="1" applyFont="1" applyBorder="1" applyAlignment="1">
      <alignment horizontal="right" vertical="center"/>
    </xf>
    <xf numFmtId="0" fontId="22" fillId="2" borderId="3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left" vertical="center"/>
    </xf>
    <xf numFmtId="0" fontId="23" fillId="2" borderId="3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justify" vertical="center"/>
    </xf>
    <xf numFmtId="165" fontId="24" fillId="0" borderId="3" xfId="0" applyNumberFormat="1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165" fontId="16" fillId="0" borderId="0" xfId="0" applyNumberFormat="1" applyFont="1"/>
    <xf numFmtId="0" fontId="24" fillId="0" borderId="3" xfId="0" applyFont="1" applyBorder="1" applyAlignment="1">
      <alignment horizontal="center" vertical="center"/>
    </xf>
    <xf numFmtId="169" fontId="24" fillId="0" borderId="3" xfId="2" applyNumberFormat="1" applyFont="1" applyBorder="1" applyAlignment="1">
      <alignment horizontal="right" vertical="center"/>
    </xf>
    <xf numFmtId="0" fontId="13" fillId="0" borderId="3" xfId="0" applyFont="1" applyBorder="1"/>
    <xf numFmtId="0" fontId="25" fillId="0" borderId="3" xfId="0" applyFont="1" applyBorder="1" applyAlignment="1">
      <alignment horizontal="center" vertical="center"/>
    </xf>
    <xf numFmtId="169" fontId="18" fillId="0" borderId="3" xfId="2" applyNumberFormat="1" applyFont="1" applyBorder="1" applyAlignment="1">
      <alignment horizontal="right" vertical="center"/>
    </xf>
    <xf numFmtId="0" fontId="16" fillId="0" borderId="3" xfId="0" applyFont="1" applyBorder="1"/>
    <xf numFmtId="0" fontId="23" fillId="2" borderId="3" xfId="0" applyFont="1" applyFill="1" applyBorder="1" applyAlignment="1">
      <alignment horizontal="center" vertical="center"/>
    </xf>
    <xf numFmtId="0" fontId="0" fillId="0" borderId="3" xfId="0" applyBorder="1"/>
    <xf numFmtId="0" fontId="9" fillId="0" borderId="3" xfId="0" applyFont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23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/>
    </xf>
    <xf numFmtId="0" fontId="26" fillId="0" borderId="3" xfId="0" applyFont="1" applyBorder="1" applyAlignment="1">
      <alignment horizontal="right" vertical="center"/>
    </xf>
    <xf numFmtId="0" fontId="23" fillId="0" borderId="13" xfId="0" applyFont="1" applyBorder="1" applyAlignment="1">
      <alignment horizontal="center" vertical="center"/>
    </xf>
    <xf numFmtId="0" fontId="26" fillId="2" borderId="3" xfId="0" applyFont="1" applyFill="1" applyBorder="1" applyAlignment="1">
      <alignment horizontal="right" vertical="center"/>
    </xf>
    <xf numFmtId="1" fontId="26" fillId="0" borderId="3" xfId="0" applyNumberFormat="1" applyFont="1" applyBorder="1" applyAlignment="1">
      <alignment horizontal="center" vertical="center"/>
    </xf>
    <xf numFmtId="2" fontId="26" fillId="0" borderId="3" xfId="0" applyNumberFormat="1" applyFont="1" applyBorder="1" applyAlignment="1">
      <alignment horizontal="center" vertical="center"/>
    </xf>
    <xf numFmtId="1" fontId="23" fillId="0" borderId="13" xfId="0" applyNumberFormat="1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left" vertical="center"/>
    </xf>
    <xf numFmtId="14" fontId="26" fillId="0" borderId="3" xfId="2" applyNumberFormat="1" applyFont="1" applyBorder="1" applyAlignment="1">
      <alignment horizontal="center" vertical="center"/>
    </xf>
    <xf numFmtId="14" fontId="26" fillId="0" borderId="3" xfId="0" applyNumberFormat="1" applyFont="1" applyBorder="1" applyAlignment="1">
      <alignment horizontal="center" vertical="center"/>
    </xf>
    <xf numFmtId="1" fontId="26" fillId="0" borderId="13" xfId="0" applyNumberFormat="1" applyFont="1" applyBorder="1" applyAlignment="1">
      <alignment horizontal="right" vertical="center"/>
    </xf>
    <xf numFmtId="1" fontId="26" fillId="0" borderId="3" xfId="0" applyNumberFormat="1" applyFont="1" applyBorder="1" applyAlignment="1">
      <alignment horizontal="right" vertical="center"/>
    </xf>
    <xf numFmtId="14" fontId="24" fillId="0" borderId="3" xfId="0" applyNumberFormat="1" applyFont="1" applyBorder="1" applyAlignment="1">
      <alignment horizontal="center" vertical="center"/>
    </xf>
    <xf numFmtId="1" fontId="26" fillId="2" borderId="3" xfId="0" applyNumberFormat="1" applyFont="1" applyFill="1" applyBorder="1" applyAlignment="1">
      <alignment horizontal="right" vertical="center"/>
    </xf>
    <xf numFmtId="0" fontId="24" fillId="0" borderId="3" xfId="0" applyFont="1" applyBorder="1" applyAlignment="1">
      <alignment horizontal="left" vertical="center"/>
    </xf>
    <xf numFmtId="3" fontId="24" fillId="0" borderId="3" xfId="0" applyNumberFormat="1" applyFont="1" applyBorder="1" applyAlignment="1">
      <alignment horizontal="right" vertical="center"/>
    </xf>
    <xf numFmtId="3" fontId="24" fillId="0" borderId="3" xfId="0" applyNumberFormat="1" applyFont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4" fillId="0" borderId="17" xfId="0" applyFont="1" applyBorder="1"/>
    <xf numFmtId="0" fontId="23" fillId="2" borderId="11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26" fillId="0" borderId="3" xfId="0" applyFont="1" applyBorder="1" applyAlignment="1">
      <alignment vertical="center" wrapText="1"/>
    </xf>
    <xf numFmtId="14" fontId="26" fillId="0" borderId="3" xfId="0" applyNumberFormat="1" applyFont="1" applyBorder="1" applyAlignment="1">
      <alignment horizontal="center" vertical="center" wrapText="1"/>
    </xf>
    <xf numFmtId="167" fontId="26" fillId="0" borderId="3" xfId="0" applyNumberFormat="1" applyFont="1" applyBorder="1" applyAlignment="1">
      <alignment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3" xfId="0" applyFont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3" fillId="2" borderId="3" xfId="0" applyFont="1" applyFill="1" applyBorder="1" applyAlignment="1">
      <alignment horizontal="justify" vertical="center"/>
    </xf>
    <xf numFmtId="0" fontId="26" fillId="0" borderId="3" xfId="0" applyFont="1" applyBorder="1" applyAlignment="1">
      <alignment horizontal="justify" vertical="center"/>
    </xf>
    <xf numFmtId="0" fontId="12" fillId="2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right" vertical="center"/>
    </xf>
    <xf numFmtId="0" fontId="30" fillId="2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justify" vertical="center" wrapText="1"/>
    </xf>
    <xf numFmtId="0" fontId="32" fillId="0" borderId="3" xfId="0" applyFont="1" applyBorder="1" applyAlignment="1">
      <alignment horizontal="righ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left" vertical="center" wrapText="1"/>
    </xf>
    <xf numFmtId="0" fontId="31" fillId="0" borderId="3" xfId="0" applyFont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7" fontId="10" fillId="0" borderId="3" xfId="0" applyNumberFormat="1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vertical="center"/>
    </xf>
    <xf numFmtId="167" fontId="9" fillId="0" borderId="3" xfId="0" applyNumberFormat="1" applyFont="1" applyBorder="1"/>
    <xf numFmtId="0" fontId="4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1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9" fillId="0" borderId="0" xfId="0" applyFont="1"/>
    <xf numFmtId="0" fontId="0" fillId="0" borderId="0" xfId="0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left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right" vertical="center"/>
    </xf>
    <xf numFmtId="0" fontId="13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3" fillId="0" borderId="18" xfId="0" applyFont="1" applyBorder="1" applyAlignment="1">
      <alignment horizontal="left" vertical="center"/>
    </xf>
    <xf numFmtId="0" fontId="13" fillId="0" borderId="0" xfId="0" applyFont="1"/>
    <xf numFmtId="0" fontId="12" fillId="2" borderId="3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left" vertical="center"/>
    </xf>
    <xf numFmtId="14" fontId="24" fillId="0" borderId="3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justify" vertical="center" wrapText="1"/>
    </xf>
    <xf numFmtId="0" fontId="24" fillId="0" borderId="3" xfId="0" applyFont="1" applyBorder="1" applyAlignment="1">
      <alignment horizontal="right" vertical="center" wrapText="1"/>
    </xf>
    <xf numFmtId="0" fontId="23" fillId="2" borderId="3" xfId="0" applyFont="1" applyFill="1" applyBorder="1" applyAlignment="1">
      <alignment horizontal="justify" vertical="center" wrapText="1"/>
    </xf>
    <xf numFmtId="0" fontId="26" fillId="0" borderId="3" xfId="0" applyFont="1" applyBorder="1" applyAlignment="1">
      <alignment horizontal="justify" vertical="center" wrapText="1"/>
    </xf>
    <xf numFmtId="0" fontId="34" fillId="0" borderId="3" xfId="0" applyFont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justify" vertical="center"/>
    </xf>
    <xf numFmtId="0" fontId="9" fillId="0" borderId="3" xfId="0" applyFont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22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center" wrapText="1"/>
    </xf>
    <xf numFmtId="0" fontId="36" fillId="0" borderId="3" xfId="0" applyFont="1" applyBorder="1" applyAlignment="1">
      <alignment horizontal="center" vertical="center" wrapText="1"/>
    </xf>
    <xf numFmtId="17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left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Tổng hợp doanh số bán hàng của 3 chi nhánh Công ty ANZ năm 2012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'Bài 17'!$A$3</c:f>
              <c:strCache>
                <c:ptCount val="1"/>
                <c:pt idx="0">
                  <c:v>Chi nhánh Hà Nội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3"/>
              <c:layout>
                <c:manualLayout>
                  <c:x val="2.777777777777676E-3"/>
                  <c:y val="-2.64550264550264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1EB-4FFB-A3A6-A81327579A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'Bài 17'!$B$1:$E$2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'Bài 17'!$B$3:$E$3</c:f>
              <c:numCache>
                <c:formatCode>General</c:formatCode>
                <c:ptCount val="4"/>
                <c:pt idx="0">
                  <c:v>250</c:v>
                </c:pt>
                <c:pt idx="1">
                  <c:v>300</c:v>
                </c:pt>
                <c:pt idx="2">
                  <c:v>380</c:v>
                </c:pt>
                <c:pt idx="3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B-4FFB-A3A6-A81327579AB2}"/>
            </c:ext>
          </c:extLst>
        </c:ser>
        <c:ser>
          <c:idx val="1"/>
          <c:order val="1"/>
          <c:tx>
            <c:strRef>
              <c:f>'Bài 17'!$A$4</c:f>
              <c:strCache>
                <c:ptCount val="1"/>
                <c:pt idx="0">
                  <c:v>Chi nhánh Đà Nẵng</c:v>
                </c:pt>
              </c:strCache>
            </c:strRef>
          </c:tx>
          <c:spPr>
            <a:solidFill>
              <a:srgbClr val="CC0000"/>
            </a:solidFill>
            <a:ln>
              <a:noFill/>
            </a:ln>
            <a:effectLst/>
            <a:sp3d/>
          </c:spPr>
          <c:invertIfNegative val="0"/>
          <c:dLbls>
            <c:dLbl>
              <c:idx val="3"/>
              <c:layout>
                <c:manualLayout>
                  <c:x val="1.6666666666666566E-2"/>
                  <c:y val="-2.2045855379188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EB-4FFB-A3A6-A81327579A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'Bài 17'!$B$1:$E$2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'Bài 17'!$B$4:$E$4</c:f>
              <c:numCache>
                <c:formatCode>General</c:formatCode>
                <c:ptCount val="4"/>
                <c:pt idx="0">
                  <c:v>350</c:v>
                </c:pt>
                <c:pt idx="1">
                  <c:v>280</c:v>
                </c:pt>
                <c:pt idx="2">
                  <c:v>400</c:v>
                </c:pt>
                <c:pt idx="3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B-4FFB-A3A6-A81327579AB2}"/>
            </c:ext>
          </c:extLst>
        </c:ser>
        <c:ser>
          <c:idx val="2"/>
          <c:order val="2"/>
          <c:tx>
            <c:strRef>
              <c:f>'Bài 17'!$A$5</c:f>
              <c:strCache>
                <c:ptCount val="1"/>
                <c:pt idx="0">
                  <c:v>Chi nhánh Sài Gòn</c:v>
                </c:pt>
              </c:strCache>
            </c:strRef>
          </c:tx>
          <c:spPr>
            <a:solidFill>
              <a:srgbClr val="00CC00"/>
            </a:solidFill>
            <a:ln>
              <a:noFill/>
            </a:ln>
            <a:effectLst/>
            <a:sp3d/>
          </c:spPr>
          <c:invertIfNegative val="0"/>
          <c:dLbls>
            <c:dLbl>
              <c:idx val="3"/>
              <c:layout>
                <c:manualLayout>
                  <c:x val="2.4999999999999897E-2"/>
                  <c:y val="-2.64550264550264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1EB-4FFB-A3A6-A81327579A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'Bài 17'!$B$1:$E$2</c:f>
              <c:strCache>
                <c:ptCount val="4"/>
                <c:pt idx="0">
                  <c:v>Quý 1</c:v>
                </c:pt>
                <c:pt idx="1">
                  <c:v>Quý 2</c:v>
                </c:pt>
                <c:pt idx="2">
                  <c:v>Quý 3</c:v>
                </c:pt>
                <c:pt idx="3">
                  <c:v>Quý 4</c:v>
                </c:pt>
              </c:strCache>
            </c:strRef>
          </c:cat>
          <c:val>
            <c:numRef>
              <c:f>'Bài 17'!$B$5:$E$5</c:f>
              <c:numCache>
                <c:formatCode>General</c:formatCode>
                <c:ptCount val="4"/>
                <c:pt idx="0">
                  <c:v>520</c:v>
                </c:pt>
                <c:pt idx="1">
                  <c:v>480</c:v>
                </c:pt>
                <c:pt idx="2">
                  <c:v>350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EB-4FFB-A3A6-A81327579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2159760"/>
        <c:axId val="222160592"/>
        <c:axId val="0"/>
      </c:bar3DChart>
      <c:catAx>
        <c:axId val="22215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60592"/>
        <c:crosses val="autoZero"/>
        <c:auto val="1"/>
        <c:lblAlgn val="ctr"/>
        <c:lblOffset val="100"/>
        <c:noMultiLvlLbl val="0"/>
      </c:catAx>
      <c:valAx>
        <c:axId val="2221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Tổng hợp doanh số bán hàng của 3 chi nhánh Công ty ANZ năm 2012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'Bài 17'!$B$1:$B$2</c:f>
              <c:strCache>
                <c:ptCount val="2"/>
                <c:pt idx="0">
                  <c:v>Tổng hợp doanh số bán hàng của 3 chi nhánh Công ty ANZ năm 2012</c:v>
                </c:pt>
                <c:pt idx="1">
                  <c:v>Quý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'Bài 17'!$A$3:$A$5</c:f>
              <c:strCache>
                <c:ptCount val="3"/>
                <c:pt idx="0">
                  <c:v>Chi nhánh Hà Nội</c:v>
                </c:pt>
                <c:pt idx="1">
                  <c:v>Chi nhánh Đà Nẵng</c:v>
                </c:pt>
                <c:pt idx="2">
                  <c:v>Chi nhánh Sài Gòn</c:v>
                </c:pt>
              </c:strCache>
            </c:strRef>
          </c:cat>
          <c:val>
            <c:numRef>
              <c:f>'Bài 17'!$B$3:$B$5</c:f>
              <c:numCache>
                <c:formatCode>General</c:formatCode>
                <c:ptCount val="3"/>
                <c:pt idx="0">
                  <c:v>250</c:v>
                </c:pt>
                <c:pt idx="1">
                  <c:v>350</c:v>
                </c:pt>
                <c:pt idx="2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A-4789-BB11-776D176E7573}"/>
            </c:ext>
          </c:extLst>
        </c:ser>
        <c:ser>
          <c:idx val="1"/>
          <c:order val="1"/>
          <c:tx>
            <c:strRef>
              <c:f>'Bài 17'!$C$1:$C$2</c:f>
              <c:strCache>
                <c:ptCount val="2"/>
                <c:pt idx="0">
                  <c:v>Tổng hợp doanh số bán hàng của 3 chi nhánh Công ty ANZ năm 2012</c:v>
                </c:pt>
                <c:pt idx="1">
                  <c:v>Quý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'Bài 17'!$A$3:$A$5</c:f>
              <c:strCache>
                <c:ptCount val="3"/>
                <c:pt idx="0">
                  <c:v>Chi nhánh Hà Nội</c:v>
                </c:pt>
                <c:pt idx="1">
                  <c:v>Chi nhánh Đà Nẵng</c:v>
                </c:pt>
                <c:pt idx="2">
                  <c:v>Chi nhánh Sài Gòn</c:v>
                </c:pt>
              </c:strCache>
            </c:strRef>
          </c:cat>
          <c:val>
            <c:numRef>
              <c:f>'Bài 17'!$C$3:$C$5</c:f>
              <c:numCache>
                <c:formatCode>General</c:formatCode>
                <c:ptCount val="3"/>
                <c:pt idx="0">
                  <c:v>300</c:v>
                </c:pt>
                <c:pt idx="1">
                  <c:v>280</c:v>
                </c:pt>
                <c:pt idx="2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A-4789-BB11-776D176E7573}"/>
            </c:ext>
          </c:extLst>
        </c:ser>
        <c:ser>
          <c:idx val="2"/>
          <c:order val="2"/>
          <c:tx>
            <c:strRef>
              <c:f>'Bài 17'!$D$1:$D$2</c:f>
              <c:strCache>
                <c:ptCount val="2"/>
                <c:pt idx="0">
                  <c:v>Tổng hợp doanh số bán hàng của 3 chi nhánh Công ty ANZ năm 2012</c:v>
                </c:pt>
                <c:pt idx="1">
                  <c:v>Quý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'Bài 17'!$A$3:$A$5</c:f>
              <c:strCache>
                <c:ptCount val="3"/>
                <c:pt idx="0">
                  <c:v>Chi nhánh Hà Nội</c:v>
                </c:pt>
                <c:pt idx="1">
                  <c:v>Chi nhánh Đà Nẵng</c:v>
                </c:pt>
                <c:pt idx="2">
                  <c:v>Chi nhánh Sài Gòn</c:v>
                </c:pt>
              </c:strCache>
            </c:strRef>
          </c:cat>
          <c:val>
            <c:numRef>
              <c:f>'Bài 17'!$D$3:$D$5</c:f>
              <c:numCache>
                <c:formatCode>General</c:formatCode>
                <c:ptCount val="3"/>
                <c:pt idx="0">
                  <c:v>380</c:v>
                </c:pt>
                <c:pt idx="1">
                  <c:v>400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A-4789-BB11-776D176E7573}"/>
            </c:ext>
          </c:extLst>
        </c:ser>
        <c:ser>
          <c:idx val="3"/>
          <c:order val="3"/>
          <c:tx>
            <c:strRef>
              <c:f>'Bài 17'!$E$1:$E$2</c:f>
              <c:strCache>
                <c:ptCount val="2"/>
                <c:pt idx="0">
                  <c:v>Tổng hợp doanh số bán hàng của 3 chi nhánh Công ty ANZ năm 2012</c:v>
                </c:pt>
                <c:pt idx="1">
                  <c:v>Quý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777777777777676E-3"/>
                  <c:y val="-2.64550264550264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2A-4789-BB11-776D176E7573}"/>
                </c:ext>
              </c:extLst>
            </c:dLbl>
            <c:dLbl>
              <c:idx val="1"/>
              <c:layout>
                <c:manualLayout>
                  <c:x val="1.6666666666666566E-2"/>
                  <c:y val="-2.2045855379188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2A-4789-BB11-776D176E7573}"/>
                </c:ext>
              </c:extLst>
            </c:dLbl>
            <c:dLbl>
              <c:idx val="2"/>
              <c:layout>
                <c:manualLayout>
                  <c:x val="2.4999999999999897E-2"/>
                  <c:y val="-2.64550264550264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2A-4789-BB11-776D176E75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'Bài 17'!$A$3:$A$5</c:f>
              <c:strCache>
                <c:ptCount val="3"/>
                <c:pt idx="0">
                  <c:v>Chi nhánh Hà Nội</c:v>
                </c:pt>
                <c:pt idx="1">
                  <c:v>Chi nhánh Đà Nẵng</c:v>
                </c:pt>
                <c:pt idx="2">
                  <c:v>Chi nhánh Sài Gòn</c:v>
                </c:pt>
              </c:strCache>
            </c:strRef>
          </c:cat>
          <c:val>
            <c:numRef>
              <c:f>'Bài 17'!$E$3:$E$5</c:f>
              <c:numCache>
                <c:formatCode>General</c:formatCode>
                <c:ptCount val="3"/>
                <c:pt idx="0">
                  <c:v>640</c:v>
                </c:pt>
                <c:pt idx="1">
                  <c:v>560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2A-4789-BB11-776D176E7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2159760"/>
        <c:axId val="222160592"/>
        <c:axId val="0"/>
      </c:bar3DChart>
      <c:catAx>
        <c:axId val="22215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60592"/>
        <c:crosses val="autoZero"/>
        <c:auto val="1"/>
        <c:lblAlgn val="ctr"/>
        <c:lblOffset val="100"/>
        <c:noMultiLvlLbl val="0"/>
      </c:catAx>
      <c:valAx>
        <c:axId val="2221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'Bài 18'!$B$1</c:f>
              <c:strCache>
                <c:ptCount val="1"/>
                <c:pt idx="0">
                  <c:v>Số trường tiểu học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18'!$A$2:$A$12</c:f>
              <c:strCache>
                <c:ptCount val="11"/>
                <c:pt idx="1">
                  <c:v>Tỉnh Sơn La</c:v>
                </c:pt>
                <c:pt idx="2">
                  <c:v>Tỉnh Vĩnh Phúc</c:v>
                </c:pt>
                <c:pt idx="3">
                  <c:v>TP. Hải Phòng</c:v>
                </c:pt>
                <c:pt idx="4">
                  <c:v>Tỉnh Ninh Bình</c:v>
                </c:pt>
                <c:pt idx="5">
                  <c:v>Tỉnh Quảng Bình</c:v>
                </c:pt>
                <c:pt idx="6">
                  <c:v>Tỉnh Phú Yên</c:v>
                </c:pt>
                <c:pt idx="7">
                  <c:v>Tỉnh Kon Tum</c:v>
                </c:pt>
                <c:pt idx="8">
                  <c:v>Tỉnh Bình Phước</c:v>
                </c:pt>
                <c:pt idx="9">
                  <c:v>TP Hồ Chí Minh</c:v>
                </c:pt>
                <c:pt idx="10">
                  <c:v>Tỉnh Bến Tre</c:v>
                </c:pt>
              </c:strCache>
            </c:strRef>
          </c:cat>
          <c:val>
            <c:numRef>
              <c:f>'Bài 18'!$B$2:$B$12</c:f>
              <c:numCache>
                <c:formatCode>General</c:formatCode>
                <c:ptCount val="11"/>
                <c:pt idx="1">
                  <c:v>269</c:v>
                </c:pt>
                <c:pt idx="2">
                  <c:v>205</c:v>
                </c:pt>
                <c:pt idx="3">
                  <c:v>230</c:v>
                </c:pt>
                <c:pt idx="4">
                  <c:v>154</c:v>
                </c:pt>
                <c:pt idx="5">
                  <c:v>246</c:v>
                </c:pt>
                <c:pt idx="6">
                  <c:v>148</c:v>
                </c:pt>
                <c:pt idx="7">
                  <c:v>117</c:v>
                </c:pt>
                <c:pt idx="8">
                  <c:v>149</c:v>
                </c:pt>
                <c:pt idx="9">
                  <c:v>428</c:v>
                </c:pt>
                <c:pt idx="10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0-4A4A-BB7E-91923CD3C25B}"/>
            </c:ext>
          </c:extLst>
        </c:ser>
        <c:ser>
          <c:idx val="1"/>
          <c:order val="1"/>
          <c:tx>
            <c:strRef>
              <c:f>'Bài 18'!$C$1</c:f>
              <c:strCache>
                <c:ptCount val="1"/>
                <c:pt idx="0">
                  <c:v>Số trường chỉ có 1 điểm chính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18'!$A$2:$A$12</c:f>
              <c:strCache>
                <c:ptCount val="11"/>
                <c:pt idx="1">
                  <c:v>Tỉnh Sơn La</c:v>
                </c:pt>
                <c:pt idx="2">
                  <c:v>Tỉnh Vĩnh Phúc</c:v>
                </c:pt>
                <c:pt idx="3">
                  <c:v>TP. Hải Phòng</c:v>
                </c:pt>
                <c:pt idx="4">
                  <c:v>Tỉnh Ninh Bình</c:v>
                </c:pt>
                <c:pt idx="5">
                  <c:v>Tỉnh Quảng Bình</c:v>
                </c:pt>
                <c:pt idx="6">
                  <c:v>Tỉnh Phú Yên</c:v>
                </c:pt>
                <c:pt idx="7">
                  <c:v>Tỉnh Kon Tum</c:v>
                </c:pt>
                <c:pt idx="8">
                  <c:v>Tỉnh Bình Phước</c:v>
                </c:pt>
                <c:pt idx="9">
                  <c:v>TP Hồ Chí Minh</c:v>
                </c:pt>
                <c:pt idx="10">
                  <c:v>Tỉnh Bến Tre</c:v>
                </c:pt>
              </c:strCache>
            </c:strRef>
          </c:cat>
          <c:val>
            <c:numRef>
              <c:f>'Bài 18'!$C$2:$C$12</c:f>
              <c:numCache>
                <c:formatCode>General</c:formatCode>
                <c:ptCount val="11"/>
                <c:pt idx="1">
                  <c:v>23</c:v>
                </c:pt>
                <c:pt idx="2">
                  <c:v>160</c:v>
                </c:pt>
                <c:pt idx="3">
                  <c:v>150</c:v>
                </c:pt>
                <c:pt idx="4">
                  <c:v>91</c:v>
                </c:pt>
                <c:pt idx="5">
                  <c:v>134</c:v>
                </c:pt>
                <c:pt idx="6">
                  <c:v>32</c:v>
                </c:pt>
                <c:pt idx="7">
                  <c:v>24</c:v>
                </c:pt>
                <c:pt idx="8">
                  <c:v>21</c:v>
                </c:pt>
                <c:pt idx="9">
                  <c:v>290</c:v>
                </c:pt>
                <c:pt idx="1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50-4A4A-BB7E-91923CD3C25B}"/>
            </c:ext>
          </c:extLst>
        </c:ser>
        <c:ser>
          <c:idx val="2"/>
          <c:order val="2"/>
          <c:tx>
            <c:strRef>
              <c:f>'Bài 18'!$D$1</c:f>
              <c:strCache>
                <c:ptCount val="1"/>
                <c:pt idx="0">
                  <c:v>Số trường có điểm trường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18'!$A$2:$A$12</c:f>
              <c:strCache>
                <c:ptCount val="11"/>
                <c:pt idx="1">
                  <c:v>Tỉnh Sơn La</c:v>
                </c:pt>
                <c:pt idx="2">
                  <c:v>Tỉnh Vĩnh Phúc</c:v>
                </c:pt>
                <c:pt idx="3">
                  <c:v>TP. Hải Phòng</c:v>
                </c:pt>
                <c:pt idx="4">
                  <c:v>Tỉnh Ninh Bình</c:v>
                </c:pt>
                <c:pt idx="5">
                  <c:v>Tỉnh Quảng Bình</c:v>
                </c:pt>
                <c:pt idx="6">
                  <c:v>Tỉnh Phú Yên</c:v>
                </c:pt>
                <c:pt idx="7">
                  <c:v>Tỉnh Kon Tum</c:v>
                </c:pt>
                <c:pt idx="8">
                  <c:v>Tỉnh Bình Phước</c:v>
                </c:pt>
                <c:pt idx="9">
                  <c:v>TP Hồ Chí Minh</c:v>
                </c:pt>
                <c:pt idx="10">
                  <c:v>Tỉnh Bến Tre</c:v>
                </c:pt>
              </c:strCache>
            </c:strRef>
          </c:cat>
          <c:val>
            <c:numRef>
              <c:f>'Bài 18'!$D$2:$D$12</c:f>
              <c:numCache>
                <c:formatCode>General</c:formatCode>
                <c:ptCount val="11"/>
                <c:pt idx="1">
                  <c:v>246</c:v>
                </c:pt>
                <c:pt idx="2">
                  <c:v>45</c:v>
                </c:pt>
                <c:pt idx="3">
                  <c:v>80</c:v>
                </c:pt>
                <c:pt idx="4">
                  <c:v>63</c:v>
                </c:pt>
                <c:pt idx="5">
                  <c:v>112</c:v>
                </c:pt>
                <c:pt idx="6">
                  <c:v>116</c:v>
                </c:pt>
                <c:pt idx="7">
                  <c:v>93</c:v>
                </c:pt>
                <c:pt idx="8">
                  <c:v>128</c:v>
                </c:pt>
                <c:pt idx="9">
                  <c:v>138</c:v>
                </c:pt>
                <c:pt idx="10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50-4A4A-BB7E-91923CD3C25B}"/>
            </c:ext>
          </c:extLst>
        </c:ser>
        <c:ser>
          <c:idx val="3"/>
          <c:order val="3"/>
          <c:tx>
            <c:strRef>
              <c:f>'Bài 18'!$E$1</c:f>
              <c:strCache>
                <c:ptCount val="1"/>
                <c:pt idx="0">
                  <c:v>Vùng khó khăn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18'!$A$2:$A$12</c:f>
              <c:strCache>
                <c:ptCount val="11"/>
                <c:pt idx="1">
                  <c:v>Tỉnh Sơn La</c:v>
                </c:pt>
                <c:pt idx="2">
                  <c:v>Tỉnh Vĩnh Phúc</c:v>
                </c:pt>
                <c:pt idx="3">
                  <c:v>TP. Hải Phòng</c:v>
                </c:pt>
                <c:pt idx="4">
                  <c:v>Tỉnh Ninh Bình</c:v>
                </c:pt>
                <c:pt idx="5">
                  <c:v>Tỉnh Quảng Bình</c:v>
                </c:pt>
                <c:pt idx="6">
                  <c:v>Tỉnh Phú Yên</c:v>
                </c:pt>
                <c:pt idx="7">
                  <c:v>Tỉnh Kon Tum</c:v>
                </c:pt>
                <c:pt idx="8">
                  <c:v>Tỉnh Bình Phước</c:v>
                </c:pt>
                <c:pt idx="9">
                  <c:v>TP Hồ Chí Minh</c:v>
                </c:pt>
                <c:pt idx="10">
                  <c:v>Tỉnh Bến Tre</c:v>
                </c:pt>
              </c:strCache>
            </c:strRef>
          </c:cat>
          <c:val>
            <c:numRef>
              <c:f>'Bài 18'!$E$2:$E$12</c:f>
              <c:numCache>
                <c:formatCode>General</c:formatCode>
                <c:ptCount val="11"/>
                <c:pt idx="1">
                  <c:v>142</c:v>
                </c:pt>
                <c:pt idx="2">
                  <c:v>44</c:v>
                </c:pt>
                <c:pt idx="3">
                  <c:v>19</c:v>
                </c:pt>
                <c:pt idx="4">
                  <c:v>11</c:v>
                </c:pt>
                <c:pt idx="5">
                  <c:v>98</c:v>
                </c:pt>
                <c:pt idx="6">
                  <c:v>41</c:v>
                </c:pt>
                <c:pt idx="7">
                  <c:v>59</c:v>
                </c:pt>
                <c:pt idx="8">
                  <c:v>70</c:v>
                </c:pt>
                <c:pt idx="9">
                  <c:v>3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50-4A4A-BB7E-91923CD3C25B}"/>
            </c:ext>
          </c:extLst>
        </c:ser>
        <c:ser>
          <c:idx val="4"/>
          <c:order val="4"/>
          <c:tx>
            <c:strRef>
              <c:f>'Bài 18'!$F$1</c:f>
              <c:strCache>
                <c:ptCount val="1"/>
                <c:pt idx="0">
                  <c:v>Nông thôn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18'!$A$2:$A$12</c:f>
              <c:strCache>
                <c:ptCount val="11"/>
                <c:pt idx="1">
                  <c:v>Tỉnh Sơn La</c:v>
                </c:pt>
                <c:pt idx="2">
                  <c:v>Tỉnh Vĩnh Phúc</c:v>
                </c:pt>
                <c:pt idx="3">
                  <c:v>TP. Hải Phòng</c:v>
                </c:pt>
                <c:pt idx="4">
                  <c:v>Tỉnh Ninh Bình</c:v>
                </c:pt>
                <c:pt idx="5">
                  <c:v>Tỉnh Quảng Bình</c:v>
                </c:pt>
                <c:pt idx="6">
                  <c:v>Tỉnh Phú Yên</c:v>
                </c:pt>
                <c:pt idx="7">
                  <c:v>Tỉnh Kon Tum</c:v>
                </c:pt>
                <c:pt idx="8">
                  <c:v>Tỉnh Bình Phước</c:v>
                </c:pt>
                <c:pt idx="9">
                  <c:v>TP Hồ Chí Minh</c:v>
                </c:pt>
                <c:pt idx="10">
                  <c:v>Tỉnh Bến Tre</c:v>
                </c:pt>
              </c:strCache>
            </c:strRef>
          </c:cat>
          <c:val>
            <c:numRef>
              <c:f>'Bài 18'!$F$2:$F$12</c:f>
              <c:numCache>
                <c:formatCode>General</c:formatCode>
                <c:ptCount val="11"/>
                <c:pt idx="1">
                  <c:v>119</c:v>
                </c:pt>
                <c:pt idx="2">
                  <c:v>132</c:v>
                </c:pt>
                <c:pt idx="3">
                  <c:v>142</c:v>
                </c:pt>
                <c:pt idx="4">
                  <c:v>126</c:v>
                </c:pt>
                <c:pt idx="5">
                  <c:v>108</c:v>
                </c:pt>
                <c:pt idx="6">
                  <c:v>90</c:v>
                </c:pt>
                <c:pt idx="7">
                  <c:v>26</c:v>
                </c:pt>
                <c:pt idx="8">
                  <c:v>66</c:v>
                </c:pt>
                <c:pt idx="9">
                  <c:v>102</c:v>
                </c:pt>
                <c:pt idx="10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50-4A4A-BB7E-91923CD3C25B}"/>
            </c:ext>
          </c:extLst>
        </c:ser>
        <c:ser>
          <c:idx val="5"/>
          <c:order val="5"/>
          <c:tx>
            <c:strRef>
              <c:f>'Bài 18'!$G$1</c:f>
              <c:strCache>
                <c:ptCount val="1"/>
                <c:pt idx="0">
                  <c:v>Thị trấn, Thị xã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18'!$A$2:$A$12</c:f>
              <c:strCache>
                <c:ptCount val="11"/>
                <c:pt idx="1">
                  <c:v>Tỉnh Sơn La</c:v>
                </c:pt>
                <c:pt idx="2">
                  <c:v>Tỉnh Vĩnh Phúc</c:v>
                </c:pt>
                <c:pt idx="3">
                  <c:v>TP. Hải Phòng</c:v>
                </c:pt>
                <c:pt idx="4">
                  <c:v>Tỉnh Ninh Bình</c:v>
                </c:pt>
                <c:pt idx="5">
                  <c:v>Tỉnh Quảng Bình</c:v>
                </c:pt>
                <c:pt idx="6">
                  <c:v>Tỉnh Phú Yên</c:v>
                </c:pt>
                <c:pt idx="7">
                  <c:v>Tỉnh Kon Tum</c:v>
                </c:pt>
                <c:pt idx="8">
                  <c:v>Tỉnh Bình Phước</c:v>
                </c:pt>
                <c:pt idx="9">
                  <c:v>TP Hồ Chí Minh</c:v>
                </c:pt>
                <c:pt idx="10">
                  <c:v>Tỉnh Bến Tre</c:v>
                </c:pt>
              </c:strCache>
            </c:strRef>
          </c:cat>
          <c:val>
            <c:numRef>
              <c:f>'Bài 18'!$G$2:$G$12</c:f>
              <c:numCache>
                <c:formatCode>General</c:formatCode>
                <c:ptCount val="11"/>
                <c:pt idx="1">
                  <c:v>23</c:v>
                </c:pt>
                <c:pt idx="2">
                  <c:v>29</c:v>
                </c:pt>
                <c:pt idx="3">
                  <c:v>16</c:v>
                </c:pt>
                <c:pt idx="4">
                  <c:v>20</c:v>
                </c:pt>
                <c:pt idx="5">
                  <c:v>14</c:v>
                </c:pt>
                <c:pt idx="6">
                  <c:v>9</c:v>
                </c:pt>
                <c:pt idx="7">
                  <c:v>32</c:v>
                </c:pt>
                <c:pt idx="8">
                  <c:v>20</c:v>
                </c:pt>
                <c:pt idx="9">
                  <c:v>8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50-4A4A-BB7E-91923CD3C25B}"/>
            </c:ext>
          </c:extLst>
        </c:ser>
        <c:ser>
          <c:idx val="6"/>
          <c:order val="6"/>
          <c:tx>
            <c:strRef>
              <c:f>'Bài 18'!$H$1</c:f>
              <c:strCache>
                <c:ptCount val="1"/>
                <c:pt idx="0">
                  <c:v>Thành phố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18'!$A$2:$A$12</c:f>
              <c:strCache>
                <c:ptCount val="11"/>
                <c:pt idx="1">
                  <c:v>Tỉnh Sơn La</c:v>
                </c:pt>
                <c:pt idx="2">
                  <c:v>Tỉnh Vĩnh Phúc</c:v>
                </c:pt>
                <c:pt idx="3">
                  <c:v>TP. Hải Phòng</c:v>
                </c:pt>
                <c:pt idx="4">
                  <c:v>Tỉnh Ninh Bình</c:v>
                </c:pt>
                <c:pt idx="5">
                  <c:v>Tỉnh Quảng Bình</c:v>
                </c:pt>
                <c:pt idx="6">
                  <c:v>Tỉnh Phú Yên</c:v>
                </c:pt>
                <c:pt idx="7">
                  <c:v>Tỉnh Kon Tum</c:v>
                </c:pt>
                <c:pt idx="8">
                  <c:v>Tỉnh Bình Phước</c:v>
                </c:pt>
                <c:pt idx="9">
                  <c:v>TP Hồ Chí Minh</c:v>
                </c:pt>
                <c:pt idx="10">
                  <c:v>Tỉnh Bến Tre</c:v>
                </c:pt>
              </c:strCache>
            </c:strRef>
          </c:cat>
          <c:val>
            <c:numRef>
              <c:f>'Bài 18'!$H$2:$H$12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53</c:v>
                </c:pt>
                <c:pt idx="4">
                  <c:v>0</c:v>
                </c:pt>
                <c:pt idx="5">
                  <c:v>23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317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50-4A4A-BB7E-91923CD3C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9079664"/>
        <c:axId val="329080080"/>
      </c:barChart>
      <c:catAx>
        <c:axId val="32907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80080"/>
        <c:crosses val="autoZero"/>
        <c:auto val="1"/>
        <c:lblAlgn val="ctr"/>
        <c:lblOffset val="100"/>
        <c:noMultiLvlLbl val="0"/>
      </c:catAx>
      <c:valAx>
        <c:axId val="3290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79664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noFill/>
        </a:ln>
        <a:effectLst/>
      </c:spPr>
    </c:plotArea>
    <c:legend>
      <c:legendPos val="r"/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'Bài 19'!$B$1</c:f>
              <c:strCache>
                <c:ptCount val="1"/>
                <c:pt idx="0">
                  <c:v>Khó khăn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19'!$A$2:$A$11</c:f>
              <c:strCache>
                <c:ptCount val="10"/>
                <c:pt idx="0">
                  <c:v>Tỉnh Sơn La</c:v>
                </c:pt>
                <c:pt idx="1">
                  <c:v>Tỉnh Vĩnh Phúc</c:v>
                </c:pt>
                <c:pt idx="2">
                  <c:v>Thành phố Hải Phòng</c:v>
                </c:pt>
                <c:pt idx="3">
                  <c:v>Tỉnh Ninh Bình</c:v>
                </c:pt>
                <c:pt idx="4">
                  <c:v>Tỉnh Quảng Bình</c:v>
                </c:pt>
                <c:pt idx="5">
                  <c:v>Tỉnh Phú Yên</c:v>
                </c:pt>
                <c:pt idx="6">
                  <c:v>Tỉnh Kon Tum</c:v>
                </c:pt>
                <c:pt idx="7">
                  <c:v>Tỉnh Bình Phước</c:v>
                </c:pt>
                <c:pt idx="8">
                  <c:v>Thành phố Hồ Chí Minh</c:v>
                </c:pt>
                <c:pt idx="9">
                  <c:v>Tỉnh Bến Tre</c:v>
                </c:pt>
              </c:strCache>
            </c:strRef>
          </c:cat>
          <c:val>
            <c:numRef>
              <c:f>'Bài 19'!$B$2:$B$11</c:f>
              <c:numCache>
                <c:formatCode>General</c:formatCode>
                <c:ptCount val="10"/>
                <c:pt idx="0">
                  <c:v>49.74</c:v>
                </c:pt>
                <c:pt idx="1">
                  <c:v>20</c:v>
                </c:pt>
                <c:pt idx="2">
                  <c:v>5.64</c:v>
                </c:pt>
                <c:pt idx="3">
                  <c:v>6.68</c:v>
                </c:pt>
                <c:pt idx="4">
                  <c:v>37.07</c:v>
                </c:pt>
                <c:pt idx="5">
                  <c:v>18.34</c:v>
                </c:pt>
                <c:pt idx="6">
                  <c:v>53.52</c:v>
                </c:pt>
                <c:pt idx="7">
                  <c:v>45.2</c:v>
                </c:pt>
                <c:pt idx="8">
                  <c:v>0.64</c:v>
                </c:pt>
                <c:pt idx="9">
                  <c:v>2.54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3-42DC-8FF8-F4D6964ABF3E}"/>
            </c:ext>
          </c:extLst>
        </c:ser>
        <c:ser>
          <c:idx val="1"/>
          <c:order val="1"/>
          <c:tx>
            <c:strRef>
              <c:f>'Bài 19'!$C$1</c:f>
              <c:strCache>
                <c:ptCount val="1"/>
                <c:pt idx="0">
                  <c:v>Nông thôn</c:v>
                </c:pt>
              </c:strCache>
            </c:strRef>
          </c:tx>
          <c:spPr>
            <a:solidFill>
              <a:srgbClr val="CC006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19'!$A$2:$A$11</c:f>
              <c:strCache>
                <c:ptCount val="10"/>
                <c:pt idx="0">
                  <c:v>Tỉnh Sơn La</c:v>
                </c:pt>
                <c:pt idx="1">
                  <c:v>Tỉnh Vĩnh Phúc</c:v>
                </c:pt>
                <c:pt idx="2">
                  <c:v>Thành phố Hải Phòng</c:v>
                </c:pt>
                <c:pt idx="3">
                  <c:v>Tỉnh Ninh Bình</c:v>
                </c:pt>
                <c:pt idx="4">
                  <c:v>Tỉnh Quảng Bình</c:v>
                </c:pt>
                <c:pt idx="5">
                  <c:v>Tỉnh Phú Yên</c:v>
                </c:pt>
                <c:pt idx="6">
                  <c:v>Tỉnh Kon Tum</c:v>
                </c:pt>
                <c:pt idx="7">
                  <c:v>Tỉnh Bình Phước</c:v>
                </c:pt>
                <c:pt idx="8">
                  <c:v>Thành phố Hồ Chí Minh</c:v>
                </c:pt>
                <c:pt idx="9">
                  <c:v>Tỉnh Bến Tre</c:v>
                </c:pt>
              </c:strCache>
            </c:strRef>
          </c:cat>
          <c:val>
            <c:numRef>
              <c:f>'Bài 19'!$C$2:$C$11</c:f>
              <c:numCache>
                <c:formatCode>General</c:formatCode>
                <c:ptCount val="10"/>
                <c:pt idx="0">
                  <c:v>40.26</c:v>
                </c:pt>
                <c:pt idx="1">
                  <c:v>63.72</c:v>
                </c:pt>
                <c:pt idx="2">
                  <c:v>58.5</c:v>
                </c:pt>
                <c:pt idx="3">
                  <c:v>78.55</c:v>
                </c:pt>
                <c:pt idx="4">
                  <c:v>46.93</c:v>
                </c:pt>
                <c:pt idx="5">
                  <c:v>62.58</c:v>
                </c:pt>
                <c:pt idx="6">
                  <c:v>21.85</c:v>
                </c:pt>
                <c:pt idx="7">
                  <c:v>40.69</c:v>
                </c:pt>
                <c:pt idx="8">
                  <c:v>19.89</c:v>
                </c:pt>
                <c:pt idx="9">
                  <c:v>85.38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63-42DC-8FF8-F4D6964ABF3E}"/>
            </c:ext>
          </c:extLst>
        </c:ser>
        <c:ser>
          <c:idx val="2"/>
          <c:order val="2"/>
          <c:tx>
            <c:strRef>
              <c:f>'Bài 19'!$D$1</c:f>
              <c:strCache>
                <c:ptCount val="1"/>
                <c:pt idx="0">
                  <c:v>Thị trấn, thị xã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19'!$A$2:$A$11</c:f>
              <c:strCache>
                <c:ptCount val="10"/>
                <c:pt idx="0">
                  <c:v>Tỉnh Sơn La</c:v>
                </c:pt>
                <c:pt idx="1">
                  <c:v>Tỉnh Vĩnh Phúc</c:v>
                </c:pt>
                <c:pt idx="2">
                  <c:v>Thành phố Hải Phòng</c:v>
                </c:pt>
                <c:pt idx="3">
                  <c:v>Tỉnh Ninh Bình</c:v>
                </c:pt>
                <c:pt idx="4">
                  <c:v>Tỉnh Quảng Bình</c:v>
                </c:pt>
                <c:pt idx="5">
                  <c:v>Tỉnh Phú Yên</c:v>
                </c:pt>
                <c:pt idx="6">
                  <c:v>Tỉnh Kon Tum</c:v>
                </c:pt>
                <c:pt idx="7">
                  <c:v>Tỉnh Bình Phước</c:v>
                </c:pt>
                <c:pt idx="8">
                  <c:v>Thành phố Hồ Chí Minh</c:v>
                </c:pt>
                <c:pt idx="9">
                  <c:v>Tỉnh Bến Tre</c:v>
                </c:pt>
              </c:strCache>
            </c:strRef>
          </c:cat>
          <c:val>
            <c:numRef>
              <c:f>'Bài 19'!$D$2:$D$11</c:f>
              <c:numCache>
                <c:formatCode>General</c:formatCode>
                <c:ptCount val="10"/>
                <c:pt idx="0">
                  <c:v>10</c:v>
                </c:pt>
                <c:pt idx="1">
                  <c:v>16.28</c:v>
                </c:pt>
                <c:pt idx="2">
                  <c:v>6.51</c:v>
                </c:pt>
                <c:pt idx="3">
                  <c:v>14.77</c:v>
                </c:pt>
                <c:pt idx="4">
                  <c:v>5.93</c:v>
                </c:pt>
                <c:pt idx="5">
                  <c:v>4.67</c:v>
                </c:pt>
                <c:pt idx="6">
                  <c:v>24.63</c:v>
                </c:pt>
                <c:pt idx="7">
                  <c:v>14.11</c:v>
                </c:pt>
                <c:pt idx="8">
                  <c:v>1.69</c:v>
                </c:pt>
                <c:pt idx="9">
                  <c:v>12.08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63-42DC-8FF8-F4D6964ABF3E}"/>
            </c:ext>
          </c:extLst>
        </c:ser>
        <c:ser>
          <c:idx val="3"/>
          <c:order val="3"/>
          <c:tx>
            <c:strRef>
              <c:f>'Bài 19'!$E$1</c:f>
              <c:strCache>
                <c:ptCount val="1"/>
                <c:pt idx="0">
                  <c:v>Thành phố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'Bài 19'!$A$2:$A$11</c:f>
              <c:strCache>
                <c:ptCount val="10"/>
                <c:pt idx="0">
                  <c:v>Tỉnh Sơn La</c:v>
                </c:pt>
                <c:pt idx="1">
                  <c:v>Tỉnh Vĩnh Phúc</c:v>
                </c:pt>
                <c:pt idx="2">
                  <c:v>Thành phố Hải Phòng</c:v>
                </c:pt>
                <c:pt idx="3">
                  <c:v>Tỉnh Ninh Bình</c:v>
                </c:pt>
                <c:pt idx="4">
                  <c:v>Tỉnh Quảng Bình</c:v>
                </c:pt>
                <c:pt idx="5">
                  <c:v>Tỉnh Phú Yên</c:v>
                </c:pt>
                <c:pt idx="6">
                  <c:v>Tỉnh Kon Tum</c:v>
                </c:pt>
                <c:pt idx="7">
                  <c:v>Tỉnh Bình Phước</c:v>
                </c:pt>
                <c:pt idx="8">
                  <c:v>Thành phố Hồ Chí Minh</c:v>
                </c:pt>
                <c:pt idx="9">
                  <c:v>Tỉnh Bến Tre</c:v>
                </c:pt>
              </c:strCache>
            </c:strRef>
          </c:cat>
          <c:val>
            <c:numRef>
              <c:f>'Bài 19'!$E$2:$E$11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29.35</c:v>
                </c:pt>
                <c:pt idx="3">
                  <c:v>0</c:v>
                </c:pt>
                <c:pt idx="4">
                  <c:v>10.07</c:v>
                </c:pt>
                <c:pt idx="5">
                  <c:v>14.41</c:v>
                </c:pt>
                <c:pt idx="6">
                  <c:v>0</c:v>
                </c:pt>
                <c:pt idx="7">
                  <c:v>0</c:v>
                </c:pt>
                <c:pt idx="8">
                  <c:v>77.78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63-42DC-8FF8-F4D6964AB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219744"/>
        <c:axId val="572218080"/>
      </c:barChart>
      <c:catAx>
        <c:axId val="57221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18080"/>
        <c:crosses val="autoZero"/>
        <c:auto val="1"/>
        <c:lblAlgn val="ctr"/>
        <c:lblOffset val="100"/>
        <c:noMultiLvlLbl val="0"/>
      </c:catAx>
      <c:valAx>
        <c:axId val="5722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Tỷ lệ phần trăm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19744"/>
        <c:crosses val="autoZero"/>
        <c:crossBetween val="between"/>
      </c:valAx>
      <c:spPr>
        <a:solidFill>
          <a:schemeClr val="bg2">
            <a:lumMod val="90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35749025854956"/>
          <c:y val="0.45275890909264233"/>
          <c:w val="0.14117424072503307"/>
          <c:h val="0.2022946726148002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9"/>
          <c:order val="9"/>
          <c:tx>
            <c:strRef>
              <c:f>'Bài 19'!$A$11</c:f>
              <c:strCache>
                <c:ptCount val="1"/>
                <c:pt idx="0">
                  <c:v>Tỉnh Bến Tre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FC-43AF-9822-F3D9DC95B6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FC-43AF-9822-F3D9DC95B6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FC-43AF-9822-F3D9DC95B6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FC-43AF-9822-F3D9DC95B6F5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19'!$B$11:$E$11</c:f>
              <c:numCache>
                <c:formatCode>General</c:formatCode>
                <c:ptCount val="4"/>
                <c:pt idx="0">
                  <c:v>2.54</c:v>
                </c:pt>
                <c:pt idx="1">
                  <c:v>85.38</c:v>
                </c:pt>
                <c:pt idx="2">
                  <c:v>12.08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FC-43AF-9822-F3D9DC95B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E2FC-43AF-9822-F3D9DC95B6F5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E2FC-43AF-9822-F3D9DC95B6F5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2FC-43AF-9822-F3D9DC95B6F5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2FC-43AF-9822-F3D9DC95B6F5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E2FC-43AF-9822-F3D9DC95B6F5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E2FC-43AF-9822-F3D9DC95B6F5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E2FC-43AF-9822-F3D9DC95B6F5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E2FC-43AF-9822-F3D9DC95B6F5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E2FC-43AF-9822-F3D9DC95B6F5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E2FC-43AF-9822-F3D9DC95B6F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E2FC-43AF-9822-F3D9DC95B6F5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E2FC-43AF-9822-F3D9DC95B6F5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E2FC-43AF-9822-F3D9DC95B6F5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E2FC-43AF-9822-F3D9DC95B6F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'Bài 19'!$A$2</c:f>
              <c:strCache>
                <c:ptCount val="1"/>
                <c:pt idx="0">
                  <c:v>Tỉnh Sơn La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B9-452B-B3FC-FDFE885480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B9-452B-B3FC-FDFE885480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B9-452B-B3FC-FDFE885480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B9-452B-B3FC-FDFE885480D8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19'!$B$2:$E$2</c:f>
              <c:numCache>
                <c:formatCode>General</c:formatCode>
                <c:ptCount val="4"/>
                <c:pt idx="0">
                  <c:v>49.74</c:v>
                </c:pt>
                <c:pt idx="1">
                  <c:v>40.26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B9-452B-B3FC-FDFE88548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76B9-452B-B3FC-FDFE885480D8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76B9-452B-B3FC-FDFE885480D8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6B9-452B-B3FC-FDFE885480D8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6B9-452B-B3FC-FDFE885480D8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76B9-452B-B3FC-FDFE885480D8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76B9-452B-B3FC-FDFE885480D8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76B9-452B-B3FC-FDFE885480D8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76B9-452B-B3FC-FDFE885480D8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76B9-452B-B3FC-FDFE885480D8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76B9-452B-B3FC-FDFE885480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76B9-452B-B3FC-FDFE885480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76B9-452B-B3FC-FDFE885480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76B9-452B-B3FC-FDFE885480D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76B9-452B-B3FC-FDFE885480D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'Bài 19'!$A$3</c:f>
              <c:strCache>
                <c:ptCount val="1"/>
                <c:pt idx="0">
                  <c:v>Tỉnh Vĩnh Phúc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83-40AD-A7CF-4CC4C6DC8D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83-40AD-A7CF-4CC4C6DC8D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83-40AD-A7CF-4CC4C6DC8D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83-40AD-A7CF-4CC4C6DC8D42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19'!$B$3:$E$3</c:f>
              <c:numCache>
                <c:formatCode>General</c:formatCode>
                <c:ptCount val="4"/>
                <c:pt idx="0">
                  <c:v>20</c:v>
                </c:pt>
                <c:pt idx="1">
                  <c:v>63.72</c:v>
                </c:pt>
                <c:pt idx="2">
                  <c:v>16.28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83-40AD-A7CF-4CC4C6DC8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2983-40AD-A7CF-4CC4C6DC8D42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2983-40AD-A7CF-4CC4C6DC8D42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983-40AD-A7CF-4CC4C6DC8D42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983-40AD-A7CF-4CC4C6DC8D42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983-40AD-A7CF-4CC4C6DC8D42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983-40AD-A7CF-4CC4C6DC8D42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983-40AD-A7CF-4CC4C6DC8D42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983-40AD-A7CF-4CC4C6DC8D42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983-40AD-A7CF-4CC4C6DC8D42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2983-40AD-A7CF-4CC4C6DC8D4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2983-40AD-A7CF-4CC4C6DC8D4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2983-40AD-A7CF-4CC4C6DC8D4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2983-40AD-A7CF-4CC4C6DC8D4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983-40AD-A7CF-4CC4C6DC8D4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'Bài 19'!$A$4</c:f>
              <c:strCache>
                <c:ptCount val="1"/>
                <c:pt idx="0">
                  <c:v>Thành phố Hải Phòng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B3-45E1-A990-571CF399BE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B3-45E1-A990-571CF399BE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B3-45E1-A990-571CF399BE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B3-45E1-A990-571CF399BE58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19'!$B$4:$E$4</c:f>
              <c:numCache>
                <c:formatCode>General</c:formatCode>
                <c:ptCount val="4"/>
                <c:pt idx="0">
                  <c:v>5.64</c:v>
                </c:pt>
                <c:pt idx="1">
                  <c:v>58.5</c:v>
                </c:pt>
                <c:pt idx="2">
                  <c:v>6.51</c:v>
                </c:pt>
                <c:pt idx="3">
                  <c:v>29.35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B3-45E1-A990-571CF399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21B3-45E1-A990-571CF399BE58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21B3-45E1-A990-571CF399BE58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1B3-45E1-A990-571CF399BE58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1B3-45E1-A990-571CF399BE58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1B3-45E1-A990-571CF399BE58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1B3-45E1-A990-571CF399BE58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1B3-45E1-A990-571CF399BE58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1B3-45E1-A990-571CF399BE58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1B3-45E1-A990-571CF399BE58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21B3-45E1-A990-571CF399BE5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21B3-45E1-A990-571CF399BE5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21B3-45E1-A990-571CF399BE5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21B3-45E1-A990-571CF399BE58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1B3-45E1-A990-571CF399BE5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3"/>
          <c:order val="3"/>
          <c:tx>
            <c:strRef>
              <c:f>'Bài 19'!$A$5</c:f>
              <c:strCache>
                <c:ptCount val="1"/>
                <c:pt idx="0">
                  <c:v>Tỉnh Ninh Bình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B1-49E6-9564-2735253237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B1-49E6-9564-2735253237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B1-49E6-9564-2735253237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B1-49E6-9564-2735253237FF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19'!$B$5:$E$5</c:f>
              <c:numCache>
                <c:formatCode>General</c:formatCode>
                <c:ptCount val="4"/>
                <c:pt idx="0">
                  <c:v>6.68</c:v>
                </c:pt>
                <c:pt idx="1">
                  <c:v>78.55</c:v>
                </c:pt>
                <c:pt idx="2">
                  <c:v>14.77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B1-49E6-9564-27352532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DBB1-49E6-9564-2735253237FF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DBB1-49E6-9564-2735253237F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BB1-49E6-9564-2735253237F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BB1-49E6-9564-2735253237FF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BB1-49E6-9564-2735253237FF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DBB1-49E6-9564-2735253237FF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DBB1-49E6-9564-2735253237FF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DBB1-49E6-9564-2735253237FF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DBB1-49E6-9564-2735253237FF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DBB1-49E6-9564-2735253237F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DBB1-49E6-9564-2735253237F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DBB1-49E6-9564-2735253237F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DBB1-49E6-9564-2735253237F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DBB1-49E6-9564-2735253237F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4"/>
          <c:order val="4"/>
          <c:tx>
            <c:strRef>
              <c:f>'Bài 19'!$A$6</c:f>
              <c:strCache>
                <c:ptCount val="1"/>
                <c:pt idx="0">
                  <c:v>Tỉnh Quảng Bình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58-4F05-8088-3F5AE69F54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58-4F05-8088-3F5AE69F54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58-4F05-8088-3F5AE69F54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58-4F05-8088-3F5AE69F5483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19'!$B$6:$E$6</c:f>
              <c:numCache>
                <c:formatCode>General</c:formatCode>
                <c:ptCount val="4"/>
                <c:pt idx="0">
                  <c:v>37.07</c:v>
                </c:pt>
                <c:pt idx="1">
                  <c:v>46.93</c:v>
                </c:pt>
                <c:pt idx="2">
                  <c:v>5.93</c:v>
                </c:pt>
                <c:pt idx="3">
                  <c:v>10.07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58-4F05-8088-3F5AE69F5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5858-4F05-8088-3F5AE69F5483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5858-4F05-8088-3F5AE69F5483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5858-4F05-8088-3F5AE69F5483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5858-4F05-8088-3F5AE69F5483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5858-4F05-8088-3F5AE69F5483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5858-4F05-8088-3F5AE69F5483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5858-4F05-8088-3F5AE69F5483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5858-4F05-8088-3F5AE69F5483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5858-4F05-8088-3F5AE69F5483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5858-4F05-8088-3F5AE69F548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5858-4F05-8088-3F5AE69F548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5858-4F05-8088-3F5AE69F548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5858-4F05-8088-3F5AE69F5483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5858-4F05-8088-3F5AE69F548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5"/>
          <c:order val="5"/>
          <c:tx>
            <c:strRef>
              <c:f>'Bài 19'!$A$7</c:f>
              <c:strCache>
                <c:ptCount val="1"/>
                <c:pt idx="0">
                  <c:v>Tỉnh Phú Yên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D8-4F3E-BAA8-80689B1805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D8-4F3E-BAA8-80689B1805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D8-4F3E-BAA8-80689B1805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D8-4F3E-BAA8-80689B1805AC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19'!$B$7:$E$7</c:f>
              <c:numCache>
                <c:formatCode>General</c:formatCode>
                <c:ptCount val="4"/>
                <c:pt idx="0">
                  <c:v>18.34</c:v>
                </c:pt>
                <c:pt idx="1">
                  <c:v>62.58</c:v>
                </c:pt>
                <c:pt idx="2">
                  <c:v>4.67</c:v>
                </c:pt>
                <c:pt idx="3">
                  <c:v>14.41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D8-4F3E-BAA8-80689B18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AAD8-4F3E-BAA8-80689B1805AC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AAD8-4F3E-BAA8-80689B1805AC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AAD8-4F3E-BAA8-80689B1805AC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AAD8-4F3E-BAA8-80689B1805AC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AAD8-4F3E-BAA8-80689B1805AC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AAD8-4F3E-BAA8-80689B1805AC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AAD8-4F3E-BAA8-80689B1805AC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AAD8-4F3E-BAA8-80689B1805AC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AAD8-4F3E-BAA8-80689B1805AC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AAD8-4F3E-BAA8-80689B1805A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AAD8-4F3E-BAA8-80689B1805A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AAD8-4F3E-BAA8-80689B1805AC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AAD8-4F3E-BAA8-80689B1805AC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AAD8-4F3E-BAA8-80689B1805A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6"/>
          <c:order val="6"/>
          <c:tx>
            <c:strRef>
              <c:f>'Bài 19'!$A$8</c:f>
              <c:strCache>
                <c:ptCount val="1"/>
                <c:pt idx="0">
                  <c:v>Tỉnh Kon Tum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39-4682-9F04-C75FE37D18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39-4682-9F04-C75FE37D18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39-4682-9F04-C75FE37D18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39-4682-9F04-C75FE37D1872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19'!$B$8:$E$8</c:f>
              <c:numCache>
                <c:formatCode>General</c:formatCode>
                <c:ptCount val="4"/>
                <c:pt idx="0">
                  <c:v>53.52</c:v>
                </c:pt>
                <c:pt idx="1">
                  <c:v>21.85</c:v>
                </c:pt>
                <c:pt idx="2">
                  <c:v>24.63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39-4682-9F04-C75FE37D1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DE39-4682-9F04-C75FE37D1872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DE39-4682-9F04-C75FE37D1872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E39-4682-9F04-C75FE37D1872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E39-4682-9F04-C75FE37D1872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E39-4682-9F04-C75FE37D1872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DE39-4682-9F04-C75FE37D1872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DE39-4682-9F04-C75FE37D1872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DE39-4682-9F04-C75FE37D1872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DE39-4682-9F04-C75FE37D1872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DE39-4682-9F04-C75FE37D187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DE39-4682-9F04-C75FE37D187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DE39-4682-9F04-C75FE37D187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DE39-4682-9F04-C75FE37D1872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DE39-4682-9F04-C75FE37D187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7"/>
          <c:order val="7"/>
          <c:tx>
            <c:strRef>
              <c:f>'Bài 19'!$A$9</c:f>
              <c:strCache>
                <c:ptCount val="1"/>
                <c:pt idx="0">
                  <c:v>Tỉnh Bình Phước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E6-4C0E-8717-C4490F77F3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E6-4C0E-8717-C4490F77F3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E6-4C0E-8717-C4490F77F3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E6-4C0E-8717-C4490F77F316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19'!$B$9:$E$9</c:f>
              <c:numCache>
                <c:formatCode>General</c:formatCode>
                <c:ptCount val="4"/>
                <c:pt idx="0">
                  <c:v>45.2</c:v>
                </c:pt>
                <c:pt idx="1">
                  <c:v>40.69</c:v>
                </c:pt>
                <c:pt idx="2">
                  <c:v>14.11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E6-4C0E-8717-C4490F77F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9AE6-4C0E-8717-C4490F77F316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9AE6-4C0E-8717-C4490F77F316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AE6-4C0E-8717-C4490F77F316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AE6-4C0E-8717-C4490F77F316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AE6-4C0E-8717-C4490F77F316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9AE6-4C0E-8717-C4490F77F316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9AE6-4C0E-8717-C4490F77F316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9AE6-4C0E-8717-C4490F77F316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19'!$A$10</c15:sqref>
                        </c15:formulaRef>
                      </c:ext>
                    </c:extLst>
                    <c:strCache>
                      <c:ptCount val="1"/>
                      <c:pt idx="0">
                        <c:v>Thành phố Hồ Chí Minh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19'!$B$10:$E$10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0.64</c:v>
                      </c:pt>
                      <c:pt idx="1">
                        <c:v>19.89</c:v>
                      </c:pt>
                      <c:pt idx="2">
                        <c:v>1.69</c:v>
                      </c:pt>
                      <c:pt idx="3">
                        <c:v>77.78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9AE6-4C0E-8717-C4490F77F316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9AE6-4C0E-8717-C4490F77F31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9AE6-4C0E-8717-C4490F77F31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9AE6-4C0E-8717-C4490F77F31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9AE6-4C0E-8717-C4490F77F316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9AE6-4C0E-8717-C4490F77F31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8"/>
          <c:order val="8"/>
          <c:tx>
            <c:strRef>
              <c:f>'Bài 19'!$A$10</c:f>
              <c:strCache>
                <c:ptCount val="1"/>
                <c:pt idx="0">
                  <c:v>Thành phố Hồ Chí Minh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A0-417B-AC50-03753758FE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A0-417B-AC50-03753758FE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A0-417B-AC50-03753758FE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A0-417B-AC50-03753758FE7E}"/>
              </c:ext>
            </c:extLst>
          </c:dPt>
          <c:cat>
            <c:strRef>
              <c:f>'Bài 19'!$B$1:$E$1</c:f>
              <c:strCache>
                <c:ptCount val="4"/>
                <c:pt idx="0">
                  <c:v>Khó khăn</c:v>
                </c:pt>
                <c:pt idx="1">
                  <c:v>Nông thôn</c:v>
                </c:pt>
                <c:pt idx="2">
                  <c:v>Thị trấn, thị xã</c:v>
                </c:pt>
                <c:pt idx="3">
                  <c:v>Thành phố</c:v>
                </c:pt>
              </c:strCache>
            </c:strRef>
          </c:cat>
          <c:val>
            <c:numRef>
              <c:f>'Bài 19'!$B$10:$E$10</c:f>
              <c:numCache>
                <c:formatCode>General</c:formatCode>
                <c:ptCount val="4"/>
                <c:pt idx="0">
                  <c:v>0.64</c:v>
                </c:pt>
                <c:pt idx="1">
                  <c:v>19.89</c:v>
                </c:pt>
                <c:pt idx="2">
                  <c:v>1.69</c:v>
                </c:pt>
                <c:pt idx="3">
                  <c:v>77.78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A0-417B-AC50-03753758F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19'!$A$2</c15:sqref>
                        </c15:formulaRef>
                      </c:ext>
                    </c:extLst>
                    <c:strCache>
                      <c:ptCount val="1"/>
                      <c:pt idx="0">
                        <c:v>Tỉnh Sơn La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9A0-417B-AC50-03753758FE7E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19'!$B$2:$E$2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49.74</c:v>
                      </c:pt>
                      <c:pt idx="1">
                        <c:v>40.26</c:v>
                      </c:pt>
                      <c:pt idx="2">
                        <c:v>10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B9A0-417B-AC50-03753758FE7E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19'!$A$3</c15:sqref>
                        </c15:formulaRef>
                      </c:ext>
                    </c:extLst>
                    <c:strCache>
                      <c:ptCount val="1"/>
                      <c:pt idx="0">
                        <c:v>Tỉnh Vĩnh Phúc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</c:v>
                      </c:pt>
                      <c:pt idx="1">
                        <c:v>63.72</c:v>
                      </c:pt>
                      <c:pt idx="2">
                        <c:v>16.28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9A0-417B-AC50-03753758FE7E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19'!$A$4</c15:sqref>
                        </c15:formulaRef>
                      </c:ext>
                    </c:extLst>
                    <c:strCache>
                      <c:ptCount val="1"/>
                      <c:pt idx="0">
                        <c:v>Thành phố Hải Phòng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5.64</c:v>
                      </c:pt>
                      <c:pt idx="1">
                        <c:v>58.5</c:v>
                      </c:pt>
                      <c:pt idx="2">
                        <c:v>6.51</c:v>
                      </c:pt>
                      <c:pt idx="3">
                        <c:v>29.35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9A0-417B-AC50-03753758FE7E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19'!$A$5</c15:sqref>
                        </c15:formulaRef>
                      </c:ext>
                    </c:extLst>
                    <c:strCache>
                      <c:ptCount val="1"/>
                      <c:pt idx="0">
                        <c:v>Tỉnh Ninh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19'!$B$5:$E$5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6.68</c:v>
                      </c:pt>
                      <c:pt idx="1">
                        <c:v>78.55</c:v>
                      </c:pt>
                      <c:pt idx="2">
                        <c:v>14.77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9A0-417B-AC50-03753758FE7E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19'!$A$6</c15:sqref>
                        </c15:formulaRef>
                      </c:ext>
                    </c:extLst>
                    <c:strCache>
                      <c:ptCount val="1"/>
                      <c:pt idx="0">
                        <c:v>Tỉnh Quảng Bình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19'!$B$6:$E$6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37.07</c:v>
                      </c:pt>
                      <c:pt idx="1">
                        <c:v>46.93</c:v>
                      </c:pt>
                      <c:pt idx="2">
                        <c:v>5.93</c:v>
                      </c:pt>
                      <c:pt idx="3">
                        <c:v>10.07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9A0-417B-AC50-03753758FE7E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19'!$A$7</c15:sqref>
                        </c15:formulaRef>
                      </c:ext>
                    </c:extLst>
                    <c:strCache>
                      <c:ptCount val="1"/>
                      <c:pt idx="0">
                        <c:v>Tỉnh Phú Yên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18.34</c:v>
                      </c:pt>
                      <c:pt idx="1">
                        <c:v>62.58</c:v>
                      </c:pt>
                      <c:pt idx="2">
                        <c:v>4.67</c:v>
                      </c:pt>
                      <c:pt idx="3">
                        <c:v>14.41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B9A0-417B-AC50-03753758FE7E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19'!$A$8</c15:sqref>
                        </c15:formulaRef>
                      </c:ext>
                    </c:extLst>
                    <c:strCache>
                      <c:ptCount val="1"/>
                      <c:pt idx="0">
                        <c:v>Tỉnh Kon Tum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0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2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4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6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19'!$B$8:$E$8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53.52</c:v>
                      </c:pt>
                      <c:pt idx="1">
                        <c:v>21.85</c:v>
                      </c:pt>
                      <c:pt idx="2">
                        <c:v>24.63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B9A0-417B-AC50-03753758FE7E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19'!$A$9</c15:sqref>
                        </c15:formulaRef>
                      </c:ext>
                    </c:extLst>
                    <c:strCache>
                      <c:ptCount val="1"/>
                      <c:pt idx="0">
                        <c:v>Tỉnh Bình Phước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19'!$B$9:$E$9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45.2</c:v>
                      </c:pt>
                      <c:pt idx="1">
                        <c:v>40.69</c:v>
                      </c:pt>
                      <c:pt idx="2">
                        <c:v>14.11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B9A0-417B-AC50-03753758FE7E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19'!$A$11</c15:sqref>
                        </c15:formulaRef>
                      </c:ext>
                    </c:extLst>
                    <c:strCache>
                      <c:ptCount val="1"/>
                      <c:pt idx="0">
                        <c:v>Tỉnh Bến Tre</c:v>
                      </c:pt>
                    </c:strCache>
                  </c:strRef>
                </c:tx>
                <c:spPr>
                  <a:ln>
                    <a:noFill/>
                  </a:ln>
                </c:spPr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2-B9A0-417B-AC50-03753758FE7E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4-B9A0-417B-AC50-03753758FE7E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6-B9A0-417B-AC50-03753758FE7E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8-B9A0-417B-AC50-03753758FE7E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'Bài 19'!$B$1:$E$1</c15:sqref>
                        </c15:formulaRef>
                      </c:ext>
                    </c:extLst>
                    <c:strCache>
                      <c:ptCount val="4"/>
                      <c:pt idx="0">
                        <c:v>Khó khăn</c:v>
                      </c:pt>
                      <c:pt idx="1">
                        <c:v>Nông thôn</c:v>
                      </c:pt>
                      <c:pt idx="2">
                        <c:v>Thị trấn, thị xã</c:v>
                      </c:pt>
                      <c:pt idx="3">
                        <c:v>Thành phố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'Bài 19'!$B$11:$E$11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2.54</c:v>
                      </c:pt>
                      <c:pt idx="1">
                        <c:v>85.38</c:v>
                      </c:pt>
                      <c:pt idx="2">
                        <c:v>12.08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B9A0-417B-AC50-03753758FE7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liệu</a:t>
            </a:r>
            <a:r>
              <a:rPr lang="en-US" baseline="0"/>
              <a:t> tổng hợp của 10 Tỉnh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78-435B-8BA2-00D01B765B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78-435B-8BA2-00D01B765B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78-435B-8BA2-00D01B765B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78-435B-8BA2-00D01B765B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78-435B-8BA2-00D01B765B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678-435B-8BA2-00D01B765B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678-435B-8BA2-00D01B765B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678-435B-8BA2-00D01B765B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678-435B-8BA2-00D01B765B35}"/>
              </c:ext>
            </c:extLst>
          </c:dPt>
          <c:dLbls>
            <c:dLbl>
              <c:idx val="0"/>
              <c:layout>
                <c:manualLayout>
                  <c:x val="3.757736516357206E-2"/>
                  <c:y val="-5.012531328320803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78-435B-8BA2-00D01B765B35}"/>
                </c:ext>
              </c:extLst>
            </c:dLbl>
            <c:dLbl>
              <c:idx val="7"/>
              <c:layout>
                <c:manualLayout>
                  <c:x val="-2.6525198938992044E-2"/>
                  <c:y val="4.1771094402673157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678-435B-8BA2-00D01B765B35}"/>
                </c:ext>
              </c:extLst>
            </c:dLbl>
            <c:dLbl>
              <c:idx val="8"/>
              <c:layout>
                <c:manualLayout>
                  <c:x val="-3.3156498673740056E-2"/>
                  <c:y val="-5.01253132832080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678-435B-8BA2-00D01B765B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'Bài 21'!$B$1:$J$1</c:f>
              <c:strCache>
                <c:ptCount val="9"/>
                <c:pt idx="0">
                  <c:v>Thạc sĩ</c:v>
                </c:pt>
                <c:pt idx="1">
                  <c:v>ĐHSP tiểu học</c:v>
                </c:pt>
                <c:pt idx="2">
                  <c:v>ĐHSP CN  khác</c:v>
                </c:pt>
                <c:pt idx="3">
                  <c:v>CĐSP tiểu học</c:v>
                </c:pt>
                <c:pt idx="4">
                  <c:v>CĐSP CN khác</c:v>
                </c:pt>
                <c:pt idx="5">
                  <c:v>THSP 12+2</c:v>
                </c:pt>
                <c:pt idx="6">
                  <c:v>THSP 9+3, 9+4</c:v>
                </c:pt>
                <c:pt idx="7">
                  <c:v>Dưới THSP</c:v>
                </c:pt>
                <c:pt idx="8">
                  <c:v>Các ngành đào tạo khác</c:v>
                </c:pt>
              </c:strCache>
            </c:strRef>
          </c:cat>
          <c:val>
            <c:numRef>
              <c:f>'Bài 21'!$B$12:$J$12</c:f>
              <c:numCache>
                <c:formatCode>General</c:formatCode>
                <c:ptCount val="9"/>
                <c:pt idx="0">
                  <c:v>0.02</c:v>
                </c:pt>
                <c:pt idx="1">
                  <c:v>12.93</c:v>
                </c:pt>
                <c:pt idx="2">
                  <c:v>1.9</c:v>
                </c:pt>
                <c:pt idx="3">
                  <c:v>24.47</c:v>
                </c:pt>
                <c:pt idx="4">
                  <c:v>3.21</c:v>
                </c:pt>
                <c:pt idx="5">
                  <c:v>39.409999999999997</c:v>
                </c:pt>
                <c:pt idx="6">
                  <c:v>14.01</c:v>
                </c:pt>
                <c:pt idx="7">
                  <c:v>1.59</c:v>
                </c:pt>
                <c:pt idx="8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678-435B-8BA2-00D01B765B3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Tổng số tiền thu được theo từng mặt hàng Tổng tiền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'Bài 22'!$C$22:$C$24</c:f>
              <c:strCache>
                <c:ptCount val="3"/>
                <c:pt idx="0">
                  <c:v>Tổng số tiền thu được theo từng mặt hàng</c:v>
                </c:pt>
                <c:pt idx="2">
                  <c:v>Tổng tiền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cat>
            <c:strRef>
              <c:f>'Bài 22'!$B$25:$B$28</c:f>
              <c:strCache>
                <c:ptCount val="4"/>
                <c:pt idx="0">
                  <c:v>DBH</c:v>
                </c:pt>
                <c:pt idx="1">
                  <c:v>DQN</c:v>
                </c:pt>
                <c:pt idx="2">
                  <c:v>GTL</c:v>
                </c:pt>
                <c:pt idx="3">
                  <c:v>GNT</c:v>
                </c:pt>
              </c:strCache>
            </c:strRef>
          </c:cat>
          <c:val>
            <c:numRef>
              <c:f>'Bài 22'!$C$25:$C$28</c:f>
              <c:numCache>
                <c:formatCode>_([$VND]\ * #,##0_);_([$VND]\ * \(#,##0\);_([$VND]\ * "-"_);_(@_)</c:formatCode>
                <c:ptCount val="4"/>
                <c:pt idx="0">
                  <c:v>146764800</c:v>
                </c:pt>
                <c:pt idx="1">
                  <c:v>67453420</c:v>
                </c:pt>
                <c:pt idx="2">
                  <c:v>43976660</c:v>
                </c:pt>
                <c:pt idx="3">
                  <c:v>50488198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6-45B8-BCF4-FE623BB09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752304"/>
        <c:axId val="1961746064"/>
      </c:barChart>
      <c:catAx>
        <c:axId val="196175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1746064"/>
        <c:crosses val="autoZero"/>
        <c:auto val="1"/>
        <c:lblAlgn val="ctr"/>
        <c:lblOffset val="100"/>
        <c:noMultiLvlLbl val="0"/>
      </c:catAx>
      <c:valAx>
        <c:axId val="196174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VND]\ * #,##0_);_([$VND]\ * \(#,##0\);_([$VND]\ 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17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'Bài 23'!$D$24</c:f>
              <c:strCache>
                <c:ptCount val="1"/>
                <c:pt idx="0">
                  <c:v>Tổng số tiền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BB-4E37-BBBE-B6E29CD965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BB-4E37-BBBE-B6E29CD965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BB-4E37-BBBE-B6E29CD965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BB-4E37-BBBE-B6E29CD965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'Bài 23'!$B$25:$B$28</c:f>
              <c:strCache>
                <c:ptCount val="4"/>
                <c:pt idx="0">
                  <c:v>Elf Gas</c:v>
                </c:pt>
                <c:pt idx="1">
                  <c:v>Petrolimex</c:v>
                </c:pt>
                <c:pt idx="2">
                  <c:v>Sài  Gòn Petro</c:v>
                </c:pt>
                <c:pt idx="3">
                  <c:v>VT Gas</c:v>
                </c:pt>
              </c:strCache>
            </c:strRef>
          </c:cat>
          <c:val>
            <c:numRef>
              <c:f>'Bài 23'!$D$25:$D$28</c:f>
              <c:numCache>
                <c:formatCode>General</c:formatCode>
                <c:ptCount val="4"/>
                <c:pt idx="0">
                  <c:v>21600000</c:v>
                </c:pt>
                <c:pt idx="1">
                  <c:v>34575000</c:v>
                </c:pt>
                <c:pt idx="2">
                  <c:v>15900000</c:v>
                </c:pt>
                <c:pt idx="3">
                  <c:v>39180000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BB-4E37-BBBE-B6E29CD9659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23'!$C$24</c15:sqref>
                        </c15:formulaRef>
                      </c:ext>
                    </c:extLst>
                    <c:strCache>
                      <c:ptCount val="1"/>
                      <c:pt idx="0">
                        <c:v>Số lượng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96BB-4E37-BBBE-B6E29CD9659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96BB-4E37-BBBE-B6E29CD9659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96BB-4E37-BBBE-B6E29CD9659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96BB-4E37-BBBE-B6E29CD9659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'Bài 23'!$B$25:$B$28</c15:sqref>
                        </c15:formulaRef>
                      </c:ext>
                    </c:extLst>
                    <c:strCache>
                      <c:ptCount val="4"/>
                      <c:pt idx="0">
                        <c:v>Elf Gas</c:v>
                      </c:pt>
                      <c:pt idx="1">
                        <c:v>Petrolimex</c:v>
                      </c:pt>
                      <c:pt idx="2">
                        <c:v>Sài  Gòn Petro</c:v>
                      </c:pt>
                      <c:pt idx="3">
                        <c:v>VT Gas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23'!$C$25:$C$28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190</c:v>
                      </c:pt>
                      <c:pt idx="1">
                        <c:v>345</c:v>
                      </c:pt>
                      <c:pt idx="2">
                        <c:v>135</c:v>
                      </c:pt>
                      <c:pt idx="3">
                        <c:v>378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96BB-4E37-BBBE-B6E29CD9659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'Bài 24'!$B$14</c:f>
              <c:strCache>
                <c:ptCount val="1"/>
                <c:pt idx="0">
                  <c:v>Tổng tiền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'Bài 24'!$A$15:$A$17</c:f>
              <c:strCache>
                <c:ptCount val="3"/>
                <c:pt idx="0">
                  <c:v>TOYOTA</c:v>
                </c:pt>
                <c:pt idx="1">
                  <c:v>FORD</c:v>
                </c:pt>
                <c:pt idx="2">
                  <c:v>MITSUBISHI</c:v>
                </c:pt>
              </c:strCache>
            </c:strRef>
          </c:cat>
          <c:val>
            <c:numRef>
              <c:f>'Bài 24'!$B$15:$B$17</c:f>
              <c:numCache>
                <c:formatCode>General</c:formatCode>
                <c:ptCount val="3"/>
                <c:pt idx="0">
                  <c:v>93300</c:v>
                </c:pt>
                <c:pt idx="1">
                  <c:v>78500</c:v>
                </c:pt>
                <c:pt idx="2">
                  <c:v>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C-4768-ADED-36BF97171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6498784"/>
        <c:axId val="726495040"/>
        <c:axId val="0"/>
      </c:bar3DChart>
      <c:catAx>
        <c:axId val="72649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95040"/>
        <c:crosses val="autoZero"/>
        <c:auto val="1"/>
        <c:lblAlgn val="ctr"/>
        <c:lblOffset val="100"/>
        <c:noMultiLvlLbl val="0"/>
      </c:catAx>
      <c:valAx>
        <c:axId val="7264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9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'Bài 24'!$I$2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'Bài 24'!$H$3:$H$5</c:f>
              <c:strCache>
                <c:ptCount val="3"/>
                <c:pt idx="0">
                  <c:v>TOYOTA</c:v>
                </c:pt>
                <c:pt idx="1">
                  <c:v>FORD</c:v>
                </c:pt>
                <c:pt idx="2">
                  <c:v>MITSUBISHI</c:v>
                </c:pt>
              </c:strCache>
            </c:strRef>
          </c:cat>
          <c:val>
            <c:numRef>
              <c:f>'Bài 24'!$I$3:$I$5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5-4632-BA48-D0C5529C7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4578304"/>
        <c:axId val="794575392"/>
        <c:axId val="0"/>
      </c:bar3DChart>
      <c:catAx>
        <c:axId val="79457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75392"/>
        <c:crosses val="autoZero"/>
        <c:auto val="1"/>
        <c:lblAlgn val="ctr"/>
        <c:lblOffset val="100"/>
        <c:noMultiLvlLbl val="0"/>
      </c:catAx>
      <c:valAx>
        <c:axId val="7945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7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Thống kê doanh thu theo hình thức gửi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'Bài 25'!$K$3</c:f>
              <c:strCache>
                <c:ptCount val="1"/>
                <c:pt idx="0">
                  <c:v>Máy bay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'Bài 25'!$L$2:$M$2</c:f>
              <c:strCache>
                <c:ptCount val="2"/>
                <c:pt idx="0">
                  <c:v>Bình thường</c:v>
                </c:pt>
                <c:pt idx="1">
                  <c:v>Nhanh</c:v>
                </c:pt>
              </c:strCache>
            </c:strRef>
          </c:cat>
          <c:val>
            <c:numRef>
              <c:f>'Bài 25'!$L$3:$M$3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0-4F14-B5C1-4880BE0AC9B8}"/>
            </c:ext>
          </c:extLst>
        </c:ser>
        <c:ser>
          <c:idx val="1"/>
          <c:order val="1"/>
          <c:tx>
            <c:strRef>
              <c:f>'Bài 25'!$K$4</c:f>
              <c:strCache>
                <c:ptCount val="1"/>
                <c:pt idx="0">
                  <c:v>Tàu thủy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'Bài 25'!$L$2:$M$2</c:f>
              <c:strCache>
                <c:ptCount val="2"/>
                <c:pt idx="0">
                  <c:v>Bình thường</c:v>
                </c:pt>
                <c:pt idx="1">
                  <c:v>Nhanh</c:v>
                </c:pt>
              </c:strCache>
            </c:strRef>
          </c:cat>
          <c:val>
            <c:numRef>
              <c:f>'Bài 25'!$L$4:$M$4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0-4F14-B5C1-4880BE0AC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664016"/>
        <c:axId val="613666928"/>
      </c:barChart>
      <c:catAx>
        <c:axId val="61366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66928"/>
        <c:crosses val="autoZero"/>
        <c:auto val="1"/>
        <c:lblAlgn val="ctr"/>
        <c:lblOffset val="100"/>
        <c:noMultiLvlLbl val="0"/>
      </c:catAx>
      <c:valAx>
        <c:axId val="6136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6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Thống kê theo từng mặt hàng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'Bài 26'!$M$2</c:f>
              <c:strCache>
                <c:ptCount val="1"/>
                <c:pt idx="0">
                  <c:v>Tổng tiền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'Bài 26'!$K$3:$K$6</c:f>
              <c:strCache>
                <c:ptCount val="4"/>
                <c:pt idx="0">
                  <c:v>Philips</c:v>
                </c:pt>
                <c:pt idx="1">
                  <c:v>Samsung</c:v>
                </c:pt>
                <c:pt idx="2">
                  <c:v>LG/Cyber</c:v>
                </c:pt>
                <c:pt idx="3">
                  <c:v>Asus</c:v>
                </c:pt>
              </c:strCache>
            </c:strRef>
          </c:cat>
          <c:val>
            <c:numRef>
              <c:f>'Bài 26'!$M$3:$M$6</c:f>
              <c:numCache>
                <c:formatCode>General</c:formatCode>
                <c:ptCount val="4"/>
                <c:pt idx="0">
                  <c:v>15243500</c:v>
                </c:pt>
                <c:pt idx="1">
                  <c:v>6708000</c:v>
                </c:pt>
                <c:pt idx="2">
                  <c:v>4214000</c:v>
                </c:pt>
                <c:pt idx="3">
                  <c:v>16350750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5-47EE-AB66-97DBCE860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86976"/>
        <c:axId val="846787392"/>
      </c:lineChart>
      <c:lineChart>
        <c:grouping val="standard"/>
        <c:varyColors val="0"/>
        <c:ser>
          <c:idx val="0"/>
          <c:order val="0"/>
          <c:tx>
            <c:strRef>
              <c:f>'Bài 26'!$L$2</c:f>
              <c:strCache>
                <c:ptCount val="1"/>
                <c:pt idx="0">
                  <c:v>Số lượng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'Bài 26'!$K$3:$K$6</c:f>
              <c:strCache>
                <c:ptCount val="4"/>
                <c:pt idx="0">
                  <c:v>Philips</c:v>
                </c:pt>
                <c:pt idx="1">
                  <c:v>Samsung</c:v>
                </c:pt>
                <c:pt idx="2">
                  <c:v>LG/Cyber</c:v>
                </c:pt>
                <c:pt idx="3">
                  <c:v>Asus</c:v>
                </c:pt>
              </c:strCache>
            </c:strRef>
          </c:cat>
          <c:val>
            <c:numRef>
              <c:f>'Bài 26'!$L$3:$L$6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5-47EE-AB66-97DBCE860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760928"/>
        <c:axId val="325755936"/>
      </c:lineChart>
      <c:catAx>
        <c:axId val="8467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87392"/>
        <c:crosses val="autoZero"/>
        <c:auto val="1"/>
        <c:lblAlgn val="ctr"/>
        <c:lblOffset val="100"/>
        <c:noMultiLvlLbl val="0"/>
      </c:catAx>
      <c:valAx>
        <c:axId val="8467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86976"/>
        <c:crosses val="autoZero"/>
        <c:crossBetween val="between"/>
      </c:valAx>
      <c:valAx>
        <c:axId val="325755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60928"/>
        <c:crosses val="max"/>
        <c:crossBetween val="between"/>
      </c:valAx>
      <c:catAx>
        <c:axId val="325760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5755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Tổng tiền theo loại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'Bài 27'!$M$7</c:f>
              <c:strCache>
                <c:ptCount val="1"/>
                <c:pt idx="0">
                  <c:v>Tiền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335-4E6E-930C-0ED315C01B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335-4E6E-930C-0ED315C01B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335-4E6E-930C-0ED315C01B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'Bài 27'!$K$8:$K$10</c:f>
              <c:strCache>
                <c:ptCount val="3"/>
                <c:pt idx="0">
                  <c:v>Sản xuất</c:v>
                </c:pt>
                <c:pt idx="1">
                  <c:v>Kinh doanh</c:v>
                </c:pt>
                <c:pt idx="2">
                  <c:v>Tiêu dùng</c:v>
                </c:pt>
              </c:strCache>
            </c:strRef>
          </c:cat>
          <c:val>
            <c:numRef>
              <c:f>'Bài 27'!$M$8:$M$10</c:f>
              <c:numCache>
                <c:formatCode>General</c:formatCode>
                <c:ptCount val="3"/>
                <c:pt idx="0">
                  <c:v>16940000</c:v>
                </c:pt>
                <c:pt idx="1">
                  <c:v>2770000</c:v>
                </c:pt>
                <c:pt idx="2">
                  <c:v>1315000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35-4E6E-930C-0ED315C01B8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'Bài 27'!$L$7</c15:sqref>
                        </c15:formulaRef>
                      </c:ext>
                    </c:extLst>
                    <c:strCache>
                      <c:ptCount val="1"/>
                      <c:pt idx="0">
                        <c:v>Số hộ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8-C335-4E6E-930C-0ED315C01B8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C335-4E6E-930C-0ED315C01B8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C335-4E6E-930C-0ED315C01B8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'Bài 27'!$K$8:$K$10</c15:sqref>
                        </c15:formulaRef>
                      </c:ext>
                    </c:extLst>
                    <c:strCache>
                      <c:ptCount val="3"/>
                      <c:pt idx="0">
                        <c:v>Sản xuất</c:v>
                      </c:pt>
                      <c:pt idx="1">
                        <c:v>Kinh doanh</c:v>
                      </c:pt>
                      <c:pt idx="2">
                        <c:v>Tiêu dùng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'Bài 27'!$L$8:$L$10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</c:v>
                      </c:pt>
                      <c:pt idx="1">
                        <c:v>2</c:v>
                      </c:pt>
                      <c:pt idx="2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C335-4E6E-930C-0ED315C01B8F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'Bài 29'!$S$3</c:f>
              <c:strCache>
                <c:ptCount val="1"/>
                <c:pt idx="0">
                  <c:v>Tổng thu nhập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'Bài 29'!$R$4:$R$9</c:f>
              <c:strCache>
                <c:ptCount val="6"/>
                <c:pt idx="0">
                  <c:v>GĐ</c:v>
                </c:pt>
                <c:pt idx="1">
                  <c:v>PGĐ</c:v>
                </c:pt>
                <c:pt idx="2">
                  <c:v>TP</c:v>
                </c:pt>
                <c:pt idx="3">
                  <c:v>PP</c:v>
                </c:pt>
                <c:pt idx="4">
                  <c:v>NV</c:v>
                </c:pt>
                <c:pt idx="5">
                  <c:v>BV</c:v>
                </c:pt>
              </c:strCache>
            </c:strRef>
          </c:cat>
          <c:val>
            <c:numRef>
              <c:f>'Bài 29'!$S$4:$S$9</c:f>
              <c:numCache>
                <c:formatCode>General</c:formatCode>
                <c:ptCount val="6"/>
                <c:pt idx="0">
                  <c:v>1550</c:v>
                </c:pt>
                <c:pt idx="1">
                  <c:v>1000</c:v>
                </c:pt>
                <c:pt idx="2">
                  <c:v>2179</c:v>
                </c:pt>
                <c:pt idx="3">
                  <c:v>1764</c:v>
                </c:pt>
                <c:pt idx="4">
                  <c:v>2330</c:v>
                </c:pt>
                <c:pt idx="5">
                  <c:v>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B-450F-8F76-3E0543E1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5944784"/>
        <c:axId val="795945616"/>
        <c:axId val="0"/>
      </c:bar3DChart>
      <c:catAx>
        <c:axId val="79594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45616"/>
        <c:crosses val="autoZero"/>
        <c:auto val="1"/>
        <c:lblAlgn val="ctr"/>
        <c:lblOffset val="100"/>
        <c:noMultiLvlLbl val="0"/>
      </c:catAx>
      <c:valAx>
        <c:axId val="7959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94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Đạo đức của học sinh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'Bai 30'!$L$10</c:f>
              <c:strCache>
                <c:ptCount val="1"/>
                <c:pt idx="0">
                  <c:v>Số học sinh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A-4EB2-AFCE-BE5D5BEE66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A-4EB2-AFCE-BE5D5BEE66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0A-4EB2-AFCE-BE5D5BEE66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A-4EB2-AFCE-BE5D5BEE66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'Bai 30'!$K$11:$K$14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'Bai 30'!$L$11:$L$14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0A-4EB2-AFCE-BE5D5BEE662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49562554680661"/>
          <c:y val="0.32543853893263341"/>
          <c:w val="0.2178377077865267"/>
          <c:h val="0.39120589093030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'Bai 31'!$L$10</c:f>
              <c:strCache>
                <c:ptCount val="1"/>
                <c:pt idx="0">
                  <c:v>40000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'Bai 31'!$K$8:$K$14</c:f>
              <c:strCache>
                <c:ptCount val="4"/>
                <c:pt idx="0">
                  <c:v>Bánh ngọt</c:v>
                </c:pt>
                <c:pt idx="1">
                  <c:v>Mứt</c:v>
                </c:pt>
                <c:pt idx="2">
                  <c:v>Trà</c:v>
                </c:pt>
                <c:pt idx="3">
                  <c:v>Cà phê</c:v>
                </c:pt>
              </c:strCache>
            </c:strRef>
          </c:cat>
          <c:val>
            <c:numRef>
              <c:f>'Bai 31'!$L$8:$L$14</c:f>
              <c:numCache>
                <c:formatCode>General</c:formatCode>
                <c:ptCount val="7"/>
                <c:pt idx="0">
                  <c:v>80000</c:v>
                </c:pt>
                <c:pt idx="1">
                  <c:v>50000</c:v>
                </c:pt>
                <c:pt idx="2">
                  <c:v>40000</c:v>
                </c:pt>
                <c:pt idx="3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36-4079-9A94-6DC17587F31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2</xdr:row>
      <xdr:rowOff>137160</xdr:rowOff>
    </xdr:from>
    <xdr:to>
      <xdr:col>2</xdr:col>
      <xdr:colOff>281940</xdr:colOff>
      <xdr:row>2</xdr:row>
      <xdr:rowOff>137160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8498124-1047-4FBE-A6EA-2A9792851988}"/>
            </a:ext>
          </a:extLst>
        </xdr:cNvPr>
        <xdr:cNvCxnSpPr/>
      </xdr:nvCxnSpPr>
      <xdr:spPr>
        <a:xfrm>
          <a:off x="1013460" y="533400"/>
          <a:ext cx="68580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144780</xdr:rowOff>
    </xdr:from>
    <xdr:to>
      <xdr:col>2</xdr:col>
      <xdr:colOff>1226820</xdr:colOff>
      <xdr:row>2</xdr:row>
      <xdr:rowOff>144780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03AA4CB-D062-49AB-B69C-96961A9757D7}"/>
            </a:ext>
          </a:extLst>
        </xdr:cNvPr>
        <xdr:cNvCxnSpPr/>
      </xdr:nvCxnSpPr>
      <xdr:spPr>
        <a:xfrm>
          <a:off x="1950720" y="541020"/>
          <a:ext cx="6934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129540</xdr:rowOff>
    </xdr:from>
    <xdr:to>
      <xdr:col>5</xdr:col>
      <xdr:colOff>83820</xdr:colOff>
      <xdr:row>2</xdr:row>
      <xdr:rowOff>129540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375017F-D890-4C98-9DD0-C5D026C82E90}"/>
            </a:ext>
          </a:extLst>
        </xdr:cNvPr>
        <xdr:cNvCxnSpPr/>
      </xdr:nvCxnSpPr>
      <xdr:spPr>
        <a:xfrm>
          <a:off x="4168140" y="525780"/>
          <a:ext cx="77724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</xdr:row>
      <xdr:rowOff>129540</xdr:rowOff>
    </xdr:from>
    <xdr:to>
      <xdr:col>6</xdr:col>
      <xdr:colOff>373380</xdr:colOff>
      <xdr:row>2</xdr:row>
      <xdr:rowOff>129540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D86749F-B413-4920-BA48-3967E3D5DA23}"/>
            </a:ext>
          </a:extLst>
        </xdr:cNvPr>
        <xdr:cNvCxnSpPr/>
      </xdr:nvCxnSpPr>
      <xdr:spPr>
        <a:xfrm>
          <a:off x="5196840" y="525780"/>
          <a:ext cx="7696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2</xdr:row>
      <xdr:rowOff>137160</xdr:rowOff>
    </xdr:from>
    <xdr:to>
      <xdr:col>2</xdr:col>
      <xdr:colOff>281940</xdr:colOff>
      <xdr:row>2</xdr:row>
      <xdr:rowOff>137160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FF2448-98FB-4A56-A312-83DBBB5C812C}"/>
            </a:ext>
          </a:extLst>
        </xdr:cNvPr>
        <xdr:cNvCxnSpPr/>
      </xdr:nvCxnSpPr>
      <xdr:spPr>
        <a:xfrm>
          <a:off x="1013460" y="533400"/>
          <a:ext cx="68580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144780</xdr:rowOff>
    </xdr:from>
    <xdr:to>
      <xdr:col>2</xdr:col>
      <xdr:colOff>1226820</xdr:colOff>
      <xdr:row>2</xdr:row>
      <xdr:rowOff>144780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76CAC7-072B-4D5B-B944-E56843ED6B8C}"/>
            </a:ext>
          </a:extLst>
        </xdr:cNvPr>
        <xdr:cNvCxnSpPr/>
      </xdr:nvCxnSpPr>
      <xdr:spPr>
        <a:xfrm>
          <a:off x="1950720" y="541020"/>
          <a:ext cx="6934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129540</xdr:rowOff>
    </xdr:from>
    <xdr:to>
      <xdr:col>5</xdr:col>
      <xdr:colOff>83820</xdr:colOff>
      <xdr:row>2</xdr:row>
      <xdr:rowOff>129540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7717246-DC8B-47C5-B32F-0BE274CFC5E4}"/>
            </a:ext>
          </a:extLst>
        </xdr:cNvPr>
        <xdr:cNvCxnSpPr/>
      </xdr:nvCxnSpPr>
      <xdr:spPr>
        <a:xfrm>
          <a:off x="4168140" y="525780"/>
          <a:ext cx="77724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</xdr:row>
      <xdr:rowOff>129540</xdr:rowOff>
    </xdr:from>
    <xdr:to>
      <xdr:col>6</xdr:col>
      <xdr:colOff>373380</xdr:colOff>
      <xdr:row>2</xdr:row>
      <xdr:rowOff>129540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DBA8A21-733F-4CA0-B454-ACF4FD9D670A}"/>
            </a:ext>
          </a:extLst>
        </xdr:cNvPr>
        <xdr:cNvCxnSpPr/>
      </xdr:nvCxnSpPr>
      <xdr:spPr>
        <a:xfrm>
          <a:off x="5196840" y="525780"/>
          <a:ext cx="7696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2</xdr:row>
      <xdr:rowOff>137160</xdr:rowOff>
    </xdr:from>
    <xdr:to>
      <xdr:col>2</xdr:col>
      <xdr:colOff>281940</xdr:colOff>
      <xdr:row>2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73A1EC2-B42B-4A06-A381-6F9D292B005D}"/>
            </a:ext>
          </a:extLst>
        </xdr:cNvPr>
        <xdr:cNvCxnSpPr/>
      </xdr:nvCxnSpPr>
      <xdr:spPr>
        <a:xfrm>
          <a:off x="1013460" y="533400"/>
          <a:ext cx="68580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144780</xdr:rowOff>
    </xdr:from>
    <xdr:to>
      <xdr:col>2</xdr:col>
      <xdr:colOff>1226820</xdr:colOff>
      <xdr:row>2</xdr:row>
      <xdr:rowOff>144780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E2E6C55-EE4F-4D1A-BFFB-9AB5E22DE35F}"/>
            </a:ext>
          </a:extLst>
        </xdr:cNvPr>
        <xdr:cNvCxnSpPr/>
      </xdr:nvCxnSpPr>
      <xdr:spPr>
        <a:xfrm>
          <a:off x="1950720" y="541020"/>
          <a:ext cx="6934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129540</xdr:rowOff>
    </xdr:from>
    <xdr:to>
      <xdr:col>5</xdr:col>
      <xdr:colOff>83820</xdr:colOff>
      <xdr:row>2</xdr:row>
      <xdr:rowOff>129540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B1D5152-34BC-4FAD-8E33-AEE8FB3EC6E5}"/>
            </a:ext>
          </a:extLst>
        </xdr:cNvPr>
        <xdr:cNvCxnSpPr/>
      </xdr:nvCxnSpPr>
      <xdr:spPr>
        <a:xfrm>
          <a:off x="4168140" y="525780"/>
          <a:ext cx="77724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</xdr:row>
      <xdr:rowOff>129540</xdr:rowOff>
    </xdr:from>
    <xdr:to>
      <xdr:col>6</xdr:col>
      <xdr:colOff>373380</xdr:colOff>
      <xdr:row>2</xdr:row>
      <xdr:rowOff>129540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F36EB1C-41D3-49A9-AD9F-87BC4D32F921}"/>
            </a:ext>
          </a:extLst>
        </xdr:cNvPr>
        <xdr:cNvCxnSpPr/>
      </xdr:nvCxnSpPr>
      <xdr:spPr>
        <a:xfrm>
          <a:off x="5196840" y="525780"/>
          <a:ext cx="7696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2</xdr:row>
      <xdr:rowOff>137160</xdr:rowOff>
    </xdr:from>
    <xdr:to>
      <xdr:col>2</xdr:col>
      <xdr:colOff>281940</xdr:colOff>
      <xdr:row>2</xdr:row>
      <xdr:rowOff>137160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C6C8E26-D795-4972-AC61-5831621BEC1B}"/>
            </a:ext>
          </a:extLst>
        </xdr:cNvPr>
        <xdr:cNvCxnSpPr/>
      </xdr:nvCxnSpPr>
      <xdr:spPr>
        <a:xfrm>
          <a:off x="1013460" y="533400"/>
          <a:ext cx="68580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144780</xdr:rowOff>
    </xdr:from>
    <xdr:to>
      <xdr:col>2</xdr:col>
      <xdr:colOff>1226820</xdr:colOff>
      <xdr:row>2</xdr:row>
      <xdr:rowOff>144780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E40EDDD-0C54-41C9-AE45-5B2707C090ED}"/>
            </a:ext>
          </a:extLst>
        </xdr:cNvPr>
        <xdr:cNvCxnSpPr/>
      </xdr:nvCxnSpPr>
      <xdr:spPr>
        <a:xfrm>
          <a:off x="1950720" y="541020"/>
          <a:ext cx="6934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129540</xdr:rowOff>
    </xdr:from>
    <xdr:to>
      <xdr:col>5</xdr:col>
      <xdr:colOff>83820</xdr:colOff>
      <xdr:row>2</xdr:row>
      <xdr:rowOff>129540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9757A56-F0C5-43AB-864D-9249EBEE6A28}"/>
            </a:ext>
          </a:extLst>
        </xdr:cNvPr>
        <xdr:cNvCxnSpPr/>
      </xdr:nvCxnSpPr>
      <xdr:spPr>
        <a:xfrm>
          <a:off x="4168140" y="525780"/>
          <a:ext cx="77724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</xdr:row>
      <xdr:rowOff>129540</xdr:rowOff>
    </xdr:from>
    <xdr:to>
      <xdr:col>6</xdr:col>
      <xdr:colOff>373380</xdr:colOff>
      <xdr:row>2</xdr:row>
      <xdr:rowOff>129540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36B4AC4-787A-44A3-B0CF-5BB651D37B4B}"/>
            </a:ext>
          </a:extLst>
        </xdr:cNvPr>
        <xdr:cNvCxnSpPr/>
      </xdr:nvCxnSpPr>
      <xdr:spPr>
        <a:xfrm>
          <a:off x="5196840" y="525780"/>
          <a:ext cx="7696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2</xdr:row>
      <xdr:rowOff>137160</xdr:rowOff>
    </xdr:from>
    <xdr:to>
      <xdr:col>2</xdr:col>
      <xdr:colOff>281940</xdr:colOff>
      <xdr:row>2</xdr:row>
      <xdr:rowOff>137160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A9A89F7-9102-4618-8FF3-6E63B660EF78}"/>
            </a:ext>
          </a:extLst>
        </xdr:cNvPr>
        <xdr:cNvCxnSpPr/>
      </xdr:nvCxnSpPr>
      <xdr:spPr>
        <a:xfrm>
          <a:off x="1013460" y="533400"/>
          <a:ext cx="68580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144780</xdr:rowOff>
    </xdr:from>
    <xdr:to>
      <xdr:col>2</xdr:col>
      <xdr:colOff>1226820</xdr:colOff>
      <xdr:row>2</xdr:row>
      <xdr:rowOff>144780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F9491A6-77FA-47B1-898A-EAADA2E9EE1A}"/>
            </a:ext>
          </a:extLst>
        </xdr:cNvPr>
        <xdr:cNvCxnSpPr/>
      </xdr:nvCxnSpPr>
      <xdr:spPr>
        <a:xfrm>
          <a:off x="1950720" y="541020"/>
          <a:ext cx="6934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129540</xdr:rowOff>
    </xdr:from>
    <xdr:to>
      <xdr:col>5</xdr:col>
      <xdr:colOff>83820</xdr:colOff>
      <xdr:row>2</xdr:row>
      <xdr:rowOff>129540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19E273-805E-4205-90D0-193FC5F393B4}"/>
            </a:ext>
          </a:extLst>
        </xdr:cNvPr>
        <xdr:cNvCxnSpPr/>
      </xdr:nvCxnSpPr>
      <xdr:spPr>
        <a:xfrm>
          <a:off x="4168140" y="525780"/>
          <a:ext cx="77724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</xdr:row>
      <xdr:rowOff>129540</xdr:rowOff>
    </xdr:from>
    <xdr:to>
      <xdr:col>6</xdr:col>
      <xdr:colOff>373380</xdr:colOff>
      <xdr:row>2</xdr:row>
      <xdr:rowOff>129540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78A54B8-CB5A-413A-B39F-2AE0A3181727}"/>
            </a:ext>
          </a:extLst>
        </xdr:cNvPr>
        <xdr:cNvCxnSpPr/>
      </xdr:nvCxnSpPr>
      <xdr:spPr>
        <a:xfrm>
          <a:off x="5196840" y="525780"/>
          <a:ext cx="7696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2</xdr:row>
      <xdr:rowOff>137160</xdr:rowOff>
    </xdr:from>
    <xdr:to>
      <xdr:col>2</xdr:col>
      <xdr:colOff>281940</xdr:colOff>
      <xdr:row>2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344F7B5-76D5-44A9-872D-B9696DB702B4}"/>
            </a:ext>
          </a:extLst>
        </xdr:cNvPr>
        <xdr:cNvCxnSpPr/>
      </xdr:nvCxnSpPr>
      <xdr:spPr>
        <a:xfrm>
          <a:off x="1013460" y="533400"/>
          <a:ext cx="68580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144780</xdr:rowOff>
    </xdr:from>
    <xdr:to>
      <xdr:col>2</xdr:col>
      <xdr:colOff>1226820</xdr:colOff>
      <xdr:row>2</xdr:row>
      <xdr:rowOff>144780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8522CBE-CD4D-4B03-8840-3AF752956506}"/>
            </a:ext>
          </a:extLst>
        </xdr:cNvPr>
        <xdr:cNvCxnSpPr/>
      </xdr:nvCxnSpPr>
      <xdr:spPr>
        <a:xfrm>
          <a:off x="1950720" y="541020"/>
          <a:ext cx="6934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129540</xdr:rowOff>
    </xdr:from>
    <xdr:to>
      <xdr:col>5</xdr:col>
      <xdr:colOff>83820</xdr:colOff>
      <xdr:row>2</xdr:row>
      <xdr:rowOff>129540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5E06B89-0514-4AA0-8C95-BC0D2FA01793}"/>
            </a:ext>
          </a:extLst>
        </xdr:cNvPr>
        <xdr:cNvCxnSpPr/>
      </xdr:nvCxnSpPr>
      <xdr:spPr>
        <a:xfrm>
          <a:off x="4168140" y="525780"/>
          <a:ext cx="77724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</xdr:row>
      <xdr:rowOff>129540</xdr:rowOff>
    </xdr:from>
    <xdr:to>
      <xdr:col>6</xdr:col>
      <xdr:colOff>373380</xdr:colOff>
      <xdr:row>2</xdr:row>
      <xdr:rowOff>129540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3D313B1-567C-4D90-B120-9982056BF188}"/>
            </a:ext>
          </a:extLst>
        </xdr:cNvPr>
        <xdr:cNvCxnSpPr/>
      </xdr:nvCxnSpPr>
      <xdr:spPr>
        <a:xfrm>
          <a:off x="5196840" y="525780"/>
          <a:ext cx="7696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2</xdr:row>
      <xdr:rowOff>137160</xdr:rowOff>
    </xdr:from>
    <xdr:to>
      <xdr:col>2</xdr:col>
      <xdr:colOff>281940</xdr:colOff>
      <xdr:row>2</xdr:row>
      <xdr:rowOff>137160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9238359-2B82-4AC9-8661-D232A6F713DF}"/>
            </a:ext>
          </a:extLst>
        </xdr:cNvPr>
        <xdr:cNvCxnSpPr/>
      </xdr:nvCxnSpPr>
      <xdr:spPr>
        <a:xfrm>
          <a:off x="1013460" y="533400"/>
          <a:ext cx="68580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</xdr:row>
      <xdr:rowOff>144780</xdr:rowOff>
    </xdr:from>
    <xdr:to>
      <xdr:col>2</xdr:col>
      <xdr:colOff>1226820</xdr:colOff>
      <xdr:row>2</xdr:row>
      <xdr:rowOff>144780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DC7EF3-4C0C-4D07-B56F-44CA7FCCD724}"/>
            </a:ext>
          </a:extLst>
        </xdr:cNvPr>
        <xdr:cNvCxnSpPr/>
      </xdr:nvCxnSpPr>
      <xdr:spPr>
        <a:xfrm>
          <a:off x="1950720" y="541020"/>
          <a:ext cx="6934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129540</xdr:rowOff>
    </xdr:from>
    <xdr:to>
      <xdr:col>5</xdr:col>
      <xdr:colOff>83820</xdr:colOff>
      <xdr:row>2</xdr:row>
      <xdr:rowOff>129540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6126B04-3E0E-4C73-BD47-9C51047AEC06}"/>
            </a:ext>
          </a:extLst>
        </xdr:cNvPr>
        <xdr:cNvCxnSpPr/>
      </xdr:nvCxnSpPr>
      <xdr:spPr>
        <a:xfrm>
          <a:off x="4168140" y="525780"/>
          <a:ext cx="77724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335280</xdr:colOff>
      <xdr:row>2</xdr:row>
      <xdr:rowOff>129540</xdr:rowOff>
    </xdr:from>
    <xdr:to>
      <xdr:col>6</xdr:col>
      <xdr:colOff>373380</xdr:colOff>
      <xdr:row>2</xdr:row>
      <xdr:rowOff>129540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9920AD8-E9D9-46D6-8C80-CB2826834C85}"/>
            </a:ext>
          </a:extLst>
        </xdr:cNvPr>
        <xdr:cNvCxnSpPr/>
      </xdr:nvCxnSpPr>
      <xdr:spPr>
        <a:xfrm>
          <a:off x="5196840" y="525780"/>
          <a:ext cx="769620" cy="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6</xdr:row>
      <xdr:rowOff>60960</xdr:rowOff>
    </xdr:from>
    <xdr:to>
      <xdr:col>4</xdr:col>
      <xdr:colOff>883920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A983C-2B48-4003-B79E-4D15E315B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220980</xdr:colOff>
      <xdr:row>6</xdr:row>
      <xdr:rowOff>45720</xdr:rowOff>
    </xdr:from>
    <xdr:to>
      <xdr:col>12</xdr:col>
      <xdr:colOff>525780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E05BBA-E4AA-4F65-A3F7-6035A5882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2</xdr:row>
      <xdr:rowOff>137160</xdr:rowOff>
    </xdr:from>
    <xdr:to>
      <xdr:col>18</xdr:col>
      <xdr:colOff>190500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534ED-F723-4234-A4B2-ABE998946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1834</xdr:rowOff>
    </xdr:from>
    <xdr:to>
      <xdr:col>5</xdr:col>
      <xdr:colOff>536986</xdr:colOff>
      <xdr:row>31</xdr:row>
      <xdr:rowOff>93723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BB8BB-A6AB-44C1-83D3-86ACAD453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606136</xdr:colOff>
      <xdr:row>0</xdr:row>
      <xdr:rowOff>0</xdr:rowOff>
    </xdr:from>
    <xdr:to>
      <xdr:col>11</xdr:col>
      <xdr:colOff>187036</xdr:colOff>
      <xdr:row>11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F67AB1-29F6-4379-9FF1-976316661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605443</xdr:colOff>
      <xdr:row>0</xdr:row>
      <xdr:rowOff>0</xdr:rowOff>
    </xdr:from>
    <xdr:to>
      <xdr:col>17</xdr:col>
      <xdr:colOff>186343</xdr:colOff>
      <xdr:row>11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9E6FD-C30A-423C-805B-8244C58E9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606828</xdr:colOff>
      <xdr:row>11</xdr:row>
      <xdr:rowOff>182187</xdr:rowOff>
    </xdr:from>
    <xdr:to>
      <xdr:col>11</xdr:col>
      <xdr:colOff>187728</xdr:colOff>
      <xdr:row>23</xdr:row>
      <xdr:rowOff>98367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570811-6A77-4463-8EAF-885D37FD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604751</xdr:colOff>
      <xdr:row>24</xdr:row>
      <xdr:rowOff>1383</xdr:rowOff>
    </xdr:from>
    <xdr:to>
      <xdr:col>17</xdr:col>
      <xdr:colOff>185651</xdr:colOff>
      <xdr:row>35</xdr:row>
      <xdr:rowOff>103214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90AC94-0FD8-4E2C-B455-2E044F2B1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691</xdr:colOff>
      <xdr:row>23</xdr:row>
      <xdr:rowOff>179416</xdr:rowOff>
    </xdr:from>
    <xdr:to>
      <xdr:col>11</xdr:col>
      <xdr:colOff>191191</xdr:colOff>
      <xdr:row>35</xdr:row>
      <xdr:rowOff>98367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E1E6C2-446A-4FC9-9BE4-48B9CB4C8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604751</xdr:colOff>
      <xdr:row>0</xdr:row>
      <xdr:rowOff>0</xdr:rowOff>
    </xdr:from>
    <xdr:to>
      <xdr:col>23</xdr:col>
      <xdr:colOff>185651</xdr:colOff>
      <xdr:row>11</xdr:row>
      <xdr:rowOff>2078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6D3484-AEE0-4D25-9A67-79756D91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603365</xdr:colOff>
      <xdr:row>12</xdr:row>
      <xdr:rowOff>2770</xdr:rowOff>
    </xdr:from>
    <xdr:to>
      <xdr:col>17</xdr:col>
      <xdr:colOff>184265</xdr:colOff>
      <xdr:row>23</xdr:row>
      <xdr:rowOff>110143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5856B1-7393-405E-A6FC-B123E0D7A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6234</xdr:colOff>
      <xdr:row>11</xdr:row>
      <xdr:rowOff>175260</xdr:rowOff>
    </xdr:from>
    <xdr:to>
      <xdr:col>23</xdr:col>
      <xdr:colOff>196734</xdr:colOff>
      <xdr:row>23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1D033BC-A7F9-4ABD-B8BF-26B461A94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4157</xdr:colOff>
      <xdr:row>24</xdr:row>
      <xdr:rowOff>1385</xdr:rowOff>
    </xdr:from>
    <xdr:to>
      <xdr:col>23</xdr:col>
      <xdr:colOff>194657</xdr:colOff>
      <xdr:row>35</xdr:row>
      <xdr:rowOff>100445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D462889-770E-4190-B9C3-C3ECB55C6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606137</xdr:colOff>
      <xdr:row>0</xdr:row>
      <xdr:rowOff>0</xdr:rowOff>
    </xdr:from>
    <xdr:to>
      <xdr:col>29</xdr:col>
      <xdr:colOff>187037</xdr:colOff>
      <xdr:row>11</xdr:row>
      <xdr:rowOff>7620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4C96BE-D1E2-49D9-8B5F-079F6AC4A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662940</xdr:colOff>
      <xdr:row>12</xdr:row>
      <xdr:rowOff>45720</xdr:rowOff>
    </xdr:from>
    <xdr:to>
      <xdr:col>11</xdr:col>
      <xdr:colOff>533400</xdr:colOff>
      <xdr:row>28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F03FA0-5110-4B79-A7FF-D806EC2BE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20</xdr:row>
      <xdr:rowOff>99060</xdr:rowOff>
    </xdr:from>
    <xdr:to>
      <xdr:col>8</xdr:col>
      <xdr:colOff>449580</xdr:colOff>
      <xdr:row>35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190F0-AF22-4311-8221-846D39786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14</xdr:row>
      <xdr:rowOff>137160</xdr:rowOff>
    </xdr:from>
    <xdr:to>
      <xdr:col>11</xdr:col>
      <xdr:colOff>281940</xdr:colOff>
      <xdr:row>28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252AB-EFDD-41AE-86E4-FDA9D72BBB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12</xdr:row>
      <xdr:rowOff>152400</xdr:rowOff>
    </xdr:from>
    <xdr:to>
      <xdr:col>6</xdr:col>
      <xdr:colOff>373380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45BF0-8EE7-4FC5-B09C-5D0FDD5A7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20</xdr:row>
      <xdr:rowOff>0</xdr:rowOff>
    </xdr:from>
    <xdr:to>
      <xdr:col>11</xdr:col>
      <xdr:colOff>472440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2991E9-F1BF-4169-BC8F-E183CE800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11</xdr:row>
      <xdr:rowOff>7620</xdr:rowOff>
    </xdr:from>
    <xdr:to>
      <xdr:col>8</xdr:col>
      <xdr:colOff>312420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0DD13-D26A-458D-81EE-23ED5663B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693420</xdr:colOff>
      <xdr:row>11</xdr:row>
      <xdr:rowOff>91440</xdr:rowOff>
    </xdr:from>
    <xdr:to>
      <xdr:col>9</xdr:col>
      <xdr:colOff>335280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C86C5B-A33D-4AA2-B40D-83D2CAFA7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586740</xdr:colOff>
      <xdr:row>1</xdr:row>
      <xdr:rowOff>83820</xdr:rowOff>
    </xdr:from>
    <xdr:to>
      <xdr:col>21</xdr:col>
      <xdr:colOff>281940</xdr:colOff>
      <xdr:row>15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070A1-8E01-4226-BB43-68490ADA1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8</xdr:row>
      <xdr:rowOff>175260</xdr:rowOff>
    </xdr:from>
    <xdr:to>
      <xdr:col>12</xdr:col>
      <xdr:colOff>1242060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06A8A-712E-4ECE-8186-67DC1AFE1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13</xdr:row>
      <xdr:rowOff>7620</xdr:rowOff>
    </xdr:from>
    <xdr:to>
      <xdr:col>9</xdr:col>
      <xdr:colOff>487680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7FDEF-2A82-4DD3-8BB4-83C250C20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13</xdr:row>
      <xdr:rowOff>91440</xdr:rowOff>
    </xdr:from>
    <xdr:to>
      <xdr:col>6</xdr:col>
      <xdr:colOff>876300</xdr:colOff>
      <xdr:row>28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99C88-0F7A-4B3C-9265-CB261B8CB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file%20office/20CN3-2055010051-Nguyen-Thanh-Duo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_so_truong"/>
      <sheetName val="TT_Chung"/>
      <sheetName val="TT_Nhansu"/>
      <sheetName val="TT_Hocsinh"/>
      <sheetName val="Huongdan"/>
      <sheetName val="Lop_1"/>
      <sheetName val="Lop_2"/>
      <sheetName val="Lop_3"/>
      <sheetName val="Bài 3"/>
      <sheetName val="Bài 4"/>
      <sheetName val="Bài 5"/>
      <sheetName val="Bài 6"/>
      <sheetName val="Bài 7"/>
      <sheetName val="Bài 8"/>
      <sheetName val="Bài 9"/>
      <sheetName val="Bài 10"/>
      <sheetName val="Bài 11"/>
      <sheetName val="Bài 12"/>
      <sheetName val="Bài 13"/>
      <sheetName val="Bài 14"/>
      <sheetName val="Bài 15"/>
      <sheetName val="Bài 16"/>
      <sheetName val="Bài 20"/>
      <sheetName val="Bài 28"/>
      <sheetName val="Bài 29"/>
      <sheetName val="Bài 30"/>
      <sheetName val="Bài 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">
          <cell r="B1" t="str">
            <v>Giới tính</v>
          </cell>
        </row>
        <row r="2">
          <cell r="B2" t="str">
            <v>Nam</v>
          </cell>
          <cell r="C2" t="str">
            <v>Nữ</v>
          </cell>
          <cell r="H2" t="str">
            <v>1 năm</v>
          </cell>
          <cell r="I2" t="str">
            <v>2 - 5  năm</v>
          </cell>
          <cell r="J2" t="str">
            <v>6-10 năm</v>
          </cell>
          <cell r="K2" t="str">
            <v>11-20 năm</v>
          </cell>
          <cell r="L2" t="str">
            <v>21-30 năm</v>
          </cell>
          <cell r="M2" t="str">
            <v>Trên 30 năm</v>
          </cell>
        </row>
        <row r="3">
          <cell r="A3" t="str">
            <v>Tỉnh Sơn La</v>
          </cell>
          <cell r="B3">
            <v>2660</v>
          </cell>
          <cell r="C3">
            <v>4921</v>
          </cell>
          <cell r="H3">
            <v>5</v>
          </cell>
          <cell r="I3">
            <v>240</v>
          </cell>
          <cell r="J3">
            <v>2525</v>
          </cell>
          <cell r="K3">
            <v>2749</v>
          </cell>
          <cell r="L3">
            <v>1718</v>
          </cell>
          <cell r="M3">
            <v>344</v>
          </cell>
        </row>
        <row r="4">
          <cell r="A4" t="str">
            <v>Tỉnh Vĩnh Phúc</v>
          </cell>
          <cell r="B4">
            <v>537</v>
          </cell>
          <cell r="C4">
            <v>3639</v>
          </cell>
          <cell r="H4">
            <v>76</v>
          </cell>
          <cell r="I4">
            <v>299</v>
          </cell>
          <cell r="J4">
            <v>729</v>
          </cell>
          <cell r="K4">
            <v>1770</v>
          </cell>
          <cell r="L4">
            <v>768</v>
          </cell>
          <cell r="M4">
            <v>534</v>
          </cell>
        </row>
        <row r="5">
          <cell r="A5" t="str">
            <v>Thành phố Hải Phòng</v>
          </cell>
          <cell r="B5">
            <v>389</v>
          </cell>
          <cell r="C5">
            <v>6370</v>
          </cell>
          <cell r="H5">
            <v>37</v>
          </cell>
          <cell r="I5">
            <v>868</v>
          </cell>
          <cell r="J5">
            <v>1524</v>
          </cell>
          <cell r="K5">
            <v>2729</v>
          </cell>
          <cell r="L5">
            <v>1286</v>
          </cell>
          <cell r="M5">
            <v>315</v>
          </cell>
        </row>
        <row r="6">
          <cell r="A6" t="str">
            <v>Tỉnh Ninh Bình</v>
          </cell>
          <cell r="B6">
            <v>325</v>
          </cell>
          <cell r="C6">
            <v>3237</v>
          </cell>
          <cell r="H6">
            <v>0</v>
          </cell>
          <cell r="I6">
            <v>14</v>
          </cell>
          <cell r="J6">
            <v>276</v>
          </cell>
          <cell r="K6">
            <v>2277</v>
          </cell>
          <cell r="L6">
            <v>635</v>
          </cell>
          <cell r="M6">
            <v>360</v>
          </cell>
        </row>
        <row r="7">
          <cell r="A7" t="str">
            <v>Tỉnh Quảng Bình</v>
          </cell>
          <cell r="B7">
            <v>727</v>
          </cell>
          <cell r="C7">
            <v>3422</v>
          </cell>
          <cell r="H7">
            <v>0</v>
          </cell>
          <cell r="I7">
            <v>233</v>
          </cell>
          <cell r="J7">
            <v>748</v>
          </cell>
          <cell r="K7">
            <v>1473</v>
          </cell>
          <cell r="L7">
            <v>1381</v>
          </cell>
          <cell r="M7">
            <v>314</v>
          </cell>
        </row>
        <row r="8">
          <cell r="A8" t="str">
            <v>Tỉnh Phú Yên</v>
          </cell>
          <cell r="B8">
            <v>1938</v>
          </cell>
          <cell r="C8">
            <v>3203</v>
          </cell>
          <cell r="H8">
            <v>3</v>
          </cell>
          <cell r="I8">
            <v>140</v>
          </cell>
          <cell r="J8">
            <v>1064</v>
          </cell>
          <cell r="K8">
            <v>1724</v>
          </cell>
          <cell r="L8">
            <v>1735</v>
          </cell>
          <cell r="M8">
            <v>475</v>
          </cell>
        </row>
        <row r="9">
          <cell r="A9" t="str">
            <v>Tỉnh Kon Tum</v>
          </cell>
          <cell r="B9">
            <v>730</v>
          </cell>
          <cell r="C9">
            <v>2368</v>
          </cell>
          <cell r="H9">
            <v>2</v>
          </cell>
          <cell r="I9">
            <v>372</v>
          </cell>
          <cell r="J9">
            <v>1041</v>
          </cell>
          <cell r="K9">
            <v>1227</v>
          </cell>
          <cell r="L9">
            <v>385</v>
          </cell>
          <cell r="M9">
            <v>71</v>
          </cell>
        </row>
        <row r="10">
          <cell r="A10" t="str">
            <v>Tỉnh Bình Phước</v>
          </cell>
          <cell r="B10">
            <v>1027</v>
          </cell>
          <cell r="C10">
            <v>4110</v>
          </cell>
          <cell r="H10">
            <v>13</v>
          </cell>
          <cell r="I10">
            <v>713</v>
          </cell>
          <cell r="J10">
            <v>1855</v>
          </cell>
          <cell r="K10">
            <v>1869</v>
          </cell>
          <cell r="L10">
            <v>553</v>
          </cell>
          <cell r="M10">
            <v>134</v>
          </cell>
        </row>
        <row r="11">
          <cell r="A11" t="str">
            <v>TP Hồ Chí Minh</v>
          </cell>
          <cell r="B11">
            <v>2195</v>
          </cell>
          <cell r="C11">
            <v>11324</v>
          </cell>
          <cell r="H11">
            <v>185</v>
          </cell>
          <cell r="I11">
            <v>1348</v>
          </cell>
          <cell r="J11">
            <v>2401</v>
          </cell>
          <cell r="K11">
            <v>5010</v>
          </cell>
          <cell r="L11">
            <v>3894</v>
          </cell>
          <cell r="M11">
            <v>681</v>
          </cell>
        </row>
        <row r="12">
          <cell r="A12" t="str">
            <v>Tỉnh Bến Tre</v>
          </cell>
          <cell r="B12">
            <v>1816</v>
          </cell>
          <cell r="C12">
            <v>3423</v>
          </cell>
          <cell r="H12">
            <v>1</v>
          </cell>
          <cell r="I12">
            <v>164</v>
          </cell>
          <cell r="J12">
            <v>870</v>
          </cell>
          <cell r="K12">
            <v>2129</v>
          </cell>
          <cell r="L12">
            <v>1638</v>
          </cell>
          <cell r="M12">
            <v>437</v>
          </cell>
        </row>
        <row r="14">
          <cell r="A14" t="str">
            <v>Nam</v>
          </cell>
          <cell r="B14">
            <v>12344</v>
          </cell>
        </row>
        <row r="15">
          <cell r="A15" t="str">
            <v>Nữ</v>
          </cell>
          <cell r="B15">
            <v>46017</v>
          </cell>
        </row>
        <row r="17">
          <cell r="A17" t="str">
            <v>Dưới 31</v>
          </cell>
          <cell r="B17">
            <v>12639</v>
          </cell>
        </row>
        <row r="18">
          <cell r="A18" t="str">
            <v>31-40</v>
          </cell>
          <cell r="B18">
            <v>25025</v>
          </cell>
        </row>
        <row r="19">
          <cell r="A19" t="str">
            <v>41-50</v>
          </cell>
          <cell r="B19">
            <v>16194</v>
          </cell>
        </row>
        <row r="20">
          <cell r="A20" t="str">
            <v>Trên 50</v>
          </cell>
          <cell r="B20">
            <v>4503</v>
          </cell>
        </row>
      </sheetData>
      <sheetData sheetId="23"/>
      <sheetData sheetId="24">
        <row r="3">
          <cell r="S3" t="str">
            <v>Tổng thu nhập</v>
          </cell>
        </row>
        <row r="4">
          <cell r="R4" t="str">
            <v>GĐ</v>
          </cell>
          <cell r="S4">
            <v>1550</v>
          </cell>
        </row>
        <row r="5">
          <cell r="R5" t="str">
            <v>PGĐ</v>
          </cell>
          <cell r="S5">
            <v>1000</v>
          </cell>
        </row>
        <row r="6">
          <cell r="R6" t="str">
            <v>TP</v>
          </cell>
          <cell r="S6">
            <v>2179</v>
          </cell>
        </row>
        <row r="7">
          <cell r="R7" t="str">
            <v>PP</v>
          </cell>
          <cell r="S7">
            <v>1764</v>
          </cell>
        </row>
        <row r="8">
          <cell r="R8" t="str">
            <v>NV</v>
          </cell>
          <cell r="S8">
            <v>2330</v>
          </cell>
        </row>
        <row r="9">
          <cell r="R9" t="str">
            <v>BV</v>
          </cell>
          <cell r="S9">
            <v>865</v>
          </cell>
        </row>
      </sheetData>
      <sheetData sheetId="25">
        <row r="10">
          <cell r="L10" t="str">
            <v>Số học sinh</v>
          </cell>
        </row>
        <row r="11">
          <cell r="K11" t="str">
            <v>A</v>
          </cell>
          <cell r="L11">
            <v>3</v>
          </cell>
        </row>
        <row r="12">
          <cell r="K12" t="str">
            <v>B</v>
          </cell>
          <cell r="L12">
            <v>3</v>
          </cell>
        </row>
        <row r="13">
          <cell r="K13" t="str">
            <v>C</v>
          </cell>
          <cell r="L13">
            <v>2</v>
          </cell>
        </row>
        <row r="14">
          <cell r="K14" t="str">
            <v>D</v>
          </cell>
          <cell r="L14">
            <v>2</v>
          </cell>
        </row>
      </sheetData>
      <sheetData sheetId="26">
        <row r="3">
          <cell r="K3" t="str">
            <v>Bánh ngọt</v>
          </cell>
          <cell r="L3" t="str">
            <v>Mứt</v>
          </cell>
          <cell r="M3" t="str">
            <v>Trà</v>
          </cell>
          <cell r="N3" t="str">
            <v>Cà phê</v>
          </cell>
        </row>
        <row r="4">
          <cell r="J4" t="str">
            <v>Tổng chi phí</v>
          </cell>
          <cell r="K4">
            <v>8470000</v>
          </cell>
          <cell r="L4">
            <v>2020000</v>
          </cell>
          <cell r="M4">
            <v>1452000</v>
          </cell>
          <cell r="N4">
            <v>7325500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sqref="A1:G22"/>
    </sheetView>
  </sheetViews>
  <sheetFormatPr defaultRowHeight="14.4" x14ac:dyDescent="0.3"/>
  <cols>
    <col min="1" max="1" width="4.6640625" customWidth="1"/>
    <col min="2" max="2" width="16.6640625" customWidth="1"/>
    <col min="3" max="3" width="24.77734375" customWidth="1"/>
    <col min="4" max="4" width="12.88671875" customWidth="1"/>
    <col min="6" max="6" width="14.44140625" customWidth="1"/>
    <col min="7" max="7" width="19" customWidth="1"/>
  </cols>
  <sheetData>
    <row r="1" spans="1:7" ht="15.6" x14ac:dyDescent="0.3">
      <c r="A1" s="1"/>
      <c r="B1" s="215" t="s">
        <v>0</v>
      </c>
      <c r="C1" s="214"/>
      <c r="D1" s="215" t="s">
        <v>1</v>
      </c>
      <c r="E1" s="214"/>
      <c r="F1" s="214"/>
      <c r="G1" s="214"/>
    </row>
    <row r="2" spans="1:7" ht="15.6" x14ac:dyDescent="0.3">
      <c r="A2" s="1"/>
      <c r="B2" s="214"/>
      <c r="C2" s="214"/>
      <c r="D2" s="214"/>
      <c r="E2" s="214"/>
      <c r="F2" s="214"/>
      <c r="G2" s="214"/>
    </row>
    <row r="3" spans="1:7" ht="15.6" x14ac:dyDescent="0.3">
      <c r="A3" s="1"/>
      <c r="B3" s="214"/>
      <c r="C3" s="214"/>
      <c r="D3" s="214"/>
      <c r="E3" s="214"/>
      <c r="F3" s="214"/>
      <c r="G3" s="214"/>
    </row>
    <row r="4" spans="1:7" ht="15.6" x14ac:dyDescent="0.3">
      <c r="A4" s="1"/>
      <c r="B4" s="2"/>
      <c r="C4" s="1"/>
      <c r="D4" s="1"/>
      <c r="E4" s="1"/>
      <c r="F4" s="1"/>
      <c r="G4" s="1"/>
    </row>
    <row r="5" spans="1:7" ht="18" x14ac:dyDescent="0.3">
      <c r="A5" s="1"/>
      <c r="B5" s="3"/>
      <c r="C5" s="216" t="s">
        <v>2</v>
      </c>
      <c r="D5" s="217"/>
      <c r="E5" s="217"/>
      <c r="F5" s="217"/>
      <c r="G5" s="1"/>
    </row>
    <row r="6" spans="1:7" ht="15.6" x14ac:dyDescent="0.3">
      <c r="A6" s="1"/>
      <c r="B6" s="3"/>
      <c r="C6" s="218" t="s">
        <v>3</v>
      </c>
      <c r="D6" s="218"/>
      <c r="E6" s="218" t="s">
        <v>4</v>
      </c>
      <c r="F6" s="218"/>
      <c r="G6" s="1"/>
    </row>
    <row r="7" spans="1:7" ht="15.6" x14ac:dyDescent="0.3">
      <c r="A7" s="1"/>
      <c r="B7" s="3"/>
      <c r="C7" s="1"/>
      <c r="D7" s="1"/>
      <c r="E7" s="1"/>
      <c r="F7" s="1"/>
      <c r="G7" s="1"/>
    </row>
    <row r="8" spans="1:7" ht="16.2" thickBot="1" x14ac:dyDescent="0.35">
      <c r="A8" s="4" t="s">
        <v>5</v>
      </c>
      <c r="B8" s="5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</row>
    <row r="9" spans="1:7" ht="15.6" x14ac:dyDescent="0.3">
      <c r="A9" s="6">
        <v>1</v>
      </c>
      <c r="B9" s="7">
        <v>1007050009</v>
      </c>
      <c r="C9" s="8" t="s">
        <v>12</v>
      </c>
      <c r="D9" s="9">
        <v>33909</v>
      </c>
      <c r="E9" s="10" t="s">
        <v>13</v>
      </c>
      <c r="F9" s="11" t="s">
        <v>14</v>
      </c>
      <c r="G9" s="6"/>
    </row>
    <row r="10" spans="1:7" ht="15.6" x14ac:dyDescent="0.3">
      <c r="A10" s="12">
        <v>2</v>
      </c>
      <c r="B10" s="13">
        <v>1007010028</v>
      </c>
      <c r="C10" s="14" t="s">
        <v>15</v>
      </c>
      <c r="D10" s="15">
        <v>33798</v>
      </c>
      <c r="E10" s="16" t="s">
        <v>13</v>
      </c>
      <c r="F10" s="17" t="s">
        <v>16</v>
      </c>
      <c r="G10" s="12"/>
    </row>
    <row r="11" spans="1:7" ht="15.6" x14ac:dyDescent="0.3">
      <c r="A11" s="6">
        <v>3</v>
      </c>
      <c r="B11" s="13">
        <v>1007060010</v>
      </c>
      <c r="C11" s="14" t="s">
        <v>17</v>
      </c>
      <c r="D11" s="18">
        <v>34008</v>
      </c>
      <c r="E11" s="16" t="s">
        <v>13</v>
      </c>
      <c r="F11" s="17" t="s">
        <v>18</v>
      </c>
      <c r="G11" s="12"/>
    </row>
    <row r="12" spans="1:7" ht="15.6" x14ac:dyDescent="0.3">
      <c r="A12" s="12">
        <v>4</v>
      </c>
      <c r="B12" s="19">
        <v>1007010040</v>
      </c>
      <c r="C12" s="14" t="s">
        <v>19</v>
      </c>
      <c r="D12" s="15">
        <v>33504</v>
      </c>
      <c r="E12" s="16" t="s">
        <v>20</v>
      </c>
      <c r="F12" s="17" t="s">
        <v>16</v>
      </c>
      <c r="G12" s="12"/>
    </row>
    <row r="13" spans="1:7" ht="15.6" x14ac:dyDescent="0.3">
      <c r="A13" s="6">
        <v>5</v>
      </c>
      <c r="B13" s="19">
        <v>1007030016</v>
      </c>
      <c r="C13" s="14" t="s">
        <v>21</v>
      </c>
      <c r="D13" s="18">
        <v>33685</v>
      </c>
      <c r="E13" s="16" t="s">
        <v>13</v>
      </c>
      <c r="F13" s="17" t="s">
        <v>22</v>
      </c>
      <c r="G13" s="12"/>
    </row>
    <row r="14" spans="1:7" ht="15.6" x14ac:dyDescent="0.3">
      <c r="A14" s="12">
        <v>6</v>
      </c>
      <c r="B14" s="19">
        <v>1007060018</v>
      </c>
      <c r="C14" s="14" t="s">
        <v>23</v>
      </c>
      <c r="D14" s="18">
        <v>33790</v>
      </c>
      <c r="E14" s="16" t="s">
        <v>13</v>
      </c>
      <c r="F14" s="17" t="s">
        <v>18</v>
      </c>
      <c r="G14" s="12"/>
    </row>
    <row r="15" spans="1:7" ht="15.6" x14ac:dyDescent="0.3">
      <c r="A15" s="6">
        <v>7</v>
      </c>
      <c r="B15" s="19">
        <v>1007010053</v>
      </c>
      <c r="C15" s="12" t="s">
        <v>24</v>
      </c>
      <c r="D15" s="18">
        <v>33677</v>
      </c>
      <c r="E15" s="16" t="s">
        <v>13</v>
      </c>
      <c r="F15" s="17" t="s">
        <v>16</v>
      </c>
      <c r="G15" s="12"/>
    </row>
    <row r="16" spans="1:7" ht="15.6" x14ac:dyDescent="0.3">
      <c r="A16" s="12">
        <v>8</v>
      </c>
      <c r="B16" s="20" t="s">
        <v>25</v>
      </c>
      <c r="C16" s="12" t="s">
        <v>26</v>
      </c>
      <c r="D16" s="18">
        <v>33273</v>
      </c>
      <c r="E16" s="16" t="s">
        <v>13</v>
      </c>
      <c r="F16" s="17" t="s">
        <v>27</v>
      </c>
      <c r="G16" s="12"/>
    </row>
    <row r="17" spans="1:7" ht="15.6" x14ac:dyDescent="0.3">
      <c r="A17" s="6">
        <v>9</v>
      </c>
      <c r="B17" s="19">
        <v>1007050025</v>
      </c>
      <c r="C17" s="12" t="s">
        <v>28</v>
      </c>
      <c r="D17" s="18">
        <v>33610</v>
      </c>
      <c r="E17" s="16" t="s">
        <v>13</v>
      </c>
      <c r="F17" s="17" t="s">
        <v>14</v>
      </c>
      <c r="G17" s="12"/>
    </row>
    <row r="18" spans="1:7" ht="15.6" x14ac:dyDescent="0.3">
      <c r="A18" s="12">
        <v>10</v>
      </c>
      <c r="B18" s="13">
        <v>1007050033</v>
      </c>
      <c r="C18" s="12" t="s">
        <v>29</v>
      </c>
      <c r="D18" s="18">
        <v>33784</v>
      </c>
      <c r="E18" s="16" t="s">
        <v>13</v>
      </c>
      <c r="F18" s="17" t="s">
        <v>30</v>
      </c>
      <c r="G18" s="12"/>
    </row>
    <row r="19" spans="1:7" ht="15.6" x14ac:dyDescent="0.3">
      <c r="A19" s="1"/>
      <c r="B19" s="3"/>
      <c r="C19" s="1"/>
      <c r="D19" s="1"/>
      <c r="E19" s="1"/>
      <c r="F19" s="1"/>
      <c r="G19" s="1"/>
    </row>
    <row r="20" spans="1:7" ht="15.6" x14ac:dyDescent="0.3">
      <c r="A20" s="1"/>
      <c r="B20" s="3"/>
      <c r="C20" s="1"/>
      <c r="D20" s="1"/>
      <c r="E20" s="1"/>
      <c r="F20" s="1"/>
      <c r="G20" s="1"/>
    </row>
    <row r="21" spans="1:7" ht="15.6" x14ac:dyDescent="0.3">
      <c r="A21" s="1"/>
      <c r="B21" s="3"/>
      <c r="C21" s="1"/>
      <c r="D21" s="214" t="s">
        <v>31</v>
      </c>
      <c r="E21" s="214"/>
      <c r="F21" s="214"/>
      <c r="G21" s="214"/>
    </row>
    <row r="22" spans="1:7" ht="15.6" x14ac:dyDescent="0.3">
      <c r="A22" s="1"/>
      <c r="B22" s="213" t="s">
        <v>32</v>
      </c>
      <c r="C22" s="213"/>
      <c r="D22" s="1"/>
      <c r="E22" s="214" t="s">
        <v>33</v>
      </c>
      <c r="F22" s="214"/>
      <c r="G22" s="1"/>
    </row>
  </sheetData>
  <mergeCells count="8">
    <mergeCell ref="B22:C22"/>
    <mergeCell ref="E22:F22"/>
    <mergeCell ref="B1:C3"/>
    <mergeCell ref="D1:G3"/>
    <mergeCell ref="C5:F5"/>
    <mergeCell ref="C6:D6"/>
    <mergeCell ref="E6:F6"/>
    <mergeCell ref="D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8E4B-10D3-4D54-B5C4-E25A0AD336DE}">
  <dimension ref="A1:G22"/>
  <sheetViews>
    <sheetView workbookViewId="0">
      <selection sqref="A1:G22"/>
    </sheetView>
  </sheetViews>
  <sheetFormatPr defaultRowHeight="14.4" x14ac:dyDescent="0.3"/>
  <cols>
    <col min="1" max="1" width="5.21875" customWidth="1"/>
    <col min="2" max="2" width="20.6640625" customWidth="1"/>
    <col min="3" max="3" width="26.6640625" customWidth="1"/>
    <col min="4" max="4" width="16.109375" customWidth="1"/>
    <col min="5" max="5" width="8.44140625" customWidth="1"/>
    <col min="6" max="6" width="8.77734375" customWidth="1"/>
    <col min="7" max="7" width="14.77734375" customWidth="1"/>
  </cols>
  <sheetData>
    <row r="1" spans="1:7" ht="15.6" x14ac:dyDescent="0.3">
      <c r="A1" s="1"/>
      <c r="B1" s="215" t="s">
        <v>0</v>
      </c>
      <c r="C1" s="214"/>
      <c r="D1" s="215" t="s">
        <v>1</v>
      </c>
      <c r="E1" s="214"/>
      <c r="F1" s="214"/>
      <c r="G1" s="214"/>
    </row>
    <row r="2" spans="1:7" ht="15.6" x14ac:dyDescent="0.3">
      <c r="A2" s="1"/>
      <c r="B2" s="214"/>
      <c r="C2" s="214"/>
      <c r="D2" s="214"/>
      <c r="E2" s="214"/>
      <c r="F2" s="214"/>
      <c r="G2" s="214"/>
    </row>
    <row r="3" spans="1:7" ht="15.6" x14ac:dyDescent="0.3">
      <c r="A3" s="1"/>
      <c r="B3" s="214"/>
      <c r="C3" s="214"/>
      <c r="D3" s="214"/>
      <c r="E3" s="214"/>
      <c r="F3" s="214"/>
      <c r="G3" s="214"/>
    </row>
    <row r="4" spans="1:7" ht="15.6" x14ac:dyDescent="0.3">
      <c r="A4" s="1"/>
      <c r="B4" s="2"/>
      <c r="C4" s="1"/>
      <c r="D4" s="1"/>
      <c r="E4" s="1"/>
      <c r="F4" s="1"/>
      <c r="G4" s="1"/>
    </row>
    <row r="5" spans="1:7" ht="18" x14ac:dyDescent="0.3">
      <c r="A5" s="1"/>
      <c r="B5" s="3"/>
      <c r="C5" s="216" t="s">
        <v>2</v>
      </c>
      <c r="D5" s="217"/>
      <c r="E5" s="217"/>
      <c r="F5" s="217"/>
      <c r="G5" s="1"/>
    </row>
    <row r="6" spans="1:7" ht="15.6" x14ac:dyDescent="0.3">
      <c r="A6" s="1"/>
      <c r="B6" s="3"/>
      <c r="C6" s="218" t="s">
        <v>3</v>
      </c>
      <c r="D6" s="218"/>
      <c r="E6" s="218" t="s">
        <v>34</v>
      </c>
      <c r="F6" s="218"/>
      <c r="G6" s="1"/>
    </row>
    <row r="7" spans="1:7" ht="15.6" x14ac:dyDescent="0.3">
      <c r="A7" s="1"/>
      <c r="B7" s="3"/>
      <c r="C7" s="1"/>
      <c r="D7" s="1"/>
      <c r="E7" s="1"/>
      <c r="F7" s="1"/>
      <c r="G7" s="1"/>
    </row>
    <row r="8" spans="1:7" ht="16.2" thickBot="1" x14ac:dyDescent="0.35">
      <c r="A8" s="4" t="s">
        <v>5</v>
      </c>
      <c r="B8" s="5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</row>
    <row r="9" spans="1:7" ht="15.6" x14ac:dyDescent="0.3">
      <c r="A9" s="6">
        <v>1</v>
      </c>
      <c r="B9" s="10">
        <v>1007090006</v>
      </c>
      <c r="C9" s="21" t="s">
        <v>35</v>
      </c>
      <c r="D9" s="9">
        <v>33784</v>
      </c>
      <c r="E9" s="10" t="s">
        <v>13</v>
      </c>
      <c r="F9" s="11" t="s">
        <v>36</v>
      </c>
      <c r="G9" s="6"/>
    </row>
    <row r="10" spans="1:7" ht="15.6" x14ac:dyDescent="0.3">
      <c r="A10" s="12">
        <v>2</v>
      </c>
      <c r="B10" s="22" t="s">
        <v>37</v>
      </c>
      <c r="C10" s="23" t="s">
        <v>38</v>
      </c>
      <c r="D10" s="18">
        <v>33289</v>
      </c>
      <c r="E10" s="16" t="s">
        <v>13</v>
      </c>
      <c r="F10" s="17" t="s">
        <v>39</v>
      </c>
      <c r="G10" s="12"/>
    </row>
    <row r="11" spans="1:7" ht="15.6" x14ac:dyDescent="0.3">
      <c r="A11" s="6">
        <v>3</v>
      </c>
      <c r="B11" s="13" t="s">
        <v>40</v>
      </c>
      <c r="C11" s="23" t="s">
        <v>41</v>
      </c>
      <c r="D11" s="18">
        <v>33704</v>
      </c>
      <c r="E11" s="16" t="s">
        <v>13</v>
      </c>
      <c r="F11" s="17" t="s">
        <v>42</v>
      </c>
      <c r="G11" s="12"/>
    </row>
    <row r="12" spans="1:7" ht="15.6" x14ac:dyDescent="0.3">
      <c r="A12" s="12">
        <v>4</v>
      </c>
      <c r="B12" s="16">
        <v>1007010026</v>
      </c>
      <c r="C12" s="23" t="s">
        <v>43</v>
      </c>
      <c r="D12" s="18">
        <v>33928</v>
      </c>
      <c r="E12" s="16" t="s">
        <v>13</v>
      </c>
      <c r="F12" s="17" t="s">
        <v>44</v>
      </c>
      <c r="G12" s="12"/>
    </row>
    <row r="13" spans="1:7" ht="15.6" x14ac:dyDescent="0.3">
      <c r="A13" s="6">
        <v>5</v>
      </c>
      <c r="B13" s="16">
        <v>1007010039</v>
      </c>
      <c r="C13" s="23" t="s">
        <v>45</v>
      </c>
      <c r="D13" s="18">
        <v>33726</v>
      </c>
      <c r="E13" s="16" t="s">
        <v>13</v>
      </c>
      <c r="F13" s="17" t="s">
        <v>44</v>
      </c>
      <c r="G13" s="12"/>
    </row>
    <row r="14" spans="1:7" ht="15.6" x14ac:dyDescent="0.3">
      <c r="A14" s="12">
        <v>6</v>
      </c>
      <c r="B14" s="16">
        <v>1007050016</v>
      </c>
      <c r="C14" s="23" t="s">
        <v>46</v>
      </c>
      <c r="D14" s="18">
        <v>33862</v>
      </c>
      <c r="E14" s="16" t="s">
        <v>20</v>
      </c>
      <c r="F14" s="17" t="s">
        <v>47</v>
      </c>
      <c r="G14" s="12"/>
    </row>
    <row r="15" spans="1:7" ht="15.6" x14ac:dyDescent="0.3">
      <c r="A15" s="6">
        <v>7</v>
      </c>
      <c r="B15" s="16">
        <v>1007030022</v>
      </c>
      <c r="C15" s="23" t="s">
        <v>48</v>
      </c>
      <c r="D15" s="18">
        <v>33837</v>
      </c>
      <c r="E15" s="16" t="s">
        <v>13</v>
      </c>
      <c r="F15" s="17" t="s">
        <v>49</v>
      </c>
      <c r="G15" s="12"/>
    </row>
    <row r="16" spans="1:7" ht="15.6" x14ac:dyDescent="0.3">
      <c r="A16" s="12">
        <v>8</v>
      </c>
      <c r="B16" s="16">
        <v>1007010084</v>
      </c>
      <c r="C16" s="23" t="s">
        <v>50</v>
      </c>
      <c r="D16" s="18">
        <v>33927</v>
      </c>
      <c r="E16" s="16" t="s">
        <v>13</v>
      </c>
      <c r="F16" s="17" t="s">
        <v>42</v>
      </c>
      <c r="G16" s="12"/>
    </row>
    <row r="17" spans="1:7" ht="15.6" x14ac:dyDescent="0.3">
      <c r="A17" s="6">
        <v>9</v>
      </c>
      <c r="B17" s="19" t="s">
        <v>51</v>
      </c>
      <c r="C17" s="23" t="s">
        <v>52</v>
      </c>
      <c r="D17" s="18">
        <v>33771</v>
      </c>
      <c r="E17" s="16" t="s">
        <v>20</v>
      </c>
      <c r="F17" s="17" t="s">
        <v>14</v>
      </c>
      <c r="G17" s="12"/>
    </row>
    <row r="18" spans="1:7" ht="15.6" x14ac:dyDescent="0.3">
      <c r="A18" s="12">
        <v>10</v>
      </c>
      <c r="B18" s="22" t="s">
        <v>53</v>
      </c>
      <c r="C18" s="23" t="s">
        <v>54</v>
      </c>
      <c r="D18" s="18">
        <v>32430</v>
      </c>
      <c r="E18" s="16" t="s">
        <v>20</v>
      </c>
      <c r="F18" s="17" t="s">
        <v>55</v>
      </c>
      <c r="G18" s="12"/>
    </row>
    <row r="19" spans="1:7" ht="15.6" x14ac:dyDescent="0.3">
      <c r="A19" s="1"/>
      <c r="B19" s="3"/>
      <c r="C19" s="1"/>
      <c r="D19" s="1"/>
      <c r="E19" s="1"/>
      <c r="F19" s="1"/>
      <c r="G19" s="1"/>
    </row>
    <row r="20" spans="1:7" ht="15.6" x14ac:dyDescent="0.3">
      <c r="A20" s="1"/>
      <c r="B20" s="3"/>
      <c r="C20" s="1"/>
      <c r="D20" s="1"/>
      <c r="E20" s="1"/>
      <c r="F20" s="1"/>
      <c r="G20" s="1"/>
    </row>
    <row r="21" spans="1:7" ht="15.6" x14ac:dyDescent="0.3">
      <c r="A21" s="1"/>
      <c r="B21" s="3"/>
      <c r="C21" s="1"/>
      <c r="D21" s="214" t="s">
        <v>31</v>
      </c>
      <c r="E21" s="214"/>
      <c r="F21" s="214"/>
      <c r="G21" s="214"/>
    </row>
    <row r="22" spans="1:7" ht="15.6" x14ac:dyDescent="0.3">
      <c r="A22" s="1"/>
      <c r="B22" s="213" t="s">
        <v>32</v>
      </c>
      <c r="C22" s="213"/>
      <c r="D22" s="1"/>
      <c r="E22" s="214" t="s">
        <v>33</v>
      </c>
      <c r="F22" s="214"/>
      <c r="G22" s="1"/>
    </row>
  </sheetData>
  <mergeCells count="8">
    <mergeCell ref="B22:C22"/>
    <mergeCell ref="E22:F22"/>
    <mergeCell ref="B1:C3"/>
    <mergeCell ref="D1:G3"/>
    <mergeCell ref="C5:F5"/>
    <mergeCell ref="C6:D6"/>
    <mergeCell ref="E6:F6"/>
    <mergeCell ref="D21:G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64D-7605-4B2A-99ED-594E87E734D8}">
  <dimension ref="A1:G22"/>
  <sheetViews>
    <sheetView topLeftCell="A7" workbookViewId="0">
      <selection sqref="A1:G22"/>
    </sheetView>
  </sheetViews>
  <sheetFormatPr defaultRowHeight="14.4" x14ac:dyDescent="0.3"/>
  <cols>
    <col min="1" max="1" width="5" customWidth="1"/>
    <col min="2" max="2" width="17.109375" customWidth="1"/>
    <col min="3" max="3" width="23.21875" customWidth="1"/>
    <col min="4" max="4" width="14.33203125" customWidth="1"/>
    <col min="6" max="6" width="11.44140625" customWidth="1"/>
    <col min="7" max="7" width="17.33203125" customWidth="1"/>
  </cols>
  <sheetData>
    <row r="1" spans="1:7" ht="15.6" x14ac:dyDescent="0.3">
      <c r="A1" s="1"/>
      <c r="B1" s="215" t="s">
        <v>0</v>
      </c>
      <c r="C1" s="214"/>
      <c r="D1" s="215" t="s">
        <v>1</v>
      </c>
      <c r="E1" s="214"/>
      <c r="F1" s="214"/>
      <c r="G1" s="214"/>
    </row>
    <row r="2" spans="1:7" ht="15.6" x14ac:dyDescent="0.3">
      <c r="A2" s="1"/>
      <c r="B2" s="214"/>
      <c r="C2" s="214"/>
      <c r="D2" s="214"/>
      <c r="E2" s="214"/>
      <c r="F2" s="214"/>
      <c r="G2" s="214"/>
    </row>
    <row r="3" spans="1:7" ht="15.6" x14ac:dyDescent="0.3">
      <c r="A3" s="1"/>
      <c r="B3" s="214"/>
      <c r="C3" s="214"/>
      <c r="D3" s="214"/>
      <c r="E3" s="214"/>
      <c r="F3" s="214"/>
      <c r="G3" s="214"/>
    </row>
    <row r="4" spans="1:7" ht="15.6" x14ac:dyDescent="0.3">
      <c r="A4" s="1"/>
      <c r="B4" s="2"/>
      <c r="C4" s="1"/>
      <c r="D4" s="1"/>
      <c r="E4" s="1"/>
      <c r="F4" s="1"/>
      <c r="G4" s="1"/>
    </row>
    <row r="5" spans="1:7" ht="18" x14ac:dyDescent="0.3">
      <c r="A5" s="1"/>
      <c r="B5" s="3"/>
      <c r="C5" s="216" t="s">
        <v>2</v>
      </c>
      <c r="D5" s="217"/>
      <c r="E5" s="217"/>
      <c r="F5" s="217"/>
      <c r="G5" s="1"/>
    </row>
    <row r="6" spans="1:7" ht="15.6" x14ac:dyDescent="0.3">
      <c r="A6" s="1"/>
      <c r="B6" s="3"/>
      <c r="C6" s="218" t="s">
        <v>3</v>
      </c>
      <c r="D6" s="218"/>
      <c r="E6" s="218" t="s">
        <v>34</v>
      </c>
      <c r="F6" s="218"/>
      <c r="G6" s="1"/>
    </row>
    <row r="7" spans="1:7" ht="15.6" x14ac:dyDescent="0.3">
      <c r="A7" s="1"/>
      <c r="B7" s="3"/>
      <c r="C7" s="1"/>
      <c r="D7" s="1"/>
      <c r="E7" s="1"/>
      <c r="F7" s="1"/>
      <c r="G7" s="1"/>
    </row>
    <row r="8" spans="1:7" ht="16.2" thickBot="1" x14ac:dyDescent="0.35">
      <c r="A8" s="4" t="s">
        <v>5</v>
      </c>
      <c r="B8" s="5" t="s">
        <v>6</v>
      </c>
      <c r="C8" s="4" t="s">
        <v>7</v>
      </c>
      <c r="D8" s="24" t="s">
        <v>8</v>
      </c>
      <c r="E8" s="4" t="s">
        <v>9</v>
      </c>
      <c r="F8" s="4" t="s">
        <v>10</v>
      </c>
      <c r="G8" s="4" t="s">
        <v>11</v>
      </c>
    </row>
    <row r="9" spans="1:7" ht="15.6" x14ac:dyDescent="0.3">
      <c r="A9" s="6">
        <v>1</v>
      </c>
      <c r="B9" s="10">
        <v>1007040004</v>
      </c>
      <c r="C9" s="21" t="s">
        <v>56</v>
      </c>
      <c r="D9" s="18">
        <v>33609</v>
      </c>
      <c r="E9" s="10" t="s">
        <v>20</v>
      </c>
      <c r="F9" s="11" t="s">
        <v>57</v>
      </c>
      <c r="G9" s="6"/>
    </row>
    <row r="10" spans="1:7" ht="15.6" x14ac:dyDescent="0.3">
      <c r="A10" s="12">
        <v>2</v>
      </c>
      <c r="B10" s="22" t="s">
        <v>58</v>
      </c>
      <c r="C10" s="23" t="s">
        <v>59</v>
      </c>
      <c r="D10" s="18">
        <v>33528</v>
      </c>
      <c r="E10" s="10" t="s">
        <v>20</v>
      </c>
      <c r="F10" s="17" t="s">
        <v>60</v>
      </c>
      <c r="G10" s="12"/>
    </row>
    <row r="11" spans="1:7" ht="15.6" x14ac:dyDescent="0.3">
      <c r="A11" s="6">
        <v>3</v>
      </c>
      <c r="B11" s="20" t="s">
        <v>61</v>
      </c>
      <c r="C11" s="23" t="s">
        <v>62</v>
      </c>
      <c r="D11" s="18">
        <v>33512</v>
      </c>
      <c r="E11" s="16" t="s">
        <v>13</v>
      </c>
      <c r="F11" s="17" t="s">
        <v>63</v>
      </c>
      <c r="G11" s="12"/>
    </row>
    <row r="12" spans="1:7" ht="15.6" x14ac:dyDescent="0.3">
      <c r="A12" s="12">
        <v>4</v>
      </c>
      <c r="B12" s="22" t="s">
        <v>64</v>
      </c>
      <c r="C12" s="23" t="s">
        <v>65</v>
      </c>
      <c r="D12" s="18">
        <v>33478</v>
      </c>
      <c r="E12" s="16" t="s">
        <v>20</v>
      </c>
      <c r="F12" s="17" t="s">
        <v>66</v>
      </c>
      <c r="G12" s="12"/>
    </row>
    <row r="13" spans="1:7" ht="15.6" x14ac:dyDescent="0.3">
      <c r="A13" s="6">
        <v>5</v>
      </c>
      <c r="B13" s="22" t="s">
        <v>67</v>
      </c>
      <c r="C13" s="23" t="s">
        <v>68</v>
      </c>
      <c r="D13" s="18">
        <v>33602</v>
      </c>
      <c r="E13" s="16" t="s">
        <v>20</v>
      </c>
      <c r="F13" s="17" t="s">
        <v>69</v>
      </c>
      <c r="G13" s="12"/>
    </row>
    <row r="14" spans="1:7" ht="15.6" x14ac:dyDescent="0.3">
      <c r="A14" s="12">
        <v>6</v>
      </c>
      <c r="B14" s="22" t="s">
        <v>70</v>
      </c>
      <c r="C14" s="23" t="s">
        <v>71</v>
      </c>
      <c r="D14" s="18">
        <v>33267</v>
      </c>
      <c r="E14" s="16" t="s">
        <v>13</v>
      </c>
      <c r="F14" s="17" t="s">
        <v>72</v>
      </c>
      <c r="G14" s="12"/>
    </row>
    <row r="15" spans="1:7" ht="15.6" x14ac:dyDescent="0.3">
      <c r="A15" s="6">
        <v>7</v>
      </c>
      <c r="B15" s="22" t="s">
        <v>73</v>
      </c>
      <c r="C15" s="23" t="s">
        <v>74</v>
      </c>
      <c r="D15" s="18">
        <v>33507</v>
      </c>
      <c r="E15" s="16" t="s">
        <v>13</v>
      </c>
      <c r="F15" s="17" t="s">
        <v>75</v>
      </c>
      <c r="G15" s="12"/>
    </row>
    <row r="16" spans="1:7" ht="15.6" x14ac:dyDescent="0.3">
      <c r="A16" s="12">
        <v>8</v>
      </c>
      <c r="B16" s="22" t="s">
        <v>76</v>
      </c>
      <c r="C16" s="23" t="s">
        <v>77</v>
      </c>
      <c r="D16" s="18">
        <v>33397</v>
      </c>
      <c r="E16" s="16" t="s">
        <v>13</v>
      </c>
      <c r="F16" s="17" t="s">
        <v>78</v>
      </c>
      <c r="G16" s="12"/>
    </row>
    <row r="17" spans="1:7" ht="15.6" x14ac:dyDescent="0.3">
      <c r="A17" s="6">
        <v>9</v>
      </c>
      <c r="B17" s="25" t="s">
        <v>79</v>
      </c>
      <c r="C17" s="23" t="s">
        <v>80</v>
      </c>
      <c r="D17" s="18">
        <v>33383</v>
      </c>
      <c r="E17" s="16" t="s">
        <v>20</v>
      </c>
      <c r="F17" s="17" t="s">
        <v>66</v>
      </c>
      <c r="G17" s="12"/>
    </row>
    <row r="18" spans="1:7" ht="15.6" x14ac:dyDescent="0.3">
      <c r="A18" s="12">
        <v>10</v>
      </c>
      <c r="B18" s="16">
        <v>1007040086</v>
      </c>
      <c r="C18" s="23" t="s">
        <v>81</v>
      </c>
      <c r="D18" s="18">
        <v>33695</v>
      </c>
      <c r="E18" s="16" t="s">
        <v>13</v>
      </c>
      <c r="F18" s="17" t="s">
        <v>57</v>
      </c>
      <c r="G18" s="12"/>
    </row>
    <row r="19" spans="1:7" ht="15.6" x14ac:dyDescent="0.3">
      <c r="A19" s="1"/>
      <c r="B19" s="3"/>
      <c r="C19" s="1"/>
      <c r="D19" s="1"/>
      <c r="E19" s="1"/>
      <c r="F19" s="1"/>
      <c r="G19" s="1"/>
    </row>
    <row r="20" spans="1:7" ht="15.6" x14ac:dyDescent="0.3">
      <c r="A20" s="1"/>
      <c r="B20" s="3"/>
      <c r="C20" s="1"/>
      <c r="D20" s="1"/>
      <c r="E20" s="1"/>
      <c r="F20" s="1"/>
      <c r="G20" s="1"/>
    </row>
    <row r="21" spans="1:7" ht="15.6" x14ac:dyDescent="0.3">
      <c r="A21" s="1"/>
      <c r="B21" s="3"/>
      <c r="C21" s="1"/>
      <c r="D21" s="214" t="s">
        <v>31</v>
      </c>
      <c r="E21" s="214"/>
      <c r="F21" s="214"/>
      <c r="G21" s="214"/>
    </row>
    <row r="22" spans="1:7" ht="15.6" x14ac:dyDescent="0.3">
      <c r="A22" s="1"/>
      <c r="B22" s="213" t="s">
        <v>32</v>
      </c>
      <c r="C22" s="213"/>
      <c r="D22" s="1"/>
      <c r="E22" s="214" t="s">
        <v>33</v>
      </c>
      <c r="F22" s="214"/>
      <c r="G22" s="1"/>
    </row>
  </sheetData>
  <mergeCells count="8">
    <mergeCell ref="B22:C22"/>
    <mergeCell ref="E22:F22"/>
    <mergeCell ref="B1:C3"/>
    <mergeCell ref="D1:G3"/>
    <mergeCell ref="C5:F5"/>
    <mergeCell ref="C6:D6"/>
    <mergeCell ref="E6:F6"/>
    <mergeCell ref="D21:G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189C-0335-4FFA-A4EC-2323F082F326}">
  <dimension ref="A1:G12"/>
  <sheetViews>
    <sheetView workbookViewId="0">
      <selection activeCell="F14" sqref="F14"/>
    </sheetView>
  </sheetViews>
  <sheetFormatPr defaultRowHeight="14.4" x14ac:dyDescent="0.3"/>
  <cols>
    <col min="6" max="6" width="16.33203125" customWidth="1"/>
    <col min="7" max="7" width="21.6640625" customWidth="1"/>
  </cols>
  <sheetData>
    <row r="1" spans="1:7" x14ac:dyDescent="0.3">
      <c r="A1" s="221" t="s">
        <v>82</v>
      </c>
      <c r="B1" s="219" t="s">
        <v>83</v>
      </c>
      <c r="C1" s="222" t="s">
        <v>84</v>
      </c>
      <c r="D1" s="219" t="s">
        <v>85</v>
      </c>
      <c r="E1" s="219" t="s">
        <v>86</v>
      </c>
      <c r="F1" s="219" t="s">
        <v>87</v>
      </c>
      <c r="G1" s="219" t="s">
        <v>88</v>
      </c>
    </row>
    <row r="2" spans="1:7" x14ac:dyDescent="0.3">
      <c r="A2" s="221"/>
      <c r="B2" s="220"/>
      <c r="C2" s="222"/>
      <c r="D2" s="220"/>
      <c r="E2" s="220"/>
      <c r="F2" s="220"/>
      <c r="G2" s="220"/>
    </row>
    <row r="3" spans="1:7" ht="15.6" x14ac:dyDescent="0.3">
      <c r="A3" s="28">
        <f>ROW() - 2</f>
        <v>1</v>
      </c>
      <c r="B3" s="29">
        <v>40940</v>
      </c>
      <c r="C3" s="30" t="s">
        <v>89</v>
      </c>
      <c r="D3" s="31">
        <v>56</v>
      </c>
      <c r="E3" s="32">
        <v>56</v>
      </c>
      <c r="F3" s="33">
        <f>E3*D3</f>
        <v>3136</v>
      </c>
      <c r="G3" s="34">
        <f>F3*21000</f>
        <v>65856000</v>
      </c>
    </row>
    <row r="4" spans="1:7" ht="15.6" x14ac:dyDescent="0.3">
      <c r="A4" s="35">
        <f t="shared" ref="A4:A12" si="0">ROW() - 2</f>
        <v>2</v>
      </c>
      <c r="B4" s="36">
        <v>40943</v>
      </c>
      <c r="C4" s="37" t="s">
        <v>90</v>
      </c>
      <c r="D4" s="38">
        <v>60</v>
      </c>
      <c r="E4" s="39">
        <v>60</v>
      </c>
      <c r="F4" s="33">
        <f t="shared" ref="F4:F12" si="1">E4*D4</f>
        <v>3600</v>
      </c>
      <c r="G4" s="34">
        <f t="shared" ref="G4:G12" si="2">F4*21000</f>
        <v>75600000</v>
      </c>
    </row>
    <row r="5" spans="1:7" ht="15.6" x14ac:dyDescent="0.3">
      <c r="A5" s="35">
        <f t="shared" si="0"/>
        <v>3</v>
      </c>
      <c r="B5" s="40">
        <v>41041</v>
      </c>
      <c r="C5" s="37" t="s">
        <v>91</v>
      </c>
      <c r="D5" s="38">
        <v>100</v>
      </c>
      <c r="E5" s="39">
        <v>100</v>
      </c>
      <c r="F5" s="33">
        <f t="shared" si="1"/>
        <v>10000</v>
      </c>
      <c r="G5" s="34">
        <f t="shared" si="2"/>
        <v>210000000</v>
      </c>
    </row>
    <row r="6" spans="1:7" ht="15.6" x14ac:dyDescent="0.3">
      <c r="A6" s="35">
        <f t="shared" si="0"/>
        <v>4</v>
      </c>
      <c r="B6" s="41">
        <v>41041</v>
      </c>
      <c r="C6" s="37" t="s">
        <v>92</v>
      </c>
      <c r="D6" s="38">
        <v>90</v>
      </c>
      <c r="E6" s="39">
        <v>90</v>
      </c>
      <c r="F6" s="33">
        <f t="shared" si="1"/>
        <v>8100</v>
      </c>
      <c r="G6" s="34">
        <f t="shared" si="2"/>
        <v>170100000</v>
      </c>
    </row>
    <row r="7" spans="1:7" ht="15.6" x14ac:dyDescent="0.3">
      <c r="A7" s="35">
        <f t="shared" si="0"/>
        <v>5</v>
      </c>
      <c r="B7" s="42">
        <v>41091</v>
      </c>
      <c r="C7" s="37" t="s">
        <v>93</v>
      </c>
      <c r="D7" s="38">
        <v>567</v>
      </c>
      <c r="E7" s="39">
        <v>567</v>
      </c>
      <c r="F7" s="33">
        <f t="shared" si="1"/>
        <v>321489</v>
      </c>
      <c r="G7" s="34">
        <f t="shared" si="2"/>
        <v>6751269000</v>
      </c>
    </row>
    <row r="8" spans="1:7" ht="15.6" x14ac:dyDescent="0.3">
      <c r="A8" s="35">
        <f t="shared" si="0"/>
        <v>6</v>
      </c>
      <c r="B8" s="41">
        <v>41117</v>
      </c>
      <c r="C8" s="37" t="s">
        <v>94</v>
      </c>
      <c r="D8" s="38">
        <v>15</v>
      </c>
      <c r="E8" s="39">
        <v>15</v>
      </c>
      <c r="F8" s="33">
        <f t="shared" si="1"/>
        <v>225</v>
      </c>
      <c r="G8" s="34">
        <f t="shared" si="2"/>
        <v>4725000</v>
      </c>
    </row>
    <row r="9" spans="1:7" ht="15.6" x14ac:dyDescent="0.3">
      <c r="A9" s="38">
        <f t="shared" si="0"/>
        <v>7</v>
      </c>
      <c r="B9" s="42">
        <v>41120</v>
      </c>
      <c r="C9" s="37" t="s">
        <v>95</v>
      </c>
      <c r="D9" s="38">
        <v>755</v>
      </c>
      <c r="E9" s="39">
        <v>755</v>
      </c>
      <c r="F9" s="33">
        <f t="shared" si="1"/>
        <v>570025</v>
      </c>
      <c r="G9" s="34">
        <f t="shared" si="2"/>
        <v>11970525000</v>
      </c>
    </row>
    <row r="10" spans="1:7" ht="15.6" x14ac:dyDescent="0.3">
      <c r="A10" s="43">
        <f t="shared" si="0"/>
        <v>8</v>
      </c>
      <c r="B10" s="41">
        <v>41120</v>
      </c>
      <c r="C10" s="37" t="s">
        <v>90</v>
      </c>
      <c r="D10" s="38">
        <v>35</v>
      </c>
      <c r="E10" s="39">
        <v>35</v>
      </c>
      <c r="F10" s="33">
        <f t="shared" si="1"/>
        <v>1225</v>
      </c>
      <c r="G10" s="34">
        <f t="shared" si="2"/>
        <v>25725000</v>
      </c>
    </row>
    <row r="11" spans="1:7" ht="15.6" x14ac:dyDescent="0.3">
      <c r="A11" s="35">
        <f t="shared" si="0"/>
        <v>9</v>
      </c>
      <c r="B11" s="41">
        <v>41143</v>
      </c>
      <c r="C11" s="37" t="s">
        <v>92</v>
      </c>
      <c r="D11" s="38">
        <v>120</v>
      </c>
      <c r="E11" s="39">
        <v>120</v>
      </c>
      <c r="F11" s="33">
        <f t="shared" si="1"/>
        <v>14400</v>
      </c>
      <c r="G11" s="34">
        <f t="shared" si="2"/>
        <v>302400000</v>
      </c>
    </row>
    <row r="12" spans="1:7" ht="15.6" x14ac:dyDescent="0.3">
      <c r="A12" s="43">
        <f t="shared" si="0"/>
        <v>10</v>
      </c>
      <c r="B12" s="44">
        <v>41254</v>
      </c>
      <c r="C12" s="45" t="s">
        <v>94</v>
      </c>
      <c r="D12" s="46">
        <v>10</v>
      </c>
      <c r="E12" s="47">
        <v>10</v>
      </c>
      <c r="F12" s="33">
        <f t="shared" si="1"/>
        <v>100</v>
      </c>
      <c r="G12" s="34">
        <f t="shared" si="2"/>
        <v>2100000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C01-55E2-4EB6-97F2-FF18432D5060}">
  <dimension ref="A1:G15"/>
  <sheetViews>
    <sheetView workbookViewId="0">
      <selection activeCell="A9" activeCellId="7" sqref="A2:XFD2 A3:XFD3 A4:XFD4 A5:XFD5 A6:XFD6 A7:XFD7 A8:XFD8 A9:XFD9"/>
    </sheetView>
  </sheetViews>
  <sheetFormatPr defaultRowHeight="14.4" x14ac:dyDescent="0.3"/>
  <cols>
    <col min="5" max="5" width="17.6640625" customWidth="1"/>
    <col min="6" max="6" width="15.33203125" customWidth="1"/>
    <col min="7" max="7" width="17.88671875" customWidth="1"/>
  </cols>
  <sheetData>
    <row r="1" spans="1:7" ht="24.6" customHeight="1" x14ac:dyDescent="0.3">
      <c r="A1" s="48" t="s">
        <v>82</v>
      </c>
      <c r="B1" s="49" t="s">
        <v>96</v>
      </c>
      <c r="C1" s="50" t="s">
        <v>97</v>
      </c>
      <c r="D1" s="49" t="s">
        <v>98</v>
      </c>
      <c r="E1" s="49" t="s">
        <v>99</v>
      </c>
      <c r="F1" s="51" t="s">
        <v>100</v>
      </c>
      <c r="G1" s="51" t="s">
        <v>101</v>
      </c>
    </row>
    <row r="2" spans="1:7" ht="20.399999999999999" customHeight="1" x14ac:dyDescent="0.3">
      <c r="A2" s="52">
        <f t="shared" ref="A2:A9" si="0">ROW() - 1</f>
        <v>1</v>
      </c>
      <c r="B2" s="53" t="s">
        <v>102</v>
      </c>
      <c r="C2" s="54" t="s">
        <v>103</v>
      </c>
      <c r="D2" s="52">
        <v>1003</v>
      </c>
      <c r="E2" s="53" t="s">
        <v>104</v>
      </c>
      <c r="F2" s="53" t="s">
        <v>105</v>
      </c>
      <c r="G2" s="55">
        <v>1800000</v>
      </c>
    </row>
    <row r="3" spans="1:7" ht="20.399999999999999" customHeight="1" x14ac:dyDescent="0.3">
      <c r="A3" s="52">
        <f t="shared" si="0"/>
        <v>2</v>
      </c>
      <c r="B3" s="53" t="s">
        <v>106</v>
      </c>
      <c r="C3" s="54" t="s">
        <v>107</v>
      </c>
      <c r="D3" s="52">
        <v>1003</v>
      </c>
      <c r="E3" s="53" t="s">
        <v>104</v>
      </c>
      <c r="F3" s="53" t="s">
        <v>108</v>
      </c>
      <c r="G3" s="55">
        <v>2200000</v>
      </c>
    </row>
    <row r="4" spans="1:7" ht="20.399999999999999" customHeight="1" x14ac:dyDescent="0.3">
      <c r="A4" s="52">
        <f t="shared" si="0"/>
        <v>3</v>
      </c>
      <c r="B4" s="53" t="s">
        <v>106</v>
      </c>
      <c r="C4" s="54" t="s">
        <v>109</v>
      </c>
      <c r="D4" s="52">
        <v>1001</v>
      </c>
      <c r="E4" s="53" t="s">
        <v>110</v>
      </c>
      <c r="F4" s="53" t="s">
        <v>111</v>
      </c>
      <c r="G4" s="55">
        <v>1600000</v>
      </c>
    </row>
    <row r="5" spans="1:7" ht="20.399999999999999" customHeight="1" x14ac:dyDescent="0.3">
      <c r="A5" s="52">
        <f t="shared" si="0"/>
        <v>4</v>
      </c>
      <c r="B5" s="53" t="s">
        <v>112</v>
      </c>
      <c r="C5" s="54" t="s">
        <v>113</v>
      </c>
      <c r="D5" s="52">
        <v>1003</v>
      </c>
      <c r="E5" s="53" t="s">
        <v>104</v>
      </c>
      <c r="F5" s="53" t="s">
        <v>114</v>
      </c>
      <c r="G5" s="55">
        <v>950000</v>
      </c>
    </row>
    <row r="6" spans="1:7" ht="20.399999999999999" customHeight="1" x14ac:dyDescent="0.3">
      <c r="A6" s="52">
        <f t="shared" si="0"/>
        <v>5</v>
      </c>
      <c r="B6" s="53" t="s">
        <v>115</v>
      </c>
      <c r="C6" s="54" t="s">
        <v>116</v>
      </c>
      <c r="D6" s="52">
        <v>1003</v>
      </c>
      <c r="E6" s="53" t="s">
        <v>117</v>
      </c>
      <c r="F6" s="53" t="s">
        <v>118</v>
      </c>
      <c r="G6" s="55">
        <v>1200000</v>
      </c>
    </row>
    <row r="7" spans="1:7" ht="20.399999999999999" customHeight="1" x14ac:dyDescent="0.3">
      <c r="A7" s="52">
        <f t="shared" si="0"/>
        <v>6</v>
      </c>
      <c r="B7" s="53" t="s">
        <v>119</v>
      </c>
      <c r="C7" s="54" t="s">
        <v>120</v>
      </c>
      <c r="D7" s="52">
        <v>1002</v>
      </c>
      <c r="E7" s="53" t="s">
        <v>121</v>
      </c>
      <c r="F7" s="53" t="s">
        <v>118</v>
      </c>
      <c r="G7" s="55">
        <v>1850000</v>
      </c>
    </row>
    <row r="8" spans="1:7" ht="20.399999999999999" customHeight="1" x14ac:dyDescent="0.3">
      <c r="A8" s="52">
        <f t="shared" si="0"/>
        <v>7</v>
      </c>
      <c r="B8" s="53" t="s">
        <v>122</v>
      </c>
      <c r="C8" s="54" t="s">
        <v>123</v>
      </c>
      <c r="D8" s="52">
        <v>1002</v>
      </c>
      <c r="E8" s="53" t="s">
        <v>121</v>
      </c>
      <c r="F8" s="53" t="s">
        <v>124</v>
      </c>
      <c r="G8" s="55">
        <v>1000000</v>
      </c>
    </row>
    <row r="9" spans="1:7" ht="20.399999999999999" customHeight="1" x14ac:dyDescent="0.3">
      <c r="A9" s="52">
        <f t="shared" si="0"/>
        <v>8</v>
      </c>
      <c r="B9" s="53" t="s">
        <v>125</v>
      </c>
      <c r="C9" s="54" t="s">
        <v>126</v>
      </c>
      <c r="D9" s="52">
        <v>6033</v>
      </c>
      <c r="E9" s="53" t="s">
        <v>127</v>
      </c>
      <c r="F9" s="53" t="s">
        <v>128</v>
      </c>
      <c r="G9" s="55">
        <v>2000000</v>
      </c>
    </row>
    <row r="12" spans="1:7" x14ac:dyDescent="0.3">
      <c r="A12" s="48" t="s">
        <v>82</v>
      </c>
      <c r="B12" s="49" t="s">
        <v>96</v>
      </c>
      <c r="C12" s="50" t="s">
        <v>97</v>
      </c>
      <c r="D12" s="49" t="s">
        <v>98</v>
      </c>
      <c r="E12" s="49" t="s">
        <v>99</v>
      </c>
      <c r="F12" s="51" t="s">
        <v>100</v>
      </c>
      <c r="G12" s="51" t="s">
        <v>101</v>
      </c>
    </row>
    <row r="13" spans="1:7" ht="27" customHeight="1" x14ac:dyDescent="0.3">
      <c r="A13" s="52">
        <f>ROW() - 12</f>
        <v>1</v>
      </c>
      <c r="B13" s="53" t="s">
        <v>102</v>
      </c>
      <c r="C13" s="54" t="s">
        <v>103</v>
      </c>
      <c r="D13" s="52">
        <v>1003</v>
      </c>
      <c r="E13" s="53" t="s">
        <v>104</v>
      </c>
      <c r="F13" s="53" t="s">
        <v>105</v>
      </c>
      <c r="G13" s="55">
        <v>1800000</v>
      </c>
    </row>
    <row r="14" spans="1:7" x14ac:dyDescent="0.3">
      <c r="A14" s="52">
        <f t="shared" ref="A14:A15" si="1">ROW() - 12</f>
        <v>2</v>
      </c>
      <c r="B14" s="53" t="s">
        <v>106</v>
      </c>
      <c r="C14" s="54" t="s">
        <v>107</v>
      </c>
      <c r="D14" s="52">
        <v>1003</v>
      </c>
      <c r="E14" s="53" t="s">
        <v>104</v>
      </c>
      <c r="F14" s="53" t="s">
        <v>108</v>
      </c>
      <c r="G14" s="55">
        <v>2200000</v>
      </c>
    </row>
    <row r="15" spans="1:7" x14ac:dyDescent="0.3">
      <c r="A15" s="52">
        <f t="shared" si="1"/>
        <v>3</v>
      </c>
      <c r="B15" s="53" t="s">
        <v>112</v>
      </c>
      <c r="C15" s="54" t="s">
        <v>113</v>
      </c>
      <c r="D15" s="52">
        <v>1003</v>
      </c>
      <c r="E15" s="53" t="s">
        <v>104</v>
      </c>
      <c r="F15" s="53" t="s">
        <v>114</v>
      </c>
      <c r="G15" s="55">
        <v>950000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F47-9660-4D47-BE44-F1F5E5152B55}">
  <dimension ref="A1:G12"/>
  <sheetViews>
    <sheetView workbookViewId="0">
      <selection activeCell="F3" sqref="F3"/>
    </sheetView>
  </sheetViews>
  <sheetFormatPr defaultRowHeight="14.4" x14ac:dyDescent="0.3"/>
  <cols>
    <col min="1" max="1" width="6.88671875" customWidth="1"/>
    <col min="2" max="2" width="11.21875" customWidth="1"/>
    <col min="3" max="3" width="16.88671875" customWidth="1"/>
    <col min="6" max="6" width="16.77734375" customWidth="1"/>
    <col min="7" max="7" width="24.33203125" customWidth="1"/>
  </cols>
  <sheetData>
    <row r="1" spans="1:7" ht="34.200000000000003" customHeight="1" x14ac:dyDescent="0.3">
      <c r="A1" s="223" t="s">
        <v>129</v>
      </c>
      <c r="B1" s="224"/>
      <c r="C1" s="224"/>
      <c r="D1" s="224"/>
      <c r="E1" s="224"/>
      <c r="F1" s="224"/>
      <c r="G1" s="224"/>
    </row>
    <row r="2" spans="1:7" ht="33.6" x14ac:dyDescent="0.3">
      <c r="A2" s="58" t="s">
        <v>5</v>
      </c>
      <c r="B2" s="59" t="s">
        <v>130</v>
      </c>
      <c r="C2" s="59" t="s">
        <v>131</v>
      </c>
      <c r="D2" s="59" t="s">
        <v>132</v>
      </c>
      <c r="E2" s="59" t="s">
        <v>133</v>
      </c>
      <c r="F2" s="59" t="s">
        <v>134</v>
      </c>
      <c r="G2" s="59" t="s">
        <v>135</v>
      </c>
    </row>
    <row r="3" spans="1:7" ht="16.8" x14ac:dyDescent="0.3">
      <c r="A3" s="60">
        <f>ROW()-2</f>
        <v>1</v>
      </c>
      <c r="B3" s="60" t="s">
        <v>136</v>
      </c>
      <c r="C3" s="61">
        <v>40941</v>
      </c>
      <c r="D3" s="60">
        <v>20</v>
      </c>
      <c r="E3" s="60">
        <v>200</v>
      </c>
      <c r="F3" s="62">
        <f t="shared" ref="F3:F12" si="0" xml:space="preserve"> D3*E3</f>
        <v>4000</v>
      </c>
      <c r="G3" s="63">
        <f t="shared" ref="G3:G12" si="1" xml:space="preserve"> F3*21000</f>
        <v>84000000</v>
      </c>
    </row>
    <row r="4" spans="1:7" ht="16.8" x14ac:dyDescent="0.3">
      <c r="A4" s="60">
        <f t="shared" ref="A4:A12" si="2">ROW()-2</f>
        <v>2</v>
      </c>
      <c r="B4" s="60" t="s">
        <v>137</v>
      </c>
      <c r="C4" s="60" t="s">
        <v>138</v>
      </c>
      <c r="D4" s="60">
        <v>9</v>
      </c>
      <c r="E4" s="60">
        <v>129</v>
      </c>
      <c r="F4" s="62">
        <f t="shared" si="0"/>
        <v>1161</v>
      </c>
      <c r="G4" s="63">
        <f t="shared" si="1"/>
        <v>24381000</v>
      </c>
    </row>
    <row r="5" spans="1:7" ht="16.8" x14ac:dyDescent="0.3">
      <c r="A5" s="60">
        <f t="shared" si="2"/>
        <v>3</v>
      </c>
      <c r="B5" s="60" t="s">
        <v>139</v>
      </c>
      <c r="C5" s="60" t="s">
        <v>140</v>
      </c>
      <c r="D5" s="60">
        <v>30</v>
      </c>
      <c r="E5" s="60">
        <v>130</v>
      </c>
      <c r="F5" s="62">
        <f t="shared" si="0"/>
        <v>3900</v>
      </c>
      <c r="G5" s="63">
        <f t="shared" si="1"/>
        <v>81900000</v>
      </c>
    </row>
    <row r="6" spans="1:7" ht="16.8" x14ac:dyDescent="0.3">
      <c r="A6" s="60">
        <f t="shared" si="2"/>
        <v>4</v>
      </c>
      <c r="B6" s="60" t="s">
        <v>141</v>
      </c>
      <c r="C6" s="61">
        <v>41034</v>
      </c>
      <c r="D6" s="60">
        <v>10</v>
      </c>
      <c r="E6" s="60">
        <v>100</v>
      </c>
      <c r="F6" s="62">
        <f t="shared" si="0"/>
        <v>1000</v>
      </c>
      <c r="G6" s="63">
        <f t="shared" si="1"/>
        <v>21000000</v>
      </c>
    </row>
    <row r="7" spans="1:7" ht="16.8" x14ac:dyDescent="0.3">
      <c r="A7" s="60">
        <f t="shared" si="2"/>
        <v>5</v>
      </c>
      <c r="B7" s="60" t="s">
        <v>141</v>
      </c>
      <c r="C7" s="60" t="s">
        <v>138</v>
      </c>
      <c r="D7" s="60">
        <v>17</v>
      </c>
      <c r="E7" s="60">
        <v>117</v>
      </c>
      <c r="F7" s="62">
        <f t="shared" si="0"/>
        <v>1989</v>
      </c>
      <c r="G7" s="63">
        <f t="shared" si="1"/>
        <v>41769000</v>
      </c>
    </row>
    <row r="8" spans="1:7" ht="16.8" x14ac:dyDescent="0.3">
      <c r="A8" s="60">
        <f t="shared" si="2"/>
        <v>6</v>
      </c>
      <c r="B8" s="60" t="s">
        <v>142</v>
      </c>
      <c r="C8" s="60" t="s">
        <v>138</v>
      </c>
      <c r="D8" s="60">
        <v>18</v>
      </c>
      <c r="E8" s="60">
        <v>218</v>
      </c>
      <c r="F8" s="62">
        <f t="shared" si="0"/>
        <v>3924</v>
      </c>
      <c r="G8" s="63">
        <f t="shared" si="1"/>
        <v>82404000</v>
      </c>
    </row>
    <row r="9" spans="1:7" ht="16.8" x14ac:dyDescent="0.3">
      <c r="A9" s="60">
        <f t="shared" si="2"/>
        <v>7</v>
      </c>
      <c r="B9" s="60" t="s">
        <v>142</v>
      </c>
      <c r="C9" s="60" t="s">
        <v>140</v>
      </c>
      <c r="D9" s="60">
        <v>4</v>
      </c>
      <c r="E9" s="60">
        <v>124</v>
      </c>
      <c r="F9" s="62">
        <f t="shared" si="0"/>
        <v>496</v>
      </c>
      <c r="G9" s="63">
        <f t="shared" si="1"/>
        <v>10416000</v>
      </c>
    </row>
    <row r="10" spans="1:7" ht="16.8" x14ac:dyDescent="0.3">
      <c r="A10" s="60">
        <f t="shared" si="2"/>
        <v>8</v>
      </c>
      <c r="B10" s="60" t="s">
        <v>143</v>
      </c>
      <c r="C10" s="61">
        <v>41041</v>
      </c>
      <c r="D10" s="60">
        <v>7</v>
      </c>
      <c r="E10" s="60">
        <v>700</v>
      </c>
      <c r="F10" s="64">
        <f t="shared" si="0"/>
        <v>4900</v>
      </c>
      <c r="G10" s="63">
        <f t="shared" si="1"/>
        <v>102900000</v>
      </c>
    </row>
    <row r="11" spans="1:7" ht="16.8" x14ac:dyDescent="0.3">
      <c r="A11" s="60">
        <f t="shared" si="2"/>
        <v>9</v>
      </c>
      <c r="B11" s="60" t="s">
        <v>144</v>
      </c>
      <c r="C11" s="61">
        <v>40943</v>
      </c>
      <c r="D11" s="60">
        <v>15</v>
      </c>
      <c r="E11" s="60">
        <v>215</v>
      </c>
      <c r="F11" s="62">
        <f t="shared" si="0"/>
        <v>3225</v>
      </c>
      <c r="G11" s="63">
        <f t="shared" si="1"/>
        <v>67725000</v>
      </c>
    </row>
    <row r="12" spans="1:7" ht="16.8" x14ac:dyDescent="0.3">
      <c r="A12" s="60">
        <f t="shared" si="2"/>
        <v>10</v>
      </c>
      <c r="B12" s="60" t="s">
        <v>145</v>
      </c>
      <c r="C12" s="61">
        <v>40943</v>
      </c>
      <c r="D12" s="60">
        <v>17</v>
      </c>
      <c r="E12" s="60">
        <v>417</v>
      </c>
      <c r="F12" s="62">
        <f t="shared" si="0"/>
        <v>7089</v>
      </c>
      <c r="G12" s="63">
        <f t="shared" si="1"/>
        <v>148869000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A1F2-67F1-417F-8D2E-393D597E5BBC}">
  <dimension ref="A1:I13"/>
  <sheetViews>
    <sheetView workbookViewId="0">
      <selection sqref="A1:I1"/>
    </sheetView>
  </sheetViews>
  <sheetFormatPr defaultRowHeight="14.4" x14ac:dyDescent="0.3"/>
  <cols>
    <col min="3" max="3" width="15.88671875" customWidth="1"/>
    <col min="4" max="4" width="12.6640625" customWidth="1"/>
    <col min="7" max="7" width="19.44140625" customWidth="1"/>
    <col min="8" max="9" width="11.5546875" customWidth="1"/>
  </cols>
  <sheetData>
    <row r="1" spans="1:9" ht="16.8" x14ac:dyDescent="0.3">
      <c r="A1" s="223" t="s">
        <v>146</v>
      </c>
      <c r="B1" s="223"/>
      <c r="C1" s="223"/>
      <c r="D1" s="223"/>
      <c r="E1" s="223"/>
      <c r="F1" s="223"/>
      <c r="G1" s="223"/>
      <c r="H1" s="223"/>
      <c r="I1" s="223"/>
    </row>
    <row r="2" spans="1:9" ht="50.4" x14ac:dyDescent="0.3">
      <c r="A2" s="65" t="s">
        <v>5</v>
      </c>
      <c r="B2" s="66" t="s">
        <v>147</v>
      </c>
      <c r="C2" s="67" t="s">
        <v>148</v>
      </c>
      <c r="D2" s="67" t="s">
        <v>149</v>
      </c>
      <c r="E2" s="68" t="s">
        <v>132</v>
      </c>
      <c r="F2" s="68" t="s">
        <v>133</v>
      </c>
      <c r="G2" s="68" t="s">
        <v>134</v>
      </c>
      <c r="H2" s="68" t="s">
        <v>150</v>
      </c>
      <c r="I2" s="68" t="s">
        <v>151</v>
      </c>
    </row>
    <row r="3" spans="1:9" ht="16.8" x14ac:dyDescent="0.3">
      <c r="A3" s="69">
        <f>ROW() - 2</f>
        <v>1</v>
      </c>
      <c r="B3" s="70" t="s">
        <v>136</v>
      </c>
      <c r="C3" s="71">
        <v>40941</v>
      </c>
      <c r="D3" s="72" t="s">
        <v>152</v>
      </c>
      <c r="E3" s="73">
        <v>20</v>
      </c>
      <c r="F3" s="73">
        <v>200</v>
      </c>
      <c r="G3" s="74">
        <f t="shared" ref="G3:G12" si="0">E3*F3</f>
        <v>4000</v>
      </c>
      <c r="H3" s="75">
        <f t="shared" ref="H3:H12" si="1">10% * G3</f>
        <v>400</v>
      </c>
      <c r="I3" s="75">
        <f t="shared" ref="I3:I12" si="2">G3+H3</f>
        <v>4400</v>
      </c>
    </row>
    <row r="4" spans="1:9" ht="16.8" x14ac:dyDescent="0.3">
      <c r="A4" s="69">
        <f t="shared" ref="A4:A12" si="3">ROW() - 2</f>
        <v>2</v>
      </c>
      <c r="B4" s="70" t="s">
        <v>137</v>
      </c>
      <c r="C4" s="69" t="s">
        <v>138</v>
      </c>
      <c r="D4" s="72" t="s">
        <v>153</v>
      </c>
      <c r="E4" s="73">
        <v>9</v>
      </c>
      <c r="F4" s="73">
        <v>129</v>
      </c>
      <c r="G4" s="74">
        <f t="shared" si="0"/>
        <v>1161</v>
      </c>
      <c r="H4" s="75">
        <f t="shared" si="1"/>
        <v>116.10000000000001</v>
      </c>
      <c r="I4" s="75">
        <f t="shared" si="2"/>
        <v>1277.0999999999999</v>
      </c>
    </row>
    <row r="5" spans="1:9" ht="16.8" x14ac:dyDescent="0.3">
      <c r="A5" s="69">
        <f t="shared" si="3"/>
        <v>3</v>
      </c>
      <c r="B5" s="70" t="s">
        <v>139</v>
      </c>
      <c r="C5" s="69" t="s">
        <v>140</v>
      </c>
      <c r="D5" s="72" t="s">
        <v>154</v>
      </c>
      <c r="E5" s="73">
        <v>30</v>
      </c>
      <c r="F5" s="73">
        <v>130</v>
      </c>
      <c r="G5" s="74">
        <f t="shared" si="0"/>
        <v>3900</v>
      </c>
      <c r="H5" s="75">
        <f t="shared" si="1"/>
        <v>390</v>
      </c>
      <c r="I5" s="75">
        <f t="shared" si="2"/>
        <v>4290</v>
      </c>
    </row>
    <row r="6" spans="1:9" ht="16.8" x14ac:dyDescent="0.3">
      <c r="A6" s="69">
        <f t="shared" si="3"/>
        <v>4</v>
      </c>
      <c r="B6" s="70" t="s">
        <v>141</v>
      </c>
      <c r="C6" s="71">
        <v>41034</v>
      </c>
      <c r="D6" s="72" t="s">
        <v>155</v>
      </c>
      <c r="E6" s="73">
        <v>10</v>
      </c>
      <c r="F6" s="73">
        <v>100</v>
      </c>
      <c r="G6" s="74">
        <f t="shared" si="0"/>
        <v>1000</v>
      </c>
      <c r="H6" s="75">
        <f t="shared" si="1"/>
        <v>100</v>
      </c>
      <c r="I6" s="75">
        <f t="shared" si="2"/>
        <v>1100</v>
      </c>
    </row>
    <row r="7" spans="1:9" ht="16.8" x14ac:dyDescent="0.3">
      <c r="A7" s="69">
        <f t="shared" si="3"/>
        <v>5</v>
      </c>
      <c r="B7" s="70" t="s">
        <v>141</v>
      </c>
      <c r="C7" s="69" t="s">
        <v>138</v>
      </c>
      <c r="D7" s="72" t="s">
        <v>155</v>
      </c>
      <c r="E7" s="73">
        <v>17</v>
      </c>
      <c r="F7" s="73">
        <v>117</v>
      </c>
      <c r="G7" s="74">
        <f t="shared" si="0"/>
        <v>1989</v>
      </c>
      <c r="H7" s="75">
        <f t="shared" si="1"/>
        <v>198.9</v>
      </c>
      <c r="I7" s="75">
        <f t="shared" si="2"/>
        <v>2187.9</v>
      </c>
    </row>
    <row r="8" spans="1:9" ht="16.8" x14ac:dyDescent="0.3">
      <c r="A8" s="69">
        <f t="shared" si="3"/>
        <v>6</v>
      </c>
      <c r="B8" s="70" t="s">
        <v>142</v>
      </c>
      <c r="C8" s="69" t="s">
        <v>138</v>
      </c>
      <c r="D8" s="72" t="s">
        <v>156</v>
      </c>
      <c r="E8" s="73">
        <v>18</v>
      </c>
      <c r="F8" s="73">
        <v>218</v>
      </c>
      <c r="G8" s="74">
        <f t="shared" si="0"/>
        <v>3924</v>
      </c>
      <c r="H8" s="75">
        <f t="shared" si="1"/>
        <v>392.40000000000003</v>
      </c>
      <c r="I8" s="75">
        <f t="shared" si="2"/>
        <v>4316.3999999999996</v>
      </c>
    </row>
    <row r="9" spans="1:9" ht="16.8" x14ac:dyDescent="0.3">
      <c r="A9" s="69">
        <f t="shared" si="3"/>
        <v>7</v>
      </c>
      <c r="B9" s="70" t="s">
        <v>142</v>
      </c>
      <c r="C9" s="69" t="s">
        <v>140</v>
      </c>
      <c r="D9" s="72" t="s">
        <v>156</v>
      </c>
      <c r="E9" s="73">
        <v>4</v>
      </c>
      <c r="F9" s="73">
        <v>124</v>
      </c>
      <c r="G9" s="74">
        <f t="shared" si="0"/>
        <v>496</v>
      </c>
      <c r="H9" s="75">
        <f t="shared" si="1"/>
        <v>49.6</v>
      </c>
      <c r="I9" s="75">
        <f t="shared" si="2"/>
        <v>545.6</v>
      </c>
    </row>
    <row r="10" spans="1:9" ht="16.8" x14ac:dyDescent="0.3">
      <c r="A10" s="69">
        <f t="shared" si="3"/>
        <v>8</v>
      </c>
      <c r="B10" s="70" t="s">
        <v>143</v>
      </c>
      <c r="C10" s="71">
        <v>41041</v>
      </c>
      <c r="D10" s="72" t="s">
        <v>157</v>
      </c>
      <c r="E10" s="73">
        <v>7</v>
      </c>
      <c r="F10" s="73">
        <v>700</v>
      </c>
      <c r="G10" s="74">
        <f t="shared" si="0"/>
        <v>4900</v>
      </c>
      <c r="H10" s="75">
        <f t="shared" si="1"/>
        <v>490</v>
      </c>
      <c r="I10" s="75">
        <f t="shared" si="2"/>
        <v>5390</v>
      </c>
    </row>
    <row r="11" spans="1:9" ht="16.8" x14ac:dyDescent="0.3">
      <c r="A11" s="69">
        <f t="shared" si="3"/>
        <v>9</v>
      </c>
      <c r="B11" s="70" t="s">
        <v>144</v>
      </c>
      <c r="C11" s="71">
        <v>40943</v>
      </c>
      <c r="D11" s="72" t="s">
        <v>158</v>
      </c>
      <c r="E11" s="73">
        <v>15</v>
      </c>
      <c r="F11" s="73">
        <v>215</v>
      </c>
      <c r="G11" s="74">
        <f t="shared" si="0"/>
        <v>3225</v>
      </c>
      <c r="H11" s="75">
        <f t="shared" si="1"/>
        <v>322.5</v>
      </c>
      <c r="I11" s="75">
        <f t="shared" si="2"/>
        <v>3547.5</v>
      </c>
    </row>
    <row r="12" spans="1:9" ht="16.8" x14ac:dyDescent="0.3">
      <c r="A12" s="69">
        <f t="shared" si="3"/>
        <v>10</v>
      </c>
      <c r="B12" s="70" t="s">
        <v>145</v>
      </c>
      <c r="C12" s="71">
        <v>40943</v>
      </c>
      <c r="D12" s="72" t="s">
        <v>158</v>
      </c>
      <c r="E12" s="73">
        <v>17</v>
      </c>
      <c r="F12" s="73">
        <v>417</v>
      </c>
      <c r="G12" s="74">
        <f t="shared" si="0"/>
        <v>7089</v>
      </c>
      <c r="H12" s="75">
        <f t="shared" si="1"/>
        <v>708.90000000000009</v>
      </c>
      <c r="I12" s="75">
        <f t="shared" si="2"/>
        <v>7797.9</v>
      </c>
    </row>
    <row r="13" spans="1:9" ht="16.8" x14ac:dyDescent="0.3">
      <c r="A13" s="69"/>
      <c r="B13" s="225" t="s">
        <v>159</v>
      </c>
      <c r="C13" s="225"/>
      <c r="D13" s="225"/>
      <c r="E13" s="76">
        <f>SUM(E3:E12)</f>
        <v>147</v>
      </c>
      <c r="F13" s="76">
        <f t="shared" ref="F13:I13" si="4">SUM(F3:F12)</f>
        <v>2350</v>
      </c>
      <c r="G13" s="77">
        <f t="shared" si="4"/>
        <v>31684</v>
      </c>
      <c r="H13" s="76">
        <f t="shared" si="4"/>
        <v>3168.4</v>
      </c>
      <c r="I13" s="76">
        <f t="shared" si="4"/>
        <v>34852.400000000001</v>
      </c>
    </row>
  </sheetData>
  <mergeCells count="2">
    <mergeCell ref="A1:I1"/>
    <mergeCell ref="B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335E-8A0E-4B7D-B407-3927A9F219DA}">
  <dimension ref="A1:O12"/>
  <sheetViews>
    <sheetView workbookViewId="0">
      <selection activeCell="I8" sqref="I8"/>
    </sheetView>
  </sheetViews>
  <sheetFormatPr defaultRowHeight="14.4" x14ac:dyDescent="0.3"/>
  <cols>
    <col min="2" max="5" width="10.5546875" customWidth="1"/>
    <col min="6" max="6" width="13.33203125" customWidth="1"/>
    <col min="7" max="10" width="10.5546875" customWidth="1"/>
    <col min="12" max="12" width="39.109375" customWidth="1"/>
    <col min="13" max="13" width="14.44140625" customWidth="1"/>
    <col min="14" max="14" width="11.88671875" customWidth="1"/>
    <col min="15" max="15" width="16.88671875" customWidth="1"/>
  </cols>
  <sheetData>
    <row r="1" spans="1:15" ht="16.8" x14ac:dyDescent="0.3">
      <c r="A1" s="226" t="s">
        <v>160</v>
      </c>
      <c r="B1" s="227"/>
      <c r="C1" s="227"/>
      <c r="D1" s="227"/>
      <c r="E1" s="227"/>
      <c r="F1" s="227"/>
      <c r="G1" s="227"/>
      <c r="H1" s="227"/>
      <c r="I1" s="228"/>
      <c r="J1" s="78"/>
      <c r="K1" s="79"/>
      <c r="L1" s="79"/>
      <c r="M1" s="79"/>
      <c r="N1" s="79"/>
      <c r="O1" s="79"/>
    </row>
    <row r="2" spans="1:15" ht="18.600000000000001" customHeight="1" x14ac:dyDescent="0.3">
      <c r="A2" s="59" t="s">
        <v>82</v>
      </c>
      <c r="B2" s="59" t="s">
        <v>97</v>
      </c>
      <c r="C2" s="59" t="s">
        <v>9</v>
      </c>
      <c r="D2" s="59" t="s">
        <v>161</v>
      </c>
      <c r="E2" s="59" t="s">
        <v>162</v>
      </c>
      <c r="F2" s="59" t="s">
        <v>163</v>
      </c>
      <c r="G2" s="59" t="s">
        <v>164</v>
      </c>
      <c r="H2" s="59" t="s">
        <v>165</v>
      </c>
      <c r="I2" s="59" t="s">
        <v>166</v>
      </c>
      <c r="J2" s="59" t="s">
        <v>167</v>
      </c>
      <c r="K2" s="80"/>
      <c r="L2" s="59" t="s">
        <v>168</v>
      </c>
      <c r="M2" s="59" t="s">
        <v>169</v>
      </c>
      <c r="N2" s="59" t="s">
        <v>170</v>
      </c>
      <c r="O2" s="59" t="s">
        <v>171</v>
      </c>
    </row>
    <row r="3" spans="1:15" ht="18.600000000000001" customHeight="1" x14ac:dyDescent="0.3">
      <c r="A3" s="81">
        <f>ROW() - 2</f>
        <v>1</v>
      </c>
      <c r="B3" s="82" t="s">
        <v>172</v>
      </c>
      <c r="C3" s="81" t="s">
        <v>173</v>
      </c>
      <c r="D3" s="81">
        <v>4</v>
      </c>
      <c r="E3" s="81">
        <v>7</v>
      </c>
      <c r="F3" s="81">
        <v>2</v>
      </c>
      <c r="G3" s="83">
        <f>(D3*2 + E3*2 + F3)/5</f>
        <v>4.8</v>
      </c>
      <c r="H3" s="84" t="str">
        <f>IF(G3&gt;=5,"Đỗ","Trượt")</f>
        <v>Trượt</v>
      </c>
      <c r="I3" s="84">
        <f>RANK(G3,$G$3:$G$12,0)</f>
        <v>9</v>
      </c>
      <c r="J3" s="85">
        <f>IF(I3=1,200000,IF(I3=2,100000,))</f>
        <v>0</v>
      </c>
      <c r="K3" s="80"/>
      <c r="L3" s="81" t="s">
        <v>174</v>
      </c>
      <c r="M3" s="81">
        <f>MAX(D3:D12)</f>
        <v>10</v>
      </c>
      <c r="N3" s="81">
        <f>MAX(E3:E12)</f>
        <v>10</v>
      </c>
      <c r="O3" s="81">
        <f>MAX(F3:F12)</f>
        <v>10</v>
      </c>
    </row>
    <row r="4" spans="1:15" ht="18.600000000000001" customHeight="1" x14ac:dyDescent="0.3">
      <c r="A4" s="81">
        <f>ROW() - 2</f>
        <v>2</v>
      </c>
      <c r="B4" s="82" t="s">
        <v>175</v>
      </c>
      <c r="C4" s="81" t="s">
        <v>176</v>
      </c>
      <c r="D4" s="81">
        <v>6</v>
      </c>
      <c r="E4" s="81">
        <v>8</v>
      </c>
      <c r="F4" s="81">
        <v>9</v>
      </c>
      <c r="G4" s="83">
        <f t="shared" ref="G4:G12" si="0">(D4*2 + E4*2 + F4)/5</f>
        <v>7.4</v>
      </c>
      <c r="H4" s="84" t="str">
        <f t="shared" ref="H4:H12" si="1">IF(G4&gt;=5,"Đỗ","Trượt")</f>
        <v>Đỗ</v>
      </c>
      <c r="I4" s="84">
        <f t="shared" ref="I4:I12" si="2">RANK(G4,$G$3:$G$12,0)</f>
        <v>6</v>
      </c>
      <c r="J4" s="85">
        <f t="shared" ref="J4:J12" si="3">IF(I4=1,200000,IF(I4=2,100000,))</f>
        <v>0</v>
      </c>
      <c r="K4" s="80"/>
      <c r="L4" s="81" t="s">
        <v>177</v>
      </c>
      <c r="M4" s="81">
        <f>MIN(D3:D12)</f>
        <v>4</v>
      </c>
      <c r="N4" s="81">
        <f>MIN(E3:E12)</f>
        <v>4</v>
      </c>
      <c r="O4" s="81">
        <f>MIN(F3:F12)</f>
        <v>2</v>
      </c>
    </row>
    <row r="5" spans="1:15" ht="18.600000000000001" customHeight="1" x14ac:dyDescent="0.3">
      <c r="A5" s="81">
        <f t="shared" ref="A5:A12" si="4">ROW() - 2</f>
        <v>3</v>
      </c>
      <c r="B5" s="82" t="s">
        <v>178</v>
      </c>
      <c r="C5" s="81" t="s">
        <v>176</v>
      </c>
      <c r="D5" s="81">
        <v>8</v>
      </c>
      <c r="E5" s="81">
        <v>9</v>
      </c>
      <c r="F5" s="81">
        <v>4</v>
      </c>
      <c r="G5" s="83">
        <f t="shared" si="0"/>
        <v>7.6</v>
      </c>
      <c r="H5" s="84" t="str">
        <f t="shared" si="1"/>
        <v>Đỗ</v>
      </c>
      <c r="I5" s="84">
        <f t="shared" si="2"/>
        <v>4</v>
      </c>
      <c r="J5" s="85">
        <f t="shared" si="3"/>
        <v>0</v>
      </c>
      <c r="K5" s="80"/>
      <c r="L5" s="81" t="s">
        <v>164</v>
      </c>
      <c r="M5" s="81">
        <f>AVERAGE(D3:D12)</f>
        <v>6.6</v>
      </c>
      <c r="N5" s="81">
        <f>AVERAGE(E3:E12)</f>
        <v>7.7</v>
      </c>
      <c r="O5" s="81">
        <f>AVERAGE(F3:F12)</f>
        <v>7.1</v>
      </c>
    </row>
    <row r="6" spans="1:15" ht="18.600000000000001" customHeight="1" x14ac:dyDescent="0.3">
      <c r="A6" s="81">
        <f t="shared" si="4"/>
        <v>4</v>
      </c>
      <c r="B6" s="82" t="s">
        <v>175</v>
      </c>
      <c r="C6" s="81" t="s">
        <v>173</v>
      </c>
      <c r="D6" s="81">
        <v>9</v>
      </c>
      <c r="E6" s="81">
        <v>10</v>
      </c>
      <c r="F6" s="81">
        <v>10</v>
      </c>
      <c r="G6" s="83">
        <f t="shared" si="0"/>
        <v>9.6</v>
      </c>
      <c r="H6" s="84" t="str">
        <f t="shared" si="1"/>
        <v>Đỗ</v>
      </c>
      <c r="I6" s="84">
        <f t="shared" si="2"/>
        <v>1</v>
      </c>
      <c r="J6" s="85">
        <f t="shared" si="3"/>
        <v>200000</v>
      </c>
      <c r="K6" s="80"/>
      <c r="L6" s="81" t="s">
        <v>179</v>
      </c>
      <c r="M6" s="81">
        <f>AVERAGEIF($C$3:$C$12,"Nam",D3:D12)</f>
        <v>6.6</v>
      </c>
      <c r="N6" s="81">
        <f>AVERAGEIF($C$3:$C$12,"Nam",E3:E12)</f>
        <v>7.6</v>
      </c>
      <c r="O6" s="81">
        <f>AVERAGEIF($C$3:$C$12,"Nam",F3:F12)</f>
        <v>6.8</v>
      </c>
    </row>
    <row r="7" spans="1:15" ht="17.399999999999999" x14ac:dyDescent="0.3">
      <c r="A7" s="81">
        <f t="shared" si="4"/>
        <v>5</v>
      </c>
      <c r="B7" s="82" t="s">
        <v>180</v>
      </c>
      <c r="C7" s="81" t="s">
        <v>173</v>
      </c>
      <c r="D7" s="81">
        <v>5</v>
      </c>
      <c r="E7" s="81">
        <v>8</v>
      </c>
      <c r="F7" s="81">
        <v>7</v>
      </c>
      <c r="G7" s="83">
        <f t="shared" si="0"/>
        <v>6.6</v>
      </c>
      <c r="H7" s="84" t="str">
        <f t="shared" si="1"/>
        <v>Đỗ</v>
      </c>
      <c r="I7" s="84">
        <f t="shared" si="2"/>
        <v>7</v>
      </c>
      <c r="J7" s="85">
        <f t="shared" si="3"/>
        <v>0</v>
      </c>
      <c r="K7" s="80"/>
      <c r="L7" s="80"/>
      <c r="M7" s="80"/>
      <c r="N7" s="80"/>
      <c r="O7" s="80"/>
    </row>
    <row r="8" spans="1:15" ht="17.399999999999999" x14ac:dyDescent="0.3">
      <c r="A8" s="81">
        <f t="shared" si="4"/>
        <v>6</v>
      </c>
      <c r="B8" s="82" t="s">
        <v>181</v>
      </c>
      <c r="C8" s="81" t="s">
        <v>176</v>
      </c>
      <c r="D8" s="81">
        <v>5</v>
      </c>
      <c r="E8" s="81">
        <v>4</v>
      </c>
      <c r="F8" s="81">
        <v>4</v>
      </c>
      <c r="G8" s="83">
        <f t="shared" si="0"/>
        <v>4.4000000000000004</v>
      </c>
      <c r="H8" s="84" t="str">
        <f t="shared" si="1"/>
        <v>Trượt</v>
      </c>
      <c r="I8" s="84">
        <f t="shared" si="2"/>
        <v>10</v>
      </c>
      <c r="J8" s="85">
        <f t="shared" si="3"/>
        <v>0</v>
      </c>
      <c r="K8" s="80"/>
      <c r="L8" s="80"/>
      <c r="M8" s="80"/>
      <c r="N8" s="80"/>
      <c r="O8" s="80"/>
    </row>
    <row r="9" spans="1:15" ht="17.399999999999999" x14ac:dyDescent="0.3">
      <c r="A9" s="81">
        <f t="shared" si="4"/>
        <v>7</v>
      </c>
      <c r="B9" s="82" t="s">
        <v>182</v>
      </c>
      <c r="C9" s="81" t="s">
        <v>173</v>
      </c>
      <c r="D9" s="81">
        <v>9</v>
      </c>
      <c r="E9" s="81">
        <v>6</v>
      </c>
      <c r="F9" s="81">
        <v>9</v>
      </c>
      <c r="G9" s="83">
        <f t="shared" si="0"/>
        <v>7.8</v>
      </c>
      <c r="H9" s="84" t="str">
        <f t="shared" si="1"/>
        <v>Đỗ</v>
      </c>
      <c r="I9" s="84">
        <f t="shared" si="2"/>
        <v>3</v>
      </c>
      <c r="J9" s="85">
        <f t="shared" si="3"/>
        <v>0</v>
      </c>
      <c r="K9" s="80"/>
      <c r="L9" s="80"/>
      <c r="M9" s="80"/>
      <c r="N9" s="80"/>
      <c r="O9" s="80"/>
    </row>
    <row r="10" spans="1:15" ht="17.399999999999999" x14ac:dyDescent="0.3">
      <c r="A10" s="81">
        <f t="shared" si="4"/>
        <v>8</v>
      </c>
      <c r="B10" s="82" t="s">
        <v>183</v>
      </c>
      <c r="C10" s="81" t="s">
        <v>176</v>
      </c>
      <c r="D10" s="81">
        <v>4</v>
      </c>
      <c r="E10" s="81">
        <v>10</v>
      </c>
      <c r="F10" s="81">
        <v>10</v>
      </c>
      <c r="G10" s="83">
        <f t="shared" si="0"/>
        <v>7.6</v>
      </c>
      <c r="H10" s="84" t="str">
        <f t="shared" si="1"/>
        <v>Đỗ</v>
      </c>
      <c r="I10" s="84">
        <f t="shared" si="2"/>
        <v>4</v>
      </c>
      <c r="J10" s="85">
        <f t="shared" si="3"/>
        <v>0</v>
      </c>
      <c r="K10" s="80"/>
      <c r="L10" s="80"/>
      <c r="M10" s="80"/>
      <c r="N10" s="80"/>
      <c r="O10" s="80"/>
    </row>
    <row r="11" spans="1:15" ht="17.399999999999999" x14ac:dyDescent="0.3">
      <c r="A11" s="81">
        <f t="shared" si="4"/>
        <v>9</v>
      </c>
      <c r="B11" s="82" t="s">
        <v>113</v>
      </c>
      <c r="C11" s="81" t="s">
        <v>173</v>
      </c>
      <c r="D11" s="81">
        <v>6</v>
      </c>
      <c r="E11" s="81">
        <v>7</v>
      </c>
      <c r="F11" s="81">
        <v>6</v>
      </c>
      <c r="G11" s="83">
        <f t="shared" si="0"/>
        <v>6.4</v>
      </c>
      <c r="H11" s="84" t="str">
        <f t="shared" si="1"/>
        <v>Đỗ</v>
      </c>
      <c r="I11" s="84">
        <f t="shared" si="2"/>
        <v>8</v>
      </c>
      <c r="J11" s="85">
        <f t="shared" si="3"/>
        <v>0</v>
      </c>
      <c r="K11" s="80"/>
      <c r="L11" s="80"/>
      <c r="M11" s="80"/>
      <c r="N11" s="80"/>
      <c r="O11" s="80"/>
    </row>
    <row r="12" spans="1:15" ht="17.399999999999999" x14ac:dyDescent="0.3">
      <c r="A12" s="81">
        <f t="shared" si="4"/>
        <v>10</v>
      </c>
      <c r="B12" s="82" t="s">
        <v>184</v>
      </c>
      <c r="C12" s="81" t="s">
        <v>176</v>
      </c>
      <c r="D12" s="81">
        <v>10</v>
      </c>
      <c r="E12" s="81">
        <v>8</v>
      </c>
      <c r="F12" s="81">
        <v>10</v>
      </c>
      <c r="G12" s="83">
        <f t="shared" si="0"/>
        <v>9.1999999999999993</v>
      </c>
      <c r="H12" s="84" t="str">
        <f t="shared" si="1"/>
        <v>Đỗ</v>
      </c>
      <c r="I12" s="84">
        <f t="shared" si="2"/>
        <v>2</v>
      </c>
      <c r="J12" s="85">
        <f t="shared" si="3"/>
        <v>100000</v>
      </c>
      <c r="K12" s="80"/>
      <c r="L12" s="80"/>
      <c r="M12" s="80"/>
      <c r="N12" s="80"/>
      <c r="O12" s="80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BC4A-BF70-4BDF-B3F8-2FA625BA870F}">
  <dimension ref="A1:H10"/>
  <sheetViews>
    <sheetView topLeftCell="A4" workbookViewId="0">
      <selection sqref="A1:H1"/>
    </sheetView>
  </sheetViews>
  <sheetFormatPr defaultRowHeight="14.4" x14ac:dyDescent="0.3"/>
  <cols>
    <col min="1" max="1" width="6.33203125" customWidth="1"/>
    <col min="2" max="2" width="20.109375" customWidth="1"/>
    <col min="3" max="3" width="11.77734375" customWidth="1"/>
    <col min="6" max="6" width="13.109375" customWidth="1"/>
    <col min="7" max="7" width="14.77734375" customWidth="1"/>
    <col min="8" max="8" width="17.88671875" customWidth="1"/>
  </cols>
  <sheetData>
    <row r="1" spans="1:8" ht="16.8" x14ac:dyDescent="0.3">
      <c r="A1" s="229" t="s">
        <v>185</v>
      </c>
      <c r="B1" s="230"/>
      <c r="C1" s="230"/>
      <c r="D1" s="230"/>
      <c r="E1" s="230"/>
      <c r="F1" s="230"/>
      <c r="G1" s="230"/>
      <c r="H1" s="230"/>
    </row>
    <row r="2" spans="1:8" ht="33.6" x14ac:dyDescent="0.3">
      <c r="A2" s="86" t="s">
        <v>82</v>
      </c>
      <c r="B2" s="59" t="s">
        <v>96</v>
      </c>
      <c r="C2" s="87" t="s">
        <v>97</v>
      </c>
      <c r="D2" s="87" t="s">
        <v>9</v>
      </c>
      <c r="E2" s="59" t="s">
        <v>186</v>
      </c>
      <c r="F2" s="59" t="s">
        <v>187</v>
      </c>
      <c r="G2" s="59" t="s">
        <v>188</v>
      </c>
      <c r="H2" s="59" t="s">
        <v>189</v>
      </c>
    </row>
    <row r="3" spans="1:8" ht="16.8" x14ac:dyDescent="0.3">
      <c r="A3" s="75">
        <v>1</v>
      </c>
      <c r="B3" s="88" t="s">
        <v>190</v>
      </c>
      <c r="C3" s="88" t="s">
        <v>116</v>
      </c>
      <c r="D3" s="88" t="s">
        <v>173</v>
      </c>
      <c r="E3" s="60">
        <v>25</v>
      </c>
      <c r="F3" s="89" t="str">
        <f>IF(D3="Nữ",200000,"")</f>
        <v/>
      </c>
      <c r="G3" s="90">
        <f>IF(E3&gt;=24,300000,"")</f>
        <v>300000</v>
      </c>
      <c r="H3" s="90" t="str">
        <f>IF(D3="Nam",IF(E3&gt;26,100000,""),IF(E3&gt;25,100000,""))</f>
        <v/>
      </c>
    </row>
    <row r="4" spans="1:8" ht="16.8" x14ac:dyDescent="0.3">
      <c r="A4" s="75">
        <v>2</v>
      </c>
      <c r="B4" s="88" t="s">
        <v>191</v>
      </c>
      <c r="C4" s="88" t="s">
        <v>192</v>
      </c>
      <c r="D4" s="88" t="s">
        <v>173</v>
      </c>
      <c r="E4" s="60">
        <v>24</v>
      </c>
      <c r="F4" s="89" t="str">
        <f t="shared" ref="F4:F10" si="0">IF(D4="Nữ",200000,"")</f>
        <v/>
      </c>
      <c r="G4" s="90">
        <f t="shared" ref="G4:G10" si="1">IF(E4&gt;=24,300000,"")</f>
        <v>300000</v>
      </c>
      <c r="H4" s="90" t="str">
        <f t="shared" ref="H4:H10" si="2">IF(D4="Nam",IF(E4&gt;26,100000,""),IF(E4&gt;25,100000,""))</f>
        <v/>
      </c>
    </row>
    <row r="5" spans="1:8" ht="16.8" x14ac:dyDescent="0.3">
      <c r="A5" s="75">
        <v>3</v>
      </c>
      <c r="B5" s="88" t="s">
        <v>193</v>
      </c>
      <c r="C5" s="88" t="s">
        <v>194</v>
      </c>
      <c r="D5" s="88" t="s">
        <v>176</v>
      </c>
      <c r="E5" s="60">
        <v>26</v>
      </c>
      <c r="F5" s="89">
        <f t="shared" si="0"/>
        <v>200000</v>
      </c>
      <c r="G5" s="90">
        <f t="shared" si="1"/>
        <v>300000</v>
      </c>
      <c r="H5" s="90">
        <f t="shared" si="2"/>
        <v>100000</v>
      </c>
    </row>
    <row r="6" spans="1:8" ht="16.8" x14ac:dyDescent="0.3">
      <c r="A6" s="75">
        <v>4</v>
      </c>
      <c r="B6" s="88" t="s">
        <v>191</v>
      </c>
      <c r="C6" s="88" t="s">
        <v>195</v>
      </c>
      <c r="D6" s="88" t="s">
        <v>176</v>
      </c>
      <c r="E6" s="60">
        <v>22</v>
      </c>
      <c r="F6" s="89">
        <f t="shared" si="0"/>
        <v>200000</v>
      </c>
      <c r="G6" s="90" t="str">
        <f t="shared" si="1"/>
        <v/>
      </c>
      <c r="H6" s="90" t="str">
        <f t="shared" si="2"/>
        <v/>
      </c>
    </row>
    <row r="7" spans="1:8" ht="16.8" x14ac:dyDescent="0.3">
      <c r="A7" s="75">
        <v>5</v>
      </c>
      <c r="B7" s="88" t="s">
        <v>196</v>
      </c>
      <c r="C7" s="88" t="s">
        <v>197</v>
      </c>
      <c r="D7" s="88" t="s">
        <v>173</v>
      </c>
      <c r="E7" s="60">
        <v>27</v>
      </c>
      <c r="F7" s="89" t="str">
        <f t="shared" si="0"/>
        <v/>
      </c>
      <c r="G7" s="90">
        <f t="shared" si="1"/>
        <v>300000</v>
      </c>
      <c r="H7" s="90">
        <f t="shared" si="2"/>
        <v>100000</v>
      </c>
    </row>
    <row r="8" spans="1:8" ht="16.8" x14ac:dyDescent="0.3">
      <c r="A8" s="75">
        <v>6</v>
      </c>
      <c r="B8" s="88" t="s">
        <v>198</v>
      </c>
      <c r="C8" s="88" t="s">
        <v>199</v>
      </c>
      <c r="D8" s="88" t="s">
        <v>176</v>
      </c>
      <c r="E8" s="60">
        <v>25</v>
      </c>
      <c r="F8" s="89">
        <f t="shared" si="0"/>
        <v>200000</v>
      </c>
      <c r="G8" s="90">
        <f t="shared" si="1"/>
        <v>300000</v>
      </c>
      <c r="H8" s="90" t="str">
        <f t="shared" si="2"/>
        <v/>
      </c>
    </row>
    <row r="9" spans="1:8" ht="16.8" x14ac:dyDescent="0.3">
      <c r="A9" s="75">
        <v>7</v>
      </c>
      <c r="B9" s="88" t="s">
        <v>200</v>
      </c>
      <c r="C9" s="88" t="s">
        <v>201</v>
      </c>
      <c r="D9" s="88" t="s">
        <v>173</v>
      </c>
      <c r="E9" s="60">
        <v>21</v>
      </c>
      <c r="F9" s="89" t="str">
        <f t="shared" si="0"/>
        <v/>
      </c>
      <c r="G9" s="90" t="str">
        <f t="shared" si="1"/>
        <v/>
      </c>
      <c r="H9" s="90" t="str">
        <f t="shared" si="2"/>
        <v/>
      </c>
    </row>
    <row r="10" spans="1:8" ht="16.8" x14ac:dyDescent="0.3">
      <c r="A10" s="75">
        <v>8</v>
      </c>
      <c r="B10" s="88" t="s">
        <v>202</v>
      </c>
      <c r="C10" s="88" t="s">
        <v>203</v>
      </c>
      <c r="D10" s="88" t="s">
        <v>176</v>
      </c>
      <c r="E10" s="60">
        <v>26</v>
      </c>
      <c r="F10" s="89">
        <f t="shared" si="0"/>
        <v>200000</v>
      </c>
      <c r="G10" s="90">
        <f t="shared" si="1"/>
        <v>300000</v>
      </c>
      <c r="H10" s="90">
        <f t="shared" si="2"/>
        <v>100000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031E-1BB0-4611-B292-89AA8B6195A8}">
  <dimension ref="A1:M12"/>
  <sheetViews>
    <sheetView workbookViewId="0">
      <selection activeCell="A2" sqref="A2"/>
    </sheetView>
  </sheetViews>
  <sheetFormatPr defaultRowHeight="14.4" x14ac:dyDescent="0.3"/>
  <cols>
    <col min="3" max="3" width="13" customWidth="1"/>
    <col min="4" max="4" width="15.6640625" customWidth="1"/>
    <col min="6" max="6" width="11.77734375" customWidth="1"/>
    <col min="7" max="7" width="11.88671875" customWidth="1"/>
    <col min="9" max="9" width="10.6640625" customWidth="1"/>
  </cols>
  <sheetData>
    <row r="1" spans="1:13" ht="17.399999999999999" x14ac:dyDescent="0.3">
      <c r="A1" s="231" t="s">
        <v>204</v>
      </c>
      <c r="B1" s="231"/>
      <c r="C1" s="231"/>
      <c r="D1" s="231"/>
      <c r="E1" s="231"/>
      <c r="F1" s="231"/>
      <c r="G1" s="231"/>
    </row>
    <row r="2" spans="1:13" x14ac:dyDescent="0.3">
      <c r="A2" s="91" t="s">
        <v>5</v>
      </c>
      <c r="B2" s="92" t="s">
        <v>84</v>
      </c>
      <c r="C2" s="93" t="s">
        <v>149</v>
      </c>
      <c r="D2" s="94" t="s">
        <v>131</v>
      </c>
      <c r="E2" s="94" t="s">
        <v>132</v>
      </c>
      <c r="F2" s="94" t="s">
        <v>133</v>
      </c>
      <c r="G2" s="94" t="s">
        <v>205</v>
      </c>
      <c r="I2" s="95" t="s">
        <v>84</v>
      </c>
      <c r="J2" s="95" t="s">
        <v>133</v>
      </c>
      <c r="L2" s="95" t="s">
        <v>149</v>
      </c>
      <c r="M2" s="95" t="s">
        <v>206</v>
      </c>
    </row>
    <row r="3" spans="1:13" ht="16.8" x14ac:dyDescent="0.3">
      <c r="A3" s="96">
        <f>ROW() - 2</f>
        <v>1</v>
      </c>
      <c r="B3" s="97" t="s">
        <v>207</v>
      </c>
      <c r="C3" s="96" t="str">
        <f>IF(B3="CT","Công tắc","Bóng đèn")</f>
        <v>Bóng đèn</v>
      </c>
      <c r="D3" s="98">
        <v>41034</v>
      </c>
      <c r="E3" s="99">
        <v>12</v>
      </c>
      <c r="F3" s="99">
        <f>IF(RIGHT(B3,2)="DQ",12000,IF(RIGHT(B3,2)="TS",14500,IF(RIGHT(B3,2)="NT",16000,IF(RIGHT(B3,2)="GN",15000,IF(RIGHT(B3,2)="CT",3000)))))</f>
        <v>12000</v>
      </c>
      <c r="G3" s="99">
        <f>IF(AND(YEAR(D3)&gt;=2012,MONTH(D3)&gt;=6,DAY(D3)&gt;1),E3*F3*90%,E3*F3)</f>
        <v>144000</v>
      </c>
      <c r="H3" s="100"/>
      <c r="I3" s="101" t="s">
        <v>208</v>
      </c>
      <c r="J3" s="102">
        <v>12000</v>
      </c>
      <c r="L3" s="101" t="s">
        <v>209</v>
      </c>
      <c r="M3" s="103">
        <f>SUMIF($B$3:$B$12,"CT",$E$3:$E$12)</f>
        <v>115</v>
      </c>
    </row>
    <row r="4" spans="1:13" x14ac:dyDescent="0.3">
      <c r="A4" s="96">
        <f>ROW() - 2</f>
        <v>2</v>
      </c>
      <c r="B4" s="97" t="s">
        <v>210</v>
      </c>
      <c r="C4" s="96" t="str">
        <f t="shared" ref="C4:C12" si="0">IF(B4="CT","Công tắc","Bóng đèn")</f>
        <v>Bóng đèn</v>
      </c>
      <c r="D4" s="98">
        <v>41068</v>
      </c>
      <c r="E4" s="99">
        <v>25</v>
      </c>
      <c r="F4" s="99">
        <f t="shared" ref="F4:F12" si="1">IF(RIGHT(B4,2)="DQ",12000,IF(RIGHT(B4,2)="TS",14500,IF(RIGHT(B4,2)="NT",16000,IF(RIGHT(B4,2)="GN",15000,IF(RIGHT(B4,2)="CT",3000)))))</f>
        <v>16000</v>
      </c>
      <c r="G4" s="99">
        <f t="shared" ref="G4:G12" si="2">IF(AND(YEAR(D4)&gt;=2012,MONTH(D4)&gt;=6,DAY(D4)&gt;1),E4*F4*90%,E4*F4)</f>
        <v>360000</v>
      </c>
      <c r="I4" s="101" t="s">
        <v>211</v>
      </c>
      <c r="J4" s="102">
        <v>14500</v>
      </c>
      <c r="L4" s="101" t="s">
        <v>212</v>
      </c>
      <c r="M4" s="103">
        <f>SUM(E3:E12) - M3</f>
        <v>398</v>
      </c>
    </row>
    <row r="5" spans="1:13" x14ac:dyDescent="0.3">
      <c r="A5" s="96">
        <f t="shared" ref="A5:A12" si="3">ROW() - 2</f>
        <v>3</v>
      </c>
      <c r="B5" s="97" t="s">
        <v>213</v>
      </c>
      <c r="C5" s="96" t="str">
        <f t="shared" si="0"/>
        <v>Công tắc</v>
      </c>
      <c r="D5" s="98">
        <v>41093</v>
      </c>
      <c r="E5" s="99">
        <v>10</v>
      </c>
      <c r="F5" s="99">
        <f t="shared" si="1"/>
        <v>3000</v>
      </c>
      <c r="G5" s="99">
        <f t="shared" si="2"/>
        <v>27000</v>
      </c>
      <c r="I5" s="101" t="s">
        <v>214</v>
      </c>
      <c r="J5" s="102">
        <v>16000</v>
      </c>
    </row>
    <row r="6" spans="1:13" x14ac:dyDescent="0.3">
      <c r="A6" s="96">
        <f t="shared" si="3"/>
        <v>4</v>
      </c>
      <c r="B6" s="97" t="s">
        <v>215</v>
      </c>
      <c r="C6" s="96" t="str">
        <f t="shared" si="0"/>
        <v>Bóng đèn</v>
      </c>
      <c r="D6" s="98">
        <v>41124</v>
      </c>
      <c r="E6" s="99">
        <v>60</v>
      </c>
      <c r="F6" s="99">
        <f t="shared" si="1"/>
        <v>15000</v>
      </c>
      <c r="G6" s="99">
        <f t="shared" si="2"/>
        <v>810000</v>
      </c>
      <c r="I6" s="101" t="s">
        <v>216</v>
      </c>
      <c r="J6" s="102">
        <v>15000</v>
      </c>
    </row>
    <row r="7" spans="1:13" x14ac:dyDescent="0.3">
      <c r="A7" s="96">
        <f t="shared" si="3"/>
        <v>5</v>
      </c>
      <c r="B7" s="97" t="s">
        <v>217</v>
      </c>
      <c r="C7" s="96" t="str">
        <f t="shared" si="0"/>
        <v>Bóng đèn</v>
      </c>
      <c r="D7" s="98">
        <v>41160</v>
      </c>
      <c r="E7" s="99">
        <v>22</v>
      </c>
      <c r="F7" s="99">
        <f t="shared" si="1"/>
        <v>14500</v>
      </c>
      <c r="G7" s="99">
        <f t="shared" si="2"/>
        <v>287100</v>
      </c>
      <c r="I7" s="101" t="s">
        <v>213</v>
      </c>
      <c r="J7" s="102">
        <v>3000</v>
      </c>
    </row>
    <row r="8" spans="1:13" x14ac:dyDescent="0.3">
      <c r="A8" s="96">
        <f t="shared" si="3"/>
        <v>6</v>
      </c>
      <c r="B8" s="97" t="s">
        <v>215</v>
      </c>
      <c r="C8" s="96" t="str">
        <f t="shared" si="0"/>
        <v>Bóng đèn</v>
      </c>
      <c r="D8" s="98">
        <v>41061</v>
      </c>
      <c r="E8" s="99">
        <v>24</v>
      </c>
      <c r="F8" s="99">
        <f t="shared" si="1"/>
        <v>15000</v>
      </c>
      <c r="G8" s="99">
        <f t="shared" si="2"/>
        <v>360000</v>
      </c>
    </row>
    <row r="9" spans="1:13" x14ac:dyDescent="0.3">
      <c r="A9" s="96">
        <f t="shared" si="3"/>
        <v>7</v>
      </c>
      <c r="B9" s="97" t="s">
        <v>213</v>
      </c>
      <c r="C9" s="96" t="str">
        <f t="shared" si="0"/>
        <v>Công tắc</v>
      </c>
      <c r="D9" s="98">
        <v>41063</v>
      </c>
      <c r="E9" s="99">
        <v>100</v>
      </c>
      <c r="F9" s="99">
        <f t="shared" si="1"/>
        <v>3000</v>
      </c>
      <c r="G9" s="99">
        <f t="shared" si="2"/>
        <v>270000</v>
      </c>
    </row>
    <row r="10" spans="1:13" x14ac:dyDescent="0.3">
      <c r="A10" s="96">
        <f t="shared" si="3"/>
        <v>8</v>
      </c>
      <c r="B10" s="97" t="s">
        <v>217</v>
      </c>
      <c r="C10" s="96" t="str">
        <f t="shared" si="0"/>
        <v>Bóng đèn</v>
      </c>
      <c r="D10" s="98">
        <v>41096</v>
      </c>
      <c r="E10" s="99">
        <v>240</v>
      </c>
      <c r="F10" s="99">
        <f t="shared" si="1"/>
        <v>14500</v>
      </c>
      <c r="G10" s="99">
        <f t="shared" si="2"/>
        <v>3132000</v>
      </c>
    </row>
    <row r="11" spans="1:13" x14ac:dyDescent="0.3">
      <c r="A11" s="96">
        <f t="shared" si="3"/>
        <v>9</v>
      </c>
      <c r="B11" s="97" t="s">
        <v>217</v>
      </c>
      <c r="C11" s="96" t="str">
        <f t="shared" si="0"/>
        <v>Bóng đèn</v>
      </c>
      <c r="D11" s="98">
        <v>41160</v>
      </c>
      <c r="E11" s="99">
        <v>15</v>
      </c>
      <c r="F11" s="99">
        <f t="shared" si="1"/>
        <v>14500</v>
      </c>
      <c r="G11" s="99">
        <f t="shared" si="2"/>
        <v>195750</v>
      </c>
    </row>
    <row r="12" spans="1:13" x14ac:dyDescent="0.3">
      <c r="A12" s="96">
        <f t="shared" si="3"/>
        <v>10</v>
      </c>
      <c r="B12" s="97" t="s">
        <v>213</v>
      </c>
      <c r="C12" s="96" t="str">
        <f t="shared" si="0"/>
        <v>Công tắc</v>
      </c>
      <c r="D12" s="98">
        <v>41190</v>
      </c>
      <c r="E12" s="99">
        <v>5</v>
      </c>
      <c r="F12" s="99">
        <f t="shared" si="1"/>
        <v>3000</v>
      </c>
      <c r="G12" s="99">
        <f t="shared" si="2"/>
        <v>13500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A18B-9EB1-4988-A69E-870035BF77B0}">
  <dimension ref="A1:K20"/>
  <sheetViews>
    <sheetView workbookViewId="0">
      <selection activeCell="C20" sqref="C20"/>
    </sheetView>
  </sheetViews>
  <sheetFormatPr defaultRowHeight="14.4" x14ac:dyDescent="0.3"/>
  <cols>
    <col min="2" max="2" width="32.44140625" customWidth="1"/>
    <col min="3" max="3" width="17.33203125" customWidth="1"/>
    <col min="8" max="8" width="13.88671875" customWidth="1"/>
    <col min="9" max="9" width="13.44140625" customWidth="1"/>
    <col min="10" max="10" width="14.6640625" customWidth="1"/>
    <col min="11" max="11" width="15.21875" customWidth="1"/>
  </cols>
  <sheetData>
    <row r="1" spans="1:11" ht="16.8" x14ac:dyDescent="0.3">
      <c r="A1" s="226" t="s">
        <v>218</v>
      </c>
      <c r="B1" s="227"/>
      <c r="C1" s="227"/>
      <c r="D1" s="227"/>
      <c r="E1" s="227"/>
      <c r="F1" s="227"/>
      <c r="G1" s="227"/>
      <c r="H1" s="227"/>
      <c r="I1" s="227"/>
      <c r="J1" s="227"/>
      <c r="K1" s="228"/>
    </row>
    <row r="2" spans="1:11" ht="16.8" x14ac:dyDescent="0.3">
      <c r="A2" s="58" t="s">
        <v>82</v>
      </c>
      <c r="B2" s="86" t="s">
        <v>219</v>
      </c>
      <c r="C2" s="58" t="s">
        <v>220</v>
      </c>
      <c r="D2" s="58" t="s">
        <v>221</v>
      </c>
      <c r="E2" s="58" t="s">
        <v>222</v>
      </c>
      <c r="F2" s="58" t="s">
        <v>101</v>
      </c>
      <c r="G2" s="58" t="s">
        <v>223</v>
      </c>
      <c r="H2" s="58" t="s">
        <v>224</v>
      </c>
      <c r="I2" s="58" t="s">
        <v>225</v>
      </c>
      <c r="J2" s="58" t="s">
        <v>226</v>
      </c>
      <c r="K2" s="58" t="s">
        <v>227</v>
      </c>
    </row>
    <row r="3" spans="1:11" ht="17.399999999999999" x14ac:dyDescent="0.3">
      <c r="A3" s="60">
        <v>1</v>
      </c>
      <c r="B3" s="88" t="s">
        <v>228</v>
      </c>
      <c r="C3" s="88" t="s">
        <v>229</v>
      </c>
      <c r="D3" s="60">
        <v>1967</v>
      </c>
      <c r="E3" s="60">
        <f ca="1">YEAR(TODAY()) - D3</f>
        <v>55</v>
      </c>
      <c r="F3" s="60">
        <v>900</v>
      </c>
      <c r="G3" s="104">
        <v>20</v>
      </c>
      <c r="H3" s="105">
        <f>F3*G3</f>
        <v>18000</v>
      </c>
      <c r="I3" s="105">
        <f>IF(C3="GĐ",500000,IF(C3="PGĐ",400000,IF(C3="TP",300000,IF(C3="PTP",200000,100000))))</f>
        <v>500000</v>
      </c>
      <c r="J3" s="105">
        <f>0.8*H3</f>
        <v>14400</v>
      </c>
      <c r="K3" s="105">
        <f>H3+I3-J3</f>
        <v>503600</v>
      </c>
    </row>
    <row r="4" spans="1:11" ht="17.399999999999999" x14ac:dyDescent="0.3">
      <c r="A4" s="60">
        <v>2</v>
      </c>
      <c r="B4" s="88" t="s">
        <v>230</v>
      </c>
      <c r="C4" s="88" t="s">
        <v>231</v>
      </c>
      <c r="D4" s="60">
        <v>1975</v>
      </c>
      <c r="E4" s="60">
        <f t="shared" ref="E4:E12" ca="1" si="0">YEAR(TODAY()) - D4</f>
        <v>47</v>
      </c>
      <c r="F4" s="60">
        <v>750</v>
      </c>
      <c r="G4" s="104">
        <v>26</v>
      </c>
      <c r="H4" s="105">
        <f t="shared" ref="H4:H12" si="1">F4*G4</f>
        <v>19500</v>
      </c>
      <c r="I4" s="105">
        <f t="shared" ref="I4:I12" si="2">IF(C4="GĐ",500000,IF(C4="PGĐ",400000,IF(C4="TP",300000,IF(C4="PTP",200000,100000))))</f>
        <v>400000</v>
      </c>
      <c r="J4" s="105">
        <f t="shared" ref="J4:J12" si="3">0.8*H4</f>
        <v>15600</v>
      </c>
      <c r="K4" s="105">
        <f t="shared" ref="K4:K12" si="4">H4+I4-J4</f>
        <v>403900</v>
      </c>
    </row>
    <row r="5" spans="1:11" ht="17.399999999999999" x14ac:dyDescent="0.3">
      <c r="A5" s="60">
        <v>3</v>
      </c>
      <c r="B5" s="88" t="s">
        <v>232</v>
      </c>
      <c r="C5" s="88" t="s">
        <v>231</v>
      </c>
      <c r="D5" s="60">
        <v>1968</v>
      </c>
      <c r="E5" s="60">
        <f t="shared" ca="1" si="0"/>
        <v>54</v>
      </c>
      <c r="F5" s="60">
        <v>600</v>
      </c>
      <c r="G5" s="104">
        <v>25</v>
      </c>
      <c r="H5" s="105">
        <f t="shared" si="1"/>
        <v>15000</v>
      </c>
      <c r="I5" s="105">
        <f t="shared" si="2"/>
        <v>400000</v>
      </c>
      <c r="J5" s="105">
        <f t="shared" si="3"/>
        <v>12000</v>
      </c>
      <c r="K5" s="105">
        <f t="shared" si="4"/>
        <v>403000</v>
      </c>
    </row>
    <row r="6" spans="1:11" ht="17.399999999999999" x14ac:dyDescent="0.3">
      <c r="A6" s="60">
        <v>4</v>
      </c>
      <c r="B6" s="88" t="s">
        <v>233</v>
      </c>
      <c r="C6" s="88" t="s">
        <v>234</v>
      </c>
      <c r="D6" s="60">
        <v>1958</v>
      </c>
      <c r="E6" s="60">
        <f t="shared" ca="1" si="0"/>
        <v>64</v>
      </c>
      <c r="F6" s="60">
        <v>450</v>
      </c>
      <c r="G6" s="104">
        <v>23</v>
      </c>
      <c r="H6" s="105">
        <f t="shared" si="1"/>
        <v>10350</v>
      </c>
      <c r="I6" s="105">
        <f t="shared" si="2"/>
        <v>300000</v>
      </c>
      <c r="J6" s="105">
        <f t="shared" si="3"/>
        <v>8280</v>
      </c>
      <c r="K6" s="105">
        <f t="shared" si="4"/>
        <v>302070</v>
      </c>
    </row>
    <row r="7" spans="1:11" ht="17.399999999999999" x14ac:dyDescent="0.3">
      <c r="A7" s="60">
        <v>5</v>
      </c>
      <c r="B7" s="88" t="s">
        <v>235</v>
      </c>
      <c r="C7" s="88" t="s">
        <v>234</v>
      </c>
      <c r="D7" s="60">
        <v>1982</v>
      </c>
      <c r="E7" s="60">
        <f t="shared" ca="1" si="0"/>
        <v>40</v>
      </c>
      <c r="F7" s="60">
        <v>600</v>
      </c>
      <c r="G7" s="104">
        <v>23</v>
      </c>
      <c r="H7" s="105">
        <f t="shared" si="1"/>
        <v>13800</v>
      </c>
      <c r="I7" s="105">
        <f t="shared" si="2"/>
        <v>300000</v>
      </c>
      <c r="J7" s="105">
        <f t="shared" si="3"/>
        <v>11040</v>
      </c>
      <c r="K7" s="105">
        <f t="shared" si="4"/>
        <v>302760</v>
      </c>
    </row>
    <row r="8" spans="1:11" ht="17.399999999999999" x14ac:dyDescent="0.3">
      <c r="A8" s="60">
        <v>6</v>
      </c>
      <c r="B8" s="88" t="s">
        <v>236</v>
      </c>
      <c r="C8" s="88" t="s">
        <v>237</v>
      </c>
      <c r="D8" s="60">
        <v>1977</v>
      </c>
      <c r="E8" s="60">
        <f t="shared" ca="1" si="0"/>
        <v>45</v>
      </c>
      <c r="F8" s="60">
        <v>450</v>
      </c>
      <c r="G8" s="104">
        <v>22</v>
      </c>
      <c r="H8" s="105">
        <f t="shared" si="1"/>
        <v>9900</v>
      </c>
      <c r="I8" s="105">
        <f t="shared" si="2"/>
        <v>200000</v>
      </c>
      <c r="J8" s="105">
        <f t="shared" si="3"/>
        <v>7920</v>
      </c>
      <c r="K8" s="105">
        <f t="shared" si="4"/>
        <v>201980</v>
      </c>
    </row>
    <row r="9" spans="1:11" ht="17.399999999999999" x14ac:dyDescent="0.3">
      <c r="A9" s="60">
        <v>7</v>
      </c>
      <c r="B9" s="88" t="s">
        <v>238</v>
      </c>
      <c r="C9" s="88" t="s">
        <v>237</v>
      </c>
      <c r="D9" s="60">
        <v>1956</v>
      </c>
      <c r="E9" s="60">
        <f t="shared" ca="1" si="0"/>
        <v>66</v>
      </c>
      <c r="F9" s="60">
        <v>300</v>
      </c>
      <c r="G9" s="104">
        <v>19</v>
      </c>
      <c r="H9" s="105">
        <f t="shared" si="1"/>
        <v>5700</v>
      </c>
      <c r="I9" s="105">
        <f t="shared" si="2"/>
        <v>200000</v>
      </c>
      <c r="J9" s="105">
        <f t="shared" si="3"/>
        <v>4560</v>
      </c>
      <c r="K9" s="105">
        <f t="shared" si="4"/>
        <v>201140</v>
      </c>
    </row>
    <row r="10" spans="1:11" ht="17.399999999999999" x14ac:dyDescent="0.3">
      <c r="A10" s="60">
        <v>8</v>
      </c>
      <c r="B10" s="88" t="s">
        <v>239</v>
      </c>
      <c r="C10" s="88" t="s">
        <v>240</v>
      </c>
      <c r="D10" s="60">
        <v>1972</v>
      </c>
      <c r="E10" s="60">
        <f t="shared" ca="1" si="0"/>
        <v>50</v>
      </c>
      <c r="F10" s="60">
        <v>300</v>
      </c>
      <c r="G10" s="104">
        <v>18</v>
      </c>
      <c r="H10" s="105">
        <f t="shared" si="1"/>
        <v>5400</v>
      </c>
      <c r="I10" s="105">
        <f t="shared" si="2"/>
        <v>100000</v>
      </c>
      <c r="J10" s="105">
        <f t="shared" si="3"/>
        <v>4320</v>
      </c>
      <c r="K10" s="105">
        <f t="shared" si="4"/>
        <v>101080</v>
      </c>
    </row>
    <row r="11" spans="1:11" ht="17.399999999999999" x14ac:dyDescent="0.3">
      <c r="A11" s="60">
        <v>9</v>
      </c>
      <c r="B11" s="88" t="s">
        <v>235</v>
      </c>
      <c r="C11" s="88" t="s">
        <v>240</v>
      </c>
      <c r="D11" s="60">
        <v>1985</v>
      </c>
      <c r="E11" s="60">
        <f t="shared" ca="1" si="0"/>
        <v>37</v>
      </c>
      <c r="F11" s="60">
        <v>300</v>
      </c>
      <c r="G11" s="104">
        <v>27</v>
      </c>
      <c r="H11" s="105">
        <f t="shared" si="1"/>
        <v>8100</v>
      </c>
      <c r="I11" s="105">
        <f t="shared" si="2"/>
        <v>100000</v>
      </c>
      <c r="J11" s="105">
        <f t="shared" si="3"/>
        <v>6480</v>
      </c>
      <c r="K11" s="105">
        <f t="shared" si="4"/>
        <v>101620</v>
      </c>
    </row>
    <row r="12" spans="1:11" ht="17.399999999999999" x14ac:dyDescent="0.3">
      <c r="A12" s="60">
        <v>10</v>
      </c>
      <c r="B12" s="88" t="s">
        <v>241</v>
      </c>
      <c r="C12" s="88" t="s">
        <v>240</v>
      </c>
      <c r="D12" s="60">
        <v>1986</v>
      </c>
      <c r="E12" s="60">
        <f t="shared" ca="1" si="0"/>
        <v>36</v>
      </c>
      <c r="F12" s="60">
        <v>300</v>
      </c>
      <c r="G12" s="104">
        <v>28</v>
      </c>
      <c r="H12" s="105">
        <f t="shared" si="1"/>
        <v>8400</v>
      </c>
      <c r="I12" s="105">
        <f t="shared" si="2"/>
        <v>100000</v>
      </c>
      <c r="J12" s="105">
        <f t="shared" si="3"/>
        <v>6720</v>
      </c>
      <c r="K12" s="105">
        <f t="shared" si="4"/>
        <v>101680</v>
      </c>
    </row>
    <row r="17" spans="2:3" ht="16.8" x14ac:dyDescent="0.3">
      <c r="B17" s="106" t="s">
        <v>242</v>
      </c>
      <c r="C17" s="106">
        <f>SUM(K2:K12)</f>
        <v>2622830</v>
      </c>
    </row>
    <row r="18" spans="2:3" ht="16.8" x14ac:dyDescent="0.3">
      <c r="B18" s="106" t="s">
        <v>243</v>
      </c>
      <c r="C18" s="106">
        <f>AVERAGE(H3:H12)</f>
        <v>11415</v>
      </c>
    </row>
    <row r="19" spans="2:3" ht="16.8" x14ac:dyDescent="0.3">
      <c r="B19" s="106" t="s">
        <v>244</v>
      </c>
      <c r="C19" s="106">
        <f>MAX(H3:H12)</f>
        <v>19500</v>
      </c>
    </row>
    <row r="20" spans="2:3" ht="16.8" x14ac:dyDescent="0.3">
      <c r="B20" s="106" t="s">
        <v>245</v>
      </c>
      <c r="C20" s="106">
        <f>MIN(H3:H12)</f>
        <v>5400</v>
      </c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459D-4CBF-4363-83A7-6C30E2B8BB4E}">
  <dimension ref="A1:P16"/>
  <sheetViews>
    <sheetView workbookViewId="0">
      <selection activeCell="J22" sqref="J22"/>
    </sheetView>
  </sheetViews>
  <sheetFormatPr defaultRowHeight="14.4" x14ac:dyDescent="0.3"/>
  <cols>
    <col min="3" max="3" width="16.5546875" customWidth="1"/>
    <col min="7" max="7" width="10.88671875" customWidth="1"/>
    <col min="9" max="9" width="10.21875" customWidth="1"/>
    <col min="14" max="14" width="11.44140625" customWidth="1"/>
  </cols>
  <sheetData>
    <row r="1" spans="1:16" ht="15.6" x14ac:dyDescent="0.3">
      <c r="A1" s="235" t="s">
        <v>246</v>
      </c>
      <c r="B1" s="236"/>
      <c r="C1" s="236"/>
      <c r="D1" s="236"/>
      <c r="E1" s="236"/>
      <c r="F1" s="236"/>
      <c r="G1" s="236"/>
      <c r="H1" s="236"/>
      <c r="I1" s="236"/>
      <c r="J1" s="236"/>
      <c r="K1" s="237"/>
    </row>
    <row r="2" spans="1:16" ht="15.6" x14ac:dyDescent="0.3">
      <c r="A2" s="238" t="s">
        <v>82</v>
      </c>
      <c r="B2" s="238" t="s">
        <v>247</v>
      </c>
      <c r="C2" s="238" t="s">
        <v>248</v>
      </c>
      <c r="D2" s="239" t="s">
        <v>249</v>
      </c>
      <c r="E2" s="238" t="s">
        <v>132</v>
      </c>
      <c r="F2" s="238" t="s">
        <v>250</v>
      </c>
      <c r="G2" s="238"/>
      <c r="H2" s="238" t="s">
        <v>251</v>
      </c>
      <c r="I2" s="238"/>
      <c r="J2" s="238" t="s">
        <v>252</v>
      </c>
      <c r="K2" s="238"/>
      <c r="N2" s="108"/>
      <c r="O2" s="109" t="s">
        <v>253</v>
      </c>
      <c r="P2" s="108"/>
    </row>
    <row r="3" spans="1:16" x14ac:dyDescent="0.3">
      <c r="A3" s="238"/>
      <c r="B3" s="238"/>
      <c r="C3" s="238"/>
      <c r="D3" s="240"/>
      <c r="E3" s="238"/>
      <c r="F3" s="110" t="s">
        <v>132</v>
      </c>
      <c r="G3" s="110" t="s">
        <v>134</v>
      </c>
      <c r="H3" s="110" t="s">
        <v>132</v>
      </c>
      <c r="I3" s="110" t="s">
        <v>134</v>
      </c>
      <c r="J3" s="110" t="s">
        <v>132</v>
      </c>
      <c r="K3" s="110" t="s">
        <v>134</v>
      </c>
      <c r="N3" s="111" t="s">
        <v>254</v>
      </c>
      <c r="O3" s="112" t="s">
        <v>255</v>
      </c>
      <c r="P3" s="112" t="s">
        <v>256</v>
      </c>
    </row>
    <row r="4" spans="1:16" x14ac:dyDescent="0.3">
      <c r="A4" s="113">
        <v>2</v>
      </c>
      <c r="B4" s="114" t="s">
        <v>257</v>
      </c>
      <c r="C4" s="114" t="s">
        <v>258</v>
      </c>
      <c r="D4" s="113" t="s">
        <v>259</v>
      </c>
      <c r="E4" s="115">
        <v>150</v>
      </c>
      <c r="F4" s="115" t="s">
        <v>260</v>
      </c>
      <c r="G4" s="115" t="s">
        <v>260</v>
      </c>
      <c r="H4" s="115">
        <v>150</v>
      </c>
      <c r="I4" s="115">
        <v>67500</v>
      </c>
      <c r="J4" s="115" t="s">
        <v>260</v>
      </c>
      <c r="K4" s="115" t="s">
        <v>260</v>
      </c>
      <c r="N4" s="114" t="s">
        <v>251</v>
      </c>
      <c r="O4" s="113">
        <v>450</v>
      </c>
      <c r="P4" s="113">
        <v>120</v>
      </c>
    </row>
    <row r="5" spans="1:16" x14ac:dyDescent="0.3">
      <c r="A5" s="113">
        <v>3</v>
      </c>
      <c r="B5" s="114" t="s">
        <v>261</v>
      </c>
      <c r="C5" s="114" t="s">
        <v>262</v>
      </c>
      <c r="D5" s="113" t="s">
        <v>263</v>
      </c>
      <c r="E5" s="115">
        <v>200</v>
      </c>
      <c r="F5" s="115">
        <v>200</v>
      </c>
      <c r="G5" s="115">
        <v>100000</v>
      </c>
      <c r="H5" s="115" t="s">
        <v>260</v>
      </c>
      <c r="I5" s="115" t="s">
        <v>260</v>
      </c>
      <c r="J5" s="115" t="s">
        <v>260</v>
      </c>
      <c r="K5" s="115" t="s">
        <v>260</v>
      </c>
      <c r="N5" s="114" t="s">
        <v>252</v>
      </c>
      <c r="O5" s="113">
        <v>200</v>
      </c>
      <c r="P5" s="113">
        <v>100</v>
      </c>
    </row>
    <row r="6" spans="1:16" x14ac:dyDescent="0.3">
      <c r="A6" s="113">
        <v>6</v>
      </c>
      <c r="B6" s="114" t="s">
        <v>264</v>
      </c>
      <c r="C6" s="114" t="s">
        <v>265</v>
      </c>
      <c r="D6" s="113" t="s">
        <v>263</v>
      </c>
      <c r="E6" s="115">
        <v>120</v>
      </c>
      <c r="F6" s="115" t="s">
        <v>260</v>
      </c>
      <c r="G6" s="115" t="s">
        <v>260</v>
      </c>
      <c r="H6" s="115">
        <v>120</v>
      </c>
      <c r="I6" s="115">
        <v>14400</v>
      </c>
      <c r="J6" s="115" t="s">
        <v>260</v>
      </c>
      <c r="K6" s="115" t="s">
        <v>260</v>
      </c>
    </row>
    <row r="7" spans="1:16" x14ac:dyDescent="0.3">
      <c r="A7" s="232" t="s">
        <v>151</v>
      </c>
      <c r="B7" s="233"/>
      <c r="C7" s="234"/>
      <c r="D7" s="116">
        <v>12</v>
      </c>
      <c r="E7" s="117">
        <v>800</v>
      </c>
      <c r="F7" s="117">
        <v>300</v>
      </c>
      <c r="G7" s="117">
        <v>115000</v>
      </c>
      <c r="H7" s="117">
        <v>350</v>
      </c>
      <c r="I7" s="117">
        <v>117900</v>
      </c>
      <c r="J7" s="117">
        <v>150</v>
      </c>
      <c r="K7" s="117">
        <v>15000</v>
      </c>
    </row>
    <row r="10" spans="1:16" ht="15.6" x14ac:dyDescent="0.3">
      <c r="A10" s="235" t="s">
        <v>246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7"/>
    </row>
    <row r="11" spans="1:16" x14ac:dyDescent="0.3">
      <c r="A11" s="238" t="s">
        <v>82</v>
      </c>
      <c r="B11" s="238" t="s">
        <v>247</v>
      </c>
      <c r="C11" s="238" t="s">
        <v>248</v>
      </c>
      <c r="D11" s="239" t="s">
        <v>249</v>
      </c>
      <c r="E11" s="238" t="s">
        <v>132</v>
      </c>
      <c r="F11" s="238" t="s">
        <v>250</v>
      </c>
      <c r="G11" s="238"/>
      <c r="H11" s="238" t="s">
        <v>251</v>
      </c>
      <c r="I11" s="238"/>
      <c r="J11" s="238" t="s">
        <v>252</v>
      </c>
      <c r="K11" s="238"/>
    </row>
    <row r="12" spans="1:16" x14ac:dyDescent="0.3">
      <c r="A12" s="238"/>
      <c r="B12" s="238"/>
      <c r="C12" s="238"/>
      <c r="D12" s="240"/>
      <c r="E12" s="238"/>
      <c r="F12" s="110" t="s">
        <v>132</v>
      </c>
      <c r="G12" s="110" t="s">
        <v>134</v>
      </c>
      <c r="H12" s="110" t="s">
        <v>132</v>
      </c>
      <c r="I12" s="110" t="s">
        <v>134</v>
      </c>
      <c r="J12" s="110" t="s">
        <v>132</v>
      </c>
      <c r="K12" s="110" t="s">
        <v>134</v>
      </c>
    </row>
    <row r="13" spans="1:16" x14ac:dyDescent="0.3">
      <c r="A13" s="113">
        <v>1</v>
      </c>
      <c r="B13" s="114" t="s">
        <v>257</v>
      </c>
      <c r="C13" s="114" t="s">
        <v>258</v>
      </c>
      <c r="D13" s="118">
        <v>1</v>
      </c>
      <c r="E13" s="115">
        <v>150</v>
      </c>
      <c r="F13" s="115" t="s">
        <v>260</v>
      </c>
      <c r="G13" s="115" t="s">
        <v>260</v>
      </c>
      <c r="H13" s="115">
        <v>150</v>
      </c>
      <c r="I13" s="115">
        <v>67500</v>
      </c>
      <c r="J13" s="115" t="s">
        <v>260</v>
      </c>
      <c r="K13" s="115" t="s">
        <v>260</v>
      </c>
    </row>
    <row r="14" spans="1:16" x14ac:dyDescent="0.3">
      <c r="A14" s="113">
        <v>2</v>
      </c>
      <c r="B14" s="114" t="s">
        <v>261</v>
      </c>
      <c r="C14" s="114" t="s">
        <v>262</v>
      </c>
      <c r="D14" s="119">
        <v>2</v>
      </c>
      <c r="E14" s="115">
        <v>200</v>
      </c>
      <c r="F14" s="115">
        <v>200</v>
      </c>
      <c r="G14" s="115">
        <v>100000</v>
      </c>
      <c r="H14" s="115" t="s">
        <v>260</v>
      </c>
      <c r="I14" s="115" t="s">
        <v>260</v>
      </c>
      <c r="J14" s="115" t="s">
        <v>260</v>
      </c>
      <c r="K14" s="115" t="s">
        <v>260</v>
      </c>
    </row>
    <row r="15" spans="1:16" x14ac:dyDescent="0.3">
      <c r="A15" s="113">
        <v>3</v>
      </c>
      <c r="B15" s="114" t="s">
        <v>264</v>
      </c>
      <c r="C15" s="114" t="s">
        <v>265</v>
      </c>
      <c r="D15" s="118">
        <v>2</v>
      </c>
      <c r="E15" s="115">
        <v>120</v>
      </c>
      <c r="F15" s="115" t="s">
        <v>260</v>
      </c>
      <c r="G15" s="115" t="s">
        <v>260</v>
      </c>
      <c r="H15" s="115">
        <v>120</v>
      </c>
      <c r="I15" s="115">
        <v>14400</v>
      </c>
      <c r="J15" s="115" t="s">
        <v>260</v>
      </c>
      <c r="K15" s="115" t="s">
        <v>260</v>
      </c>
    </row>
    <row r="16" spans="1:16" x14ac:dyDescent="0.3">
      <c r="A16" s="232" t="s">
        <v>151</v>
      </c>
      <c r="B16" s="233"/>
      <c r="C16" s="234"/>
      <c r="D16" s="120">
        <v>5</v>
      </c>
      <c r="E16" s="117">
        <v>800</v>
      </c>
      <c r="F16" s="117">
        <v>300</v>
      </c>
      <c r="G16" s="117">
        <v>115000</v>
      </c>
      <c r="H16" s="117">
        <v>350</v>
      </c>
      <c r="I16" s="117">
        <v>117900</v>
      </c>
      <c r="J16" s="117">
        <v>150</v>
      </c>
      <c r="K16" s="117">
        <v>15000</v>
      </c>
    </row>
  </sheetData>
  <mergeCells count="20">
    <mergeCell ref="A1:K1"/>
    <mergeCell ref="A2:A3"/>
    <mergeCell ref="B2:B3"/>
    <mergeCell ref="C2:C3"/>
    <mergeCell ref="D2:D3"/>
    <mergeCell ref="E2:E3"/>
    <mergeCell ref="F2:G2"/>
    <mergeCell ref="H2:I2"/>
    <mergeCell ref="J2:K2"/>
    <mergeCell ref="A16:C16"/>
    <mergeCell ref="A7:C7"/>
    <mergeCell ref="A10:K10"/>
    <mergeCell ref="A11:A12"/>
    <mergeCell ref="B11:B12"/>
    <mergeCell ref="C11:C12"/>
    <mergeCell ref="D11:D12"/>
    <mergeCell ref="E11:E12"/>
    <mergeCell ref="F11:G11"/>
    <mergeCell ref="H11:I11"/>
    <mergeCell ref="J11:K11"/>
  </mergeCells>
  <conditionalFormatting sqref="A11:K16 A2:K7">
    <cfRule type="expression" priority="1">
      <formula>#REF!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9DD3-0641-471C-A931-C676C5B37DD8}">
  <dimension ref="A1:H12"/>
  <sheetViews>
    <sheetView tabSelected="1" workbookViewId="0">
      <selection activeCell="H13" sqref="H13"/>
    </sheetView>
  </sheetViews>
  <sheetFormatPr defaultRowHeight="14.4" x14ac:dyDescent="0.3"/>
  <cols>
    <col min="1" max="1" width="4.6640625" customWidth="1"/>
    <col min="2" max="2" width="15.6640625" customWidth="1"/>
    <col min="3" max="3" width="10.33203125" customWidth="1"/>
    <col min="4" max="4" width="11.44140625" customWidth="1"/>
    <col min="5" max="5" width="11" customWidth="1"/>
    <col min="6" max="6" width="8" customWidth="1"/>
    <col min="7" max="7" width="7.5546875" customWidth="1"/>
  </cols>
  <sheetData>
    <row r="1" spans="1:8" ht="15.6" x14ac:dyDescent="0.3">
      <c r="A1" s="241" t="s">
        <v>266</v>
      </c>
      <c r="B1" s="241"/>
      <c r="C1" s="241"/>
      <c r="D1" s="241"/>
      <c r="E1" s="241"/>
      <c r="F1" s="241"/>
      <c r="G1" s="241"/>
      <c r="H1" s="241"/>
    </row>
    <row r="2" spans="1:8" ht="27.6" x14ac:dyDescent="0.3">
      <c r="A2" s="92" t="s">
        <v>82</v>
      </c>
      <c r="B2" s="93" t="s">
        <v>267</v>
      </c>
      <c r="C2" s="93" t="s">
        <v>268</v>
      </c>
      <c r="D2" s="121" t="s">
        <v>269</v>
      </c>
      <c r="E2" s="121" t="s">
        <v>270</v>
      </c>
      <c r="F2" s="93" t="s">
        <v>271</v>
      </c>
      <c r="G2" s="93" t="s">
        <v>272</v>
      </c>
      <c r="H2" s="93" t="s">
        <v>273</v>
      </c>
    </row>
    <row r="3" spans="1:8" x14ac:dyDescent="0.3">
      <c r="A3" s="113">
        <v>1</v>
      </c>
      <c r="B3" s="114" t="s">
        <v>190</v>
      </c>
      <c r="C3" s="122" t="s">
        <v>274</v>
      </c>
      <c r="D3" s="123">
        <v>41182</v>
      </c>
      <c r="E3" s="124">
        <v>41187</v>
      </c>
      <c r="F3" s="125">
        <f>_xlfn.DAYS(E3,D3)</f>
        <v>5</v>
      </c>
      <c r="G3" s="126">
        <f>INT(F3/7)</f>
        <v>0</v>
      </c>
      <c r="H3" s="126">
        <f>MOD(F3,7)</f>
        <v>5</v>
      </c>
    </row>
    <row r="4" spans="1:8" x14ac:dyDescent="0.3">
      <c r="A4" s="113">
        <v>2</v>
      </c>
      <c r="B4" s="114" t="s">
        <v>191</v>
      </c>
      <c r="C4" s="122" t="s">
        <v>275</v>
      </c>
      <c r="D4" s="124">
        <v>41175</v>
      </c>
      <c r="E4" s="124">
        <v>41186</v>
      </c>
      <c r="F4" s="125">
        <f t="shared" ref="F4:F11" si="0">_xlfn.DAYS(E4,D4)</f>
        <v>11</v>
      </c>
      <c r="G4" s="126">
        <f t="shared" ref="G4:G11" si="1">INT(F4/7)</f>
        <v>1</v>
      </c>
      <c r="H4" s="126">
        <f t="shared" ref="H4:H11" si="2">MOD(F4,7)</f>
        <v>4</v>
      </c>
    </row>
    <row r="5" spans="1:8" x14ac:dyDescent="0.3">
      <c r="A5" s="113">
        <v>3</v>
      </c>
      <c r="B5" s="114" t="s">
        <v>193</v>
      </c>
      <c r="C5" s="122" t="s">
        <v>276</v>
      </c>
      <c r="D5" s="124">
        <v>41158</v>
      </c>
      <c r="E5" s="127">
        <v>41167</v>
      </c>
      <c r="F5" s="125">
        <f t="shared" si="0"/>
        <v>9</v>
      </c>
      <c r="G5" s="126">
        <f t="shared" si="1"/>
        <v>1</v>
      </c>
      <c r="H5" s="126">
        <f t="shared" si="2"/>
        <v>2</v>
      </c>
    </row>
    <row r="6" spans="1:8" x14ac:dyDescent="0.3">
      <c r="A6" s="113">
        <v>4</v>
      </c>
      <c r="B6" s="114" t="s">
        <v>191</v>
      </c>
      <c r="C6" s="122" t="s">
        <v>277</v>
      </c>
      <c r="D6" s="124">
        <v>41164</v>
      </c>
      <c r="E6" s="127">
        <v>41168</v>
      </c>
      <c r="F6" s="125">
        <f t="shared" si="0"/>
        <v>4</v>
      </c>
      <c r="G6" s="126">
        <f t="shared" si="1"/>
        <v>0</v>
      </c>
      <c r="H6" s="126">
        <f t="shared" si="2"/>
        <v>4</v>
      </c>
    </row>
    <row r="7" spans="1:8" x14ac:dyDescent="0.3">
      <c r="A7" s="113">
        <v>5</v>
      </c>
      <c r="B7" s="114" t="s">
        <v>196</v>
      </c>
      <c r="C7" s="122" t="s">
        <v>278</v>
      </c>
      <c r="D7" s="124">
        <v>41180</v>
      </c>
      <c r="E7" s="127">
        <v>41181</v>
      </c>
      <c r="F7" s="125">
        <f t="shared" si="0"/>
        <v>1</v>
      </c>
      <c r="G7" s="126">
        <f t="shared" si="1"/>
        <v>0</v>
      </c>
      <c r="H7" s="126">
        <f t="shared" si="2"/>
        <v>1</v>
      </c>
    </row>
    <row r="8" spans="1:8" x14ac:dyDescent="0.3">
      <c r="A8" s="113">
        <v>6</v>
      </c>
      <c r="B8" s="114" t="s">
        <v>198</v>
      </c>
      <c r="C8" s="122" t="s">
        <v>279</v>
      </c>
      <c r="D8" s="124">
        <v>41177</v>
      </c>
      <c r="E8" s="127">
        <v>41178</v>
      </c>
      <c r="F8" s="125">
        <f t="shared" si="0"/>
        <v>1</v>
      </c>
      <c r="G8" s="126">
        <f t="shared" si="1"/>
        <v>0</v>
      </c>
      <c r="H8" s="126">
        <f t="shared" si="2"/>
        <v>1</v>
      </c>
    </row>
    <row r="9" spans="1:8" x14ac:dyDescent="0.3">
      <c r="A9" s="113">
        <v>7</v>
      </c>
      <c r="B9" s="114" t="s">
        <v>200</v>
      </c>
      <c r="C9" s="122" t="s">
        <v>277</v>
      </c>
      <c r="D9" s="124">
        <v>41170</v>
      </c>
      <c r="E9" s="127">
        <v>41173</v>
      </c>
      <c r="F9" s="125">
        <f t="shared" si="0"/>
        <v>3</v>
      </c>
      <c r="G9" s="126">
        <f t="shared" si="1"/>
        <v>0</v>
      </c>
      <c r="H9" s="126">
        <f t="shared" si="2"/>
        <v>3</v>
      </c>
    </row>
    <row r="10" spans="1:8" x14ac:dyDescent="0.3">
      <c r="A10" s="113">
        <v>8</v>
      </c>
      <c r="B10" s="114" t="s">
        <v>202</v>
      </c>
      <c r="C10" s="122" t="s">
        <v>280</v>
      </c>
      <c r="D10" s="124">
        <v>41162</v>
      </c>
      <c r="E10" s="127">
        <v>41163</v>
      </c>
      <c r="F10" s="125">
        <f t="shared" si="0"/>
        <v>1</v>
      </c>
      <c r="G10" s="126">
        <f t="shared" si="1"/>
        <v>0</v>
      </c>
      <c r="H10" s="126">
        <f t="shared" si="2"/>
        <v>1</v>
      </c>
    </row>
    <row r="11" spans="1:8" x14ac:dyDescent="0.3">
      <c r="A11" s="113">
        <v>9</v>
      </c>
      <c r="B11" s="114" t="s">
        <v>281</v>
      </c>
      <c r="C11" s="122" t="s">
        <v>282</v>
      </c>
      <c r="D11" s="124">
        <v>41174</v>
      </c>
      <c r="E11" s="127">
        <v>41178</v>
      </c>
      <c r="F11" s="125">
        <f t="shared" si="0"/>
        <v>4</v>
      </c>
      <c r="G11" s="126">
        <f t="shared" si="1"/>
        <v>0</v>
      </c>
      <c r="H11" s="126">
        <f t="shared" si="2"/>
        <v>4</v>
      </c>
    </row>
    <row r="12" spans="1:8" x14ac:dyDescent="0.3">
      <c r="A12" s="115"/>
      <c r="B12" s="242" t="s">
        <v>151</v>
      </c>
      <c r="C12" s="242"/>
      <c r="D12" s="243"/>
      <c r="E12" s="243"/>
      <c r="F12" s="128">
        <f>SUM(F3:F11)</f>
        <v>39</v>
      </c>
      <c r="G12" s="128">
        <f t="shared" ref="G12:H12" si="3">SUM(G3:G11)</f>
        <v>2</v>
      </c>
      <c r="H12" s="128">
        <f t="shared" si="3"/>
        <v>25</v>
      </c>
    </row>
  </sheetData>
  <mergeCells count="2">
    <mergeCell ref="A1:H1"/>
    <mergeCell ref="B12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0644-3753-4510-96DA-7275A1367162}">
  <dimension ref="A1:G19"/>
  <sheetViews>
    <sheetView workbookViewId="0">
      <selection activeCell="G4" sqref="G4"/>
    </sheetView>
  </sheetViews>
  <sheetFormatPr defaultRowHeight="14.4" x14ac:dyDescent="0.3"/>
  <cols>
    <col min="1" max="1" width="6.44140625" customWidth="1"/>
    <col min="2" max="2" width="18.6640625" customWidth="1"/>
    <col min="4" max="4" width="24.109375" customWidth="1"/>
    <col min="5" max="5" width="24.44140625" customWidth="1"/>
    <col min="6" max="6" width="12.33203125" customWidth="1"/>
    <col min="7" max="7" width="17.44140625" customWidth="1"/>
  </cols>
  <sheetData>
    <row r="1" spans="1:7" ht="15.6" x14ac:dyDescent="0.3">
      <c r="A1" s="244" t="s">
        <v>283</v>
      </c>
      <c r="B1" s="244"/>
      <c r="C1" s="244"/>
      <c r="D1" s="244"/>
      <c r="E1" s="244"/>
      <c r="F1" s="244"/>
      <c r="G1" s="244"/>
    </row>
    <row r="2" spans="1:7" x14ac:dyDescent="0.3">
      <c r="A2" s="95" t="s">
        <v>82</v>
      </c>
      <c r="B2" s="95" t="s">
        <v>219</v>
      </c>
      <c r="C2" s="95" t="s">
        <v>98</v>
      </c>
      <c r="D2" s="95" t="s">
        <v>99</v>
      </c>
      <c r="E2" s="95" t="s">
        <v>100</v>
      </c>
      <c r="F2" s="95" t="s">
        <v>101</v>
      </c>
      <c r="G2" s="95" t="s">
        <v>284</v>
      </c>
    </row>
    <row r="3" spans="1:7" x14ac:dyDescent="0.3">
      <c r="A3" s="101">
        <v>1</v>
      </c>
      <c r="B3" s="129" t="s">
        <v>285</v>
      </c>
      <c r="C3" s="101">
        <v>1003</v>
      </c>
      <c r="D3" s="101" t="str">
        <f>VLOOKUP(C3,$C$16:$E$19,2,)</f>
        <v>Chuyên viên</v>
      </c>
      <c r="E3" s="129" t="s">
        <v>118</v>
      </c>
      <c r="F3" s="130">
        <v>1200000</v>
      </c>
      <c r="G3" s="131">
        <f>F3+VLOOKUP(C3,$C$16:$E$19,3,0)*F3</f>
        <v>1320000</v>
      </c>
    </row>
    <row r="4" spans="1:7" x14ac:dyDescent="0.3">
      <c r="A4" s="101">
        <v>2</v>
      </c>
      <c r="B4" s="129" t="s">
        <v>286</v>
      </c>
      <c r="C4" s="101">
        <v>1002</v>
      </c>
      <c r="D4" s="101" t="str">
        <f t="shared" ref="D4:D10" si="0">VLOOKUP(C4,$C$16:$E$19,2,)</f>
        <v>Chuyên viên chính</v>
      </c>
      <c r="E4" s="129" t="s">
        <v>118</v>
      </c>
      <c r="F4" s="130">
        <v>1850000</v>
      </c>
      <c r="G4" s="131">
        <f t="shared" ref="G4:G10" si="1">F4+VLOOKUP(C4,$C$16:$E$19,3,0)*F4</f>
        <v>2220000</v>
      </c>
    </row>
    <row r="5" spans="1:7" x14ac:dyDescent="0.3">
      <c r="A5" s="101">
        <v>3</v>
      </c>
      <c r="B5" s="129" t="s">
        <v>235</v>
      </c>
      <c r="C5" s="101">
        <v>1001</v>
      </c>
      <c r="D5" s="101" t="str">
        <f t="shared" si="0"/>
        <v>Chuyên viên cao cấp</v>
      </c>
      <c r="E5" s="129" t="s">
        <v>111</v>
      </c>
      <c r="F5" s="130">
        <v>1600000</v>
      </c>
      <c r="G5" s="131">
        <f t="shared" si="1"/>
        <v>2000000</v>
      </c>
    </row>
    <row r="6" spans="1:7" x14ac:dyDescent="0.3">
      <c r="A6" s="101">
        <v>4</v>
      </c>
      <c r="B6" s="129" t="s">
        <v>236</v>
      </c>
      <c r="C6" s="101">
        <v>1003</v>
      </c>
      <c r="D6" s="101" t="str">
        <f t="shared" si="0"/>
        <v>Chuyên viên</v>
      </c>
      <c r="E6" s="129" t="s">
        <v>114</v>
      </c>
      <c r="F6" s="130">
        <v>950000</v>
      </c>
      <c r="G6" s="131">
        <f t="shared" si="1"/>
        <v>1045000</v>
      </c>
    </row>
    <row r="7" spans="1:7" x14ac:dyDescent="0.3">
      <c r="A7" s="101">
        <v>5</v>
      </c>
      <c r="B7" s="129" t="s">
        <v>238</v>
      </c>
      <c r="C7" s="101">
        <v>1002</v>
      </c>
      <c r="D7" s="101" t="str">
        <f t="shared" si="0"/>
        <v>Chuyên viên chính</v>
      </c>
      <c r="E7" s="129" t="s">
        <v>124</v>
      </c>
      <c r="F7" s="130">
        <v>1000000</v>
      </c>
      <c r="G7" s="131">
        <f t="shared" si="1"/>
        <v>1200000</v>
      </c>
    </row>
    <row r="8" spans="1:7" x14ac:dyDescent="0.3">
      <c r="A8" s="101">
        <v>6</v>
      </c>
      <c r="B8" s="129" t="s">
        <v>239</v>
      </c>
      <c r="C8" s="101">
        <v>6033</v>
      </c>
      <c r="D8" s="101" t="str">
        <f t="shared" si="0"/>
        <v>Kỹ sư</v>
      </c>
      <c r="E8" s="129" t="s">
        <v>128</v>
      </c>
      <c r="F8" s="130">
        <v>2000000</v>
      </c>
      <c r="G8" s="131">
        <f t="shared" si="1"/>
        <v>2100000</v>
      </c>
    </row>
    <row r="9" spans="1:7" x14ac:dyDescent="0.3">
      <c r="A9" s="101">
        <v>7</v>
      </c>
      <c r="B9" s="129" t="s">
        <v>235</v>
      </c>
      <c r="C9" s="101">
        <v>1003</v>
      </c>
      <c r="D9" s="101" t="str">
        <f t="shared" si="0"/>
        <v>Chuyên viên</v>
      </c>
      <c r="E9" s="129" t="s">
        <v>108</v>
      </c>
      <c r="F9" s="130">
        <v>2200000</v>
      </c>
      <c r="G9" s="131">
        <f t="shared" si="1"/>
        <v>2420000</v>
      </c>
    </row>
    <row r="10" spans="1:7" x14ac:dyDescent="0.3">
      <c r="A10" s="101">
        <v>8</v>
      </c>
      <c r="B10" s="129" t="s">
        <v>287</v>
      </c>
      <c r="C10" s="101">
        <v>1003</v>
      </c>
      <c r="D10" s="101" t="str">
        <f t="shared" si="0"/>
        <v>Chuyên viên</v>
      </c>
      <c r="E10" s="129" t="s">
        <v>105</v>
      </c>
      <c r="F10" s="130">
        <v>1800000</v>
      </c>
      <c r="G10" s="131">
        <f t="shared" si="1"/>
        <v>1980000</v>
      </c>
    </row>
    <row r="14" spans="1:7" ht="15.6" x14ac:dyDescent="0.3">
      <c r="C14" s="245" t="s">
        <v>288</v>
      </c>
      <c r="D14" s="245"/>
      <c r="E14" s="245"/>
    </row>
    <row r="15" spans="1:7" x14ac:dyDescent="0.3">
      <c r="C15" s="95" t="s">
        <v>98</v>
      </c>
      <c r="D15" s="95" t="s">
        <v>289</v>
      </c>
      <c r="E15" s="95" t="s">
        <v>290</v>
      </c>
    </row>
    <row r="16" spans="1:7" x14ac:dyDescent="0.3">
      <c r="C16" s="101">
        <v>1001</v>
      </c>
      <c r="D16" s="101" t="s">
        <v>291</v>
      </c>
      <c r="E16" s="101">
        <v>0.25</v>
      </c>
    </row>
    <row r="17" spans="3:5" x14ac:dyDescent="0.3">
      <c r="C17" s="101">
        <v>1002</v>
      </c>
      <c r="D17" s="101" t="s">
        <v>292</v>
      </c>
      <c r="E17" s="101">
        <v>0.2</v>
      </c>
    </row>
    <row r="18" spans="3:5" x14ac:dyDescent="0.3">
      <c r="C18" s="101">
        <v>1003</v>
      </c>
      <c r="D18" s="101" t="s">
        <v>293</v>
      </c>
      <c r="E18" s="101">
        <v>0.1</v>
      </c>
    </row>
    <row r="19" spans="3:5" x14ac:dyDescent="0.3">
      <c r="C19" s="101">
        <v>6033</v>
      </c>
      <c r="D19" s="101" t="s">
        <v>294</v>
      </c>
      <c r="E19" s="101">
        <v>0.05</v>
      </c>
    </row>
  </sheetData>
  <mergeCells count="2">
    <mergeCell ref="A1:G1"/>
    <mergeCell ref="C14:E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25E3-F966-495A-8357-AB13844AE4CA}">
  <dimension ref="A1:J20"/>
  <sheetViews>
    <sheetView workbookViewId="0">
      <selection activeCell="J18" sqref="J18"/>
    </sheetView>
  </sheetViews>
  <sheetFormatPr defaultRowHeight="14.4" x14ac:dyDescent="0.3"/>
  <cols>
    <col min="3" max="3" width="22.88671875" customWidth="1"/>
  </cols>
  <sheetData>
    <row r="1" spans="1:10" ht="15.6" x14ac:dyDescent="0.3">
      <c r="A1" s="244" t="s">
        <v>295</v>
      </c>
      <c r="B1" s="244"/>
      <c r="C1" s="244"/>
      <c r="D1" s="244"/>
      <c r="E1" s="244"/>
      <c r="F1" s="244"/>
      <c r="G1" s="244"/>
      <c r="H1" s="244"/>
      <c r="I1" s="244"/>
      <c r="J1" s="244"/>
    </row>
    <row r="2" spans="1:10" ht="14.4" customHeight="1" x14ac:dyDescent="0.3">
      <c r="A2" s="240" t="s">
        <v>5</v>
      </c>
      <c r="B2" s="240" t="s">
        <v>84</v>
      </c>
      <c r="C2" s="240" t="s">
        <v>149</v>
      </c>
      <c r="D2" s="240" t="s">
        <v>296</v>
      </c>
      <c r="E2" s="240" t="s">
        <v>297</v>
      </c>
      <c r="F2" s="250" t="s">
        <v>298</v>
      </c>
      <c r="G2" s="240" t="s">
        <v>299</v>
      </c>
      <c r="H2" s="252" t="s">
        <v>300</v>
      </c>
      <c r="I2" s="240" t="s">
        <v>301</v>
      </c>
      <c r="J2" s="240" t="s">
        <v>11</v>
      </c>
    </row>
    <row r="3" spans="1:10" x14ac:dyDescent="0.3">
      <c r="A3" s="238"/>
      <c r="B3" s="238"/>
      <c r="C3" s="238"/>
      <c r="D3" s="238"/>
      <c r="E3" s="238"/>
      <c r="F3" s="251"/>
      <c r="G3" s="238"/>
      <c r="H3" s="240"/>
      <c r="I3" s="238"/>
      <c r="J3" s="238"/>
    </row>
    <row r="4" spans="1:10" x14ac:dyDescent="0.3">
      <c r="A4" s="113">
        <v>1</v>
      </c>
      <c r="B4" s="113" t="s">
        <v>302</v>
      </c>
      <c r="C4" s="113" t="str">
        <f>VLOOKUP(LEFT(B4,2),$B$17:$C$20,2,)</f>
        <v>Máy điều hòa Parasonic</v>
      </c>
      <c r="D4" s="113">
        <f>VLOOKUP(LEFT(B4,2),$B$17:$D$20,3,FALSE)</f>
        <v>300</v>
      </c>
      <c r="E4" s="113">
        <f>VLOOKUP(LEFT(B4,2),$B$17:$E$20,4,FALSE)</f>
        <v>115</v>
      </c>
      <c r="F4" s="133">
        <f>D4*E4</f>
        <v>34500</v>
      </c>
      <c r="G4" s="113">
        <f>IF(MID(B4,4,1)="A",D4+15,IF(MID(B4,4,1)="B",D4+12,D4+10))</f>
        <v>315</v>
      </c>
      <c r="H4" s="113">
        <f>VLOOKUP(LEFT(B4,2),$B$17:$F$20,5,FALSE)</f>
        <v>95</v>
      </c>
      <c r="I4" s="113">
        <f>G4*H4</f>
        <v>29925</v>
      </c>
      <c r="J4" s="113" t="str">
        <f>IF(E4-H4&gt;=60,"Bán chậm",IF(E4-H4&gt;=30,"Bán được","Bán chạy"))</f>
        <v>Bán chạy</v>
      </c>
    </row>
    <row r="5" spans="1:10" x14ac:dyDescent="0.3">
      <c r="A5" s="113">
        <v>2</v>
      </c>
      <c r="B5" s="113" t="s">
        <v>303</v>
      </c>
      <c r="C5" s="113" t="str">
        <f t="shared" ref="C5:C11" si="0">VLOOKUP(LEFT(B5,2),$B$17:$C$20,2,)</f>
        <v>Máy điều hòa Parasonic</v>
      </c>
      <c r="D5" s="113">
        <f t="shared" ref="D5:D11" si="1">VLOOKUP(LEFT(B5,2),$B$17:$D$20,3,FALSE)</f>
        <v>300</v>
      </c>
      <c r="E5" s="113">
        <f t="shared" ref="E5:E11" si="2">VLOOKUP(LEFT(B5,2),$B$17:$E$20,4,FALSE)</f>
        <v>115</v>
      </c>
      <c r="F5" s="133">
        <f t="shared" ref="F5:F11" si="3">D5*E5</f>
        <v>34500</v>
      </c>
      <c r="G5" s="113">
        <f t="shared" ref="G5:G11" si="4">IF(MID(B5,4,1)="A",D5+15,IF(MID(B5,4,1)="B",D5+12,D5+10))</f>
        <v>310</v>
      </c>
      <c r="H5" s="113">
        <f t="shared" ref="H5:H11" si="5">VLOOKUP(LEFT(B5,2),$B$17:$F$20,5,FALSE)</f>
        <v>95</v>
      </c>
      <c r="I5" s="113">
        <f t="shared" ref="I5:I11" si="6">G5*H5</f>
        <v>29450</v>
      </c>
      <c r="J5" s="113" t="str">
        <f t="shared" ref="J5:J11" si="7">IF(E5-H5&gt;=60,"Bán chậm",IF(E5-H5&gt;=30,"Bán được","Bán chạy"))</f>
        <v>Bán chạy</v>
      </c>
    </row>
    <row r="6" spans="1:10" x14ac:dyDescent="0.3">
      <c r="A6" s="113">
        <v>3</v>
      </c>
      <c r="B6" s="113" t="s">
        <v>304</v>
      </c>
      <c r="C6" s="113" t="str">
        <f t="shared" si="0"/>
        <v>Máy điều hòa Samsung</v>
      </c>
      <c r="D6" s="113">
        <f t="shared" si="1"/>
        <v>210</v>
      </c>
      <c r="E6" s="113">
        <f t="shared" si="2"/>
        <v>120</v>
      </c>
      <c r="F6" s="133">
        <f t="shared" si="3"/>
        <v>25200</v>
      </c>
      <c r="G6" s="113">
        <f t="shared" si="4"/>
        <v>222</v>
      </c>
      <c r="H6" s="113">
        <f t="shared" si="5"/>
        <v>75</v>
      </c>
      <c r="I6" s="113">
        <f t="shared" si="6"/>
        <v>16650</v>
      </c>
      <c r="J6" s="113" t="str">
        <f t="shared" si="7"/>
        <v>Bán được</v>
      </c>
    </row>
    <row r="7" spans="1:10" x14ac:dyDescent="0.3">
      <c r="A7" s="113">
        <v>4</v>
      </c>
      <c r="B7" s="113" t="s">
        <v>305</v>
      </c>
      <c r="C7" s="113" t="str">
        <f t="shared" si="0"/>
        <v>Máy điều hòa Tosiba</v>
      </c>
      <c r="D7" s="113">
        <f t="shared" si="1"/>
        <v>250</v>
      </c>
      <c r="E7" s="113">
        <f t="shared" si="2"/>
        <v>85</v>
      </c>
      <c r="F7" s="133">
        <f t="shared" si="3"/>
        <v>21250</v>
      </c>
      <c r="G7" s="113">
        <f t="shared" si="4"/>
        <v>260</v>
      </c>
      <c r="H7" s="113">
        <f t="shared" si="5"/>
        <v>56</v>
      </c>
      <c r="I7" s="113">
        <f t="shared" si="6"/>
        <v>14560</v>
      </c>
      <c r="J7" s="113" t="str">
        <f t="shared" si="7"/>
        <v>Bán chạy</v>
      </c>
    </row>
    <row r="8" spans="1:10" x14ac:dyDescent="0.3">
      <c r="A8" s="113">
        <v>5</v>
      </c>
      <c r="B8" s="113" t="s">
        <v>306</v>
      </c>
      <c r="C8" s="113" t="str">
        <f t="shared" si="0"/>
        <v>Máy điều hòa Hitachi</v>
      </c>
      <c r="D8" s="113">
        <f t="shared" si="1"/>
        <v>220</v>
      </c>
      <c r="E8" s="113">
        <f t="shared" si="2"/>
        <v>68</v>
      </c>
      <c r="F8" s="133">
        <f t="shared" si="3"/>
        <v>14960</v>
      </c>
      <c r="G8" s="113">
        <f t="shared" si="4"/>
        <v>230</v>
      </c>
      <c r="H8" s="113">
        <f t="shared" si="5"/>
        <v>35</v>
      </c>
      <c r="I8" s="113">
        <f t="shared" si="6"/>
        <v>8050</v>
      </c>
      <c r="J8" s="113" t="str">
        <f t="shared" si="7"/>
        <v>Bán được</v>
      </c>
    </row>
    <row r="9" spans="1:10" x14ac:dyDescent="0.3">
      <c r="A9" s="113">
        <v>6</v>
      </c>
      <c r="B9" s="113" t="s">
        <v>307</v>
      </c>
      <c r="C9" s="113" t="str">
        <f t="shared" si="0"/>
        <v>Máy điều hòa Hitachi</v>
      </c>
      <c r="D9" s="113">
        <f t="shared" si="1"/>
        <v>220</v>
      </c>
      <c r="E9" s="113">
        <f t="shared" si="2"/>
        <v>68</v>
      </c>
      <c r="F9" s="133">
        <f t="shared" si="3"/>
        <v>14960</v>
      </c>
      <c r="G9" s="113">
        <f t="shared" si="4"/>
        <v>235</v>
      </c>
      <c r="H9" s="113">
        <f t="shared" si="5"/>
        <v>35</v>
      </c>
      <c r="I9" s="113">
        <f t="shared" si="6"/>
        <v>8225</v>
      </c>
      <c r="J9" s="113" t="str">
        <f t="shared" si="7"/>
        <v>Bán được</v>
      </c>
    </row>
    <row r="10" spans="1:10" x14ac:dyDescent="0.3">
      <c r="A10" s="113">
        <v>7</v>
      </c>
      <c r="B10" s="113" t="s">
        <v>308</v>
      </c>
      <c r="C10" s="113" t="str">
        <f t="shared" si="0"/>
        <v>Máy điều hòa Tosiba</v>
      </c>
      <c r="D10" s="113">
        <f t="shared" si="1"/>
        <v>250</v>
      </c>
      <c r="E10" s="113">
        <f t="shared" si="2"/>
        <v>85</v>
      </c>
      <c r="F10" s="133">
        <f t="shared" si="3"/>
        <v>21250</v>
      </c>
      <c r="G10" s="113">
        <f t="shared" si="4"/>
        <v>262</v>
      </c>
      <c r="H10" s="113">
        <f t="shared" si="5"/>
        <v>56</v>
      </c>
      <c r="I10" s="113">
        <f t="shared" si="6"/>
        <v>14672</v>
      </c>
      <c r="J10" s="113" t="str">
        <f t="shared" si="7"/>
        <v>Bán chạy</v>
      </c>
    </row>
    <row r="11" spans="1:10" x14ac:dyDescent="0.3">
      <c r="A11" s="113">
        <v>8</v>
      </c>
      <c r="B11" s="113" t="s">
        <v>304</v>
      </c>
      <c r="C11" s="113" t="str">
        <f t="shared" si="0"/>
        <v>Máy điều hòa Samsung</v>
      </c>
      <c r="D11" s="113">
        <f t="shared" si="1"/>
        <v>210</v>
      </c>
      <c r="E11" s="113">
        <f t="shared" si="2"/>
        <v>120</v>
      </c>
      <c r="F11" s="133">
        <f t="shared" si="3"/>
        <v>25200</v>
      </c>
      <c r="G11" s="113">
        <f t="shared" si="4"/>
        <v>222</v>
      </c>
      <c r="H11" s="113">
        <f t="shared" si="5"/>
        <v>75</v>
      </c>
      <c r="I11" s="113">
        <f t="shared" si="6"/>
        <v>16650</v>
      </c>
      <c r="J11" s="113" t="str">
        <f t="shared" si="7"/>
        <v>Bán được</v>
      </c>
    </row>
    <row r="12" spans="1:10" x14ac:dyDescent="0.3">
      <c r="A12" s="113"/>
      <c r="B12" s="246" t="s">
        <v>309</v>
      </c>
      <c r="C12" s="246"/>
      <c r="D12" s="110">
        <f>SUM(D4:D11)</f>
        <v>1960</v>
      </c>
      <c r="E12" s="110">
        <f t="shared" ref="E12:I12" si="8">SUM(E4:E11)</f>
        <v>776</v>
      </c>
      <c r="F12" s="110">
        <f t="shared" si="8"/>
        <v>191820</v>
      </c>
      <c r="G12" s="110">
        <f t="shared" si="8"/>
        <v>2056</v>
      </c>
      <c r="H12" s="110">
        <f t="shared" si="8"/>
        <v>522</v>
      </c>
      <c r="I12" s="110">
        <f t="shared" si="8"/>
        <v>138182</v>
      </c>
      <c r="J12" s="110"/>
    </row>
    <row r="15" spans="1:10" x14ac:dyDescent="0.3">
      <c r="B15" s="247" t="s">
        <v>310</v>
      </c>
      <c r="C15" s="248"/>
      <c r="D15" s="248"/>
      <c r="E15" s="248"/>
      <c r="F15" s="249"/>
    </row>
    <row r="16" spans="1:10" x14ac:dyDescent="0.3">
      <c r="B16" s="94" t="s">
        <v>84</v>
      </c>
      <c r="C16" s="94" t="s">
        <v>149</v>
      </c>
      <c r="D16" s="94" t="s">
        <v>296</v>
      </c>
      <c r="E16" s="94" t="s">
        <v>297</v>
      </c>
      <c r="F16" s="94" t="s">
        <v>300</v>
      </c>
    </row>
    <row r="17" spans="2:6" x14ac:dyDescent="0.3">
      <c r="B17" s="113" t="s">
        <v>311</v>
      </c>
      <c r="C17" s="113" t="s">
        <v>312</v>
      </c>
      <c r="D17" s="113">
        <v>300</v>
      </c>
      <c r="E17" s="113">
        <v>115</v>
      </c>
      <c r="F17" s="113">
        <v>95</v>
      </c>
    </row>
    <row r="18" spans="2:6" x14ac:dyDescent="0.3">
      <c r="B18" s="113" t="s">
        <v>313</v>
      </c>
      <c r="C18" s="113" t="s">
        <v>314</v>
      </c>
      <c r="D18" s="113">
        <v>250</v>
      </c>
      <c r="E18" s="113">
        <v>85</v>
      </c>
      <c r="F18" s="113">
        <v>56</v>
      </c>
    </row>
    <row r="19" spans="2:6" x14ac:dyDescent="0.3">
      <c r="B19" s="113" t="s">
        <v>315</v>
      </c>
      <c r="C19" s="113" t="s">
        <v>316</v>
      </c>
      <c r="D19" s="113">
        <v>210</v>
      </c>
      <c r="E19" s="113">
        <v>120</v>
      </c>
      <c r="F19" s="113">
        <v>75</v>
      </c>
    </row>
    <row r="20" spans="2:6" x14ac:dyDescent="0.3">
      <c r="B20" s="113" t="s">
        <v>317</v>
      </c>
      <c r="C20" s="113" t="s">
        <v>318</v>
      </c>
      <c r="D20" s="113">
        <v>220</v>
      </c>
      <c r="E20" s="113">
        <v>68</v>
      </c>
      <c r="F20" s="113">
        <v>35</v>
      </c>
    </row>
  </sheetData>
  <mergeCells count="13">
    <mergeCell ref="J2:J3"/>
    <mergeCell ref="B12:C12"/>
    <mergeCell ref="B15:F15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F9BD-B4E2-4AE8-99E0-D12364688878}">
  <dimension ref="A1:R13"/>
  <sheetViews>
    <sheetView workbookViewId="0">
      <selection activeCell="J21" sqref="J21"/>
    </sheetView>
  </sheetViews>
  <sheetFormatPr defaultRowHeight="14.4" x14ac:dyDescent="0.3"/>
  <cols>
    <col min="1" max="1" width="4.88671875" customWidth="1"/>
  </cols>
  <sheetData>
    <row r="1" spans="1:18" x14ac:dyDescent="0.3">
      <c r="A1" s="253" t="s">
        <v>319</v>
      </c>
      <c r="B1" s="253"/>
      <c r="C1" s="253"/>
      <c r="D1" s="253"/>
      <c r="E1" s="253"/>
      <c r="F1" s="253"/>
      <c r="G1" s="253"/>
      <c r="H1" s="253"/>
      <c r="I1" s="253"/>
    </row>
    <row r="2" spans="1:18" x14ac:dyDescent="0.3">
      <c r="A2" s="253"/>
      <c r="B2" s="253"/>
      <c r="C2" s="253"/>
      <c r="D2" s="253"/>
      <c r="E2" s="253"/>
      <c r="F2" s="253"/>
      <c r="G2" s="253"/>
      <c r="H2" s="253"/>
      <c r="I2" s="253"/>
      <c r="L2" s="247" t="s">
        <v>320</v>
      </c>
      <c r="M2" s="249"/>
      <c r="N2" s="134"/>
    </row>
    <row r="3" spans="1:18" ht="13.8" customHeight="1" x14ac:dyDescent="0.3">
      <c r="A3" s="93" t="s">
        <v>82</v>
      </c>
      <c r="B3" s="93" t="s">
        <v>321</v>
      </c>
      <c r="C3" s="93" t="s">
        <v>149</v>
      </c>
      <c r="D3" s="93" t="s">
        <v>148</v>
      </c>
      <c r="E3" s="93" t="s">
        <v>131</v>
      </c>
      <c r="F3" s="93" t="s">
        <v>322</v>
      </c>
      <c r="G3" s="93" t="s">
        <v>132</v>
      </c>
      <c r="H3" s="93" t="s">
        <v>133</v>
      </c>
      <c r="I3" s="93" t="s">
        <v>134</v>
      </c>
      <c r="L3" s="93" t="s">
        <v>323</v>
      </c>
      <c r="M3" s="135" t="s">
        <v>133</v>
      </c>
      <c r="N3" s="136"/>
      <c r="P3" s="27" t="s">
        <v>149</v>
      </c>
      <c r="Q3" s="27" t="s">
        <v>324</v>
      </c>
      <c r="R3" s="27" t="s">
        <v>325</v>
      </c>
    </row>
    <row r="4" spans="1:18" x14ac:dyDescent="0.3">
      <c r="A4" s="137">
        <v>1</v>
      </c>
      <c r="B4" s="137" t="s">
        <v>326</v>
      </c>
      <c r="C4" s="137" t="s">
        <v>327</v>
      </c>
      <c r="D4" s="138">
        <v>41041</v>
      </c>
      <c r="E4" s="138">
        <v>41044</v>
      </c>
      <c r="F4" s="133" t="str">
        <f>IF(_xlfn.DAYS(E4,D4)&lt;=30,"Bán chạy",IF(_xlfn.DAYS(E4,D4)&gt;90,"Bán chậm","Bán được"))</f>
        <v>Bán chạy</v>
      </c>
      <c r="G4" s="137">
        <v>100</v>
      </c>
      <c r="H4" s="137">
        <f>VLOOKUP(LEFT(B4,1),$L$4:$M$7,2)</f>
        <v>200</v>
      </c>
      <c r="I4" s="139">
        <f>G4*H4*1.1</f>
        <v>22000</v>
      </c>
      <c r="L4" s="133" t="s">
        <v>328</v>
      </c>
      <c r="M4" s="140">
        <v>100</v>
      </c>
      <c r="N4" s="141"/>
      <c r="P4" s="133" t="s">
        <v>327</v>
      </c>
      <c r="Q4" s="133">
        <f>SUMIF($C$4:$C$13,P4,$G$4:$G$13)</f>
        <v>1600</v>
      </c>
      <c r="R4" s="133">
        <f>SUMIF($C$4:$C$13,P4,$I$4:$I$13)</f>
        <v>352000</v>
      </c>
    </row>
    <row r="5" spans="1:18" ht="13.8" customHeight="1" x14ac:dyDescent="0.3">
      <c r="A5" s="137">
        <v>2</v>
      </c>
      <c r="B5" s="137" t="s">
        <v>329</v>
      </c>
      <c r="C5" s="137" t="s">
        <v>330</v>
      </c>
      <c r="D5" s="138">
        <v>41091</v>
      </c>
      <c r="E5" s="138">
        <v>41199</v>
      </c>
      <c r="F5" s="133" t="str">
        <f t="shared" ref="F5:F13" si="0">IF(_xlfn.DAYS(E5,D5)&lt;=30,"Bán chạy",IF(_xlfn.DAYS(E5,D5)&gt;90,"Bán chậm","Bán được"))</f>
        <v>Bán chậm</v>
      </c>
      <c r="G5" s="137">
        <v>200</v>
      </c>
      <c r="H5" s="137">
        <f t="shared" ref="H5:H13" si="1">VLOOKUP(LEFT(B5,1),$L$4:$M$7,2)</f>
        <v>100</v>
      </c>
      <c r="I5" s="139">
        <f t="shared" ref="I5:I13" si="2">G5*H5*1.1</f>
        <v>22000</v>
      </c>
      <c r="L5" s="133" t="s">
        <v>331</v>
      </c>
      <c r="M5" s="140">
        <v>200</v>
      </c>
      <c r="N5" s="141"/>
      <c r="P5" s="133" t="s">
        <v>330</v>
      </c>
      <c r="Q5" s="133">
        <f t="shared" ref="Q5:Q7" si="3">SUMIF($C$4:$C$13,P5,$G$4:$G$13)</f>
        <v>1000</v>
      </c>
      <c r="R5" s="133">
        <f>SUMIF($C$4:$C$13,P5,$I$4:$I$13)</f>
        <v>110000</v>
      </c>
    </row>
    <row r="6" spans="1:18" x14ac:dyDescent="0.3">
      <c r="A6" s="137">
        <v>3</v>
      </c>
      <c r="B6" s="137" t="s">
        <v>332</v>
      </c>
      <c r="C6" s="137" t="s">
        <v>333</v>
      </c>
      <c r="D6" s="138">
        <v>41120</v>
      </c>
      <c r="E6" s="138">
        <v>41180</v>
      </c>
      <c r="F6" s="133" t="str">
        <f t="shared" si="0"/>
        <v>Bán được</v>
      </c>
      <c r="G6" s="137">
        <v>300</v>
      </c>
      <c r="H6" s="137">
        <f t="shared" si="1"/>
        <v>120</v>
      </c>
      <c r="I6" s="139">
        <f t="shared" si="2"/>
        <v>39600</v>
      </c>
      <c r="L6" s="133" t="s">
        <v>334</v>
      </c>
      <c r="M6" s="140">
        <v>300</v>
      </c>
      <c r="N6" s="141"/>
      <c r="P6" s="133" t="s">
        <v>333</v>
      </c>
      <c r="Q6" s="133">
        <f t="shared" si="3"/>
        <v>600</v>
      </c>
      <c r="R6" s="133">
        <f t="shared" ref="R6:R7" si="4">SUMIF($C$4:$C$13,P6,$I$4:$I$13)</f>
        <v>79200</v>
      </c>
    </row>
    <row r="7" spans="1:18" ht="13.8" customHeight="1" x14ac:dyDescent="0.3">
      <c r="A7" s="137">
        <v>4</v>
      </c>
      <c r="B7" s="137" t="s">
        <v>335</v>
      </c>
      <c r="C7" s="137" t="s">
        <v>336</v>
      </c>
      <c r="D7" s="138">
        <v>40940</v>
      </c>
      <c r="E7" s="138">
        <v>41194</v>
      </c>
      <c r="F7" s="133" t="str">
        <f t="shared" si="0"/>
        <v>Bán chậm</v>
      </c>
      <c r="G7" s="137">
        <v>120</v>
      </c>
      <c r="H7" s="137">
        <f t="shared" si="1"/>
        <v>300</v>
      </c>
      <c r="I7" s="139">
        <f t="shared" si="2"/>
        <v>39600</v>
      </c>
      <c r="L7" s="133" t="s">
        <v>337</v>
      </c>
      <c r="M7" s="140">
        <v>120</v>
      </c>
      <c r="N7" s="141"/>
      <c r="P7" s="133" t="s">
        <v>336</v>
      </c>
      <c r="Q7" s="133">
        <f t="shared" si="3"/>
        <v>120</v>
      </c>
      <c r="R7" s="133">
        <f t="shared" si="4"/>
        <v>39600</v>
      </c>
    </row>
    <row r="8" spans="1:18" x14ac:dyDescent="0.3">
      <c r="A8" s="137">
        <v>5</v>
      </c>
      <c r="B8" s="137" t="s">
        <v>338</v>
      </c>
      <c r="C8" s="137" t="s">
        <v>330</v>
      </c>
      <c r="D8" s="138">
        <v>41120</v>
      </c>
      <c r="E8" s="138">
        <v>41180</v>
      </c>
      <c r="F8" s="133" t="str">
        <f t="shared" si="0"/>
        <v>Bán được</v>
      </c>
      <c r="G8" s="137">
        <v>400</v>
      </c>
      <c r="H8" s="137">
        <f t="shared" si="1"/>
        <v>100</v>
      </c>
      <c r="I8" s="139">
        <f t="shared" si="2"/>
        <v>44000</v>
      </c>
    </row>
    <row r="9" spans="1:18" x14ac:dyDescent="0.3">
      <c r="A9" s="137">
        <v>6</v>
      </c>
      <c r="B9" s="137" t="s">
        <v>339</v>
      </c>
      <c r="C9" s="137" t="s">
        <v>340</v>
      </c>
      <c r="D9" s="138">
        <v>41041</v>
      </c>
      <c r="E9" s="138">
        <v>41044</v>
      </c>
      <c r="F9" s="133" t="str">
        <f t="shared" si="0"/>
        <v>Bán chạy</v>
      </c>
      <c r="G9" s="137">
        <v>1500</v>
      </c>
      <c r="H9" s="137">
        <f t="shared" si="1"/>
        <v>200</v>
      </c>
      <c r="I9" s="139">
        <f t="shared" si="2"/>
        <v>330000</v>
      </c>
    </row>
    <row r="10" spans="1:18" x14ac:dyDescent="0.3">
      <c r="A10" s="137">
        <v>7</v>
      </c>
      <c r="B10" s="137" t="s">
        <v>341</v>
      </c>
      <c r="C10" s="137" t="s">
        <v>333</v>
      </c>
      <c r="D10" s="138">
        <v>41117</v>
      </c>
      <c r="E10" s="138">
        <v>41180</v>
      </c>
      <c r="F10" s="133" t="str">
        <f t="shared" si="0"/>
        <v>Bán được</v>
      </c>
      <c r="G10" s="137">
        <v>300</v>
      </c>
      <c r="H10" s="137">
        <f t="shared" si="1"/>
        <v>120</v>
      </c>
      <c r="I10" s="139">
        <f t="shared" si="2"/>
        <v>39600</v>
      </c>
    </row>
    <row r="11" spans="1:18" ht="13.8" customHeight="1" x14ac:dyDescent="0.3">
      <c r="A11" s="137">
        <v>8</v>
      </c>
      <c r="B11" s="137" t="s">
        <v>342</v>
      </c>
      <c r="C11" s="137" t="s">
        <v>343</v>
      </c>
      <c r="D11" s="138">
        <v>40943</v>
      </c>
      <c r="E11" s="138">
        <v>41197</v>
      </c>
      <c r="F11" s="133" t="str">
        <f t="shared" si="0"/>
        <v>Bán chậm</v>
      </c>
      <c r="G11" s="137">
        <v>120</v>
      </c>
      <c r="H11" s="137">
        <f t="shared" si="1"/>
        <v>300</v>
      </c>
      <c r="I11" s="139">
        <f t="shared" si="2"/>
        <v>39600</v>
      </c>
    </row>
    <row r="12" spans="1:18" x14ac:dyDescent="0.3">
      <c r="A12" s="137">
        <v>9</v>
      </c>
      <c r="B12" s="137" t="s">
        <v>344</v>
      </c>
      <c r="C12" s="137" t="s">
        <v>330</v>
      </c>
      <c r="D12" s="138">
        <v>41143</v>
      </c>
      <c r="E12" s="138">
        <v>41180</v>
      </c>
      <c r="F12" s="133" t="str">
        <f t="shared" si="0"/>
        <v>Bán được</v>
      </c>
      <c r="G12" s="137">
        <v>400</v>
      </c>
      <c r="H12" s="137">
        <f t="shared" si="1"/>
        <v>100</v>
      </c>
      <c r="I12" s="139">
        <f t="shared" si="2"/>
        <v>44000</v>
      </c>
    </row>
    <row r="13" spans="1:18" x14ac:dyDescent="0.3">
      <c r="A13" s="137">
        <v>10</v>
      </c>
      <c r="B13" s="137" t="s">
        <v>345</v>
      </c>
      <c r="C13" s="137" t="s">
        <v>327</v>
      </c>
      <c r="D13" s="138">
        <v>41102</v>
      </c>
      <c r="E13" s="138">
        <v>41164</v>
      </c>
      <c r="F13" s="133" t="str">
        <f t="shared" si="0"/>
        <v>Bán được</v>
      </c>
      <c r="G13" s="137">
        <v>1500</v>
      </c>
      <c r="H13" s="137">
        <f t="shared" si="1"/>
        <v>200</v>
      </c>
      <c r="I13" s="139">
        <f t="shared" si="2"/>
        <v>330000</v>
      </c>
    </row>
  </sheetData>
  <mergeCells count="2">
    <mergeCell ref="A1:I2"/>
    <mergeCell ref="L2:M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6756-C3F1-49D8-8DEC-93E5EBD2EF3C}">
  <dimension ref="A1:I26"/>
  <sheetViews>
    <sheetView workbookViewId="0">
      <selection sqref="A1:I26"/>
    </sheetView>
  </sheetViews>
  <sheetFormatPr defaultRowHeight="14.4" x14ac:dyDescent="0.3"/>
  <cols>
    <col min="5" max="5" width="21.33203125" customWidth="1"/>
  </cols>
  <sheetData>
    <row r="1" spans="1:9" ht="15.6" x14ac:dyDescent="0.3">
      <c r="A1" s="235" t="s">
        <v>346</v>
      </c>
      <c r="B1" s="236"/>
      <c r="C1" s="236"/>
      <c r="D1" s="236"/>
      <c r="E1" s="236"/>
      <c r="F1" s="236"/>
      <c r="G1" s="236"/>
      <c r="H1" s="236"/>
      <c r="I1" s="237"/>
    </row>
    <row r="2" spans="1:9" x14ac:dyDescent="0.3">
      <c r="A2" s="94" t="s">
        <v>82</v>
      </c>
      <c r="B2" s="94" t="s">
        <v>347</v>
      </c>
      <c r="C2" s="94" t="s">
        <v>348</v>
      </c>
      <c r="D2" s="94" t="s">
        <v>349</v>
      </c>
      <c r="E2" s="94" t="s">
        <v>350</v>
      </c>
      <c r="F2" s="94" t="s">
        <v>351</v>
      </c>
      <c r="G2" s="94" t="s">
        <v>352</v>
      </c>
      <c r="H2" s="94" t="s">
        <v>353</v>
      </c>
      <c r="I2" s="94" t="s">
        <v>354</v>
      </c>
    </row>
    <row r="3" spans="1:9" x14ac:dyDescent="0.3">
      <c r="A3" s="113">
        <v>1</v>
      </c>
      <c r="B3" s="113" t="s">
        <v>328</v>
      </c>
      <c r="C3" s="124">
        <v>41039</v>
      </c>
      <c r="D3" s="124">
        <v>41051</v>
      </c>
      <c r="E3" s="142">
        <f>IF(_xlfn.DAYS(D3,C3)=0,1,_xlfn.DAYS(D3,C3))</f>
        <v>12</v>
      </c>
      <c r="F3" s="142">
        <v>3</v>
      </c>
      <c r="G3" s="142">
        <f>IF(F3=1,HLOOKUP(B3,$D$17:$F$18,2),HLOOKUP(B3,$D$17:$F$19,3))</f>
        <v>100</v>
      </c>
      <c r="H3" s="142">
        <f>HLOOKUP(B3,$D$17:$F$20,4,0)</f>
        <v>35</v>
      </c>
      <c r="I3" s="142">
        <f>IF(E3&gt;10,E3*(G3+0.9*H3),E3*(G3+H3))</f>
        <v>1578</v>
      </c>
    </row>
    <row r="4" spans="1:9" x14ac:dyDescent="0.3">
      <c r="A4" s="113">
        <v>2</v>
      </c>
      <c r="B4" s="113" t="s">
        <v>331</v>
      </c>
      <c r="C4" s="124">
        <v>41113</v>
      </c>
      <c r="D4" s="124">
        <v>41140</v>
      </c>
      <c r="E4" s="142">
        <f t="shared" ref="E4:E12" si="0">IF(_xlfn.DAYS(D4,C4)=0,1,_xlfn.DAYS(D4,C4))</f>
        <v>27</v>
      </c>
      <c r="F4" s="142">
        <v>1</v>
      </c>
      <c r="G4" s="142">
        <f t="shared" ref="G4:G12" si="1">IF(F4=1,HLOOKUP(B4,$D$17:$F$18,2),HLOOKUP(B4,$D$17:$F$19,3))</f>
        <v>65</v>
      </c>
      <c r="H4" s="142">
        <f t="shared" ref="H4:H12" si="2">HLOOKUP(B4,$D$17:$F$20,4,0)</f>
        <v>25</v>
      </c>
      <c r="I4" s="142">
        <f t="shared" ref="I4:I12" si="3">IF(E4&gt;10,E4*(G4+0.9*H4),E4*(G4+H4))</f>
        <v>2362.5</v>
      </c>
    </row>
    <row r="5" spans="1:9" x14ac:dyDescent="0.3">
      <c r="A5" s="113">
        <v>3</v>
      </c>
      <c r="B5" s="113" t="s">
        <v>328</v>
      </c>
      <c r="C5" s="124">
        <v>41072</v>
      </c>
      <c r="D5" s="124">
        <v>41140</v>
      </c>
      <c r="E5" s="142">
        <f t="shared" si="0"/>
        <v>68</v>
      </c>
      <c r="F5" s="142">
        <v>2</v>
      </c>
      <c r="G5" s="142">
        <f t="shared" si="1"/>
        <v>100</v>
      </c>
      <c r="H5" s="142">
        <f t="shared" si="2"/>
        <v>35</v>
      </c>
      <c r="I5" s="142">
        <f t="shared" si="3"/>
        <v>8942</v>
      </c>
    </row>
    <row r="6" spans="1:9" x14ac:dyDescent="0.3">
      <c r="A6" s="113">
        <v>4</v>
      </c>
      <c r="B6" s="113" t="s">
        <v>331</v>
      </c>
      <c r="C6" s="124">
        <v>41055</v>
      </c>
      <c r="D6" s="124">
        <v>41067</v>
      </c>
      <c r="E6" s="142">
        <f t="shared" si="0"/>
        <v>12</v>
      </c>
      <c r="F6" s="142">
        <v>4</v>
      </c>
      <c r="G6" s="142">
        <f t="shared" si="1"/>
        <v>85</v>
      </c>
      <c r="H6" s="142">
        <f t="shared" si="2"/>
        <v>25</v>
      </c>
      <c r="I6" s="142">
        <f t="shared" si="3"/>
        <v>1290</v>
      </c>
    </row>
    <row r="7" spans="1:9" x14ac:dyDescent="0.3">
      <c r="A7" s="113">
        <v>5</v>
      </c>
      <c r="B7" s="113" t="s">
        <v>334</v>
      </c>
      <c r="C7" s="124">
        <v>41140</v>
      </c>
      <c r="D7" s="124">
        <v>41146</v>
      </c>
      <c r="E7" s="142">
        <f t="shared" si="0"/>
        <v>6</v>
      </c>
      <c r="F7" s="142">
        <v>1</v>
      </c>
      <c r="G7" s="142">
        <f t="shared" si="1"/>
        <v>50</v>
      </c>
      <c r="H7" s="142">
        <f t="shared" si="2"/>
        <v>15</v>
      </c>
      <c r="I7" s="142">
        <f t="shared" si="3"/>
        <v>390</v>
      </c>
    </row>
    <row r="8" spans="1:9" x14ac:dyDescent="0.3">
      <c r="A8" s="113">
        <v>6</v>
      </c>
      <c r="B8" s="113" t="s">
        <v>328</v>
      </c>
      <c r="C8" s="124">
        <v>41133</v>
      </c>
      <c r="D8" s="124">
        <v>41136</v>
      </c>
      <c r="E8" s="142">
        <f t="shared" si="0"/>
        <v>3</v>
      </c>
      <c r="F8" s="142">
        <v>2</v>
      </c>
      <c r="G8" s="142">
        <f t="shared" si="1"/>
        <v>100</v>
      </c>
      <c r="H8" s="142">
        <f t="shared" si="2"/>
        <v>35</v>
      </c>
      <c r="I8" s="142">
        <f t="shared" si="3"/>
        <v>405</v>
      </c>
    </row>
    <row r="9" spans="1:9" x14ac:dyDescent="0.3">
      <c r="A9" s="113">
        <v>7</v>
      </c>
      <c r="B9" s="113" t="s">
        <v>331</v>
      </c>
      <c r="C9" s="124">
        <v>41175</v>
      </c>
      <c r="D9" s="124">
        <v>41182</v>
      </c>
      <c r="E9" s="142">
        <f t="shared" si="0"/>
        <v>7</v>
      </c>
      <c r="F9" s="142">
        <v>4</v>
      </c>
      <c r="G9" s="142">
        <f t="shared" si="1"/>
        <v>85</v>
      </c>
      <c r="H9" s="142">
        <f t="shared" si="2"/>
        <v>25</v>
      </c>
      <c r="I9" s="142">
        <f t="shared" si="3"/>
        <v>770</v>
      </c>
    </row>
    <row r="10" spans="1:9" x14ac:dyDescent="0.3">
      <c r="A10" s="113">
        <v>8</v>
      </c>
      <c r="B10" s="113" t="s">
        <v>328</v>
      </c>
      <c r="C10" s="124">
        <v>41166</v>
      </c>
      <c r="D10" s="124">
        <v>41168</v>
      </c>
      <c r="E10" s="142">
        <f t="shared" si="0"/>
        <v>2</v>
      </c>
      <c r="F10" s="142">
        <v>1</v>
      </c>
      <c r="G10" s="142">
        <f t="shared" si="1"/>
        <v>80</v>
      </c>
      <c r="H10" s="142">
        <f t="shared" si="2"/>
        <v>35</v>
      </c>
      <c r="I10" s="142">
        <f t="shared" si="3"/>
        <v>230</v>
      </c>
    </row>
    <row r="11" spans="1:9" x14ac:dyDescent="0.3">
      <c r="A11" s="113">
        <v>9</v>
      </c>
      <c r="B11" s="113" t="s">
        <v>328</v>
      </c>
      <c r="C11" s="124">
        <v>41237</v>
      </c>
      <c r="D11" s="124">
        <v>41244</v>
      </c>
      <c r="E11" s="142">
        <f t="shared" si="0"/>
        <v>7</v>
      </c>
      <c r="F11" s="142">
        <v>2</v>
      </c>
      <c r="G11" s="142">
        <f t="shared" si="1"/>
        <v>100</v>
      </c>
      <c r="H11" s="142">
        <f t="shared" si="2"/>
        <v>35</v>
      </c>
      <c r="I11" s="142">
        <f t="shared" si="3"/>
        <v>945</v>
      </c>
    </row>
    <row r="12" spans="1:9" x14ac:dyDescent="0.3">
      <c r="A12" s="113">
        <v>10</v>
      </c>
      <c r="B12" s="113" t="s">
        <v>331</v>
      </c>
      <c r="C12" s="124">
        <v>41202</v>
      </c>
      <c r="D12" s="124">
        <v>41202</v>
      </c>
      <c r="E12" s="142">
        <f t="shared" si="0"/>
        <v>1</v>
      </c>
      <c r="F12" s="142">
        <v>2</v>
      </c>
      <c r="G12" s="142">
        <f t="shared" si="1"/>
        <v>85</v>
      </c>
      <c r="H12" s="142">
        <f t="shared" si="2"/>
        <v>25</v>
      </c>
      <c r="I12" s="142">
        <f t="shared" si="3"/>
        <v>110</v>
      </c>
    </row>
    <row r="13" spans="1:9" x14ac:dyDescent="0.3">
      <c r="A13" s="142"/>
      <c r="B13" s="254" t="s">
        <v>309</v>
      </c>
      <c r="C13" s="254"/>
      <c r="D13" s="143"/>
      <c r="E13" s="143"/>
      <c r="F13" s="143"/>
      <c r="G13" s="143"/>
      <c r="H13" s="143"/>
      <c r="I13" s="143"/>
    </row>
    <row r="16" spans="1:9" ht="15.6" x14ac:dyDescent="0.3">
      <c r="C16" s="255" t="s">
        <v>355</v>
      </c>
      <c r="D16" s="255"/>
      <c r="E16" s="255"/>
      <c r="F16" s="255"/>
    </row>
    <row r="17" spans="3:6" x14ac:dyDescent="0.3">
      <c r="C17" s="92" t="s">
        <v>356</v>
      </c>
      <c r="D17" s="94" t="s">
        <v>328</v>
      </c>
      <c r="E17" s="94" t="s">
        <v>331</v>
      </c>
      <c r="F17" s="94" t="s">
        <v>334</v>
      </c>
    </row>
    <row r="18" spans="3:6" x14ac:dyDescent="0.3">
      <c r="C18" s="114" t="s">
        <v>357</v>
      </c>
      <c r="D18" s="113">
        <v>80</v>
      </c>
      <c r="E18" s="113">
        <v>65</v>
      </c>
      <c r="F18" s="113">
        <v>50</v>
      </c>
    </row>
    <row r="19" spans="3:6" x14ac:dyDescent="0.3">
      <c r="C19" s="114" t="s">
        <v>358</v>
      </c>
      <c r="D19" s="113">
        <v>100</v>
      </c>
      <c r="E19" s="113">
        <v>85</v>
      </c>
      <c r="F19" s="113">
        <v>60</v>
      </c>
    </row>
    <row r="20" spans="3:6" x14ac:dyDescent="0.3">
      <c r="C20" s="114" t="s">
        <v>359</v>
      </c>
      <c r="D20" s="113">
        <v>35</v>
      </c>
      <c r="E20" s="113">
        <v>25</v>
      </c>
      <c r="F20" s="113">
        <v>15</v>
      </c>
    </row>
    <row r="23" spans="3:6" ht="15.6" x14ac:dyDescent="0.3">
      <c r="C23" s="256" t="s">
        <v>360</v>
      </c>
      <c r="D23" s="256"/>
      <c r="E23" s="256"/>
      <c r="F23" s="144"/>
    </row>
    <row r="24" spans="3:6" x14ac:dyDescent="0.3">
      <c r="C24" s="94" t="s">
        <v>356</v>
      </c>
      <c r="D24" s="94" t="s">
        <v>361</v>
      </c>
      <c r="E24" s="94" t="s">
        <v>362</v>
      </c>
    </row>
    <row r="25" spans="3:6" x14ac:dyDescent="0.3">
      <c r="C25" s="113" t="s">
        <v>328</v>
      </c>
      <c r="D25" s="113">
        <f>SUMIF($B$3:$B$12,C25,$E$3:$E$12)</f>
        <v>92</v>
      </c>
      <c r="E25" s="113">
        <f>SUMIF($B$3:$B$12,C25,$I$3:$I$12)</f>
        <v>12100</v>
      </c>
    </row>
    <row r="26" spans="3:6" x14ac:dyDescent="0.3">
      <c r="C26" s="113" t="s">
        <v>331</v>
      </c>
      <c r="D26" s="113">
        <f t="shared" ref="D26" si="4">SUMIF($B$3:$B$12,C26,$E$3:$E$12)</f>
        <v>47</v>
      </c>
      <c r="E26" s="113">
        <f t="shared" ref="E26" si="5">SUMIF($B$3:$B$12,C26,$I$3:$I$12)</f>
        <v>4532.5</v>
      </c>
    </row>
  </sheetData>
  <mergeCells count="4">
    <mergeCell ref="A1:I1"/>
    <mergeCell ref="B13:C13"/>
    <mergeCell ref="C16:F16"/>
    <mergeCell ref="C23:E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6A4-C16A-4B67-A2C3-216B25CE1139}">
  <dimension ref="A1:E5"/>
  <sheetViews>
    <sheetView workbookViewId="0">
      <selection activeCell="I11" sqref="I11"/>
    </sheetView>
  </sheetViews>
  <sheetFormatPr defaultRowHeight="14.4" x14ac:dyDescent="0.3"/>
  <cols>
    <col min="1" max="5" width="18.44140625" customWidth="1"/>
  </cols>
  <sheetData>
    <row r="1" spans="1:5" ht="29.4" customHeight="1" x14ac:dyDescent="0.3">
      <c r="A1" s="244" t="s">
        <v>363</v>
      </c>
      <c r="B1" s="244"/>
      <c r="C1" s="244"/>
      <c r="D1" s="244"/>
      <c r="E1" s="244"/>
    </row>
    <row r="2" spans="1:5" ht="22.2" customHeight="1" x14ac:dyDescent="0.3">
      <c r="A2" s="145" t="s">
        <v>364</v>
      </c>
      <c r="B2" s="145" t="s">
        <v>365</v>
      </c>
      <c r="C2" s="145" t="s">
        <v>366</v>
      </c>
      <c r="D2" s="145" t="s">
        <v>367</v>
      </c>
      <c r="E2" s="145" t="s">
        <v>368</v>
      </c>
    </row>
    <row r="3" spans="1:5" ht="24" customHeight="1" x14ac:dyDescent="0.3">
      <c r="A3" s="146" t="s">
        <v>369</v>
      </c>
      <c r="B3" s="115">
        <v>250</v>
      </c>
      <c r="C3" s="115">
        <v>300</v>
      </c>
      <c r="D3" s="115">
        <v>380</v>
      </c>
      <c r="E3" s="115">
        <v>640</v>
      </c>
    </row>
    <row r="4" spans="1:5" ht="24" customHeight="1" x14ac:dyDescent="0.3">
      <c r="A4" s="146" t="s">
        <v>370</v>
      </c>
      <c r="B4" s="115">
        <v>350</v>
      </c>
      <c r="C4" s="115">
        <v>280</v>
      </c>
      <c r="D4" s="115">
        <v>400</v>
      </c>
      <c r="E4" s="115">
        <v>560</v>
      </c>
    </row>
    <row r="5" spans="1:5" ht="24" customHeight="1" x14ac:dyDescent="0.3">
      <c r="A5" s="146" t="s">
        <v>371</v>
      </c>
      <c r="B5" s="115">
        <v>520</v>
      </c>
      <c r="C5" s="115">
        <v>480</v>
      </c>
      <c r="D5" s="115">
        <v>350</v>
      </c>
      <c r="E5" s="115">
        <v>500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6E39-896C-45CB-A39D-E474D6710E65}">
  <dimension ref="A1:H12"/>
  <sheetViews>
    <sheetView workbookViewId="0">
      <selection activeCell="D23" sqref="D23"/>
    </sheetView>
  </sheetViews>
  <sheetFormatPr defaultRowHeight="14.4" x14ac:dyDescent="0.3"/>
  <cols>
    <col min="1" max="1" width="15.109375" bestFit="1" customWidth="1"/>
    <col min="2" max="2" width="16.21875" bestFit="1" customWidth="1"/>
    <col min="3" max="3" width="25.88671875" bestFit="1" customWidth="1"/>
    <col min="4" max="4" width="22.44140625" bestFit="1" customWidth="1"/>
    <col min="5" max="5" width="13.109375" bestFit="1" customWidth="1"/>
    <col min="6" max="6" width="9.44140625" bestFit="1" customWidth="1"/>
    <col min="7" max="7" width="13.6640625" bestFit="1" customWidth="1"/>
    <col min="8" max="8" width="9.44140625" bestFit="1" customWidth="1"/>
  </cols>
  <sheetData>
    <row r="1" spans="1:8" x14ac:dyDescent="0.3">
      <c r="A1" s="258" t="s">
        <v>372</v>
      </c>
      <c r="B1" s="257" t="s">
        <v>373</v>
      </c>
      <c r="C1" s="257" t="s">
        <v>374</v>
      </c>
      <c r="D1" s="257" t="s">
        <v>375</v>
      </c>
      <c r="E1" s="257" t="s">
        <v>376</v>
      </c>
      <c r="F1" s="257" t="s">
        <v>377</v>
      </c>
      <c r="G1" s="257" t="s">
        <v>378</v>
      </c>
      <c r="H1" s="257" t="s">
        <v>379</v>
      </c>
    </row>
    <row r="2" spans="1:8" x14ac:dyDescent="0.3">
      <c r="A2" s="258"/>
      <c r="B2" s="257"/>
      <c r="C2" s="257"/>
      <c r="D2" s="257"/>
      <c r="E2" s="257"/>
      <c r="F2" s="257"/>
      <c r="G2" s="257"/>
      <c r="H2" s="257"/>
    </row>
    <row r="3" spans="1:8" x14ac:dyDescent="0.3">
      <c r="A3" s="51" t="s">
        <v>380</v>
      </c>
      <c r="B3" s="148">
        <v>269</v>
      </c>
      <c r="C3" s="148">
        <v>23</v>
      </c>
      <c r="D3" s="148">
        <v>246</v>
      </c>
      <c r="E3" s="148">
        <v>142</v>
      </c>
      <c r="F3" s="148">
        <v>119</v>
      </c>
      <c r="G3" s="148">
        <v>23</v>
      </c>
      <c r="H3" s="148">
        <v>0</v>
      </c>
    </row>
    <row r="4" spans="1:8" x14ac:dyDescent="0.3">
      <c r="A4" s="51" t="s">
        <v>381</v>
      </c>
      <c r="B4" s="148">
        <v>205</v>
      </c>
      <c r="C4" s="148">
        <v>160</v>
      </c>
      <c r="D4" s="148">
        <v>45</v>
      </c>
      <c r="E4" s="148">
        <v>44</v>
      </c>
      <c r="F4" s="148">
        <v>132</v>
      </c>
      <c r="G4" s="148">
        <v>29</v>
      </c>
      <c r="H4" s="148">
        <v>0</v>
      </c>
    </row>
    <row r="5" spans="1:8" x14ac:dyDescent="0.3">
      <c r="A5" s="51" t="s">
        <v>382</v>
      </c>
      <c r="B5" s="148">
        <v>230</v>
      </c>
      <c r="C5" s="148">
        <v>150</v>
      </c>
      <c r="D5" s="148">
        <v>80</v>
      </c>
      <c r="E5" s="148">
        <v>19</v>
      </c>
      <c r="F5" s="148">
        <v>142</v>
      </c>
      <c r="G5" s="148">
        <v>16</v>
      </c>
      <c r="H5" s="148">
        <v>53</v>
      </c>
    </row>
    <row r="6" spans="1:8" x14ac:dyDescent="0.3">
      <c r="A6" s="51" t="s">
        <v>383</v>
      </c>
      <c r="B6" s="148">
        <v>154</v>
      </c>
      <c r="C6" s="148">
        <v>91</v>
      </c>
      <c r="D6" s="148">
        <v>63</v>
      </c>
      <c r="E6" s="148">
        <v>11</v>
      </c>
      <c r="F6" s="148">
        <v>126</v>
      </c>
      <c r="G6" s="148">
        <v>20</v>
      </c>
      <c r="H6" s="148">
        <v>0</v>
      </c>
    </row>
    <row r="7" spans="1:8" x14ac:dyDescent="0.3">
      <c r="A7" s="51" t="s">
        <v>384</v>
      </c>
      <c r="B7" s="148">
        <v>246</v>
      </c>
      <c r="C7" s="148">
        <v>134</v>
      </c>
      <c r="D7" s="148">
        <v>112</v>
      </c>
      <c r="E7" s="148">
        <v>98</v>
      </c>
      <c r="F7" s="148">
        <v>108</v>
      </c>
      <c r="G7" s="148">
        <v>14</v>
      </c>
      <c r="H7" s="148">
        <v>23</v>
      </c>
    </row>
    <row r="8" spans="1:8" x14ac:dyDescent="0.3">
      <c r="A8" s="51" t="s">
        <v>385</v>
      </c>
      <c r="B8" s="148">
        <v>148</v>
      </c>
      <c r="C8" s="148">
        <v>32</v>
      </c>
      <c r="D8" s="148">
        <v>116</v>
      </c>
      <c r="E8" s="148">
        <v>41</v>
      </c>
      <c r="F8" s="148">
        <v>90</v>
      </c>
      <c r="G8" s="148">
        <v>9</v>
      </c>
      <c r="H8" s="148">
        <v>19</v>
      </c>
    </row>
    <row r="9" spans="1:8" x14ac:dyDescent="0.3">
      <c r="A9" s="51" t="s">
        <v>386</v>
      </c>
      <c r="B9" s="148">
        <v>117</v>
      </c>
      <c r="C9" s="148">
        <v>24</v>
      </c>
      <c r="D9" s="148">
        <v>93</v>
      </c>
      <c r="E9" s="148">
        <v>59</v>
      </c>
      <c r="F9" s="148">
        <v>26</v>
      </c>
      <c r="G9" s="148">
        <v>32</v>
      </c>
      <c r="H9" s="148">
        <v>0</v>
      </c>
    </row>
    <row r="10" spans="1:8" x14ac:dyDescent="0.3">
      <c r="A10" s="51" t="s">
        <v>387</v>
      </c>
      <c r="B10" s="148">
        <v>149</v>
      </c>
      <c r="C10" s="148">
        <v>21</v>
      </c>
      <c r="D10" s="148">
        <v>128</v>
      </c>
      <c r="E10" s="148">
        <v>70</v>
      </c>
      <c r="F10" s="148">
        <v>66</v>
      </c>
      <c r="G10" s="148">
        <v>20</v>
      </c>
      <c r="H10" s="148">
        <v>0</v>
      </c>
    </row>
    <row r="11" spans="1:8" x14ac:dyDescent="0.3">
      <c r="A11" s="51" t="s">
        <v>388</v>
      </c>
      <c r="B11" s="148">
        <v>428</v>
      </c>
      <c r="C11" s="148">
        <v>290</v>
      </c>
      <c r="D11" s="148">
        <v>138</v>
      </c>
      <c r="E11" s="148">
        <v>3</v>
      </c>
      <c r="F11" s="148">
        <v>102</v>
      </c>
      <c r="G11" s="148">
        <v>8</v>
      </c>
      <c r="H11" s="148">
        <v>317</v>
      </c>
    </row>
    <row r="12" spans="1:8" x14ac:dyDescent="0.3">
      <c r="A12" s="51" t="s">
        <v>389</v>
      </c>
      <c r="B12" s="148">
        <v>192</v>
      </c>
      <c r="C12" s="148">
        <v>26</v>
      </c>
      <c r="D12" s="148">
        <v>166</v>
      </c>
      <c r="E12" s="148">
        <v>7</v>
      </c>
      <c r="F12" s="148">
        <v>166</v>
      </c>
      <c r="G12" s="148">
        <v>21</v>
      </c>
      <c r="H12" s="148">
        <v>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9CEF-0E43-4899-9809-DF8D6C90D746}">
  <dimension ref="A1:E11"/>
  <sheetViews>
    <sheetView topLeftCell="A28" zoomScaleNormal="100" workbookViewId="0">
      <selection activeCell="D44" sqref="D44"/>
    </sheetView>
  </sheetViews>
  <sheetFormatPr defaultRowHeight="14.4" x14ac:dyDescent="0.3"/>
  <cols>
    <col min="1" max="1" width="19.109375" customWidth="1"/>
    <col min="2" max="3" width="12.88671875" customWidth="1"/>
    <col min="4" max="4" width="17" customWidth="1"/>
    <col min="5" max="5" width="15.44140625" customWidth="1"/>
  </cols>
  <sheetData>
    <row r="1" spans="1:5" ht="21.6" customHeight="1" x14ac:dyDescent="0.3">
      <c r="A1" s="149" t="s">
        <v>372</v>
      </c>
      <c r="B1" s="149" t="s">
        <v>390</v>
      </c>
      <c r="C1" s="149" t="s">
        <v>377</v>
      </c>
      <c r="D1" s="149" t="s">
        <v>391</v>
      </c>
      <c r="E1" s="149" t="s">
        <v>379</v>
      </c>
    </row>
    <row r="2" spans="1:5" x14ac:dyDescent="0.3">
      <c r="A2" s="150" t="s">
        <v>380</v>
      </c>
      <c r="B2" s="151">
        <v>49.74</v>
      </c>
      <c r="C2" s="151">
        <v>40.26</v>
      </c>
      <c r="D2" s="151">
        <v>10</v>
      </c>
      <c r="E2" s="151">
        <v>0</v>
      </c>
    </row>
    <row r="3" spans="1:5" x14ac:dyDescent="0.3">
      <c r="A3" s="150" t="s">
        <v>381</v>
      </c>
      <c r="B3" s="151">
        <v>20</v>
      </c>
      <c r="C3" s="151">
        <v>63.72</v>
      </c>
      <c r="D3" s="151">
        <v>16.28</v>
      </c>
      <c r="E3" s="151">
        <v>0</v>
      </c>
    </row>
    <row r="4" spans="1:5" x14ac:dyDescent="0.3">
      <c r="A4" s="150" t="s">
        <v>392</v>
      </c>
      <c r="B4" s="151">
        <v>5.64</v>
      </c>
      <c r="C4" s="151">
        <v>58.5</v>
      </c>
      <c r="D4" s="151">
        <v>6.51</v>
      </c>
      <c r="E4" s="151">
        <v>29.35</v>
      </c>
    </row>
    <row r="5" spans="1:5" x14ac:dyDescent="0.3">
      <c r="A5" s="150" t="s">
        <v>383</v>
      </c>
      <c r="B5" s="151">
        <v>6.68</v>
      </c>
      <c r="C5" s="151">
        <v>78.55</v>
      </c>
      <c r="D5" s="151">
        <v>14.77</v>
      </c>
      <c r="E5" s="151">
        <v>0</v>
      </c>
    </row>
    <row r="6" spans="1:5" x14ac:dyDescent="0.3">
      <c r="A6" s="150" t="s">
        <v>384</v>
      </c>
      <c r="B6" s="151">
        <v>37.07</v>
      </c>
      <c r="C6" s="151">
        <v>46.93</v>
      </c>
      <c r="D6" s="151">
        <v>5.93</v>
      </c>
      <c r="E6" s="151">
        <v>10.07</v>
      </c>
    </row>
    <row r="7" spans="1:5" x14ac:dyDescent="0.3">
      <c r="A7" s="150" t="s">
        <v>385</v>
      </c>
      <c r="B7" s="151">
        <v>18.34</v>
      </c>
      <c r="C7" s="151">
        <v>62.58</v>
      </c>
      <c r="D7" s="151">
        <v>4.67</v>
      </c>
      <c r="E7" s="151">
        <v>14.41</v>
      </c>
    </row>
    <row r="8" spans="1:5" x14ac:dyDescent="0.3">
      <c r="A8" s="150" t="s">
        <v>386</v>
      </c>
      <c r="B8" s="151">
        <v>53.52</v>
      </c>
      <c r="C8" s="151">
        <v>21.85</v>
      </c>
      <c r="D8" s="151">
        <v>24.63</v>
      </c>
      <c r="E8" s="151">
        <v>0</v>
      </c>
    </row>
    <row r="9" spans="1:5" x14ac:dyDescent="0.3">
      <c r="A9" s="150" t="s">
        <v>387</v>
      </c>
      <c r="B9" s="151">
        <v>45.2</v>
      </c>
      <c r="C9" s="151">
        <v>40.69</v>
      </c>
      <c r="D9" s="151">
        <v>14.11</v>
      </c>
      <c r="E9" s="151">
        <v>0</v>
      </c>
    </row>
    <row r="10" spans="1:5" x14ac:dyDescent="0.3">
      <c r="A10" s="150" t="s">
        <v>393</v>
      </c>
      <c r="B10" s="151">
        <v>0.64</v>
      </c>
      <c r="C10" s="151">
        <v>19.89</v>
      </c>
      <c r="D10" s="151">
        <v>1.69</v>
      </c>
      <c r="E10" s="151">
        <v>77.78</v>
      </c>
    </row>
    <row r="11" spans="1:5" x14ac:dyDescent="0.3">
      <c r="A11" s="150" t="s">
        <v>389</v>
      </c>
      <c r="B11" s="151">
        <v>2.54</v>
      </c>
      <c r="C11" s="151">
        <v>85.38</v>
      </c>
      <c r="D11" s="151">
        <v>12.08</v>
      </c>
      <c r="E11" s="151">
        <v>0</v>
      </c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440E-E455-45C1-AF85-01E442DCAA86}">
  <dimension ref="A1:J12"/>
  <sheetViews>
    <sheetView topLeftCell="A4" workbookViewId="0">
      <selection activeCell="A12" sqref="A12"/>
    </sheetView>
  </sheetViews>
  <sheetFormatPr defaultColWidth="18" defaultRowHeight="14.4" x14ac:dyDescent="0.3"/>
  <cols>
    <col min="1" max="1" width="18.6640625" bestFit="1" customWidth="1"/>
    <col min="2" max="2" width="6" bestFit="1" customWidth="1"/>
    <col min="3" max="3" width="11.44140625" bestFit="1" customWidth="1"/>
    <col min="4" max="4" width="12.44140625" bestFit="1" customWidth="1"/>
    <col min="5" max="5" width="11.33203125" bestFit="1" customWidth="1"/>
    <col min="6" max="6" width="11.88671875" bestFit="1" customWidth="1"/>
    <col min="7" max="7" width="9.21875" bestFit="1" customWidth="1"/>
    <col min="8" max="8" width="12" bestFit="1" customWidth="1"/>
    <col min="9" max="9" width="9.109375" bestFit="1" customWidth="1"/>
    <col min="10" max="10" width="14.109375" bestFit="1" customWidth="1"/>
  </cols>
  <sheetData>
    <row r="1" spans="1:10" ht="22.8" x14ac:dyDescent="0.3">
      <c r="A1" s="154" t="s">
        <v>372</v>
      </c>
      <c r="B1" s="154" t="s">
        <v>394</v>
      </c>
      <c r="C1" s="154" t="s">
        <v>395</v>
      </c>
      <c r="D1" s="154" t="s">
        <v>396</v>
      </c>
      <c r="E1" s="154" t="s">
        <v>397</v>
      </c>
      <c r="F1" s="154" t="s">
        <v>398</v>
      </c>
      <c r="G1" s="154" t="s">
        <v>399</v>
      </c>
      <c r="H1" s="154" t="s">
        <v>400</v>
      </c>
      <c r="I1" s="154" t="s">
        <v>401</v>
      </c>
      <c r="J1" s="154" t="s">
        <v>402</v>
      </c>
    </row>
    <row r="2" spans="1:10" x14ac:dyDescent="0.3">
      <c r="A2" s="155" t="s">
        <v>380</v>
      </c>
      <c r="B2" s="151">
        <v>0.03</v>
      </c>
      <c r="C2" s="151">
        <v>4.87</v>
      </c>
      <c r="D2" s="151">
        <v>0.38</v>
      </c>
      <c r="E2" s="151">
        <v>29.68</v>
      </c>
      <c r="F2" s="151">
        <v>1.04</v>
      </c>
      <c r="G2" s="151">
        <v>29.26</v>
      </c>
      <c r="H2" s="151">
        <v>32.08</v>
      </c>
      <c r="I2" s="151">
        <v>2.06</v>
      </c>
      <c r="J2" s="151">
        <v>0.13</v>
      </c>
    </row>
    <row r="3" spans="1:10" x14ac:dyDescent="0.3">
      <c r="A3" s="155" t="s">
        <v>381</v>
      </c>
      <c r="B3" s="151">
        <v>0.05</v>
      </c>
      <c r="C3" s="151">
        <v>19.350000000000001</v>
      </c>
      <c r="D3" s="151">
        <v>1.22</v>
      </c>
      <c r="E3" s="151">
        <v>22.41</v>
      </c>
      <c r="F3" s="151">
        <v>3.5</v>
      </c>
      <c r="G3" s="151">
        <v>47.22</v>
      </c>
      <c r="H3" s="151">
        <v>1.72</v>
      </c>
      <c r="I3" s="151">
        <v>1.1499999999999999</v>
      </c>
      <c r="J3" s="151">
        <v>2.8</v>
      </c>
    </row>
    <row r="4" spans="1:10" x14ac:dyDescent="0.3">
      <c r="A4" s="155" t="s">
        <v>392</v>
      </c>
      <c r="B4" s="151">
        <v>0.03</v>
      </c>
      <c r="C4" s="151">
        <v>18.149999999999999</v>
      </c>
      <c r="D4" s="151">
        <v>2.62</v>
      </c>
      <c r="E4" s="151">
        <v>47.86</v>
      </c>
      <c r="F4" s="151">
        <v>5.89</v>
      </c>
      <c r="G4" s="151">
        <v>16.850000000000001</v>
      </c>
      <c r="H4" s="151">
        <v>0.64</v>
      </c>
      <c r="I4" s="151">
        <v>0.33</v>
      </c>
      <c r="J4" s="151">
        <v>6.63</v>
      </c>
    </row>
    <row r="5" spans="1:10" x14ac:dyDescent="0.3">
      <c r="A5" s="155" t="s">
        <v>383</v>
      </c>
      <c r="B5" s="151">
        <v>0.03</v>
      </c>
      <c r="C5" s="151">
        <v>15.3</v>
      </c>
      <c r="D5" s="151">
        <v>0.25</v>
      </c>
      <c r="E5" s="151">
        <v>43.77</v>
      </c>
      <c r="F5" s="151">
        <v>1.66</v>
      </c>
      <c r="G5" s="151">
        <v>36.33</v>
      </c>
      <c r="H5" s="151">
        <v>0.76</v>
      </c>
      <c r="I5" s="151">
        <v>1.29</v>
      </c>
      <c r="J5" s="151">
        <v>0.53</v>
      </c>
    </row>
    <row r="6" spans="1:10" x14ac:dyDescent="0.3">
      <c r="A6" s="155" t="s">
        <v>384</v>
      </c>
      <c r="B6" s="151">
        <v>0.05</v>
      </c>
      <c r="C6" s="151">
        <v>10.32</v>
      </c>
      <c r="D6" s="151">
        <v>1.25</v>
      </c>
      <c r="E6" s="151">
        <v>16.29</v>
      </c>
      <c r="F6" s="151">
        <v>2.63</v>
      </c>
      <c r="G6" s="151">
        <v>61.89</v>
      </c>
      <c r="H6" s="151">
        <v>5.04</v>
      </c>
      <c r="I6" s="151">
        <v>1.83</v>
      </c>
      <c r="J6" s="151">
        <v>0.39</v>
      </c>
    </row>
    <row r="7" spans="1:10" x14ac:dyDescent="0.3">
      <c r="A7" s="155" t="s">
        <v>385</v>
      </c>
      <c r="B7" s="151">
        <v>0</v>
      </c>
      <c r="C7" s="151">
        <v>13.3</v>
      </c>
      <c r="D7" s="151">
        <v>2.2999999999999998</v>
      </c>
      <c r="E7" s="151">
        <v>23.71</v>
      </c>
      <c r="F7" s="151">
        <v>5.58</v>
      </c>
      <c r="G7" s="151">
        <v>46.94</v>
      </c>
      <c r="H7" s="151">
        <v>6.85</v>
      </c>
      <c r="I7" s="151">
        <v>0.95</v>
      </c>
      <c r="J7" s="151">
        <v>0.12</v>
      </c>
    </row>
    <row r="8" spans="1:10" x14ac:dyDescent="0.3">
      <c r="A8" s="155" t="s">
        <v>386</v>
      </c>
      <c r="B8" s="151">
        <v>0</v>
      </c>
      <c r="C8" s="151">
        <v>23.11</v>
      </c>
      <c r="D8" s="151">
        <v>0.9</v>
      </c>
      <c r="E8" s="151">
        <v>14.46</v>
      </c>
      <c r="F8" s="151">
        <v>0.16</v>
      </c>
      <c r="G8" s="151">
        <v>18.98</v>
      </c>
      <c r="H8" s="151">
        <v>35.020000000000003</v>
      </c>
      <c r="I8" s="151">
        <v>6.58</v>
      </c>
      <c r="J8" s="151">
        <v>0.19</v>
      </c>
    </row>
    <row r="9" spans="1:10" x14ac:dyDescent="0.3">
      <c r="A9" s="155" t="s">
        <v>387</v>
      </c>
      <c r="B9" s="151">
        <v>0</v>
      </c>
      <c r="C9" s="151">
        <v>7.07</v>
      </c>
      <c r="D9" s="151">
        <v>1.44</v>
      </c>
      <c r="E9" s="151">
        <v>6.05</v>
      </c>
      <c r="F9" s="151">
        <v>0.66</v>
      </c>
      <c r="G9" s="151">
        <v>29.34</v>
      </c>
      <c r="H9" s="151">
        <v>52.17</v>
      </c>
      <c r="I9" s="151">
        <v>2.84</v>
      </c>
      <c r="J9" s="151">
        <v>0.06</v>
      </c>
    </row>
    <row r="10" spans="1:10" x14ac:dyDescent="0.3">
      <c r="A10" s="155" t="s">
        <v>393</v>
      </c>
      <c r="B10" s="151">
        <v>0.02</v>
      </c>
      <c r="C10" s="151">
        <v>16.36</v>
      </c>
      <c r="D10" s="151">
        <v>3.66</v>
      </c>
      <c r="E10" s="151">
        <v>19.38</v>
      </c>
      <c r="F10" s="151">
        <v>4.04</v>
      </c>
      <c r="G10" s="151">
        <v>46.43</v>
      </c>
      <c r="H10" s="151">
        <v>4.82</v>
      </c>
      <c r="I10" s="151">
        <v>1.01</v>
      </c>
      <c r="J10" s="151">
        <v>1.29</v>
      </c>
    </row>
    <row r="11" spans="1:10" x14ac:dyDescent="0.3">
      <c r="A11" s="155" t="s">
        <v>389</v>
      </c>
      <c r="B11" s="151">
        <v>0.04</v>
      </c>
      <c r="C11" s="151">
        <v>3.68</v>
      </c>
      <c r="D11" s="151">
        <v>1.41</v>
      </c>
      <c r="E11" s="151">
        <v>19.600000000000001</v>
      </c>
      <c r="F11" s="151">
        <v>3.99</v>
      </c>
      <c r="G11" s="151">
        <v>57.76</v>
      </c>
      <c r="H11" s="151">
        <v>11.95</v>
      </c>
      <c r="I11" s="151">
        <v>0.84</v>
      </c>
      <c r="J11" s="151">
        <v>0.15</v>
      </c>
    </row>
    <row r="12" spans="1:10" x14ac:dyDescent="0.3">
      <c r="A12" s="155" t="s">
        <v>151</v>
      </c>
      <c r="B12" s="156">
        <v>0.02</v>
      </c>
      <c r="C12" s="156">
        <v>12.93</v>
      </c>
      <c r="D12" s="156">
        <v>1.9</v>
      </c>
      <c r="E12" s="156">
        <v>24.47</v>
      </c>
      <c r="F12" s="156">
        <v>3.21</v>
      </c>
      <c r="G12" s="156">
        <v>39.409999999999997</v>
      </c>
      <c r="H12" s="156">
        <v>14.01</v>
      </c>
      <c r="I12" s="156">
        <v>1.59</v>
      </c>
      <c r="J12" s="156">
        <v>1.38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99DE-C777-4090-A7EB-6A04FC427C6A}">
  <dimension ref="A1:I28"/>
  <sheetViews>
    <sheetView topLeftCell="A22" workbookViewId="0">
      <selection activeCell="D38" sqref="D38"/>
    </sheetView>
  </sheetViews>
  <sheetFormatPr defaultRowHeight="14.4" x14ac:dyDescent="0.3"/>
  <cols>
    <col min="1" max="2" width="13" customWidth="1"/>
    <col min="3" max="3" width="23.33203125" customWidth="1"/>
    <col min="4" max="4" width="14.6640625" customWidth="1"/>
    <col min="5" max="5" width="8.88671875" customWidth="1"/>
    <col min="6" max="6" width="12.88671875" customWidth="1"/>
    <col min="7" max="7" width="16.5546875" customWidth="1"/>
    <col min="8" max="8" width="15.5546875" customWidth="1"/>
    <col min="9" max="9" width="24.21875" customWidth="1"/>
  </cols>
  <sheetData>
    <row r="1" spans="1:9" ht="15.6" x14ac:dyDescent="0.3">
      <c r="A1" s="235" t="s">
        <v>403</v>
      </c>
      <c r="B1" s="236"/>
      <c r="C1" s="236"/>
      <c r="D1" s="236"/>
      <c r="E1" s="236"/>
      <c r="F1" s="236"/>
      <c r="G1" s="236"/>
      <c r="H1" s="236"/>
      <c r="I1" s="237"/>
    </row>
    <row r="2" spans="1:9" ht="15.6" x14ac:dyDescent="0.3">
      <c r="A2" s="164" t="s">
        <v>223</v>
      </c>
      <c r="B2" s="57" t="s">
        <v>84</v>
      </c>
      <c r="C2" s="57" t="s">
        <v>149</v>
      </c>
      <c r="D2" s="57" t="s">
        <v>356</v>
      </c>
      <c r="E2" s="57" t="s">
        <v>372</v>
      </c>
      <c r="F2" s="57" t="s">
        <v>132</v>
      </c>
      <c r="G2" s="57" t="s">
        <v>133</v>
      </c>
      <c r="H2" s="57" t="s">
        <v>404</v>
      </c>
      <c r="I2" s="57" t="s">
        <v>134</v>
      </c>
    </row>
    <row r="3" spans="1:9" ht="15.6" x14ac:dyDescent="0.3">
      <c r="A3" s="158">
        <v>41202</v>
      </c>
      <c r="B3" s="159" t="s">
        <v>405</v>
      </c>
      <c r="C3" s="159" t="str">
        <f>VLOOKUP(LEFT(B3,3),$B$17:$C$20,2,FALSE)</f>
        <v>Đường Biên Hoà</v>
      </c>
      <c r="D3" s="159" t="str">
        <f>IF(MID(B3,5,2)="DB","Đặc biệt","Trung bình")</f>
        <v>Đặc biệt</v>
      </c>
      <c r="E3" s="159" t="s">
        <v>406</v>
      </c>
      <c r="F3" s="159">
        <v>150</v>
      </c>
      <c r="G3" s="159">
        <f>IF(RIGHT(B3,1)="N",VLOOKUP(LEFT(B3,3),IF(MID(B3,5,2)="DB",$E$16:$F$20,$E$16:$G$20),IF(MID(B3,5,2)="DB",2,3),FALSE)*0.95,VLOOKUP(LEFT(B3,3),IF(MID(B3,5,2)="DB",$E$16:$F$20,$E$16:$G$20),IF(MID(B3,5,2)="DB",2,3),FALSE)*0.9)</f>
        <v>42750</v>
      </c>
      <c r="H3" s="159">
        <f>IF(RIGHT(B3,1)="N",0.2,0.5)*G3</f>
        <v>8550</v>
      </c>
      <c r="I3" s="160">
        <f>F3*G3-H3</f>
        <v>6403950</v>
      </c>
    </row>
    <row r="4" spans="1:9" ht="15.6" x14ac:dyDescent="0.3">
      <c r="A4" s="158">
        <v>41197</v>
      </c>
      <c r="B4" s="159" t="s">
        <v>407</v>
      </c>
      <c r="C4" s="159" t="str">
        <f>VLOOKUP(LEFT(B4,3),$B$17:$C$20,2,FALSE)</f>
        <v>Gạo Thái Lan</v>
      </c>
      <c r="D4" s="159" t="str">
        <f>IF(MID(B4,5,2)="DB","Đặc biệt","Trung bình")</f>
        <v>Trung bình</v>
      </c>
      <c r="E4" s="159" t="s">
        <v>406</v>
      </c>
      <c r="F4" s="159">
        <v>700</v>
      </c>
      <c r="G4" s="159">
        <f>IF(RIGHT(B4,1)="N",VLOOKUP(LEFT(B4,3),IF(MID(B4,5,2)="DB",$E$16:$F$20,$E$16:$G$20),IF(MID(B4,5,2)="DB",2,3),FALSE)*0.95,VLOOKUP(LEFT(B4,3),IF(MID(B4,5,2)="DB",$E$16:$F$20,$E$16:$G$20),IF(MID(B4,5,2)="DB",2,3),FALSE)*0.9)</f>
        <v>53200</v>
      </c>
      <c r="H4" s="159">
        <f>IF(RIGHT(B4,1)="N",0.2,0.5)*G4</f>
        <v>10640</v>
      </c>
      <c r="I4" s="160">
        <f>F4*G4-H4</f>
        <v>37229360</v>
      </c>
    </row>
    <row r="5" spans="1:9" ht="15.6" x14ac:dyDescent="0.3">
      <c r="A5" s="158">
        <v>41183</v>
      </c>
      <c r="B5" s="159" t="s">
        <v>408</v>
      </c>
      <c r="C5" s="159" t="str">
        <f>VLOOKUP(LEFT(B5,3),$B$17:$C$20,2,FALSE)</f>
        <v>Đường Biên Hoà</v>
      </c>
      <c r="D5" s="159" t="str">
        <f>IF(MID(B5,5,2)="DB","Đặc biệt","Trung bình")</f>
        <v>Trung bình</v>
      </c>
      <c r="E5" s="159" t="s">
        <v>406</v>
      </c>
      <c r="F5" s="159">
        <v>500</v>
      </c>
      <c r="G5" s="159">
        <f>IF(RIGHT(B5,1)="N",VLOOKUP(LEFT(B5,3),IF(MID(B5,5,2)="DB",$E$16:$F$20,$E$16:$G$20),IF(MID(B5,5,2)="DB",2,3),FALSE)*0.95,VLOOKUP(LEFT(B5,3),IF(MID(B5,5,2)="DB",$E$16:$F$20,$E$16:$G$20),IF(MID(B5,5,2)="DB",2,3),FALSE)*0.9)</f>
        <v>37800</v>
      </c>
      <c r="H5" s="159">
        <f>IF(RIGHT(B5,1)="N",0.2,0.5)*G5</f>
        <v>18900</v>
      </c>
      <c r="I5" s="160">
        <f>F5*G5-H5</f>
        <v>18881100</v>
      </c>
    </row>
    <row r="6" spans="1:9" ht="15.6" x14ac:dyDescent="0.3">
      <c r="A6" s="158">
        <v>41189</v>
      </c>
      <c r="B6" s="159" t="s">
        <v>409</v>
      </c>
      <c r="C6" s="159" t="str">
        <f>VLOOKUP(LEFT(B6,3),$B$17:$C$20,2,FALSE)</f>
        <v>Gạo Thái Lan</v>
      </c>
      <c r="D6" s="159" t="str">
        <f>IF(MID(B6,5,2)="DB","Đặc biệt","Trung bình")</f>
        <v>Đặc biệt</v>
      </c>
      <c r="E6" s="159" t="s">
        <v>406</v>
      </c>
      <c r="F6" s="159">
        <v>1250</v>
      </c>
      <c r="G6" s="159">
        <f>IF(RIGHT(B6,1)="N",VLOOKUP(LEFT(B6,3),IF(MID(B6,5,2)="DB",$E$16:$F$20,$E$16:$G$20),IF(MID(B6,5,2)="DB",2,3),FALSE)*0.95,VLOOKUP(LEFT(B6,3),IF(MID(B6,5,2)="DB",$E$16:$F$20,$E$16:$G$20),IF(MID(B6,5,2)="DB",2,3),FALSE)*0.9)</f>
        <v>5400</v>
      </c>
      <c r="H6" s="159">
        <f>IF(RIGHT(B6,1)="N",0.2,0.5)*G6</f>
        <v>2700</v>
      </c>
      <c r="I6" s="160">
        <f>F6*G6-H6</f>
        <v>6747300</v>
      </c>
    </row>
    <row r="7" spans="1:9" ht="15.6" x14ac:dyDescent="0.3">
      <c r="A7" s="158">
        <v>41157</v>
      </c>
      <c r="B7" s="159" t="s">
        <v>410</v>
      </c>
      <c r="C7" s="159" t="str">
        <f>VLOOKUP(LEFT(B7,3),$B$17:$C$20,2,FALSE)</f>
        <v>Đường Quảng Nam</v>
      </c>
      <c r="D7" s="159" t="str">
        <f>IF(MID(B7,5,2)="DB","Đặc biệt","Trung bình")</f>
        <v>Trung bình</v>
      </c>
      <c r="E7" s="159" t="s">
        <v>406</v>
      </c>
      <c r="F7" s="159">
        <v>975</v>
      </c>
      <c r="G7" s="159">
        <f>IF(RIGHT(B7,1)="N",VLOOKUP(LEFT(B7,3),IF(MID(B7,5,2)="DB",$E$16:$F$20,$E$16:$G$20),IF(MID(B7,5,2)="DB",2,3),FALSE)*0.95,VLOOKUP(LEFT(B7,3),IF(MID(B7,5,2)="DB",$E$16:$F$20,$E$16:$G$20),IF(MID(B7,5,2)="DB",2,3),FALSE)*0.9)</f>
        <v>36100</v>
      </c>
      <c r="H7" s="159">
        <f>IF(RIGHT(B7,1)="N",0.2,0.5)*G7</f>
        <v>7220</v>
      </c>
      <c r="I7" s="160">
        <f>F7*G7-H7</f>
        <v>35190280</v>
      </c>
    </row>
    <row r="8" spans="1:9" ht="15.6" x14ac:dyDescent="0.3">
      <c r="A8" s="158">
        <v>41160</v>
      </c>
      <c r="B8" s="159" t="s">
        <v>411</v>
      </c>
      <c r="C8" s="159" t="str">
        <f>VLOOKUP(LEFT(B8,3),$B$17:$C$20,2,FALSE)</f>
        <v>Gạo Nếp Thơm</v>
      </c>
      <c r="D8" s="159" t="str">
        <f>IF(MID(B8,5,2)="DB","Đặc biệt","Trung bình")</f>
        <v>Đặc biệt</v>
      </c>
      <c r="E8" s="159" t="s">
        <v>406</v>
      </c>
      <c r="F8" s="159">
        <v>380</v>
      </c>
      <c r="G8" s="159">
        <f>IF(RIGHT(B8,1)="N",VLOOKUP(LEFT(B8,3),IF(MID(B8,5,2)="DB",$E$16:$F$20,$E$16:$G$20),IF(MID(B8,5,2)="DB",2,3),FALSE)*0.95,VLOOKUP(LEFT(B8,3),IF(MID(B8,5,2)="DB",$E$16:$F$20,$E$16:$G$20),IF(MID(B8,5,2)="DB",2,3),FALSE)*0.9)</f>
        <v>55800</v>
      </c>
      <c r="H8" s="159">
        <f>IF(RIGHT(B8,1)="N",0.2,0.5)*G8</f>
        <v>27900</v>
      </c>
      <c r="I8" s="160">
        <f>F8*G8-H8</f>
        <v>21176100</v>
      </c>
    </row>
    <row r="9" spans="1:9" ht="15.6" x14ac:dyDescent="0.3">
      <c r="A9" s="158">
        <v>41137</v>
      </c>
      <c r="B9" s="159" t="s">
        <v>412</v>
      </c>
      <c r="C9" s="159" t="str">
        <f>VLOOKUP(LEFT(B9,3),$B$17:$C$20,2,FALSE)</f>
        <v>Đường Quảng Nam</v>
      </c>
      <c r="D9" s="159" t="str">
        <f>IF(MID(B9,5,2)="DB","Đặc biệt","Trung bình")</f>
        <v>Đặc biệt</v>
      </c>
      <c r="E9" s="159" t="s">
        <v>406</v>
      </c>
      <c r="F9" s="159">
        <v>2375</v>
      </c>
      <c r="G9" s="159">
        <f>IF(RIGHT(B9,1)="N",VLOOKUP(LEFT(B9,3),IF(MID(B9,5,2)="DB",$E$16:$F$20,$E$16:$G$20),IF(MID(B9,5,2)="DB",2,3),FALSE)*0.95,VLOOKUP(LEFT(B9,3),IF(MID(B9,5,2)="DB",$E$16:$F$20,$E$16:$G$20),IF(MID(B9,5,2)="DB",2,3),FALSE)*0.9)</f>
        <v>3800</v>
      </c>
      <c r="H9" s="159">
        <f>IF(RIGHT(B9,1)="N",0.2,0.5)*G9</f>
        <v>760</v>
      </c>
      <c r="I9" s="160">
        <f>F9*G9-H9</f>
        <v>9024240</v>
      </c>
    </row>
    <row r="10" spans="1:9" ht="15.6" x14ac:dyDescent="0.3">
      <c r="A10" s="158">
        <v>41032</v>
      </c>
      <c r="B10" s="159" t="s">
        <v>413</v>
      </c>
      <c r="C10" s="159" t="str">
        <f>VLOOKUP(LEFT(B10,3),$B$17:$C$20,2,FALSE)</f>
        <v>Đường Biên Hoà</v>
      </c>
      <c r="D10" s="159" t="str">
        <f>IF(MID(B10,5,2)="DB","Đặc biệt","Trung bình")</f>
        <v>Đặc biệt</v>
      </c>
      <c r="E10" s="159" t="s">
        <v>406</v>
      </c>
      <c r="F10" s="159">
        <v>3000</v>
      </c>
      <c r="G10" s="159">
        <f>IF(RIGHT(B10,1)="N",VLOOKUP(LEFT(B10,3),IF(MID(B10,5,2)="DB",$E$16:$F$20,$E$16:$G$20),IF(MID(B10,5,2)="DB",2,3),FALSE)*0.95,VLOOKUP(LEFT(B10,3),IF(MID(B10,5,2)="DB",$E$16:$F$20,$E$16:$G$20),IF(MID(B10,5,2)="DB",2,3),FALSE)*0.9)</f>
        <v>40500</v>
      </c>
      <c r="H10" s="159">
        <f>IF(RIGHT(B10,1)="N",0.2,0.5)*G10</f>
        <v>20250</v>
      </c>
      <c r="I10" s="160">
        <f>F10*G10-H10</f>
        <v>121479750</v>
      </c>
    </row>
    <row r="11" spans="1:9" ht="15.6" x14ac:dyDescent="0.3">
      <c r="A11" s="158">
        <v>41103</v>
      </c>
      <c r="B11" s="159" t="s">
        <v>414</v>
      </c>
      <c r="C11" s="159" t="str">
        <f>VLOOKUP(LEFT(B11,3),$B$17:$C$20,2,FALSE)</f>
        <v>Gạo Nếp Thơm</v>
      </c>
      <c r="D11" s="159" t="str">
        <f>IF(MID(B11,5,2)="DB","Đặc biệt","Trung bình")</f>
        <v>Trung bình</v>
      </c>
      <c r="E11" s="159" t="s">
        <v>406</v>
      </c>
      <c r="F11" s="159">
        <v>5320</v>
      </c>
      <c r="G11" s="159">
        <f>IF(RIGHT(B11,1)="N",VLOOKUP(LEFT(B11,3),IF(MID(B11,5,2)="DB",$E$16:$F$20,$E$16:$G$20),IF(MID(B11,5,2)="DB",2,3),FALSE)*0.95,VLOOKUP(LEFT(B11,3),IF(MID(B11,5,2)="DB",$E$16:$F$20,$E$16:$G$20),IF(MID(B11,5,2)="DB",2,3),FALSE)*0.9)</f>
        <v>5510</v>
      </c>
      <c r="H11" s="159">
        <f>IF(RIGHT(B11,1)="N",0.2,0.5)*G11</f>
        <v>1102</v>
      </c>
      <c r="I11" s="160">
        <f>F11*G11-H11</f>
        <v>29312098</v>
      </c>
    </row>
    <row r="12" spans="1:9" ht="15.6" x14ac:dyDescent="0.3">
      <c r="A12" s="158">
        <v>41135</v>
      </c>
      <c r="B12" s="159" t="s">
        <v>415</v>
      </c>
      <c r="C12" s="159" t="str">
        <f>VLOOKUP(LEFT(B12,3),$B$17:$C$20,2,FALSE)</f>
        <v>Đường Quảng Nam</v>
      </c>
      <c r="D12" s="159" t="str">
        <f>IF(MID(B12,5,2)="DB","Đặc biệt","Trung bình")</f>
        <v>Trung bình</v>
      </c>
      <c r="E12" s="159" t="s">
        <v>406</v>
      </c>
      <c r="F12" s="159">
        <v>680</v>
      </c>
      <c r="G12" s="159">
        <f>IF(RIGHT(B12,1)="N",VLOOKUP(LEFT(B12,3),IF(MID(B12,5,2)="DB",$E$16:$F$20,$E$16:$G$20),IF(MID(B12,5,2)="DB",2,3),FALSE)*0.95,VLOOKUP(LEFT(B12,3),IF(MID(B12,5,2)="DB",$E$16:$F$20,$E$16:$G$20),IF(MID(B12,5,2)="DB",2,3),FALSE)*0.9)</f>
        <v>34200</v>
      </c>
      <c r="H12" s="159">
        <f>IF(RIGHT(B12,1)="N",0.2,0.5)*G12</f>
        <v>17100</v>
      </c>
      <c r="I12" s="160">
        <f>F12*G12-H12</f>
        <v>23238900</v>
      </c>
    </row>
    <row r="15" spans="1:9" ht="15.6" x14ac:dyDescent="0.3">
      <c r="B15" s="259" t="s">
        <v>416</v>
      </c>
      <c r="C15" s="259"/>
      <c r="D15" s="161"/>
      <c r="E15" s="260" t="s">
        <v>417</v>
      </c>
      <c r="F15" s="261"/>
      <c r="G15" s="262"/>
    </row>
    <row r="16" spans="1:9" ht="15.6" x14ac:dyDescent="0.3">
      <c r="B16" s="164" t="s">
        <v>84</v>
      </c>
      <c r="C16" s="57" t="s">
        <v>149</v>
      </c>
      <c r="D16" s="263"/>
      <c r="E16" s="57" t="s">
        <v>356</v>
      </c>
      <c r="F16" s="57" t="s">
        <v>418</v>
      </c>
      <c r="G16" s="57" t="s">
        <v>419</v>
      </c>
    </row>
    <row r="17" spans="2:7" ht="15.6" x14ac:dyDescent="0.3">
      <c r="B17" s="159" t="s">
        <v>420</v>
      </c>
      <c r="C17" s="159" t="s">
        <v>421</v>
      </c>
      <c r="D17" s="263"/>
      <c r="E17" s="159" t="s">
        <v>420</v>
      </c>
      <c r="F17" s="159">
        <v>45000</v>
      </c>
      <c r="G17" s="159">
        <v>42000</v>
      </c>
    </row>
    <row r="18" spans="2:7" ht="15.6" x14ac:dyDescent="0.3">
      <c r="B18" s="159" t="s">
        <v>422</v>
      </c>
      <c r="C18" s="159" t="s">
        <v>423</v>
      </c>
      <c r="D18" s="263"/>
      <c r="E18" s="159" t="s">
        <v>422</v>
      </c>
      <c r="F18" s="159">
        <v>4000</v>
      </c>
      <c r="G18" s="159">
        <v>38000</v>
      </c>
    </row>
    <row r="19" spans="2:7" ht="15.6" x14ac:dyDescent="0.3">
      <c r="B19" s="159" t="s">
        <v>424</v>
      </c>
      <c r="C19" s="159" t="s">
        <v>425</v>
      </c>
      <c r="D19" s="263"/>
      <c r="E19" s="159" t="s">
        <v>424</v>
      </c>
      <c r="F19" s="159">
        <v>6000</v>
      </c>
      <c r="G19" s="159">
        <v>56000</v>
      </c>
    </row>
    <row r="20" spans="2:7" ht="15.6" x14ac:dyDescent="0.3">
      <c r="B20" s="159" t="s">
        <v>426</v>
      </c>
      <c r="C20" s="159" t="s">
        <v>427</v>
      </c>
      <c r="D20" s="263"/>
      <c r="E20" s="159" t="s">
        <v>426</v>
      </c>
      <c r="F20" s="159">
        <v>62000</v>
      </c>
      <c r="G20" s="159">
        <v>5800</v>
      </c>
    </row>
    <row r="22" spans="2:7" x14ac:dyDescent="0.3">
      <c r="B22" s="264" t="s">
        <v>428</v>
      </c>
      <c r="C22" s="264"/>
    </row>
    <row r="23" spans="2:7" ht="15.6" x14ac:dyDescent="0.3">
      <c r="B23" s="264"/>
      <c r="C23" s="264"/>
      <c r="D23" s="162"/>
    </row>
    <row r="24" spans="2:7" ht="15.6" x14ac:dyDescent="0.3">
      <c r="B24" s="164" t="s">
        <v>84</v>
      </c>
      <c r="C24" s="164" t="s">
        <v>429</v>
      </c>
    </row>
    <row r="25" spans="2:7" ht="15.6" x14ac:dyDescent="0.3">
      <c r="B25" s="159" t="s">
        <v>420</v>
      </c>
      <c r="C25" s="163">
        <f>SUMIF($C$3:$C$12,C17,$I$3:$I$12)</f>
        <v>146764800</v>
      </c>
    </row>
    <row r="26" spans="2:7" ht="15.6" x14ac:dyDescent="0.3">
      <c r="B26" s="159" t="s">
        <v>422</v>
      </c>
      <c r="C26" s="163">
        <f>SUMIF($C$3:$C$12,C18,$I$3:$I$12)</f>
        <v>67453420</v>
      </c>
    </row>
    <row r="27" spans="2:7" ht="15.6" x14ac:dyDescent="0.3">
      <c r="B27" s="159" t="s">
        <v>424</v>
      </c>
      <c r="C27" s="163">
        <f>SUMIF($C$3:$C$12,C19,$I$3:$I$12)</f>
        <v>43976660</v>
      </c>
    </row>
    <row r="28" spans="2:7" ht="15.6" x14ac:dyDescent="0.3">
      <c r="B28" s="159" t="s">
        <v>426</v>
      </c>
      <c r="C28" s="163">
        <f>SUMIF($C$3:$C$12,C20,$I$3:$I$12)</f>
        <v>50488198</v>
      </c>
    </row>
  </sheetData>
  <mergeCells count="5">
    <mergeCell ref="B22:C23"/>
    <mergeCell ref="A1:I1"/>
    <mergeCell ref="D16:D20"/>
    <mergeCell ref="B15:C15"/>
    <mergeCell ref="E15:G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5A9A-E8B5-4D62-AABF-0F886C645577}">
  <dimension ref="A1:G28"/>
  <sheetViews>
    <sheetView topLeftCell="A7" workbookViewId="0">
      <selection activeCell="B24" sqref="B24:D28"/>
    </sheetView>
  </sheetViews>
  <sheetFormatPr defaultRowHeight="14.4" x14ac:dyDescent="0.3"/>
  <cols>
    <col min="1" max="1" width="13.21875" customWidth="1"/>
    <col min="2" max="2" width="20.77734375" customWidth="1"/>
    <col min="3" max="3" width="13.109375" customWidth="1"/>
    <col min="4" max="4" width="16.44140625" customWidth="1"/>
    <col min="5" max="5" width="15.21875" customWidth="1"/>
    <col min="6" max="6" width="10.21875" customWidth="1"/>
    <col min="7" max="7" width="21" customWidth="1"/>
  </cols>
  <sheetData>
    <row r="1" spans="1:7" ht="15.6" x14ac:dyDescent="0.3">
      <c r="A1" s="244" t="s">
        <v>430</v>
      </c>
      <c r="B1" s="244"/>
      <c r="C1" s="244"/>
      <c r="D1" s="244"/>
      <c r="E1" s="244"/>
      <c r="F1" s="244"/>
      <c r="G1" s="244"/>
    </row>
    <row r="2" spans="1:7" ht="15.6" x14ac:dyDescent="0.3">
      <c r="A2" s="268" t="s">
        <v>84</v>
      </c>
      <c r="B2" s="222" t="s">
        <v>149</v>
      </c>
      <c r="C2" s="222" t="s">
        <v>431</v>
      </c>
      <c r="D2" s="57" t="s">
        <v>131</v>
      </c>
      <c r="E2" s="222" t="s">
        <v>133</v>
      </c>
      <c r="F2" s="222" t="s">
        <v>132</v>
      </c>
      <c r="G2" s="222" t="s">
        <v>134</v>
      </c>
    </row>
    <row r="3" spans="1:7" ht="15.6" x14ac:dyDescent="0.3">
      <c r="A3" s="268"/>
      <c r="B3" s="222"/>
      <c r="C3" s="222"/>
      <c r="D3" s="152" t="s">
        <v>432</v>
      </c>
      <c r="E3" s="222"/>
      <c r="F3" s="222"/>
      <c r="G3" s="222"/>
    </row>
    <row r="4" spans="1:7" ht="15.6" x14ac:dyDescent="0.3">
      <c r="A4" s="165" t="s">
        <v>433</v>
      </c>
      <c r="B4" s="166" t="str">
        <f>VLOOKUP(LEFT(A4,2),$A$19:$B$22,2,FALSE)</f>
        <v>Petrolimex</v>
      </c>
      <c r="C4" s="165">
        <f>IF(RIGHT(A4,1)="A",1,2)</f>
        <v>1</v>
      </c>
      <c r="D4" s="167">
        <v>37561</v>
      </c>
      <c r="E4" s="168">
        <f>VLOOKUP(LEFT(A4,2),IF(C4=1,$A$19:$C$22,$A$19:$D$22),IF(C4=1,3,4),FALSE)</f>
        <v>115000</v>
      </c>
      <c r="F4" s="168">
        <v>90</v>
      </c>
      <c r="G4" s="153">
        <f>F4*E4</f>
        <v>10350000</v>
      </c>
    </row>
    <row r="5" spans="1:7" ht="15.6" x14ac:dyDescent="0.3">
      <c r="A5" s="165" t="s">
        <v>434</v>
      </c>
      <c r="B5" s="166" t="str">
        <f>VLOOKUP(LEFT(A5,2),$A$19:$B$22,2,FALSE)</f>
        <v>VT Gas</v>
      </c>
      <c r="C5" s="165">
        <f>IF(RIGHT(A5,1)="A",1,2)</f>
        <v>2</v>
      </c>
      <c r="D5" s="167">
        <v>37565</v>
      </c>
      <c r="E5" s="168">
        <f>VLOOKUP(LEFT(A5,2),IF(C5=1,$A$19:$C$22,$A$19:$D$22),IF(C5=1,3,4),FALSE)</f>
        <v>90000</v>
      </c>
      <c r="F5" s="168">
        <v>120</v>
      </c>
      <c r="G5" s="153">
        <f>F5*E5</f>
        <v>10800000</v>
      </c>
    </row>
    <row r="6" spans="1:7" ht="15.6" x14ac:dyDescent="0.3">
      <c r="A6" s="165" t="s">
        <v>435</v>
      </c>
      <c r="B6" s="166" t="str">
        <f>VLOOKUP(LEFT(A6,2),$A$19:$B$22,2,FALSE)</f>
        <v>Sài  Gòn Petro</v>
      </c>
      <c r="C6" s="165">
        <f>IF(RIGHT(A6,1)="A",1,2)</f>
        <v>1</v>
      </c>
      <c r="D6" s="167">
        <v>37569</v>
      </c>
      <c r="E6" s="168">
        <f>VLOOKUP(LEFT(A6,2),IF(C6=1,$A$19:$C$22,$A$19:$D$22),IF(C6=1,3,4),FALSE)</f>
        <v>125000</v>
      </c>
      <c r="F6" s="168">
        <v>70</v>
      </c>
      <c r="G6" s="153">
        <f>F6*E6</f>
        <v>8750000</v>
      </c>
    </row>
    <row r="7" spans="1:7" ht="15.6" x14ac:dyDescent="0.3">
      <c r="A7" s="165" t="s">
        <v>436</v>
      </c>
      <c r="B7" s="166" t="str">
        <f>VLOOKUP(LEFT(A7,2),$A$19:$B$22,2,FALSE)</f>
        <v>VT Gas</v>
      </c>
      <c r="C7" s="165">
        <f>IF(RIGHT(A7,1)="A",1,2)</f>
        <v>1</v>
      </c>
      <c r="D7" s="167">
        <v>37574</v>
      </c>
      <c r="E7" s="168">
        <f>VLOOKUP(LEFT(A7,2),IF(C7=1,$A$19:$C$22,$A$19:$D$22),IF(C7=1,3,4),FALSE)</f>
        <v>110000</v>
      </c>
      <c r="F7" s="168">
        <v>160</v>
      </c>
      <c r="G7" s="153">
        <f>F7*E7</f>
        <v>17600000</v>
      </c>
    </row>
    <row r="8" spans="1:7" ht="15.6" x14ac:dyDescent="0.3">
      <c r="A8" s="165" t="s">
        <v>437</v>
      </c>
      <c r="B8" s="166" t="str">
        <f>VLOOKUP(LEFT(A8,2),$A$19:$B$22,2,FALSE)</f>
        <v>Elf Gas</v>
      </c>
      <c r="C8" s="165">
        <f>IF(RIGHT(A8,1)="A",1,2)</f>
        <v>2</v>
      </c>
      <c r="D8" s="167">
        <v>37578</v>
      </c>
      <c r="E8" s="168">
        <f>VLOOKUP(LEFT(A8,2),IF(C8=1,$A$19:$C$22,$A$19:$D$22),IF(C8=1,3,4),FALSE)</f>
        <v>100000</v>
      </c>
      <c r="F8" s="168">
        <v>60</v>
      </c>
      <c r="G8" s="153">
        <f>F8*E8</f>
        <v>6000000</v>
      </c>
    </row>
    <row r="9" spans="1:7" ht="15.6" x14ac:dyDescent="0.3">
      <c r="A9" s="165" t="s">
        <v>438</v>
      </c>
      <c r="B9" s="166" t="str">
        <f>VLOOKUP(LEFT(A9,2),$A$19:$B$22,2,FALSE)</f>
        <v>Petrolimex</v>
      </c>
      <c r="C9" s="165">
        <f>IF(RIGHT(A9,1)="A",1,2)</f>
        <v>2</v>
      </c>
      <c r="D9" s="167">
        <v>37581</v>
      </c>
      <c r="E9" s="168">
        <f>VLOOKUP(LEFT(A9,2),IF(C9=1,$A$19:$C$22,$A$19:$D$22),IF(C9=1,3,4),FALSE)</f>
        <v>95000</v>
      </c>
      <c r="F9" s="168">
        <v>75</v>
      </c>
      <c r="G9" s="153">
        <f>F9*E9</f>
        <v>7125000</v>
      </c>
    </row>
    <row r="10" spans="1:7" ht="15.6" x14ac:dyDescent="0.3">
      <c r="A10" s="165" t="s">
        <v>439</v>
      </c>
      <c r="B10" s="166" t="str">
        <f>VLOOKUP(LEFT(A10,2),$A$19:$B$22,2,FALSE)</f>
        <v>Sài  Gòn Petro</v>
      </c>
      <c r="C10" s="165">
        <f>IF(RIGHT(A10,1)="A",1,2)</f>
        <v>2</v>
      </c>
      <c r="D10" s="167">
        <v>37585</v>
      </c>
      <c r="E10" s="168">
        <f>VLOOKUP(LEFT(A10,2),IF(C10=1,$A$19:$C$22,$A$19:$D$22),IF(C10=1,3,4),FALSE)</f>
        <v>110000</v>
      </c>
      <c r="F10" s="168">
        <v>65</v>
      </c>
      <c r="G10" s="153">
        <f>F10*E10</f>
        <v>7150000</v>
      </c>
    </row>
    <row r="11" spans="1:7" ht="15.6" x14ac:dyDescent="0.3">
      <c r="A11" s="165" t="s">
        <v>436</v>
      </c>
      <c r="B11" s="166" t="str">
        <f>VLOOKUP(LEFT(A11,2),$A$19:$B$22,2,FALSE)</f>
        <v>VT Gas</v>
      </c>
      <c r="C11" s="165">
        <f>IF(RIGHT(A11,1)="A",1,2)</f>
        <v>1</v>
      </c>
      <c r="D11" s="167">
        <v>37587</v>
      </c>
      <c r="E11" s="168">
        <f>VLOOKUP(LEFT(A11,2),IF(C11=1,$A$19:$C$22,$A$19:$D$22),IF(C11=1,3,4),FALSE)</f>
        <v>110000</v>
      </c>
      <c r="F11" s="168">
        <v>98</v>
      </c>
      <c r="G11" s="153">
        <f>F11*E11</f>
        <v>10780000</v>
      </c>
    </row>
    <row r="12" spans="1:7" ht="15.6" x14ac:dyDescent="0.3">
      <c r="A12" s="165" t="s">
        <v>440</v>
      </c>
      <c r="B12" s="166" t="str">
        <f>VLOOKUP(LEFT(A12,2),$A$19:$B$22,2,FALSE)</f>
        <v>Elf Gas</v>
      </c>
      <c r="C12" s="165">
        <f>IF(RIGHT(A12,1)="A",1,2)</f>
        <v>1</v>
      </c>
      <c r="D12" s="167">
        <v>37589</v>
      </c>
      <c r="E12" s="168">
        <f>VLOOKUP(LEFT(A12,2),IF(C12=1,$A$19:$C$22,$A$19:$D$22),IF(C12=1,3,4),FALSE)</f>
        <v>120000</v>
      </c>
      <c r="F12" s="168">
        <v>130</v>
      </c>
      <c r="G12" s="153">
        <f>F12*E12</f>
        <v>15600000</v>
      </c>
    </row>
    <row r="13" spans="1:7" ht="15.6" x14ac:dyDescent="0.3">
      <c r="A13" s="165" t="s">
        <v>438</v>
      </c>
      <c r="B13" s="166" t="str">
        <f>VLOOKUP(LEFT(A13,2),$A$19:$B$22,2,FALSE)</f>
        <v>Petrolimex</v>
      </c>
      <c r="C13" s="165">
        <f>IF(RIGHT(A13,1)="A",1,2)</f>
        <v>2</v>
      </c>
      <c r="D13" s="167">
        <v>37590</v>
      </c>
      <c r="E13" s="168">
        <f>VLOOKUP(LEFT(A13,2),IF(C13=1,$A$19:$C$22,$A$19:$D$22),IF(C13=1,3,4),FALSE)</f>
        <v>95000</v>
      </c>
      <c r="F13" s="168">
        <v>180</v>
      </c>
      <c r="G13" s="153">
        <f>F13*E13</f>
        <v>17100000</v>
      </c>
    </row>
    <row r="14" spans="1:7" ht="15.6" x14ac:dyDescent="0.3">
      <c r="A14" s="169"/>
      <c r="B14" s="170"/>
      <c r="C14" s="171"/>
      <c r="D14" s="172"/>
      <c r="E14" s="170"/>
      <c r="F14" s="173"/>
      <c r="G14" s="174"/>
    </row>
    <row r="15" spans="1:7" ht="15.6" x14ac:dyDescent="0.3">
      <c r="A15" s="169"/>
      <c r="B15" s="170"/>
      <c r="C15" s="171"/>
      <c r="D15" s="172"/>
      <c r="E15" s="170"/>
      <c r="F15" s="173"/>
      <c r="G15" s="174"/>
    </row>
    <row r="16" spans="1:7" ht="15.6" x14ac:dyDescent="0.3">
      <c r="A16" s="244" t="s">
        <v>441</v>
      </c>
      <c r="B16" s="265"/>
      <c r="C16" s="265"/>
      <c r="D16" s="265"/>
      <c r="E16" s="175"/>
      <c r="F16" s="175"/>
      <c r="G16" s="175"/>
    </row>
    <row r="17" spans="1:7" ht="15.6" x14ac:dyDescent="0.3">
      <c r="A17" s="266" t="s">
        <v>84</v>
      </c>
      <c r="B17" s="267" t="s">
        <v>149</v>
      </c>
      <c r="C17" s="222" t="s">
        <v>133</v>
      </c>
      <c r="D17" s="222"/>
      <c r="E17" s="175"/>
      <c r="F17" s="175"/>
      <c r="G17" s="175"/>
    </row>
    <row r="18" spans="1:7" ht="15.6" x14ac:dyDescent="0.3">
      <c r="A18" s="266"/>
      <c r="B18" s="267"/>
      <c r="C18" s="152" t="s">
        <v>442</v>
      </c>
      <c r="D18" s="152" t="s">
        <v>443</v>
      </c>
      <c r="E18" s="175"/>
      <c r="F18" s="175"/>
      <c r="G18" s="175"/>
    </row>
    <row r="19" spans="1:7" ht="15.6" x14ac:dyDescent="0.3">
      <c r="A19" s="166" t="s">
        <v>444</v>
      </c>
      <c r="B19" s="166" t="s">
        <v>445</v>
      </c>
      <c r="C19" s="165">
        <v>120000</v>
      </c>
      <c r="D19" s="165">
        <v>100000</v>
      </c>
      <c r="E19" s="175"/>
      <c r="F19" s="175"/>
      <c r="G19" s="175"/>
    </row>
    <row r="20" spans="1:7" ht="15.6" x14ac:dyDescent="0.3">
      <c r="A20" s="166" t="s">
        <v>446</v>
      </c>
      <c r="B20" s="166" t="s">
        <v>447</v>
      </c>
      <c r="C20" s="165">
        <v>115000</v>
      </c>
      <c r="D20" s="165">
        <v>95000</v>
      </c>
      <c r="E20" s="175"/>
      <c r="F20" s="175"/>
      <c r="G20" s="175"/>
    </row>
    <row r="21" spans="1:7" ht="15.6" x14ac:dyDescent="0.3">
      <c r="A21" s="166" t="s">
        <v>448</v>
      </c>
      <c r="B21" s="166" t="s">
        <v>449</v>
      </c>
      <c r="C21" s="165">
        <v>125000</v>
      </c>
      <c r="D21" s="165">
        <v>110000</v>
      </c>
      <c r="E21" s="175"/>
      <c r="F21" s="175"/>
      <c r="G21" s="175"/>
    </row>
    <row r="22" spans="1:7" ht="15.6" x14ac:dyDescent="0.3">
      <c r="A22" s="166" t="s">
        <v>450</v>
      </c>
      <c r="B22" s="166" t="s">
        <v>451</v>
      </c>
      <c r="C22" s="165">
        <v>110000</v>
      </c>
      <c r="D22" s="165">
        <v>90000</v>
      </c>
      <c r="E22" s="175"/>
      <c r="F22" s="175"/>
      <c r="G22" s="175"/>
    </row>
    <row r="23" spans="1:7" x14ac:dyDescent="0.3">
      <c r="A23" s="176"/>
      <c r="B23" s="176"/>
      <c r="C23" s="176"/>
      <c r="D23" s="176"/>
    </row>
    <row r="24" spans="1:7" ht="15.6" x14ac:dyDescent="0.3">
      <c r="A24" s="176"/>
      <c r="B24" s="56" t="s">
        <v>149</v>
      </c>
      <c r="C24" s="177" t="s">
        <v>132</v>
      </c>
      <c r="D24" s="57" t="s">
        <v>452</v>
      </c>
    </row>
    <row r="25" spans="1:7" ht="15.6" x14ac:dyDescent="0.3">
      <c r="A25" s="176"/>
      <c r="B25" s="178" t="s">
        <v>445</v>
      </c>
      <c r="C25" s="178">
        <f>SUMIF($B$4:$B$13,B25,$F$4:$F$13)</f>
        <v>190</v>
      </c>
      <c r="D25" s="168">
        <f>SUMIF($B$4:$B$13,B25,$G$4:$G$13)</f>
        <v>21600000</v>
      </c>
    </row>
    <row r="26" spans="1:7" ht="15.6" x14ac:dyDescent="0.3">
      <c r="A26" s="176"/>
      <c r="B26" s="178" t="s">
        <v>447</v>
      </c>
      <c r="C26" s="178">
        <f>SUMIF($B$4:$B$13,B26,$F$4:$F$13)</f>
        <v>345</v>
      </c>
      <c r="D26" s="168">
        <f>SUMIF($B$4:$B$13,B26,$G$4:$G$13)</f>
        <v>34575000</v>
      </c>
    </row>
    <row r="27" spans="1:7" ht="15.6" x14ac:dyDescent="0.3">
      <c r="A27" s="176"/>
      <c r="B27" s="178" t="s">
        <v>449</v>
      </c>
      <c r="C27" s="178">
        <f>SUMIF($B$4:$B$13,B27,$F$4:$F$13)</f>
        <v>135</v>
      </c>
      <c r="D27" s="168">
        <f>SUMIF($B$4:$B$13,B27,$G$4:$G$13)</f>
        <v>15900000</v>
      </c>
    </row>
    <row r="28" spans="1:7" ht="15.6" x14ac:dyDescent="0.3">
      <c r="A28" s="176"/>
      <c r="B28" s="178" t="s">
        <v>451</v>
      </c>
      <c r="C28" s="178">
        <f>SUMIF($B$4:$B$13,B28,$F$4:$F$13)</f>
        <v>378</v>
      </c>
      <c r="D28" s="168">
        <f>SUMIF($B$4:$B$13,B28,$G$4:$G$13)</f>
        <v>39180000</v>
      </c>
    </row>
  </sheetData>
  <mergeCells count="11">
    <mergeCell ref="G2:G3"/>
    <mergeCell ref="A17:A18"/>
    <mergeCell ref="B17:B18"/>
    <mergeCell ref="C17:D17"/>
    <mergeCell ref="A1:G1"/>
    <mergeCell ref="A16:D16"/>
    <mergeCell ref="A2:A3"/>
    <mergeCell ref="B2:B3"/>
    <mergeCell ref="C2:C3"/>
    <mergeCell ref="E2:E3"/>
    <mergeCell ref="F2:F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36E9-F51F-4EE0-8780-95A38C71410B}">
  <dimension ref="A1:K19"/>
  <sheetViews>
    <sheetView workbookViewId="0">
      <selection activeCell="D3" sqref="D3"/>
    </sheetView>
  </sheetViews>
  <sheetFormatPr defaultColWidth="13.44140625" defaultRowHeight="14.4" x14ac:dyDescent="0.3"/>
  <cols>
    <col min="1" max="1" width="14.6640625" customWidth="1"/>
    <col min="2" max="2" width="24.88671875" customWidth="1"/>
    <col min="3" max="3" width="16.88671875" customWidth="1"/>
    <col min="4" max="4" width="20" customWidth="1"/>
    <col min="5" max="5" width="11.44140625" customWidth="1"/>
    <col min="6" max="6" width="21" customWidth="1"/>
    <col min="8" max="8" width="15" customWidth="1"/>
    <col min="9" max="9" width="18.109375" customWidth="1"/>
  </cols>
  <sheetData>
    <row r="1" spans="1:11" ht="15.6" x14ac:dyDescent="0.3">
      <c r="A1" s="269" t="s">
        <v>453</v>
      </c>
      <c r="B1" s="270"/>
      <c r="C1" s="270"/>
      <c r="D1" s="270"/>
      <c r="E1" s="270"/>
      <c r="F1" s="271"/>
    </row>
    <row r="2" spans="1:11" ht="26.4" customHeight="1" x14ac:dyDescent="0.3">
      <c r="A2" s="57" t="s">
        <v>84</v>
      </c>
      <c r="B2" s="57" t="s">
        <v>454</v>
      </c>
      <c r="C2" s="57" t="s">
        <v>455</v>
      </c>
      <c r="D2" s="57" t="s">
        <v>456</v>
      </c>
      <c r="E2" s="57" t="s">
        <v>404</v>
      </c>
      <c r="F2" s="57" t="s">
        <v>457</v>
      </c>
      <c r="H2" s="179" t="s">
        <v>458</v>
      </c>
      <c r="I2" s="179" t="s">
        <v>132</v>
      </c>
    </row>
    <row r="3" spans="1:11" ht="15.6" x14ac:dyDescent="0.3">
      <c r="A3" s="159" t="s">
        <v>459</v>
      </c>
      <c r="B3" s="159" t="str">
        <f>_xlfn.TEXTJOIN(" ",TRUE,HLOOKUP(LEFT(A3,2),$H$7:$K$8,2,FALSE),VLOOKUP(MID(A3,3,2),$H$12:$I$19,2,FALSE))</f>
        <v>TOYOTA ZACE</v>
      </c>
      <c r="C3" s="159" t="str">
        <f>IF(RIGHT(A3,2)="VN","Việt Nam","Nhật Bản")</f>
        <v>Việt Nam</v>
      </c>
      <c r="D3" s="159">
        <f>IF(RIGHT(A3,2)="VN",VLOOKUP(MID(A3,3,2),$H$13:$J$19,3,0),VLOOKUP(MID(A3,3,2),$H$13:$K$19,4,1))</f>
        <v>20000</v>
      </c>
      <c r="E3" s="159">
        <f>IF(RIGHT(A3,2)="VN",0,D3*0.1)</f>
        <v>0</v>
      </c>
      <c r="F3" s="160">
        <f>E3+D3</f>
        <v>20000</v>
      </c>
      <c r="H3" s="180" t="s">
        <v>460</v>
      </c>
      <c r="I3" s="181">
        <f>COUNTIF($B$3:$B$11,"TOYOTA*")</f>
        <v>3</v>
      </c>
    </row>
    <row r="4" spans="1:11" ht="15.6" x14ac:dyDescent="0.3">
      <c r="A4" s="159" t="s">
        <v>461</v>
      </c>
      <c r="B4" s="159" t="str">
        <f>_xlfn.TEXTJOIN(" ",TRUE,HLOOKUP(LEFT(A4,2),$H$7:$K$8,2,FALSE),VLOOKUP(MID(A4,3,2),$H$12:$I$19,2,FALSE))</f>
        <v>FORD LASER</v>
      </c>
      <c r="C4" s="159" t="str">
        <f>IF(RIGHT(A4,2)="VN","Việt Nam","Nhật Bản")</f>
        <v>Việt Nam</v>
      </c>
      <c r="D4" s="159">
        <f>IF(RIGHT(A4,2)="VN",VLOOKUP(MID(A4,3,2),$H$13:$J$19,3,0),VLOOKUP(MID(A4,3,2),$H$13:$K$19,4,1))</f>
        <v>21500</v>
      </c>
      <c r="E4" s="159">
        <f>IF(RIGHT(A4,2)="VN",0,D4*0.1)</f>
        <v>0</v>
      </c>
      <c r="F4" s="160">
        <f>E4+D4</f>
        <v>21500</v>
      </c>
      <c r="H4" s="180" t="s">
        <v>462</v>
      </c>
      <c r="I4" s="181">
        <f>COUNTIF($B$3:$B$11,"FORD*")</f>
        <v>3</v>
      </c>
    </row>
    <row r="5" spans="1:11" ht="15.6" x14ac:dyDescent="0.3">
      <c r="A5" s="159" t="s">
        <v>463</v>
      </c>
      <c r="B5" s="159" t="str">
        <f>_xlfn.TEXTJOIN(" ",TRUE,HLOOKUP(LEFT(A5,2),$H$7:$K$8,2,FALSE),VLOOKUP(MID(A5,3,2),$H$12:$I$19,2,FALSE))</f>
        <v>TOYOTA COROLLA</v>
      </c>
      <c r="C5" s="159" t="str">
        <f>IF(RIGHT(A5,2)="VN","Việt Nam","Nhật Bản")</f>
        <v>Nhật Bản</v>
      </c>
      <c r="D5" s="159">
        <f>IF(RIGHT(A5,2)="VN",VLOOKUP(MID(A5,3,2),$H$13:$J$19,3,0),VLOOKUP(MID(A5,3,2),$H$13:$K$19,4,1))</f>
        <v>37000</v>
      </c>
      <c r="E5" s="159">
        <f>IF(RIGHT(A5,2)="VN",0,D5*0.1)</f>
        <v>3700</v>
      </c>
      <c r="F5" s="160">
        <f>E5+D5</f>
        <v>40700</v>
      </c>
      <c r="H5" s="180" t="s">
        <v>464</v>
      </c>
      <c r="I5" s="181">
        <f>COUNTIF($B$3:$B$11,"MITSUBISHI*")</f>
        <v>3</v>
      </c>
    </row>
    <row r="6" spans="1:11" ht="15.6" x14ac:dyDescent="0.3">
      <c r="A6" s="159" t="s">
        <v>465</v>
      </c>
      <c r="B6" s="159" t="str">
        <f>_xlfn.TEXTJOIN(" ",TRUE,HLOOKUP(LEFT(A6,2),$H$7:$K$8,2,FALSE),VLOOKUP(MID(A6,3,2),$H$12:$I$19,2,FALSE))</f>
        <v>MITSUBISHI JOLIE</v>
      </c>
      <c r="C6" s="159" t="str">
        <f>IF(RIGHT(A6,2)="VN","Việt Nam","Nhật Bản")</f>
        <v>Việt Nam</v>
      </c>
      <c r="D6" s="159">
        <f>IF(RIGHT(A6,2)="VN",VLOOKUP(MID(A6,3,2),$H$13:$J$19,3,0),VLOOKUP(MID(A6,3,2),$H$13:$K$19,4,1))</f>
        <v>20000</v>
      </c>
      <c r="E6" s="159">
        <f>IF(RIGHT(A6,2)="VN",0,D6*0.1)</f>
        <v>0</v>
      </c>
      <c r="F6" s="160">
        <f>E6+D6</f>
        <v>20000</v>
      </c>
    </row>
    <row r="7" spans="1:11" ht="15.6" x14ac:dyDescent="0.3">
      <c r="A7" s="159" t="s">
        <v>466</v>
      </c>
      <c r="B7" s="159" t="str">
        <f>_xlfn.TEXTJOIN(" ",TRUE,HLOOKUP(LEFT(A7,2),$H$7:$K$8,2,FALSE),VLOOKUP(MID(A7,3,2),$H$12:$I$19,2,FALSE))</f>
        <v>TOYOTA CAMRY</v>
      </c>
      <c r="C7" s="159" t="str">
        <f>IF(RIGHT(A7,2)="VN","Việt Nam","Nhật Bản")</f>
        <v>Việt Nam</v>
      </c>
      <c r="D7" s="159">
        <f>IF(RIGHT(A7,2)="VN",VLOOKUP(MID(A7,3,2),$H$13:$J$19,3,0),VLOOKUP(MID(A7,3,2),$H$13:$K$19,4,1))</f>
        <v>36300</v>
      </c>
      <c r="E7" s="159">
        <f>IF(RIGHT(A7,2)="VN",0,D7*0.1)</f>
        <v>0</v>
      </c>
      <c r="F7" s="160">
        <f>E7+D7</f>
        <v>36300</v>
      </c>
      <c r="H7" s="57" t="s">
        <v>467</v>
      </c>
      <c r="I7" s="159" t="s">
        <v>468</v>
      </c>
      <c r="J7" s="159" t="s">
        <v>469</v>
      </c>
      <c r="K7" s="159" t="s">
        <v>470</v>
      </c>
    </row>
    <row r="8" spans="1:11" ht="15.6" x14ac:dyDescent="0.3">
      <c r="A8" s="159" t="s">
        <v>471</v>
      </c>
      <c r="B8" s="159" t="str">
        <f>_xlfn.TEXTJOIN(" ",TRUE,HLOOKUP(LEFT(A8,2),$H$7:$K$8,2,FALSE),VLOOKUP(MID(A8,3,2),$H$12:$I$19,2,FALSE))</f>
        <v>FORD LASER</v>
      </c>
      <c r="C8" s="159" t="str">
        <f>IF(RIGHT(A8,2)="VN","Việt Nam","Nhật Bản")</f>
        <v>Nhật Bản</v>
      </c>
      <c r="D8" s="159">
        <f>IF(RIGHT(A8,2)="VN",VLOOKUP(MID(A8,3,2),$H$13:$J$19,3,0),VLOOKUP(MID(A8,3,2),$H$13:$K$19,4,1))</f>
        <v>23000</v>
      </c>
      <c r="E8" s="159">
        <f>IF(RIGHT(A8,2)="VN",0,D8*0.1)</f>
        <v>2300</v>
      </c>
      <c r="F8" s="160">
        <f>E8+D8</f>
        <v>25300</v>
      </c>
      <c r="H8" s="57" t="s">
        <v>458</v>
      </c>
      <c r="I8" s="159" t="s">
        <v>460</v>
      </c>
      <c r="J8" s="159" t="s">
        <v>462</v>
      </c>
      <c r="K8" s="159" t="s">
        <v>464</v>
      </c>
    </row>
    <row r="9" spans="1:11" ht="15.6" x14ac:dyDescent="0.3">
      <c r="A9" s="159" t="s">
        <v>472</v>
      </c>
      <c r="B9" s="159" t="str">
        <f>_xlfn.TEXTJOIN(" ",TRUE,HLOOKUP(LEFT(A9,2),$H$7:$K$8,2,FALSE),VLOOKUP(MID(A9,3,2),$H$12:$I$19,2,FALSE))</f>
        <v>MITSUBISHI PAJERO</v>
      </c>
      <c r="C9" s="159" t="str">
        <f>IF(RIGHT(A9,2)="VN","Việt Nam","Nhật Bản")</f>
        <v>Việt Nam</v>
      </c>
      <c r="D9" s="159">
        <f>IF(RIGHT(A9,2)="VN",VLOOKUP(MID(A9,3,2),$H$13:$J$19,3,0),VLOOKUP(MID(A9,3,2),$H$13:$K$19,4,1))</f>
        <v>36000</v>
      </c>
      <c r="E9" s="159">
        <f>IF(RIGHT(A9,2)="VN",0,D9*0.1)</f>
        <v>0</v>
      </c>
      <c r="F9" s="160">
        <f>E9+D9</f>
        <v>36000</v>
      </c>
    </row>
    <row r="10" spans="1:11" ht="15.6" x14ac:dyDescent="0.3">
      <c r="A10" s="159" t="s">
        <v>473</v>
      </c>
      <c r="B10" s="159" t="str">
        <f>_xlfn.TEXTJOIN(" ",TRUE,HLOOKUP(LEFT(A10,2),$H$7:$K$8,2,FALSE),VLOOKUP(MID(A10,3,2),$H$12:$I$19,2,FALSE))</f>
        <v>FORD ESCAPE</v>
      </c>
      <c r="C10" s="159" t="str">
        <f>IF(RIGHT(A10,2)="VN","Việt Nam","Nhật Bản")</f>
        <v>Việt Nam</v>
      </c>
      <c r="D10" s="159">
        <f>IF(RIGHT(A10,2)="VN",VLOOKUP(MID(A10,3,2),$H$13:$J$19,3,0),VLOOKUP(MID(A10,3,2),$H$13:$K$19,4,1))</f>
        <v>34000</v>
      </c>
      <c r="E10" s="159">
        <f>IF(RIGHT(A10,2)="VN",0,D10*0.1)</f>
        <v>0</v>
      </c>
      <c r="F10" s="160">
        <f>E10+D10</f>
        <v>34000</v>
      </c>
    </row>
    <row r="11" spans="1:11" ht="15.6" x14ac:dyDescent="0.3">
      <c r="A11" s="159" t="s">
        <v>474</v>
      </c>
      <c r="B11" s="159" t="str">
        <f>_xlfn.TEXTJOIN(" ",TRUE,HLOOKUP(LEFT(A11,2),$H$7:$K$8,2,FALSE),VLOOKUP(MID(A11,3,2),$H$12:$I$19,2,FALSE))</f>
        <v>MITSUBISHI JOLIE</v>
      </c>
      <c r="C11" s="159" t="str">
        <f>IF(RIGHT(A11,2)="VN","Việt Nam","Nhật Bản")</f>
        <v>Nhật Bản</v>
      </c>
      <c r="D11" s="159">
        <f>IF(RIGHT(A11,2)="VN",VLOOKUP(MID(A11,3,2),$H$13:$J$19,3,0),VLOOKUP(MID(A11,3,2),$H$13:$K$19,4,1))</f>
        <v>37000</v>
      </c>
      <c r="E11" s="159">
        <f>IF(RIGHT(A11,2)="VN",0,D11*0.1)</f>
        <v>3700</v>
      </c>
      <c r="F11" s="160">
        <f>E11+D11</f>
        <v>40700</v>
      </c>
      <c r="H11" s="222" t="s">
        <v>475</v>
      </c>
      <c r="I11" s="222" t="s">
        <v>476</v>
      </c>
      <c r="J11" s="222" t="s">
        <v>477</v>
      </c>
      <c r="K11" s="222"/>
    </row>
    <row r="12" spans="1:11" ht="15.6" x14ac:dyDescent="0.3">
      <c r="H12" s="222"/>
      <c r="I12" s="222"/>
      <c r="J12" s="57" t="s">
        <v>478</v>
      </c>
      <c r="K12" s="57" t="s">
        <v>479</v>
      </c>
    </row>
    <row r="13" spans="1:11" ht="15.6" x14ac:dyDescent="0.3">
      <c r="H13" s="182" t="s">
        <v>480</v>
      </c>
      <c r="I13" s="182" t="s">
        <v>481</v>
      </c>
      <c r="J13" s="153">
        <v>20500</v>
      </c>
      <c r="K13" s="153">
        <v>21500</v>
      </c>
    </row>
    <row r="14" spans="1:11" ht="15.6" x14ac:dyDescent="0.3">
      <c r="A14" s="179" t="s">
        <v>458</v>
      </c>
      <c r="B14" s="183" t="s">
        <v>429</v>
      </c>
      <c r="H14" s="182" t="s">
        <v>482</v>
      </c>
      <c r="I14" s="182" t="s">
        <v>483</v>
      </c>
      <c r="J14" s="153">
        <v>36300</v>
      </c>
      <c r="K14" s="153">
        <v>37000</v>
      </c>
    </row>
    <row r="15" spans="1:11" ht="15.6" x14ac:dyDescent="0.3">
      <c r="A15" s="180" t="s">
        <v>460</v>
      </c>
      <c r="B15" s="181">
        <f>SUMIF($B$3:$B$11,"TOYOTA*",$D$3:$D$11)</f>
        <v>93300</v>
      </c>
      <c r="H15" s="182" t="s">
        <v>484</v>
      </c>
      <c r="I15" s="182" t="s">
        <v>485</v>
      </c>
      <c r="J15" s="153">
        <v>20000</v>
      </c>
      <c r="K15" s="153">
        <v>22000</v>
      </c>
    </row>
    <row r="16" spans="1:11" ht="15.6" x14ac:dyDescent="0.3">
      <c r="A16" s="180" t="s">
        <v>462</v>
      </c>
      <c r="B16" s="181">
        <f>SUMIF($B$3:$B$11,"FORD*",$D$3:$D$11)</f>
        <v>78500</v>
      </c>
      <c r="H16" s="182" t="s">
        <v>486</v>
      </c>
      <c r="I16" s="182" t="s">
        <v>487</v>
      </c>
      <c r="J16" s="153">
        <v>21500</v>
      </c>
      <c r="K16" s="153">
        <v>23000</v>
      </c>
    </row>
    <row r="17" spans="1:11" ht="15.6" x14ac:dyDescent="0.3">
      <c r="A17" s="180" t="s">
        <v>464</v>
      </c>
      <c r="B17" s="181">
        <f>SUMIF($B$3:$B$11,"MITSUBISHI*",$D$3:$D$11)</f>
        <v>93000</v>
      </c>
      <c r="H17" s="182" t="s">
        <v>488</v>
      </c>
      <c r="I17" s="182" t="s">
        <v>489</v>
      </c>
      <c r="J17" s="153">
        <v>34000</v>
      </c>
      <c r="K17" s="153">
        <v>35000</v>
      </c>
    </row>
    <row r="18" spans="1:11" ht="15.6" x14ac:dyDescent="0.3">
      <c r="A18" s="272"/>
      <c r="B18" s="272"/>
      <c r="C18" s="272"/>
      <c r="D18" s="272"/>
      <c r="H18" s="182" t="s">
        <v>490</v>
      </c>
      <c r="I18" s="182" t="s">
        <v>491</v>
      </c>
      <c r="J18" s="153">
        <v>20000</v>
      </c>
      <c r="K18" s="153">
        <v>21000</v>
      </c>
    </row>
    <row r="19" spans="1:11" ht="15.6" x14ac:dyDescent="0.3">
      <c r="H19" s="182" t="s">
        <v>492</v>
      </c>
      <c r="I19" s="182" t="s">
        <v>493</v>
      </c>
      <c r="J19" s="153">
        <v>36000</v>
      </c>
      <c r="K19" s="153">
        <v>38000</v>
      </c>
    </row>
  </sheetData>
  <mergeCells count="5">
    <mergeCell ref="A18:D18"/>
    <mergeCell ref="A1:F1"/>
    <mergeCell ref="H11:H12"/>
    <mergeCell ref="I11:I12"/>
    <mergeCell ref="J11:K11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F383-EBD1-4C3A-96B1-D11F13276B49}">
  <dimension ref="A1:N18"/>
  <sheetViews>
    <sheetView workbookViewId="0">
      <selection activeCell="K1" sqref="K1:M1"/>
    </sheetView>
  </sheetViews>
  <sheetFormatPr defaultRowHeight="14.4" x14ac:dyDescent="0.3"/>
  <cols>
    <col min="1" max="1" width="8.109375" bestFit="1" customWidth="1"/>
    <col min="2" max="2" width="11.21875" bestFit="1" customWidth="1"/>
    <col min="3" max="3" width="16.109375" customWidth="1"/>
    <col min="4" max="4" width="16.88671875" customWidth="1"/>
    <col min="5" max="5" width="16" customWidth="1"/>
    <col min="6" max="6" width="14.33203125" bestFit="1" customWidth="1"/>
    <col min="7" max="7" width="18.44140625" customWidth="1"/>
    <col min="8" max="8" width="18.5546875" customWidth="1"/>
    <col min="11" max="13" width="16.109375" customWidth="1"/>
  </cols>
  <sheetData>
    <row r="1" spans="1:14" ht="15.6" x14ac:dyDescent="0.3">
      <c r="A1" s="244" t="s">
        <v>494</v>
      </c>
      <c r="B1" s="244"/>
      <c r="C1" s="244"/>
      <c r="D1" s="244"/>
      <c r="E1" s="244"/>
      <c r="F1" s="244"/>
      <c r="G1" s="244"/>
      <c r="H1" s="244"/>
      <c r="K1" s="273" t="s">
        <v>495</v>
      </c>
      <c r="L1" s="273"/>
      <c r="M1" s="273"/>
    </row>
    <row r="2" spans="1:14" ht="26.4" x14ac:dyDescent="0.3">
      <c r="A2" s="184" t="s">
        <v>5</v>
      </c>
      <c r="B2" s="50" t="s">
        <v>496</v>
      </c>
      <c r="C2" s="147" t="s">
        <v>497</v>
      </c>
      <c r="D2" s="50" t="s">
        <v>498</v>
      </c>
      <c r="E2" s="147" t="s">
        <v>499</v>
      </c>
      <c r="F2" s="50" t="s">
        <v>500</v>
      </c>
      <c r="G2" s="147" t="s">
        <v>501</v>
      </c>
      <c r="H2" s="147" t="s">
        <v>134</v>
      </c>
      <c r="K2" s="107" t="s">
        <v>498</v>
      </c>
      <c r="L2" s="107" t="s">
        <v>502</v>
      </c>
      <c r="M2" s="107" t="s">
        <v>503</v>
      </c>
    </row>
    <row r="3" spans="1:14" x14ac:dyDescent="0.3">
      <c r="A3" s="52">
        <v>1</v>
      </c>
      <c r="B3" s="185" t="s">
        <v>504</v>
      </c>
      <c r="C3" s="52" t="str">
        <f>VLOOKUP(MID(B3,3,2),$K$8:$L$11,2,FALSE)</f>
        <v>USA</v>
      </c>
      <c r="D3" s="52" t="str">
        <f>HLOOKUP(INT(MID(B3,2,1)),$K$13:$M$14,2,1)</f>
        <v>Máy bay</v>
      </c>
      <c r="E3" s="52" t="str">
        <f>IF(RIGHT(B3,1)="N","Bình thường","Nhanh")</f>
        <v>Bình thường</v>
      </c>
      <c r="F3" s="186">
        <v>500</v>
      </c>
      <c r="G3" s="52">
        <f>IF(MID(B3,2,1)="1",VLOOKUP(MID(B3,3,2),$K$8:$M$11,3,0),VLOOKUP(MID(B3,3,2),$K$8:$N$11,4,0))</f>
        <v>19000</v>
      </c>
      <c r="H3" s="52">
        <f>IF(E3="Nhanh",F3*G3*0.1,F3*G3)</f>
        <v>9500000</v>
      </c>
      <c r="K3" s="129" t="s">
        <v>505</v>
      </c>
      <c r="L3" s="129">
        <f>COUNTIFS($D$3:$D$10,$D$3,$E$3:$E$10,L2)</f>
        <v>2</v>
      </c>
      <c r="M3" s="129">
        <f>COUNTIFS(D3:D10,D3,E3:E10,M2)</f>
        <v>3</v>
      </c>
    </row>
    <row r="4" spans="1:14" x14ac:dyDescent="0.3">
      <c r="A4" s="52">
        <v>2</v>
      </c>
      <c r="B4" s="185" t="s">
        <v>506</v>
      </c>
      <c r="C4" s="52" t="str">
        <f>VLOOKUP(MID(B4,3,2),$K$8:$L$11,2,FALSE)</f>
        <v>USA</v>
      </c>
      <c r="D4" s="52" t="str">
        <f>HLOOKUP(INT(MID(B4,2,1)),$K$13:$M$14,2,1)</f>
        <v>Máy bay</v>
      </c>
      <c r="E4" s="52" t="str">
        <f>IF(RIGHT(B4,1)="N","Bình thường","Nhanh")</f>
        <v>Nhanh</v>
      </c>
      <c r="F4" s="186">
        <v>200</v>
      </c>
      <c r="G4" s="52">
        <f>IF(MID(B4,2,1)="1",VLOOKUP(MID(B4,3,2),$K$8:$M$11,3,0),VLOOKUP(MID(B4,3,2),$K$8:$N$11,4,0))</f>
        <v>19000</v>
      </c>
      <c r="H4" s="52">
        <f>IF(E4="Nhanh",F4*G4*0.1,F4*G4)</f>
        <v>380000</v>
      </c>
      <c r="K4" s="129" t="s">
        <v>507</v>
      </c>
      <c r="L4" s="129">
        <f>COUNTIFS($D$3:$D$10,K4,$E$3:$E$10,L2)</f>
        <v>2</v>
      </c>
      <c r="M4" s="129">
        <f>COUNTIFS($D$3:$D$10,K4,$E$3:$E$10,M2)</f>
        <v>1</v>
      </c>
    </row>
    <row r="5" spans="1:14" x14ac:dyDescent="0.3">
      <c r="A5" s="52">
        <v>3</v>
      </c>
      <c r="B5" s="185" t="s">
        <v>508</v>
      </c>
      <c r="C5" s="52" t="str">
        <f>VLOOKUP(MID(B5,3,2),$K$8:$L$11,2,FALSE)</f>
        <v>Australia</v>
      </c>
      <c r="D5" s="52" t="str">
        <f>HLOOKUP(INT(MID(B5,2,1)),$K$13:$M$14,2,1)</f>
        <v>Tàu thủy</v>
      </c>
      <c r="E5" s="52" t="str">
        <f>IF(RIGHT(B5,1)="N","Bình thường","Nhanh")</f>
        <v>Nhanh</v>
      </c>
      <c r="F5" s="186">
        <v>50</v>
      </c>
      <c r="G5" s="52">
        <f>IF(MID(B5,2,1)="1",VLOOKUP(MID(B5,3,2),$K$8:$M$11,3,0),VLOOKUP(MID(B5,3,2),$K$8:$N$11,4,0))</f>
        <v>12000</v>
      </c>
      <c r="H5" s="52">
        <f>IF(E5="Nhanh",F5*G5*0.1,F5*G5)</f>
        <v>60000</v>
      </c>
    </row>
    <row r="6" spans="1:14" x14ac:dyDescent="0.3">
      <c r="A6" s="52">
        <v>4</v>
      </c>
      <c r="B6" s="185" t="s">
        <v>509</v>
      </c>
      <c r="C6" s="52" t="str">
        <f>VLOOKUP(MID(B6,3,2),$K$8:$L$11,2,FALSE)</f>
        <v>Singapore</v>
      </c>
      <c r="D6" s="52" t="str">
        <f>HLOOKUP(INT(MID(B6,2,1)),$K$13:$M$14,2,1)</f>
        <v>Máy bay</v>
      </c>
      <c r="E6" s="52" t="str">
        <f>IF(RIGHT(B6,1)="N","Bình thường","Nhanh")</f>
        <v>Nhanh</v>
      </c>
      <c r="F6" s="186">
        <v>250</v>
      </c>
      <c r="G6" s="52">
        <f>IF(MID(B6,2,1)="1",VLOOKUP(MID(B6,3,2),$K$8:$M$11,3,0),VLOOKUP(MID(B6,3,2),$K$8:$N$11,4,0))</f>
        <v>12000</v>
      </c>
      <c r="H6" s="52">
        <f>IF(E6="Nhanh",F6*G6*0.1,F6*G6)</f>
        <v>300000</v>
      </c>
      <c r="K6" s="258" t="s">
        <v>510</v>
      </c>
      <c r="L6" s="258" t="s">
        <v>511</v>
      </c>
      <c r="M6" s="258" t="s">
        <v>512</v>
      </c>
      <c r="N6" s="258"/>
    </row>
    <row r="7" spans="1:14" x14ac:dyDescent="0.3">
      <c r="A7" s="52">
        <v>5</v>
      </c>
      <c r="B7" s="185" t="s">
        <v>513</v>
      </c>
      <c r="C7" s="52" t="str">
        <f>VLOOKUP(MID(B7,3,2),$K$8:$L$11,2,FALSE)</f>
        <v>USA</v>
      </c>
      <c r="D7" s="52" t="str">
        <f>HLOOKUP(INT(MID(B7,2,1)),$K$13:$M$14,2,1)</f>
        <v>Tàu thủy</v>
      </c>
      <c r="E7" s="52" t="str">
        <f>IF(RIGHT(B7,1)="N","Bình thường","Nhanh")</f>
        <v>Bình thường</v>
      </c>
      <c r="F7" s="186">
        <v>150</v>
      </c>
      <c r="G7" s="52">
        <f>IF(MID(B7,2,1)="1",VLOOKUP(MID(B7,3,2),$K$8:$M$11,3,0),VLOOKUP(MID(B7,3,2),$K$8:$N$11,4,0))</f>
        <v>18000</v>
      </c>
      <c r="H7" s="52">
        <f>IF(E7="Nhanh",F7*G7*0.1,F7*G7)</f>
        <v>2700000</v>
      </c>
      <c r="K7" s="258"/>
      <c r="L7" s="258"/>
      <c r="M7" s="147">
        <v>1</v>
      </c>
      <c r="N7" s="147">
        <v>2</v>
      </c>
    </row>
    <row r="8" spans="1:14" x14ac:dyDescent="0.3">
      <c r="A8" s="52">
        <v>6</v>
      </c>
      <c r="B8" s="185" t="s">
        <v>514</v>
      </c>
      <c r="C8" s="52" t="str">
        <f>VLOOKUP(MID(B8,3,2),$K$8:$L$11,2,FALSE)</f>
        <v>Singapore</v>
      </c>
      <c r="D8" s="52" t="str">
        <f>HLOOKUP(INT(MID(B8,2,1)),$K$13:$M$14,2,1)</f>
        <v>Máy bay</v>
      </c>
      <c r="E8" s="52" t="str">
        <f>IF(RIGHT(B8,1)="N","Bình thường","Nhanh")</f>
        <v>Bình thường</v>
      </c>
      <c r="F8" s="186">
        <v>800</v>
      </c>
      <c r="G8" s="52">
        <f>IF(MID(B8,2,1)="1",VLOOKUP(MID(B8,3,2),$K$8:$M$11,3,0),VLOOKUP(MID(B8,3,2),$K$8:$N$11,4,0))</f>
        <v>12000</v>
      </c>
      <c r="H8" s="52">
        <f>IF(E8="Nhanh",F8*G8*0.1,F8*G8)</f>
        <v>9600000</v>
      </c>
      <c r="K8" s="185" t="s">
        <v>515</v>
      </c>
      <c r="L8" s="185" t="s">
        <v>516</v>
      </c>
      <c r="M8" s="52">
        <v>19000</v>
      </c>
      <c r="N8" s="52">
        <v>18000</v>
      </c>
    </row>
    <row r="9" spans="1:14" x14ac:dyDescent="0.3">
      <c r="A9" s="52">
        <v>7</v>
      </c>
      <c r="B9" s="185" t="s">
        <v>517</v>
      </c>
      <c r="C9" s="52" t="str">
        <f>VLOOKUP(MID(B9,3,2),$K$8:$L$11,2,FALSE)</f>
        <v>Australia</v>
      </c>
      <c r="D9" s="52" t="str">
        <f>HLOOKUP(INT(MID(B9,2,1)),$K$13:$M$14,2,1)</f>
        <v>Tàu thủy</v>
      </c>
      <c r="E9" s="52" t="str">
        <f>IF(RIGHT(B9,1)="N","Bình thường","Nhanh")</f>
        <v>Bình thường</v>
      </c>
      <c r="F9" s="186">
        <v>250</v>
      </c>
      <c r="G9" s="52">
        <f>IF(MID(B9,2,1)="1",VLOOKUP(MID(B9,3,2),$K$8:$M$11,3,0),VLOOKUP(MID(B9,3,2),$K$8:$N$11,4,0))</f>
        <v>12000</v>
      </c>
      <c r="H9" s="52">
        <f>IF(E9="Nhanh",F9*G9*0.1,F9*G9)</f>
        <v>3000000</v>
      </c>
      <c r="K9" s="185" t="s">
        <v>518</v>
      </c>
      <c r="L9" s="185" t="s">
        <v>519</v>
      </c>
      <c r="M9" s="52">
        <v>17000</v>
      </c>
      <c r="N9" s="52">
        <v>16000</v>
      </c>
    </row>
    <row r="10" spans="1:14" x14ac:dyDescent="0.3">
      <c r="A10" s="52">
        <v>8</v>
      </c>
      <c r="B10" s="185" t="s">
        <v>520</v>
      </c>
      <c r="C10" s="187" t="str">
        <f>VLOOKUP(MID(B10,3,2),$K$8:$L$11,2,FALSE)</f>
        <v>Australia</v>
      </c>
      <c r="D10" s="52" t="str">
        <f>HLOOKUP(INT(MID(B10,2,1)),$K$13:$M$14,2,1)</f>
        <v>Máy bay</v>
      </c>
      <c r="E10" s="52" t="str">
        <f>IF(RIGHT(B10,1)="N","Bình thường","Nhanh")</f>
        <v>Nhanh</v>
      </c>
      <c r="F10" s="186">
        <v>600</v>
      </c>
      <c r="G10" s="52">
        <f>IF(MID(B10,2,1)="1",VLOOKUP(MID(B10,3,2),$K$8:$M$11,3,0),VLOOKUP(MID(B10,3,2),$K$8:$N$11,4,0))</f>
        <v>14000</v>
      </c>
      <c r="H10" s="52">
        <f>IF(E10="Nhanh",F10*G10*0.1,F10*G10)</f>
        <v>840000</v>
      </c>
      <c r="K10" s="185" t="s">
        <v>521</v>
      </c>
      <c r="L10" s="185" t="s">
        <v>522</v>
      </c>
      <c r="M10" s="52">
        <v>14000</v>
      </c>
      <c r="N10" s="52">
        <v>12000</v>
      </c>
    </row>
    <row r="11" spans="1:14" ht="15.6" x14ac:dyDescent="0.3">
      <c r="A11" s="188" t="s">
        <v>523</v>
      </c>
      <c r="C11" s="189"/>
      <c r="K11" s="185" t="s">
        <v>524</v>
      </c>
      <c r="L11" s="185" t="s">
        <v>525</v>
      </c>
      <c r="M11" s="52">
        <v>12000</v>
      </c>
      <c r="N11" s="52">
        <v>10500</v>
      </c>
    </row>
    <row r="13" spans="1:14" x14ac:dyDescent="0.3">
      <c r="E13" s="190"/>
      <c r="K13" s="191" t="s">
        <v>526</v>
      </c>
      <c r="L13" s="192">
        <v>1</v>
      </c>
      <c r="M13" s="192">
        <v>2</v>
      </c>
    </row>
    <row r="14" spans="1:14" x14ac:dyDescent="0.3">
      <c r="E14" s="190"/>
      <c r="K14" s="191" t="s">
        <v>527</v>
      </c>
      <c r="L14" s="185" t="s">
        <v>505</v>
      </c>
      <c r="M14" s="185" t="s">
        <v>507</v>
      </c>
    </row>
    <row r="15" spans="1:14" x14ac:dyDescent="0.3">
      <c r="E15" s="190"/>
      <c r="F15" s="190"/>
      <c r="G15" s="190"/>
      <c r="H15" s="190"/>
    </row>
    <row r="16" spans="1:14" x14ac:dyDescent="0.3">
      <c r="E16" s="190"/>
      <c r="F16" s="190"/>
      <c r="G16" s="190"/>
      <c r="H16" s="190"/>
    </row>
    <row r="17" spans="5:8" x14ac:dyDescent="0.3">
      <c r="E17" s="190"/>
      <c r="F17" s="190"/>
      <c r="G17" s="190"/>
      <c r="H17" s="190"/>
    </row>
    <row r="18" spans="5:8" x14ac:dyDescent="0.3">
      <c r="E18" s="190"/>
      <c r="F18" s="190"/>
      <c r="G18" s="190"/>
      <c r="H18" s="190"/>
    </row>
  </sheetData>
  <mergeCells count="5">
    <mergeCell ref="K1:M1"/>
    <mergeCell ref="K6:K7"/>
    <mergeCell ref="L6:L7"/>
    <mergeCell ref="M6:N6"/>
    <mergeCell ref="A1:H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0522-1765-4CA5-89EE-FE728219B676}">
  <dimension ref="A1:Q18"/>
  <sheetViews>
    <sheetView workbookViewId="0">
      <selection activeCell="M19" sqref="M19"/>
    </sheetView>
  </sheetViews>
  <sheetFormatPr defaultRowHeight="14.4" x14ac:dyDescent="0.3"/>
  <cols>
    <col min="1" max="1" width="3.44140625" customWidth="1"/>
    <col min="2" max="2" width="11.21875" customWidth="1"/>
    <col min="3" max="3" width="12.5546875" customWidth="1"/>
    <col min="4" max="4" width="17.6640625" customWidth="1"/>
    <col min="5" max="5" width="15.21875" customWidth="1"/>
    <col min="6" max="6" width="10.77734375" customWidth="1"/>
    <col min="7" max="7" width="15.109375" customWidth="1"/>
    <col min="8" max="8" width="14.88671875" customWidth="1"/>
    <col min="9" max="9" width="15.88671875" customWidth="1"/>
    <col min="11" max="11" width="13.6640625" customWidth="1"/>
    <col min="12" max="12" width="16.88671875" customWidth="1"/>
    <col min="13" max="13" width="14.44140625" customWidth="1"/>
    <col min="14" max="14" width="11.5546875" customWidth="1"/>
  </cols>
  <sheetData>
    <row r="1" spans="1:17" ht="15.6" x14ac:dyDescent="0.3">
      <c r="A1" s="235" t="s">
        <v>528</v>
      </c>
      <c r="B1" s="236"/>
      <c r="C1" s="236"/>
      <c r="D1" s="236"/>
      <c r="E1" s="236"/>
      <c r="F1" s="236"/>
      <c r="G1" s="236"/>
      <c r="H1" s="236"/>
      <c r="I1" s="237"/>
      <c r="K1" s="260" t="s">
        <v>529</v>
      </c>
      <c r="L1" s="261"/>
      <c r="M1" s="262"/>
    </row>
    <row r="2" spans="1:17" x14ac:dyDescent="0.3">
      <c r="A2" s="193" t="s">
        <v>82</v>
      </c>
      <c r="B2" s="107" t="s">
        <v>131</v>
      </c>
      <c r="C2" s="107" t="s">
        <v>84</v>
      </c>
      <c r="D2" s="107" t="s">
        <v>149</v>
      </c>
      <c r="E2" s="107" t="s">
        <v>530</v>
      </c>
      <c r="F2" s="107" t="s">
        <v>132</v>
      </c>
      <c r="G2" s="107" t="s">
        <v>133</v>
      </c>
      <c r="H2" s="107" t="s">
        <v>134</v>
      </c>
      <c r="I2" s="107" t="s">
        <v>11</v>
      </c>
      <c r="K2" s="194" t="s">
        <v>254</v>
      </c>
      <c r="L2" s="92" t="s">
        <v>132</v>
      </c>
      <c r="M2" s="92" t="s">
        <v>429</v>
      </c>
    </row>
    <row r="3" spans="1:17" x14ac:dyDescent="0.3">
      <c r="A3" s="101">
        <v>1</v>
      </c>
      <c r="B3" s="195">
        <v>37692</v>
      </c>
      <c r="C3" s="129" t="s">
        <v>531</v>
      </c>
      <c r="D3" s="196" t="str">
        <f>_xlfn.TEXTJOIN(" ",1,"CD-ROM",VLOOKUP(LEFT(C3,2),$K$9:$L$12,2,0))</f>
        <v>CD-ROM Philips</v>
      </c>
      <c r="E3" s="101">
        <f>INT(MID(C3,3,2))</f>
        <v>40</v>
      </c>
      <c r="F3" s="101">
        <v>5</v>
      </c>
      <c r="G3" s="197">
        <f>IF(F3&lt;=10,VLOOKUP(E3,$O$10:$P$13,2,0),VLOOKUP(E3,$O$10:$Q$13,3,0))</f>
        <v>19</v>
      </c>
      <c r="H3" s="101">
        <f>G3*F3*21500</f>
        <v>2042500</v>
      </c>
      <c r="I3" s="101" t="str">
        <f>IF(LEFT(C3,2)="AS",IF(F3&gt;5,"Tăng ổ cứng",""),"")</f>
        <v/>
      </c>
      <c r="K3" s="114" t="s">
        <v>532</v>
      </c>
      <c r="L3" s="103">
        <f>COUNTIF($C$3:$C$10,"PH*")</f>
        <v>3</v>
      </c>
      <c r="M3" s="103">
        <f>SUMIF($C$3:$C$10,"PH*",$H$3:$H$10)</f>
        <v>15243500</v>
      </c>
    </row>
    <row r="4" spans="1:17" x14ac:dyDescent="0.3">
      <c r="A4" s="101">
        <v>2</v>
      </c>
      <c r="B4" s="195">
        <v>37692</v>
      </c>
      <c r="C4" s="129" t="s">
        <v>533</v>
      </c>
      <c r="D4" s="196" t="str">
        <f>_xlfn.TEXTJOIN(" ",1,"CD-ROM",VLOOKUP(LEFT(C4,2),$K$9:$L$12,2,0))</f>
        <v>CD-ROM Samsung</v>
      </c>
      <c r="E4" s="101">
        <f>INT(MID(C4,3,2))</f>
        <v>52</v>
      </c>
      <c r="F4" s="101">
        <v>12</v>
      </c>
      <c r="G4" s="197">
        <f>IF(F4&lt;=10,VLOOKUP(E4,$O$10:$P$13,2,0),VLOOKUP(E4,$O$10:$Q$13,3,0))</f>
        <v>26</v>
      </c>
      <c r="H4" s="101">
        <f>G4*F4*21500</f>
        <v>6708000</v>
      </c>
      <c r="I4" s="101" t="str">
        <f>IF(LEFT(C4,2)="AS",IF(F4&gt;5,"Tăng ổ cứng",""),"")</f>
        <v/>
      </c>
      <c r="K4" s="114" t="s">
        <v>534</v>
      </c>
      <c r="L4" s="103">
        <f>COUNTIF($C$3:$C$10,"SA*")</f>
        <v>1</v>
      </c>
      <c r="M4" s="103">
        <f>SUMIF($C$3:$C$10,"SA*",$H$3:$H$10)</f>
        <v>6708000</v>
      </c>
    </row>
    <row r="5" spans="1:17" x14ac:dyDescent="0.3">
      <c r="A5" s="101">
        <v>3</v>
      </c>
      <c r="B5" s="195">
        <v>37698</v>
      </c>
      <c r="C5" s="129" t="s">
        <v>535</v>
      </c>
      <c r="D5" s="196" t="str">
        <f>_xlfn.TEXTJOIN(" ",1,"CD-ROM",VLOOKUP(LEFT(C5,2),$K$9:$L$12,2,0))</f>
        <v>CD-ROM Philips</v>
      </c>
      <c r="E5" s="101">
        <f>INT(MID(C5,3,2))</f>
        <v>56</v>
      </c>
      <c r="F5" s="101">
        <v>8</v>
      </c>
      <c r="G5" s="197">
        <f>IF(F5&lt;=10,VLOOKUP(E5,$O$10:$P$13,2,0),VLOOKUP(E5,$O$10:$Q$13,3,0))</f>
        <v>34</v>
      </c>
      <c r="H5" s="101">
        <f>G5*F5*21500</f>
        <v>5848000</v>
      </c>
      <c r="I5" s="101" t="str">
        <f>IF(LEFT(C5,2)="AS",IF(F5&gt;5,"Tăng ổ cứng",""),"")</f>
        <v/>
      </c>
      <c r="K5" s="114" t="s">
        <v>536</v>
      </c>
      <c r="L5" s="103">
        <f>COUNTIF($C$3:$C$10,"LG*")</f>
        <v>1</v>
      </c>
      <c r="M5" s="103">
        <f>SUMIF($C$3:$C$10,"LG*",$H$3:$H$10)</f>
        <v>4214000</v>
      </c>
    </row>
    <row r="6" spans="1:17" x14ac:dyDescent="0.3">
      <c r="A6" s="101">
        <v>4</v>
      </c>
      <c r="B6" s="195">
        <v>37705</v>
      </c>
      <c r="C6" s="129" t="s">
        <v>537</v>
      </c>
      <c r="D6" s="196" t="str">
        <f>_xlfn.TEXTJOIN(" ",1,"CD-ROM",VLOOKUP(LEFT(C6,2),$K$9:$L$12,2,0))</f>
        <v>CD-ROM LG/Cyber</v>
      </c>
      <c r="E6" s="101">
        <f>INT(MID(C6,3,2))</f>
        <v>52</v>
      </c>
      <c r="F6" s="101">
        <v>7</v>
      </c>
      <c r="G6" s="197">
        <f>IF(F6&lt;=10,VLOOKUP(E6,$O$10:$P$13,2,0),VLOOKUP(E6,$O$10:$Q$13,3,0))</f>
        <v>28</v>
      </c>
      <c r="H6" s="101">
        <f>G6*F6*21500</f>
        <v>4214000</v>
      </c>
      <c r="I6" s="101" t="str">
        <f>IF(LEFT(C6,2)="AS",IF(F6&gt;5,"Tăng ổ cứng",""),"")</f>
        <v/>
      </c>
      <c r="K6" s="114" t="s">
        <v>538</v>
      </c>
      <c r="L6" s="103">
        <f>COUNTIF($C$3:$C$10,"AS*")</f>
        <v>3</v>
      </c>
      <c r="M6" s="103">
        <f>SUMIF($C$3:$C$10,"AS*",$H$3:$H$10)</f>
        <v>16350750</v>
      </c>
    </row>
    <row r="7" spans="1:17" x14ac:dyDescent="0.3">
      <c r="A7" s="101">
        <v>5</v>
      </c>
      <c r="B7" s="195">
        <v>37716</v>
      </c>
      <c r="C7" s="129" t="s">
        <v>539</v>
      </c>
      <c r="D7" s="196" t="str">
        <f>_xlfn.TEXTJOIN(" ",1,"CD-ROM",VLOOKUP(LEFT(C7,2),$K$9:$L$12,2,0))</f>
        <v>CD-ROM Asus</v>
      </c>
      <c r="E7" s="101">
        <f>INT(MID(C7,3,2))</f>
        <v>40</v>
      </c>
      <c r="F7" s="101">
        <v>11</v>
      </c>
      <c r="G7" s="197">
        <f>IF(F7&lt;=10,VLOOKUP(E7,$O$10:$P$13,2,0),VLOOKUP(E7,$O$10:$Q$13,3,0))</f>
        <v>17.5</v>
      </c>
      <c r="H7" s="101">
        <f>G7*F7*21500</f>
        <v>4138750</v>
      </c>
      <c r="I7" s="101" t="str">
        <f>IF(LEFT(C7,2)="AS",IF(F7&gt;5,"Tăng ổ cứng",""),"")</f>
        <v>Tăng ổ cứng</v>
      </c>
    </row>
    <row r="8" spans="1:17" ht="14.4" customHeight="1" x14ac:dyDescent="0.3">
      <c r="A8" s="101">
        <v>6</v>
      </c>
      <c r="B8" s="195">
        <v>37721</v>
      </c>
      <c r="C8" s="129" t="s">
        <v>540</v>
      </c>
      <c r="D8" s="196" t="str">
        <f>_xlfn.TEXTJOIN(" ",1,"CD-ROM",VLOOKUP(LEFT(C8,2),$K$9:$L$12,2,0))</f>
        <v>CD-ROM Asus</v>
      </c>
      <c r="E8" s="101">
        <f>INT(MID(C8,3,2))</f>
        <v>56</v>
      </c>
      <c r="F8" s="101">
        <v>6</v>
      </c>
      <c r="G8" s="197">
        <f>IF(F8&lt;=10,VLOOKUP(E8,$O$10:$P$13,2,0),VLOOKUP(E8,$O$10:$Q$13,3,0))</f>
        <v>34</v>
      </c>
      <c r="H8" s="101">
        <f>G8*F8*21500</f>
        <v>4386000</v>
      </c>
      <c r="I8" s="101" t="str">
        <f>IF(LEFT(C8,2)="AS",IF(F8&gt;5,"Tăng ổ cứng",""),"")</f>
        <v>Tăng ổ cứng</v>
      </c>
      <c r="K8" s="132" t="s">
        <v>541</v>
      </c>
      <c r="L8" s="132" t="s">
        <v>542</v>
      </c>
      <c r="O8" s="274" t="s">
        <v>530</v>
      </c>
      <c r="P8" s="275" t="s">
        <v>549</v>
      </c>
      <c r="Q8" s="276"/>
    </row>
    <row r="9" spans="1:17" x14ac:dyDescent="0.3">
      <c r="A9" s="101">
        <v>7</v>
      </c>
      <c r="B9" s="195">
        <v>37739</v>
      </c>
      <c r="C9" s="129" t="s">
        <v>543</v>
      </c>
      <c r="D9" s="196" t="str">
        <f>_xlfn.TEXTJOIN(" ",1,"CD-ROM",VLOOKUP(LEFT(C9,2),$K$9:$L$12,2,0))</f>
        <v>CD-ROM Asus</v>
      </c>
      <c r="E9" s="101">
        <f>INT(MID(C9,3,2))</f>
        <v>52</v>
      </c>
      <c r="F9" s="101">
        <v>14</v>
      </c>
      <c r="G9" s="197">
        <f>IF(F9&lt;=10,VLOOKUP(E9,$O$10:$P$13,2,0),VLOOKUP(E9,$O$10:$Q$13,3,0))</f>
        <v>26</v>
      </c>
      <c r="H9" s="101">
        <f>G9*F9*21500</f>
        <v>7826000</v>
      </c>
      <c r="I9" s="101" t="str">
        <f>IF(LEFT(C9,2)="AS",IF(F9&gt;5,"Tăng ổ cứng",""),"")</f>
        <v>Tăng ổ cứng</v>
      </c>
      <c r="K9" s="133" t="s">
        <v>544</v>
      </c>
      <c r="L9" s="133" t="s">
        <v>532</v>
      </c>
      <c r="O9" s="250"/>
      <c r="P9" s="198" t="s">
        <v>550</v>
      </c>
      <c r="Q9" s="198" t="s">
        <v>551</v>
      </c>
    </row>
    <row r="10" spans="1:17" x14ac:dyDescent="0.3">
      <c r="A10" s="101">
        <v>8</v>
      </c>
      <c r="B10" s="195">
        <v>37743</v>
      </c>
      <c r="C10" s="129" t="s">
        <v>545</v>
      </c>
      <c r="D10" s="196" t="str">
        <f>_xlfn.TEXTJOIN(" ",1,"CD-ROM",VLOOKUP(LEFT(C10,2),$K$9:$L$12,2,0))</f>
        <v>CD-ROM Philips</v>
      </c>
      <c r="E10" s="101">
        <f>INT(MID(C10,3,2))</f>
        <v>60</v>
      </c>
      <c r="F10" s="101">
        <v>9</v>
      </c>
      <c r="G10" s="197">
        <f>IF(F10&lt;=10,VLOOKUP(E10,$O$10:$P$13,2,0),VLOOKUP(E10,$O$10:$Q$13,3,0))</f>
        <v>38</v>
      </c>
      <c r="H10" s="101">
        <f>G10*F10*21500</f>
        <v>7353000</v>
      </c>
      <c r="I10" s="101" t="str">
        <f>IF(LEFT(C10,2)="AS",IF(F10&gt;5,"Tăng ổ cứng",""),"")</f>
        <v/>
      </c>
      <c r="K10" s="133" t="s">
        <v>546</v>
      </c>
      <c r="L10" s="133" t="s">
        <v>534</v>
      </c>
      <c r="O10" s="133">
        <v>40</v>
      </c>
      <c r="P10" s="133">
        <v>19</v>
      </c>
      <c r="Q10" s="133">
        <v>17.5</v>
      </c>
    </row>
    <row r="11" spans="1:17" x14ac:dyDescent="0.3">
      <c r="K11" s="133" t="s">
        <v>547</v>
      </c>
      <c r="L11" s="133" t="s">
        <v>536</v>
      </c>
      <c r="O11" s="133">
        <v>52</v>
      </c>
      <c r="P11" s="133">
        <v>28</v>
      </c>
      <c r="Q11" s="133">
        <v>26</v>
      </c>
    </row>
    <row r="12" spans="1:17" x14ac:dyDescent="0.3">
      <c r="K12" s="133" t="s">
        <v>548</v>
      </c>
      <c r="L12" s="133" t="s">
        <v>538</v>
      </c>
      <c r="O12" s="133">
        <v>56</v>
      </c>
      <c r="P12" s="133">
        <v>34</v>
      </c>
      <c r="Q12" s="133">
        <v>32.5</v>
      </c>
    </row>
    <row r="13" spans="1:17" x14ac:dyDescent="0.3">
      <c r="O13" s="133">
        <v>60</v>
      </c>
      <c r="P13" s="133">
        <v>38</v>
      </c>
      <c r="Q13" s="133">
        <v>36</v>
      </c>
    </row>
    <row r="18" spans="2:3" ht="15.6" x14ac:dyDescent="0.3">
      <c r="B18" s="294"/>
      <c r="C18" s="294"/>
    </row>
  </sheetData>
  <mergeCells count="4">
    <mergeCell ref="A1:I1"/>
    <mergeCell ref="K1:M1"/>
    <mergeCell ref="P8:Q8"/>
    <mergeCell ref="O8:O9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E4BA-BF1A-432D-83FA-A86DDC9B0030}">
  <dimension ref="A1:M18"/>
  <sheetViews>
    <sheetView topLeftCell="G1" workbookViewId="0">
      <selection activeCell="R23" sqref="R23"/>
    </sheetView>
  </sheetViews>
  <sheetFormatPr defaultRowHeight="14.4" x14ac:dyDescent="0.3"/>
  <cols>
    <col min="1" max="1" width="3.44140625" bestFit="1" customWidth="1"/>
    <col min="2" max="2" width="16" customWidth="1"/>
    <col min="3" max="3" width="21.44140625" customWidth="1"/>
    <col min="4" max="4" width="11.77734375" customWidth="1"/>
    <col min="5" max="5" width="10" bestFit="1" customWidth="1"/>
    <col min="6" max="6" width="13.33203125" customWidth="1"/>
    <col min="7" max="7" width="12.88671875" customWidth="1"/>
    <col min="8" max="8" width="12.5546875" customWidth="1"/>
    <col min="9" max="9" width="12.88671875" customWidth="1"/>
    <col min="11" max="11" width="12.77734375" customWidth="1"/>
    <col min="12" max="12" width="13.44140625" customWidth="1"/>
    <col min="13" max="13" width="13.6640625" customWidth="1"/>
  </cols>
  <sheetData>
    <row r="1" spans="1:13" x14ac:dyDescent="0.3">
      <c r="A1" s="253" t="s">
        <v>552</v>
      </c>
      <c r="B1" s="231"/>
      <c r="C1" s="231"/>
      <c r="D1" s="231"/>
      <c r="E1" s="231"/>
      <c r="F1" s="231"/>
      <c r="G1" s="231"/>
      <c r="H1" s="231"/>
      <c r="I1" s="231"/>
    </row>
    <row r="2" spans="1:13" ht="27.6" x14ac:dyDescent="0.3">
      <c r="A2" s="231"/>
      <c r="B2" s="231"/>
      <c r="C2" s="231"/>
      <c r="D2" s="231"/>
      <c r="E2" s="231"/>
      <c r="F2" s="231"/>
      <c r="G2" s="231"/>
      <c r="H2" s="231"/>
      <c r="I2" s="231"/>
      <c r="K2" s="91" t="s">
        <v>553</v>
      </c>
      <c r="L2" s="132" t="s">
        <v>554</v>
      </c>
      <c r="M2" s="132" t="s">
        <v>555</v>
      </c>
    </row>
    <row r="3" spans="1:13" x14ac:dyDescent="0.3">
      <c r="A3" s="193" t="s">
        <v>82</v>
      </c>
      <c r="B3" s="132" t="s">
        <v>556</v>
      </c>
      <c r="C3" s="132" t="s">
        <v>557</v>
      </c>
      <c r="D3" s="132" t="s">
        <v>558</v>
      </c>
      <c r="E3" s="132" t="s">
        <v>559</v>
      </c>
      <c r="F3" s="132" t="s">
        <v>560</v>
      </c>
      <c r="G3" s="132" t="s">
        <v>561</v>
      </c>
      <c r="H3" s="132" t="s">
        <v>562</v>
      </c>
      <c r="I3" s="132" t="s">
        <v>452</v>
      </c>
      <c r="K3" s="199" t="s">
        <v>563</v>
      </c>
      <c r="L3" s="200">
        <v>20000</v>
      </c>
      <c r="M3" s="200">
        <v>2000</v>
      </c>
    </row>
    <row r="4" spans="1:13" x14ac:dyDescent="0.3">
      <c r="A4" s="101">
        <v>1</v>
      </c>
      <c r="B4" s="97" t="s">
        <v>564</v>
      </c>
      <c r="C4" s="97" t="s">
        <v>563</v>
      </c>
      <c r="D4" s="99">
        <v>125</v>
      </c>
      <c r="E4" s="99">
        <v>650</v>
      </c>
      <c r="F4" s="103">
        <f>E4-D4</f>
        <v>525</v>
      </c>
      <c r="G4" s="103">
        <f>VLOOKUP(C4,$K$3:$M$5,2,0) * F4</f>
        <v>10500000</v>
      </c>
      <c r="H4" s="96">
        <f>VLOOKUP(C4,$K$3:$L$5,2,0)</f>
        <v>20000</v>
      </c>
      <c r="I4" s="103">
        <f>H4+G4</f>
        <v>10520000</v>
      </c>
      <c r="K4" s="199" t="s">
        <v>565</v>
      </c>
      <c r="L4" s="200">
        <v>10000</v>
      </c>
      <c r="M4" s="200">
        <v>800</v>
      </c>
    </row>
    <row r="5" spans="1:13" x14ac:dyDescent="0.3">
      <c r="A5" s="101">
        <v>2</v>
      </c>
      <c r="B5" s="97" t="s">
        <v>566</v>
      </c>
      <c r="C5" s="97" t="s">
        <v>565</v>
      </c>
      <c r="D5" s="99">
        <v>15</v>
      </c>
      <c r="E5" s="99">
        <v>90</v>
      </c>
      <c r="F5" s="103">
        <f>E5-D5</f>
        <v>75</v>
      </c>
      <c r="G5" s="103">
        <f>VLOOKUP(C5,$K$3:$M$5,2,0) * F5</f>
        <v>750000</v>
      </c>
      <c r="H5" s="96">
        <f>VLOOKUP(C5,$K$3:$L$5,2,0)</f>
        <v>10000</v>
      </c>
      <c r="I5" s="103">
        <f>H5+G5</f>
        <v>760000</v>
      </c>
      <c r="K5" s="199" t="s">
        <v>567</v>
      </c>
      <c r="L5" s="200">
        <v>5000</v>
      </c>
      <c r="M5" s="200">
        <v>500</v>
      </c>
    </row>
    <row r="6" spans="1:13" x14ac:dyDescent="0.3">
      <c r="A6" s="101">
        <v>3</v>
      </c>
      <c r="B6" s="97" t="s">
        <v>568</v>
      </c>
      <c r="C6" s="97" t="s">
        <v>567</v>
      </c>
      <c r="D6" s="99">
        <v>50</v>
      </c>
      <c r="E6" s="99">
        <v>180</v>
      </c>
      <c r="F6" s="103">
        <f>E6-D6</f>
        <v>130</v>
      </c>
      <c r="G6" s="103">
        <f>VLOOKUP(C6,$K$3:$M$5,2,0) * F6</f>
        <v>650000</v>
      </c>
      <c r="H6" s="96">
        <f>VLOOKUP(C6,$K$3:$L$5,2,0)</f>
        <v>5000</v>
      </c>
      <c r="I6" s="103">
        <f>H6+G6</f>
        <v>655000</v>
      </c>
    </row>
    <row r="7" spans="1:13" x14ac:dyDescent="0.3">
      <c r="A7" s="101">
        <v>4</v>
      </c>
      <c r="B7" s="97" t="s">
        <v>569</v>
      </c>
      <c r="C7" s="97" t="s">
        <v>563</v>
      </c>
      <c r="D7" s="99">
        <v>260</v>
      </c>
      <c r="E7" s="99">
        <v>580</v>
      </c>
      <c r="F7" s="103">
        <f>E7-D7</f>
        <v>320</v>
      </c>
      <c r="G7" s="103">
        <f>VLOOKUP(C7,$K$3:$M$5,2,0) * F7</f>
        <v>6400000</v>
      </c>
      <c r="H7" s="96">
        <f>VLOOKUP(C7,$K$3:$L$5,2,0)</f>
        <v>20000</v>
      </c>
      <c r="I7" s="103">
        <f>H7+G7</f>
        <v>6420000</v>
      </c>
      <c r="K7" s="193" t="s">
        <v>356</v>
      </c>
      <c r="L7" s="107" t="s">
        <v>570</v>
      </c>
      <c r="M7" s="107" t="s">
        <v>571</v>
      </c>
    </row>
    <row r="8" spans="1:13" x14ac:dyDescent="0.3">
      <c r="A8" s="101">
        <v>5</v>
      </c>
      <c r="B8" s="97" t="s">
        <v>232</v>
      </c>
      <c r="C8" s="97" t="s">
        <v>567</v>
      </c>
      <c r="D8" s="99">
        <v>75</v>
      </c>
      <c r="E8" s="99">
        <v>125</v>
      </c>
      <c r="F8" s="103">
        <f>E8-D8</f>
        <v>50</v>
      </c>
      <c r="G8" s="103">
        <f>VLOOKUP(C8,$K$3:$M$5,2,0) * F8</f>
        <v>250000</v>
      </c>
      <c r="H8" s="96">
        <f>VLOOKUP(C8,$K$3:$L$5,2,0)</f>
        <v>5000</v>
      </c>
      <c r="I8" s="103">
        <f>H8+G8</f>
        <v>255000</v>
      </c>
      <c r="K8" s="97" t="s">
        <v>563</v>
      </c>
      <c r="L8" s="103">
        <f>COUNTIF($C$4:$C$10,K8)</f>
        <v>2</v>
      </c>
      <c r="M8" s="103">
        <f>SUMIF($C$4:$C$10,K8,$I$4:$I$10)</f>
        <v>16940000</v>
      </c>
    </row>
    <row r="9" spans="1:13" x14ac:dyDescent="0.3">
      <c r="A9" s="101">
        <v>6</v>
      </c>
      <c r="B9" s="97" t="s">
        <v>572</v>
      </c>
      <c r="C9" s="97" t="s">
        <v>567</v>
      </c>
      <c r="D9" s="99">
        <v>0</v>
      </c>
      <c r="E9" s="99">
        <v>80</v>
      </c>
      <c r="F9" s="103">
        <f>E9-D9</f>
        <v>80</v>
      </c>
      <c r="G9" s="103">
        <f>VLOOKUP(C9,$K$3:$M$5,2,0) * F9</f>
        <v>400000</v>
      </c>
      <c r="H9" s="96">
        <f>VLOOKUP(C9,$K$3:$L$5,2,0)</f>
        <v>5000</v>
      </c>
      <c r="I9" s="103">
        <f>H9+G9</f>
        <v>405000</v>
      </c>
      <c r="K9" s="97" t="s">
        <v>565</v>
      </c>
      <c r="L9" s="103">
        <f>COUNTIF($C$4:$C$10,K9)</f>
        <v>2</v>
      </c>
      <c r="M9" s="103">
        <f>SUMIF($C$4:$C$10,K9,$I$4:$I$10)</f>
        <v>2770000</v>
      </c>
    </row>
    <row r="10" spans="1:13" x14ac:dyDescent="0.3">
      <c r="A10" s="101">
        <v>7</v>
      </c>
      <c r="B10" s="97" t="s">
        <v>573</v>
      </c>
      <c r="C10" s="97" t="s">
        <v>565</v>
      </c>
      <c r="D10" s="99">
        <v>125</v>
      </c>
      <c r="E10" s="99">
        <v>325</v>
      </c>
      <c r="F10" s="103">
        <f>E10-D10</f>
        <v>200</v>
      </c>
      <c r="G10" s="103">
        <f>VLOOKUP(C10,$K$3:$M$5,2,0) * F10</f>
        <v>2000000</v>
      </c>
      <c r="H10" s="96">
        <f>VLOOKUP(C10,$K$3:$L$5,2,0)</f>
        <v>10000</v>
      </c>
      <c r="I10" s="103">
        <f>H10+G10</f>
        <v>2010000</v>
      </c>
      <c r="K10" s="97" t="s">
        <v>567</v>
      </c>
      <c r="L10" s="103">
        <f>COUNTIF($C$4:$C$10,K10)</f>
        <v>3</v>
      </c>
      <c r="M10" s="103">
        <f>SUMIF($C$4:$C$10,K10,$I$4:$I$10)</f>
        <v>1315000</v>
      </c>
    </row>
    <row r="12" spans="1:13" x14ac:dyDescent="0.3">
      <c r="C12" s="277" t="str">
        <f>_xlfn.CONCAT("Số hộ sử dụng trên 100 số điện: ",COUNTIF($F$4:$F$10,"&gt;100"))</f>
        <v>Số hộ sử dụng trên 100 số điện: 4</v>
      </c>
      <c r="D12" s="278"/>
      <c r="E12" s="278"/>
      <c r="F12" s="278"/>
      <c r="G12" s="278"/>
    </row>
    <row r="13" spans="1:13" x14ac:dyDescent="0.3">
      <c r="C13" s="279"/>
      <c r="D13" s="279"/>
      <c r="E13" s="279"/>
      <c r="F13" s="279"/>
      <c r="G13" s="279"/>
    </row>
    <row r="14" spans="1:13" x14ac:dyDescent="0.3">
      <c r="A14" s="193" t="s">
        <v>82</v>
      </c>
      <c r="B14" s="132" t="s">
        <v>556</v>
      </c>
      <c r="C14" s="132" t="s">
        <v>557</v>
      </c>
      <c r="D14" s="132" t="s">
        <v>558</v>
      </c>
      <c r="E14" s="132" t="s">
        <v>559</v>
      </c>
      <c r="F14" s="132" t="s">
        <v>560</v>
      </c>
      <c r="G14" s="132" t="s">
        <v>561</v>
      </c>
      <c r="H14" s="132" t="s">
        <v>562</v>
      </c>
      <c r="I14" s="132" t="s">
        <v>452</v>
      </c>
    </row>
    <row r="15" spans="1:13" x14ac:dyDescent="0.3">
      <c r="A15" s="101">
        <v>1</v>
      </c>
      <c r="B15" s="97" t="s">
        <v>564</v>
      </c>
      <c r="C15" s="97" t="s">
        <v>563</v>
      </c>
      <c r="D15" s="99">
        <v>125</v>
      </c>
      <c r="E15" s="99">
        <v>650</v>
      </c>
      <c r="F15" s="103">
        <v>525</v>
      </c>
      <c r="G15" s="103">
        <v>10500000</v>
      </c>
      <c r="H15" s="96">
        <v>20000</v>
      </c>
      <c r="I15" s="103">
        <v>10520000</v>
      </c>
    </row>
    <row r="16" spans="1:13" x14ac:dyDescent="0.3">
      <c r="A16" s="101">
        <v>2</v>
      </c>
      <c r="B16" s="97" t="s">
        <v>568</v>
      </c>
      <c r="C16" s="97" t="s">
        <v>567</v>
      </c>
      <c r="D16" s="99">
        <v>50</v>
      </c>
      <c r="E16" s="99">
        <v>180</v>
      </c>
      <c r="F16" s="103">
        <v>130</v>
      </c>
      <c r="G16" s="103">
        <v>650000</v>
      </c>
      <c r="H16" s="96">
        <v>5000</v>
      </c>
      <c r="I16" s="103">
        <v>655000</v>
      </c>
    </row>
    <row r="17" spans="1:9" x14ac:dyDescent="0.3">
      <c r="A17" s="101">
        <v>3</v>
      </c>
      <c r="B17" s="97" t="s">
        <v>569</v>
      </c>
      <c r="C17" s="97" t="s">
        <v>563</v>
      </c>
      <c r="D17" s="99">
        <v>260</v>
      </c>
      <c r="E17" s="99">
        <v>580</v>
      </c>
      <c r="F17" s="103">
        <v>320</v>
      </c>
      <c r="G17" s="103">
        <v>6400000</v>
      </c>
      <c r="H17" s="96">
        <v>20000</v>
      </c>
      <c r="I17" s="103">
        <v>6420000</v>
      </c>
    </row>
    <row r="18" spans="1:9" x14ac:dyDescent="0.3">
      <c r="A18" s="101">
        <v>4</v>
      </c>
      <c r="B18" s="97" t="s">
        <v>573</v>
      </c>
      <c r="C18" s="97" t="s">
        <v>565</v>
      </c>
      <c r="D18" s="99">
        <v>125</v>
      </c>
      <c r="E18" s="99">
        <v>325</v>
      </c>
      <c r="F18" s="103">
        <v>200</v>
      </c>
      <c r="G18" s="103">
        <v>2000000</v>
      </c>
      <c r="H18" s="96">
        <v>10000</v>
      </c>
      <c r="I18" s="103">
        <v>2010000</v>
      </c>
    </row>
  </sheetData>
  <mergeCells count="2">
    <mergeCell ref="A1:I2"/>
    <mergeCell ref="C12:G1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599B-11CE-43C9-AFBF-BAE92761E373}">
  <dimension ref="A1:O17"/>
  <sheetViews>
    <sheetView zoomScale="70" zoomScaleNormal="70" workbookViewId="0">
      <selection activeCell="G15" sqref="G15"/>
    </sheetView>
  </sheetViews>
  <sheetFormatPr defaultRowHeight="14.4" x14ac:dyDescent="0.3"/>
  <cols>
    <col min="4" max="4" width="12.5546875" customWidth="1"/>
    <col min="5" max="5" width="12.77734375" customWidth="1"/>
    <col min="6" max="6" width="14" customWidth="1"/>
    <col min="8" max="8" width="11.77734375" customWidth="1"/>
    <col min="11" max="11" width="12.21875" customWidth="1"/>
    <col min="12" max="12" width="12.44140625" customWidth="1"/>
  </cols>
  <sheetData>
    <row r="1" spans="1:15" ht="17.399999999999999" x14ac:dyDescent="0.3">
      <c r="A1" s="280" t="s">
        <v>574</v>
      </c>
      <c r="B1" s="281"/>
      <c r="C1" s="281"/>
      <c r="D1" s="281"/>
      <c r="E1" s="281"/>
      <c r="F1" s="281"/>
      <c r="G1" s="281"/>
      <c r="H1" s="281"/>
      <c r="I1" s="282"/>
    </row>
    <row r="2" spans="1:15" x14ac:dyDescent="0.3">
      <c r="A2" s="93" t="s">
        <v>82</v>
      </c>
      <c r="B2" s="201" t="s">
        <v>97</v>
      </c>
      <c r="C2" s="93" t="s">
        <v>575</v>
      </c>
      <c r="D2" s="93" t="s">
        <v>576</v>
      </c>
      <c r="E2" s="93" t="s">
        <v>161</v>
      </c>
      <c r="F2" s="93" t="s">
        <v>577</v>
      </c>
      <c r="G2" s="93" t="s">
        <v>578</v>
      </c>
      <c r="H2" s="93" t="s">
        <v>579</v>
      </c>
      <c r="I2" s="93" t="s">
        <v>11</v>
      </c>
      <c r="K2" s="95" t="s">
        <v>575</v>
      </c>
      <c r="L2" s="95" t="s">
        <v>576</v>
      </c>
    </row>
    <row r="3" spans="1:15" ht="21" customHeight="1" x14ac:dyDescent="0.3">
      <c r="A3" s="133">
        <v>1</v>
      </c>
      <c r="B3" s="202" t="s">
        <v>172</v>
      </c>
      <c r="C3" s="96" t="s">
        <v>580</v>
      </c>
      <c r="D3" s="133" t="str">
        <f>VLOOKUP(C3,$K$3:$L$6,2,0)</f>
        <v>Tiếng Anh</v>
      </c>
      <c r="E3" s="133">
        <v>4</v>
      </c>
      <c r="F3" s="133">
        <v>7</v>
      </c>
      <c r="G3" s="203">
        <f>(E3*2 + F3*3)/5</f>
        <v>5.8</v>
      </c>
      <c r="H3" s="203" t="str" cm="1">
        <f t="array" ref="H3">_xlfn.IFS(AND(G3&gt;=0,G3&lt;5),"Kém",AND(G3&gt;=5,G3&lt;7),"Trung bình",AND(G3&gt;=7,G3&lt;8),"Khá",AND(G3&gt;=8,G3&lt;9),"Giỏi",G3&gt;=9,"Xuất sắc")</f>
        <v>Trung bình</v>
      </c>
      <c r="I3" s="203" t="str">
        <f>IF(H3="Xuất sắc","Loại 1",IF(H3="Giỏi","Loại 2",IF(H3="Khá","Loại 3","")))</f>
        <v/>
      </c>
      <c r="K3" s="101" t="s">
        <v>580</v>
      </c>
      <c r="L3" s="97" t="s">
        <v>581</v>
      </c>
    </row>
    <row r="4" spans="1:15" ht="21" customHeight="1" x14ac:dyDescent="0.3">
      <c r="A4" s="133">
        <v>2</v>
      </c>
      <c r="B4" s="202" t="s">
        <v>175</v>
      </c>
      <c r="C4" s="96" t="s">
        <v>582</v>
      </c>
      <c r="D4" s="133" t="str">
        <f t="shared" ref="D4:D12" si="0">VLOOKUP(C4,$K$3:$L$6,2,0)</f>
        <v>Tiếng Italia</v>
      </c>
      <c r="E4" s="133">
        <v>6</v>
      </c>
      <c r="F4" s="133">
        <v>8</v>
      </c>
      <c r="G4" s="203">
        <f t="shared" ref="G4:G12" si="1">(E4*2 + F4*3)/5</f>
        <v>7.2</v>
      </c>
      <c r="H4" s="203" t="str" cm="1">
        <f t="array" ref="H4">_xlfn.IFS(AND(G4&gt;=0,G4&lt;5),"Kém",AND(G4&gt;=5,G4&lt;7),"Trung bình",AND(G4&gt;=7,G4&lt;8),"Khá",AND(G4&gt;=8,G4&lt;9),"Giỏi",G4&gt;=9,"Xuất sắc")</f>
        <v>Khá</v>
      </c>
      <c r="I4" s="203" t="str">
        <f t="shared" ref="I4:I12" si="2">IF(H4="Xuất sắc","Loại 1",IF(H4="Giỏi","Loại 2",IF(H4="Khá","Loại 3","")))</f>
        <v>Loại 3</v>
      </c>
      <c r="K4" s="101" t="s">
        <v>583</v>
      </c>
      <c r="L4" s="97" t="s">
        <v>584</v>
      </c>
    </row>
    <row r="5" spans="1:15" ht="21" customHeight="1" x14ac:dyDescent="0.3">
      <c r="A5" s="133">
        <v>3</v>
      </c>
      <c r="B5" s="202" t="s">
        <v>178</v>
      </c>
      <c r="C5" s="96" t="s">
        <v>585</v>
      </c>
      <c r="D5" s="133" t="str">
        <f t="shared" si="0"/>
        <v>Tiếng Nga</v>
      </c>
      <c r="E5" s="133">
        <v>8</v>
      </c>
      <c r="F5" s="133">
        <v>9</v>
      </c>
      <c r="G5" s="203">
        <f t="shared" si="1"/>
        <v>8.6</v>
      </c>
      <c r="H5" s="203" t="str" cm="1">
        <f t="array" ref="H5">_xlfn.IFS(AND(G5&gt;=0,G5&lt;5),"Kém",AND(G5&gt;=5,G5&lt;7),"Trung bình",AND(G5&gt;=7,G5&lt;8),"Khá",AND(G5&gt;=8,G5&lt;9),"Giỏi",G5&gt;=9,"Xuất sắc")</f>
        <v>Giỏi</v>
      </c>
      <c r="I5" s="203" t="str">
        <f t="shared" si="2"/>
        <v>Loại 2</v>
      </c>
      <c r="K5" s="101" t="s">
        <v>585</v>
      </c>
      <c r="L5" s="97" t="s">
        <v>586</v>
      </c>
    </row>
    <row r="6" spans="1:15" ht="21" customHeight="1" x14ac:dyDescent="0.3">
      <c r="A6" s="133">
        <v>4</v>
      </c>
      <c r="B6" s="202" t="s">
        <v>175</v>
      </c>
      <c r="C6" s="96" t="s">
        <v>582</v>
      </c>
      <c r="D6" s="133" t="str">
        <f t="shared" si="0"/>
        <v>Tiếng Italia</v>
      </c>
      <c r="E6" s="133">
        <v>9</v>
      </c>
      <c r="F6" s="133">
        <v>10</v>
      </c>
      <c r="G6" s="203">
        <f t="shared" si="1"/>
        <v>9.6</v>
      </c>
      <c r="H6" s="203" t="str" cm="1">
        <f t="array" ref="H6">_xlfn.IFS(AND(G6&gt;=0,G6&lt;5),"Kém",AND(G6&gt;=5,G6&lt;7),"Trung bình",AND(G6&gt;=7,G6&lt;8),"Khá",AND(G6&gt;=8,G6&lt;9),"Giỏi",G6&gt;=9,"Xuất sắc")</f>
        <v>Xuất sắc</v>
      </c>
      <c r="I6" s="203" t="str">
        <f t="shared" si="2"/>
        <v>Loại 1</v>
      </c>
      <c r="K6" s="101" t="s">
        <v>582</v>
      </c>
      <c r="L6" s="97" t="s">
        <v>587</v>
      </c>
    </row>
    <row r="7" spans="1:15" ht="21" customHeight="1" x14ac:dyDescent="0.3">
      <c r="A7" s="133">
        <v>5</v>
      </c>
      <c r="B7" s="202" t="s">
        <v>180</v>
      </c>
      <c r="C7" s="96" t="s">
        <v>580</v>
      </c>
      <c r="D7" s="133" t="str">
        <f t="shared" si="0"/>
        <v>Tiếng Anh</v>
      </c>
      <c r="E7" s="133">
        <v>5</v>
      </c>
      <c r="F7" s="133">
        <v>8</v>
      </c>
      <c r="G7" s="203">
        <f t="shared" si="1"/>
        <v>6.8</v>
      </c>
      <c r="H7" s="203" t="str" cm="1">
        <f t="array" ref="H7">_xlfn.IFS(AND(G7&gt;=0,G7&lt;5),"Kém",AND(G7&gt;=5,G7&lt;7),"Trung bình",AND(G7&gt;=7,G7&lt;8),"Khá",AND(G7&gt;=8,G7&lt;9),"Giỏi",G7&gt;=9,"Xuất sắc")</f>
        <v>Trung bình</v>
      </c>
      <c r="I7" s="203" t="str">
        <f t="shared" si="2"/>
        <v/>
      </c>
    </row>
    <row r="8" spans="1:15" ht="21" customHeight="1" x14ac:dyDescent="0.3">
      <c r="A8" s="133">
        <v>6</v>
      </c>
      <c r="B8" s="202" t="s">
        <v>181</v>
      </c>
      <c r="C8" s="96" t="s">
        <v>580</v>
      </c>
      <c r="D8" s="133" t="str">
        <f t="shared" si="0"/>
        <v>Tiếng Anh</v>
      </c>
      <c r="E8" s="133">
        <v>5</v>
      </c>
      <c r="F8" s="133">
        <v>4</v>
      </c>
      <c r="G8" s="203">
        <f t="shared" si="1"/>
        <v>4.4000000000000004</v>
      </c>
      <c r="H8" s="203" t="str" cm="1">
        <f t="array" ref="H8">_xlfn.IFS(AND(G8&gt;=0,G8&lt;5),"Kém",AND(G8&gt;=5,G8&lt;7),"Trung bình",AND(G8&gt;=7,G8&lt;8),"Khá",AND(G8&gt;=8,G8&lt;9),"Giỏi",G8&gt;=9,"Xuất sắc")</f>
        <v>Kém</v>
      </c>
      <c r="I8" s="203" t="str">
        <f t="shared" si="2"/>
        <v/>
      </c>
    </row>
    <row r="9" spans="1:15" ht="21" customHeight="1" x14ac:dyDescent="0.3">
      <c r="A9" s="133">
        <v>7</v>
      </c>
      <c r="B9" s="202" t="s">
        <v>182</v>
      </c>
      <c r="C9" s="96" t="s">
        <v>583</v>
      </c>
      <c r="D9" s="133" t="str">
        <f t="shared" si="0"/>
        <v>Tiếng Pháp</v>
      </c>
      <c r="E9" s="133">
        <v>9</v>
      </c>
      <c r="F9" s="133">
        <v>6</v>
      </c>
      <c r="G9" s="203">
        <f t="shared" si="1"/>
        <v>7.2</v>
      </c>
      <c r="H9" s="203" t="str" cm="1">
        <f t="array" ref="H9">_xlfn.IFS(AND(G9&gt;=0,G9&lt;5),"Kém",AND(G9&gt;=5,G9&lt;7),"Trung bình",AND(G9&gt;=7,G9&lt;8),"Khá",AND(G9&gt;=8,G9&lt;9),"Giỏi",G9&gt;=9,"Xuất sắc")</f>
        <v>Khá</v>
      </c>
      <c r="I9" s="203" t="str">
        <f t="shared" si="2"/>
        <v>Loại 3</v>
      </c>
      <c r="K9" s="204" t="s">
        <v>579</v>
      </c>
      <c r="L9" s="93" t="s">
        <v>132</v>
      </c>
    </row>
    <row r="10" spans="1:15" ht="21" customHeight="1" x14ac:dyDescent="0.3">
      <c r="A10" s="133">
        <v>8</v>
      </c>
      <c r="B10" s="202" t="s">
        <v>183</v>
      </c>
      <c r="C10" s="96" t="s">
        <v>585</v>
      </c>
      <c r="D10" s="133" t="str">
        <f t="shared" si="0"/>
        <v>Tiếng Nga</v>
      </c>
      <c r="E10" s="133">
        <v>4</v>
      </c>
      <c r="F10" s="133">
        <v>10</v>
      </c>
      <c r="G10" s="203">
        <f t="shared" si="1"/>
        <v>7.6</v>
      </c>
      <c r="H10" s="203" t="str" cm="1">
        <f t="array" ref="H10">_xlfn.IFS(AND(G10&gt;=0,G10&lt;5),"Kém",AND(G10&gt;=5,G10&lt;7),"Trung bình",AND(G10&gt;=7,G10&lt;8),"Khá",AND(G10&gt;=8,G10&lt;9),"Giỏi",G10&gt;=9,"Xuất sắc")</f>
        <v>Khá</v>
      </c>
      <c r="I10" s="203" t="str">
        <f t="shared" si="2"/>
        <v>Loại 3</v>
      </c>
      <c r="K10" s="202" t="s">
        <v>588</v>
      </c>
      <c r="L10" s="203">
        <f>COUNTIF($H$3:$H$12,K10)</f>
        <v>1</v>
      </c>
    </row>
    <row r="11" spans="1:15" ht="21" customHeight="1" x14ac:dyDescent="0.3">
      <c r="A11" s="133">
        <v>9</v>
      </c>
      <c r="B11" s="202" t="s">
        <v>113</v>
      </c>
      <c r="C11" s="96" t="s">
        <v>582</v>
      </c>
      <c r="D11" s="133" t="str">
        <f t="shared" si="0"/>
        <v>Tiếng Italia</v>
      </c>
      <c r="E11" s="133">
        <v>6</v>
      </c>
      <c r="F11" s="133">
        <v>7</v>
      </c>
      <c r="G11" s="203">
        <f t="shared" si="1"/>
        <v>6.6</v>
      </c>
      <c r="H11" s="203" t="str" cm="1">
        <f t="array" ref="H11">_xlfn.IFS(AND(G11&gt;=0,G11&lt;5),"Kém",AND(G11&gt;=5,G11&lt;7),"Trung bình",AND(G11&gt;=7,G11&lt;8),"Khá",AND(G11&gt;=8,G11&lt;9),"Giỏi",G11&gt;=9,"Xuất sắc")</f>
        <v>Trung bình</v>
      </c>
      <c r="I11" s="203" t="str">
        <f t="shared" si="2"/>
        <v/>
      </c>
      <c r="K11" s="202" t="s">
        <v>589</v>
      </c>
      <c r="L11" s="203">
        <f t="shared" ref="L11:L14" si="3">COUNTIF($H$3:$H$12,K11)</f>
        <v>3</v>
      </c>
    </row>
    <row r="12" spans="1:15" ht="21" customHeight="1" x14ac:dyDescent="0.3">
      <c r="A12" s="133">
        <v>10</v>
      </c>
      <c r="B12" s="202" t="s">
        <v>184</v>
      </c>
      <c r="C12" s="96" t="s">
        <v>580</v>
      </c>
      <c r="D12" s="133" t="str">
        <f t="shared" si="0"/>
        <v>Tiếng Anh</v>
      </c>
      <c r="E12" s="133">
        <v>10</v>
      </c>
      <c r="F12" s="133">
        <v>8</v>
      </c>
      <c r="G12" s="203">
        <f t="shared" si="1"/>
        <v>8.8000000000000007</v>
      </c>
      <c r="H12" s="203" t="str" cm="1">
        <f t="array" ref="H12">_xlfn.IFS(AND(G12&gt;=0,G12&lt;5),"Kém",AND(G12&gt;=5,G12&lt;7),"Trung bình",AND(G12&gt;=7,G12&lt;8),"Khá",AND(G12&gt;=8,G12&lt;9),"Giỏi",G12&gt;=9,"Xuất sắc")</f>
        <v>Giỏi</v>
      </c>
      <c r="I12" s="203" t="str">
        <f t="shared" si="2"/>
        <v>Loại 2</v>
      </c>
      <c r="K12" s="202" t="s">
        <v>590</v>
      </c>
      <c r="L12" s="203">
        <f t="shared" si="3"/>
        <v>3</v>
      </c>
    </row>
    <row r="13" spans="1:15" ht="18" customHeight="1" x14ac:dyDescent="0.3">
      <c r="K13" s="202" t="s">
        <v>591</v>
      </c>
      <c r="L13" s="203">
        <f t="shared" si="3"/>
        <v>2</v>
      </c>
    </row>
    <row r="14" spans="1:15" x14ac:dyDescent="0.3">
      <c r="K14" s="202" t="s">
        <v>592</v>
      </c>
      <c r="L14" s="203">
        <f t="shared" si="3"/>
        <v>1</v>
      </c>
    </row>
    <row r="16" spans="1:15" ht="27.6" x14ac:dyDescent="0.3">
      <c r="K16" s="198" t="s">
        <v>593</v>
      </c>
      <c r="L16" s="198" t="s">
        <v>594</v>
      </c>
      <c r="M16" s="198" t="s">
        <v>595</v>
      </c>
      <c r="N16" s="198" t="s">
        <v>596</v>
      </c>
      <c r="O16" s="198" t="s">
        <v>597</v>
      </c>
    </row>
    <row r="17" spans="11:15" x14ac:dyDescent="0.3">
      <c r="K17" s="96" t="s">
        <v>588</v>
      </c>
      <c r="L17" s="96" t="s">
        <v>589</v>
      </c>
      <c r="M17" s="96" t="s">
        <v>590</v>
      </c>
      <c r="N17" s="96" t="s">
        <v>591</v>
      </c>
      <c r="O17" s="96" t="s">
        <v>592</v>
      </c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71F6-004D-4003-AB3F-4F2B46087FF1}">
  <dimension ref="A1:S15"/>
  <sheetViews>
    <sheetView topLeftCell="A10" zoomScaleNormal="100" workbookViewId="0">
      <selection activeCell="H22" sqref="H22"/>
    </sheetView>
  </sheetViews>
  <sheetFormatPr defaultRowHeight="14.4" x14ac:dyDescent="0.3"/>
  <cols>
    <col min="4" max="4" width="12.5546875" customWidth="1"/>
    <col min="5" max="5" width="12.77734375" customWidth="1"/>
    <col min="6" max="6" width="14" customWidth="1"/>
    <col min="8" max="8" width="11.77734375" customWidth="1"/>
    <col min="11" max="11" width="12.21875" customWidth="1"/>
    <col min="12" max="12" width="12.44140625" customWidth="1"/>
  </cols>
  <sheetData>
    <row r="1" spans="1:19" x14ac:dyDescent="0.3">
      <c r="A1" s="283" t="s">
        <v>631</v>
      </c>
      <c r="B1" s="284"/>
      <c r="C1" s="284"/>
      <c r="D1" s="284"/>
      <c r="E1" s="284"/>
      <c r="F1" s="284"/>
      <c r="G1" s="284"/>
      <c r="H1" s="285"/>
    </row>
    <row r="2" spans="1:19" x14ac:dyDescent="0.3">
      <c r="A2" s="286"/>
      <c r="B2" s="287"/>
      <c r="C2" s="287"/>
      <c r="D2" s="287"/>
      <c r="E2" s="287"/>
      <c r="F2" s="287"/>
      <c r="G2" s="287"/>
      <c r="H2" s="288"/>
    </row>
    <row r="3" spans="1:19" ht="21" customHeight="1" x14ac:dyDescent="0.3">
      <c r="A3" s="27" t="s">
        <v>82</v>
      </c>
      <c r="B3" s="27" t="s">
        <v>97</v>
      </c>
      <c r="C3" s="27" t="s">
        <v>632</v>
      </c>
      <c r="D3" s="27" t="s">
        <v>633</v>
      </c>
      <c r="E3" s="27" t="s">
        <v>634</v>
      </c>
      <c r="F3" s="27" t="s">
        <v>635</v>
      </c>
      <c r="G3" s="27" t="s">
        <v>224</v>
      </c>
      <c r="H3" s="27" t="s">
        <v>636</v>
      </c>
      <c r="I3" s="175"/>
      <c r="J3" s="157" t="s">
        <v>220</v>
      </c>
      <c r="K3" s="27" t="s">
        <v>351</v>
      </c>
      <c r="L3" s="27" t="s">
        <v>637</v>
      </c>
      <c r="M3" s="27" t="s">
        <v>638</v>
      </c>
      <c r="O3" s="157" t="s">
        <v>220</v>
      </c>
      <c r="P3" s="27" t="s">
        <v>639</v>
      </c>
      <c r="R3" s="157" t="s">
        <v>220</v>
      </c>
      <c r="S3" s="27" t="s">
        <v>637</v>
      </c>
    </row>
    <row r="4" spans="1:19" ht="21" customHeight="1" x14ac:dyDescent="0.3">
      <c r="A4" s="159">
        <v>1</v>
      </c>
      <c r="B4" s="209" t="s">
        <v>640</v>
      </c>
      <c r="C4" s="159" t="s">
        <v>229</v>
      </c>
      <c r="D4" s="159">
        <v>50</v>
      </c>
      <c r="E4" s="159">
        <v>28</v>
      </c>
      <c r="F4" s="210">
        <f>VLOOKUP(C4,$O$4:$P$9,2,0)</f>
        <v>0</v>
      </c>
      <c r="G4" s="210">
        <f>IF(E4&gt;25,((E4-25)*2+25)*D4,E4*D4)</f>
        <v>1550</v>
      </c>
      <c r="H4" s="210">
        <f>G4+F4</f>
        <v>1550</v>
      </c>
      <c r="I4" s="175"/>
      <c r="J4" s="165" t="s">
        <v>234</v>
      </c>
      <c r="K4" s="165">
        <f>COUNTIF($C$4:$C$13,J4)</f>
        <v>2</v>
      </c>
      <c r="L4" s="165">
        <f>SUMIF($C$4:$C$13,J4,$H$4:$H$13)</f>
        <v>2179</v>
      </c>
      <c r="M4" s="211">
        <f>L4/K4</f>
        <v>1089.5</v>
      </c>
      <c r="O4" s="165" t="s">
        <v>229</v>
      </c>
      <c r="P4" s="165">
        <v>0</v>
      </c>
      <c r="R4" s="109" t="s">
        <v>229</v>
      </c>
      <c r="S4" s="212">
        <f>SUMIF($C$4:$C$13,R4,$H$4:$H$13)</f>
        <v>1550</v>
      </c>
    </row>
    <row r="5" spans="1:19" ht="21" customHeight="1" x14ac:dyDescent="0.3">
      <c r="A5" s="165">
        <v>2</v>
      </c>
      <c r="B5" s="209" t="s">
        <v>641</v>
      </c>
      <c r="C5" s="159" t="s">
        <v>231</v>
      </c>
      <c r="D5" s="159">
        <v>40</v>
      </c>
      <c r="E5" s="159">
        <v>25</v>
      </c>
      <c r="F5" s="210">
        <f t="shared" ref="F5:F13" si="0">VLOOKUP(C5,$O$4:$P$9,2,0)</f>
        <v>0</v>
      </c>
      <c r="G5" s="210">
        <f t="shared" ref="G5:G13" si="1">IF(E5&gt;25,((E5-25)*2+25)*D5,E5*D5)</f>
        <v>1000</v>
      </c>
      <c r="H5" s="210">
        <f t="shared" ref="H5:H13" si="2">G5+F5</f>
        <v>1000</v>
      </c>
      <c r="I5" s="175"/>
      <c r="J5" s="165" t="s">
        <v>642</v>
      </c>
      <c r="K5" s="165">
        <f t="shared" ref="K5:K7" si="3">COUNTIF($C$4:$C$13,J5)</f>
        <v>2</v>
      </c>
      <c r="L5" s="165">
        <f t="shared" ref="L5:L7" si="4">SUMIF($C$4:$C$13,J5,$H$4:$H$13)</f>
        <v>1764</v>
      </c>
      <c r="M5" s="211">
        <f t="shared" ref="M5:M7" si="5">L5/K5</f>
        <v>882</v>
      </c>
      <c r="O5" s="165" t="s">
        <v>231</v>
      </c>
      <c r="P5" s="165">
        <v>0</v>
      </c>
      <c r="R5" s="109" t="s">
        <v>231</v>
      </c>
      <c r="S5" s="212">
        <f t="shared" ref="S5:S9" si="6">SUMIF($C$4:$C$13,R5,$H$4:$H$13)</f>
        <v>1000</v>
      </c>
    </row>
    <row r="6" spans="1:19" ht="21" customHeight="1" x14ac:dyDescent="0.3">
      <c r="A6" s="165">
        <v>3</v>
      </c>
      <c r="B6" s="209" t="s">
        <v>643</v>
      </c>
      <c r="C6" s="159" t="s">
        <v>234</v>
      </c>
      <c r="D6" s="159">
        <v>35</v>
      </c>
      <c r="E6" s="159">
        <v>27</v>
      </c>
      <c r="F6" s="210">
        <f t="shared" si="0"/>
        <v>150</v>
      </c>
      <c r="G6" s="210">
        <f t="shared" si="1"/>
        <v>1015</v>
      </c>
      <c r="H6" s="210">
        <f t="shared" si="2"/>
        <v>1165</v>
      </c>
      <c r="I6" s="175"/>
      <c r="J6" s="165" t="s">
        <v>240</v>
      </c>
      <c r="K6" s="165">
        <f t="shared" si="3"/>
        <v>3</v>
      </c>
      <c r="L6" s="165">
        <f t="shared" si="4"/>
        <v>2330</v>
      </c>
      <c r="M6" s="211">
        <f t="shared" si="5"/>
        <v>776.66666666666663</v>
      </c>
      <c r="O6" s="165" t="s">
        <v>234</v>
      </c>
      <c r="P6" s="165">
        <v>150</v>
      </c>
      <c r="R6" s="165" t="s">
        <v>234</v>
      </c>
      <c r="S6" s="212">
        <f t="shared" si="6"/>
        <v>2179</v>
      </c>
    </row>
    <row r="7" spans="1:19" ht="21" customHeight="1" x14ac:dyDescent="0.3">
      <c r="A7" s="165">
        <v>4</v>
      </c>
      <c r="B7" s="209" t="s">
        <v>178</v>
      </c>
      <c r="C7" s="159" t="s">
        <v>642</v>
      </c>
      <c r="D7" s="159">
        <v>30</v>
      </c>
      <c r="E7" s="159">
        <v>24</v>
      </c>
      <c r="F7" s="210">
        <f t="shared" si="0"/>
        <v>200</v>
      </c>
      <c r="G7" s="210">
        <f t="shared" si="1"/>
        <v>720</v>
      </c>
      <c r="H7" s="210">
        <f t="shared" si="2"/>
        <v>920</v>
      </c>
      <c r="I7" s="175"/>
      <c r="J7" s="165" t="s">
        <v>644</v>
      </c>
      <c r="K7" s="165">
        <f t="shared" si="3"/>
        <v>1</v>
      </c>
      <c r="L7" s="165">
        <f t="shared" si="4"/>
        <v>865</v>
      </c>
      <c r="M7" s="211">
        <f t="shared" si="5"/>
        <v>865</v>
      </c>
      <c r="O7" s="165" t="s">
        <v>642</v>
      </c>
      <c r="P7" s="165">
        <v>200</v>
      </c>
      <c r="R7" s="165" t="s">
        <v>642</v>
      </c>
      <c r="S7" s="212">
        <f t="shared" si="6"/>
        <v>1764</v>
      </c>
    </row>
    <row r="8" spans="1:19" ht="21" customHeight="1" x14ac:dyDescent="0.3">
      <c r="A8" s="165">
        <v>5</v>
      </c>
      <c r="B8" s="209" t="s">
        <v>645</v>
      </c>
      <c r="C8" s="159" t="s">
        <v>240</v>
      </c>
      <c r="D8" s="159">
        <v>20</v>
      </c>
      <c r="E8" s="159">
        <v>25</v>
      </c>
      <c r="F8" s="210">
        <f t="shared" si="0"/>
        <v>250</v>
      </c>
      <c r="G8" s="210">
        <f t="shared" si="1"/>
        <v>500</v>
      </c>
      <c r="H8" s="210">
        <f t="shared" si="2"/>
        <v>750</v>
      </c>
      <c r="I8" s="175"/>
      <c r="J8" s="175"/>
      <c r="K8" s="175"/>
      <c r="L8" s="175"/>
      <c r="M8" s="175"/>
      <c r="O8" s="165" t="s">
        <v>240</v>
      </c>
      <c r="P8" s="165">
        <v>250</v>
      </c>
      <c r="R8" s="165" t="s">
        <v>240</v>
      </c>
      <c r="S8" s="212">
        <f t="shared" si="6"/>
        <v>2330</v>
      </c>
    </row>
    <row r="9" spans="1:19" ht="21" customHeight="1" x14ac:dyDescent="0.3">
      <c r="A9" s="165">
        <v>6</v>
      </c>
      <c r="B9" s="209" t="s">
        <v>641</v>
      </c>
      <c r="C9" s="159" t="s">
        <v>240</v>
      </c>
      <c r="D9" s="159">
        <v>20</v>
      </c>
      <c r="E9" s="159">
        <v>27</v>
      </c>
      <c r="F9" s="210">
        <f t="shared" si="0"/>
        <v>250</v>
      </c>
      <c r="G9" s="210">
        <f t="shared" si="1"/>
        <v>580</v>
      </c>
      <c r="H9" s="210">
        <f t="shared" si="2"/>
        <v>830</v>
      </c>
      <c r="I9" s="175"/>
      <c r="L9" s="175"/>
      <c r="M9" s="175"/>
      <c r="O9" s="165" t="s">
        <v>644</v>
      </c>
      <c r="P9" s="165">
        <v>400</v>
      </c>
      <c r="R9" s="165" t="s">
        <v>644</v>
      </c>
      <c r="S9" s="212">
        <f t="shared" si="6"/>
        <v>865</v>
      </c>
    </row>
    <row r="10" spans="1:19" ht="21" customHeight="1" x14ac:dyDescent="0.3">
      <c r="A10" s="165">
        <v>7</v>
      </c>
      <c r="B10" s="209" t="s">
        <v>646</v>
      </c>
      <c r="C10" s="159" t="s">
        <v>234</v>
      </c>
      <c r="D10" s="159">
        <v>32</v>
      </c>
      <c r="E10" s="159">
        <v>26</v>
      </c>
      <c r="F10" s="210">
        <f t="shared" si="0"/>
        <v>150</v>
      </c>
      <c r="G10" s="210">
        <f t="shared" si="1"/>
        <v>864</v>
      </c>
      <c r="H10" s="210">
        <f t="shared" si="2"/>
        <v>1014</v>
      </c>
      <c r="I10" s="175"/>
      <c r="L10" s="175"/>
      <c r="M10" s="175"/>
    </row>
    <row r="11" spans="1:19" ht="21" customHeight="1" x14ac:dyDescent="0.3">
      <c r="A11" s="165">
        <v>8</v>
      </c>
      <c r="B11" s="209" t="s">
        <v>647</v>
      </c>
      <c r="C11" s="159" t="s">
        <v>240</v>
      </c>
      <c r="D11" s="159">
        <v>20</v>
      </c>
      <c r="E11" s="159">
        <v>25</v>
      </c>
      <c r="F11" s="210">
        <f t="shared" si="0"/>
        <v>250</v>
      </c>
      <c r="G11" s="210">
        <f t="shared" si="1"/>
        <v>500</v>
      </c>
      <c r="H11" s="210">
        <f t="shared" si="2"/>
        <v>750</v>
      </c>
      <c r="I11" s="175"/>
      <c r="L11" s="175"/>
      <c r="M11" s="175"/>
    </row>
    <row r="12" spans="1:19" ht="21" customHeight="1" x14ac:dyDescent="0.3">
      <c r="A12" s="165">
        <v>9</v>
      </c>
      <c r="B12" s="209" t="s">
        <v>203</v>
      </c>
      <c r="C12" s="159" t="s">
        <v>642</v>
      </c>
      <c r="D12" s="159">
        <v>28</v>
      </c>
      <c r="E12" s="159">
        <v>23</v>
      </c>
      <c r="F12" s="210">
        <f t="shared" si="0"/>
        <v>200</v>
      </c>
      <c r="G12" s="210">
        <f t="shared" si="1"/>
        <v>644</v>
      </c>
      <c r="H12" s="210">
        <f t="shared" si="2"/>
        <v>844</v>
      </c>
      <c r="I12" s="175"/>
      <c r="L12" s="175"/>
      <c r="M12" s="175"/>
    </row>
    <row r="13" spans="1:19" ht="18" customHeight="1" x14ac:dyDescent="0.3">
      <c r="A13" s="165">
        <v>10</v>
      </c>
      <c r="B13" s="209" t="s">
        <v>648</v>
      </c>
      <c r="C13" s="159" t="s">
        <v>644</v>
      </c>
      <c r="D13" s="159">
        <v>15</v>
      </c>
      <c r="E13" s="159">
        <v>28</v>
      </c>
      <c r="F13" s="210">
        <f t="shared" si="0"/>
        <v>400</v>
      </c>
      <c r="G13" s="210">
        <f t="shared" si="1"/>
        <v>465</v>
      </c>
      <c r="H13" s="210">
        <f t="shared" si="2"/>
        <v>865</v>
      </c>
      <c r="I13" s="175"/>
      <c r="L13" s="175"/>
      <c r="M13" s="175"/>
    </row>
    <row r="14" spans="1:19" ht="15.6" x14ac:dyDescent="0.3">
      <c r="A14" s="175"/>
      <c r="B14" s="175"/>
      <c r="C14" s="175"/>
      <c r="D14" s="175"/>
      <c r="E14" s="175"/>
      <c r="F14" s="175"/>
      <c r="G14" s="175"/>
      <c r="H14" s="175"/>
      <c r="I14" s="175"/>
      <c r="L14" s="175"/>
      <c r="M14" s="175"/>
    </row>
    <row r="15" spans="1:19" ht="15.6" x14ac:dyDescent="0.3">
      <c r="A15" s="175"/>
      <c r="B15" s="175"/>
      <c r="E15" s="175"/>
      <c r="F15" s="175"/>
      <c r="G15" s="175"/>
      <c r="H15" s="175"/>
      <c r="I15" s="175"/>
      <c r="L15" s="175"/>
      <c r="M15" s="175"/>
    </row>
  </sheetData>
  <mergeCells count="1">
    <mergeCell ref="A1:H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4C-A49D-4FBC-9D7B-73AC9DED57ED}">
  <dimension ref="A1:L14"/>
  <sheetViews>
    <sheetView topLeftCell="A25" zoomScaleNormal="100" workbookViewId="0">
      <selection activeCell="O15" sqref="O15"/>
    </sheetView>
  </sheetViews>
  <sheetFormatPr defaultRowHeight="14.4" x14ac:dyDescent="0.3"/>
  <cols>
    <col min="4" max="4" width="12.5546875" customWidth="1"/>
    <col min="5" max="5" width="12.77734375" customWidth="1"/>
    <col min="6" max="6" width="14" customWidth="1"/>
    <col min="8" max="8" width="11.77734375" customWidth="1"/>
    <col min="11" max="11" width="12.21875" customWidth="1"/>
    <col min="12" max="12" width="12.44140625" customWidth="1"/>
  </cols>
  <sheetData>
    <row r="1" spans="1:12" x14ac:dyDescent="0.3">
      <c r="A1" s="283" t="s">
        <v>621</v>
      </c>
      <c r="B1" s="284"/>
      <c r="C1" s="284"/>
      <c r="D1" s="284"/>
      <c r="E1" s="284"/>
      <c r="F1" s="284"/>
      <c r="G1" s="284"/>
      <c r="H1" s="284"/>
      <c r="I1" s="285"/>
    </row>
    <row r="2" spans="1:12" x14ac:dyDescent="0.3">
      <c r="A2" s="286"/>
      <c r="B2" s="287"/>
      <c r="C2" s="287"/>
      <c r="D2" s="287"/>
      <c r="E2" s="287"/>
      <c r="F2" s="287"/>
      <c r="G2" s="287"/>
      <c r="H2" s="287"/>
      <c r="I2" s="288"/>
    </row>
    <row r="3" spans="1:12" ht="21" customHeight="1" x14ac:dyDescent="0.3">
      <c r="A3" s="93" t="s">
        <v>82</v>
      </c>
      <c r="B3" s="93" t="s">
        <v>97</v>
      </c>
      <c r="C3" s="93" t="s">
        <v>9</v>
      </c>
      <c r="D3" s="93" t="s">
        <v>161</v>
      </c>
      <c r="E3" s="93" t="s">
        <v>577</v>
      </c>
      <c r="F3" s="93" t="s">
        <v>622</v>
      </c>
      <c r="G3" s="93" t="s">
        <v>623</v>
      </c>
      <c r="H3" s="93" t="s">
        <v>579</v>
      </c>
      <c r="I3" s="93" t="s">
        <v>624</v>
      </c>
      <c r="K3" s="208" t="s">
        <v>623</v>
      </c>
      <c r="L3" s="208" t="s">
        <v>579</v>
      </c>
    </row>
    <row r="4" spans="1:12" ht="21" customHeight="1" x14ac:dyDescent="0.3">
      <c r="A4" s="133">
        <f>ROW()-3</f>
        <v>1</v>
      </c>
      <c r="B4" s="202" t="s">
        <v>172</v>
      </c>
      <c r="C4" s="202" t="s">
        <v>173</v>
      </c>
      <c r="D4" s="133">
        <v>4</v>
      </c>
      <c r="E4" s="133">
        <v>7</v>
      </c>
      <c r="F4" s="133" t="s">
        <v>337</v>
      </c>
      <c r="G4" s="203" cm="1">
        <f t="array" ref="G4">_xlfn.IFS(F4="A",E4+D4+1,F4="B",E4+D4+0.5,F4="C",E4+D4,F4="D",E4+D4-1)</f>
        <v>10</v>
      </c>
      <c r="H4" s="203" t="str" cm="1">
        <f t="array" ref="H4">_xlfn.IFS(G4&lt;10,"Kém",AND(G4&gt;=10,G4&lt;14),"Trung bình",AND(G4&gt;=14,G4&lt;17),"Khá",AND(G4&gt;=17,G4&lt;19),"Giỏi",G4&gt;=19,"Xuất sắc")</f>
        <v>Trung bình</v>
      </c>
      <c r="I4" s="203" t="str">
        <f>IF(AND(G4&gt;=14,E4&gt;=5,D4&gt;=5),"100 USD","")</f>
        <v/>
      </c>
      <c r="K4" s="96" t="s">
        <v>625</v>
      </c>
      <c r="L4" s="199" t="s">
        <v>588</v>
      </c>
    </row>
    <row r="5" spans="1:12" ht="21" customHeight="1" x14ac:dyDescent="0.3">
      <c r="A5" s="133">
        <f t="shared" ref="A5:A13" si="0">ROW()-3</f>
        <v>2</v>
      </c>
      <c r="B5" s="202" t="s">
        <v>175</v>
      </c>
      <c r="C5" s="202" t="s">
        <v>176</v>
      </c>
      <c r="D5" s="133">
        <v>6</v>
      </c>
      <c r="E5" s="133">
        <v>8</v>
      </c>
      <c r="F5" s="133" t="s">
        <v>328</v>
      </c>
      <c r="G5" s="203" cm="1">
        <f t="array" ref="G5">_xlfn.IFS(F5="A",E5+D5+1,F5="B",E5+D5+0.5,F5="C",E5+D5,F5="D",E5+D5-1)</f>
        <v>15</v>
      </c>
      <c r="H5" s="203" t="str" cm="1">
        <f t="array" ref="H5">_xlfn.IFS(G5&lt;10,"Kém",AND(G5&gt;=10,G5&lt;14),"Trung bình",AND(G5&gt;=14,G5&lt;17),"Khá",AND(G5&gt;=17,G5&lt;19),"Giỏi",G5&gt;=19,"Xuất sắc")</f>
        <v>Khá</v>
      </c>
      <c r="I5" s="203" t="str">
        <f t="shared" ref="I5:I13" si="1">IF(AND(G5&gt;=14,E5&gt;=5,D5&gt;=5),"100 USD","")</f>
        <v>100 USD</v>
      </c>
      <c r="K5" s="96" t="s">
        <v>626</v>
      </c>
      <c r="L5" s="199" t="s">
        <v>589</v>
      </c>
    </row>
    <row r="6" spans="1:12" ht="21" customHeight="1" x14ac:dyDescent="0.3">
      <c r="A6" s="133">
        <f t="shared" si="0"/>
        <v>3</v>
      </c>
      <c r="B6" s="202" t="s">
        <v>178</v>
      </c>
      <c r="C6" s="202" t="s">
        <v>176</v>
      </c>
      <c r="D6" s="133">
        <v>8</v>
      </c>
      <c r="E6" s="133">
        <v>9</v>
      </c>
      <c r="F6" s="133" t="s">
        <v>331</v>
      </c>
      <c r="G6" s="203" cm="1">
        <f t="array" ref="G6">_xlfn.IFS(F6="A",E6+D6+1,F6="B",E6+D6+0.5,F6="C",E6+D6,F6="D",E6+D6-1)</f>
        <v>17.5</v>
      </c>
      <c r="H6" s="203" t="str" cm="1">
        <f t="array" ref="H6">_xlfn.IFS(G6&lt;10,"Kém",AND(G6&gt;=10,G6&lt;14),"Trung bình",AND(G6&gt;=14,G6&lt;17),"Khá",AND(G6&gt;=17,G6&lt;19),"Giỏi",G6&gt;=19,"Xuất sắc")</f>
        <v>Giỏi</v>
      </c>
      <c r="I6" s="203" t="str">
        <f t="shared" si="1"/>
        <v>100 USD</v>
      </c>
      <c r="K6" s="96" t="s">
        <v>627</v>
      </c>
      <c r="L6" s="199" t="s">
        <v>590</v>
      </c>
    </row>
    <row r="7" spans="1:12" ht="21" customHeight="1" x14ac:dyDescent="0.3">
      <c r="A7" s="133">
        <f t="shared" si="0"/>
        <v>4</v>
      </c>
      <c r="B7" s="202" t="s">
        <v>175</v>
      </c>
      <c r="C7" s="202" t="s">
        <v>173</v>
      </c>
      <c r="D7" s="133">
        <v>9</v>
      </c>
      <c r="E7" s="133">
        <v>10</v>
      </c>
      <c r="F7" s="133" t="s">
        <v>328</v>
      </c>
      <c r="G7" s="203" cm="1">
        <f t="array" ref="G7">_xlfn.IFS(F7="A",E7+D7+1,F7="B",E7+D7+0.5,F7="C",E7+D7,F7="D",E7+D7-1)</f>
        <v>20</v>
      </c>
      <c r="H7" s="203" t="str" cm="1">
        <f t="array" ref="H7">_xlfn.IFS(G7&lt;10,"Kém",AND(G7&gt;=10,G7&lt;14),"Trung bình",AND(G7&gt;=14,G7&lt;17),"Khá",AND(G7&gt;=17,G7&lt;19),"Giỏi",G7&gt;=19,"Xuất sắc")</f>
        <v>Xuất sắc</v>
      </c>
      <c r="I7" s="203" t="str">
        <f t="shared" si="1"/>
        <v>100 USD</v>
      </c>
      <c r="K7" s="96" t="s">
        <v>628</v>
      </c>
      <c r="L7" s="199" t="s">
        <v>591</v>
      </c>
    </row>
    <row r="8" spans="1:12" ht="21" customHeight="1" x14ac:dyDescent="0.3">
      <c r="A8" s="133">
        <f t="shared" si="0"/>
        <v>5</v>
      </c>
      <c r="B8" s="202" t="s">
        <v>180</v>
      </c>
      <c r="C8" s="202" t="s">
        <v>173</v>
      </c>
      <c r="D8" s="133">
        <v>5</v>
      </c>
      <c r="E8" s="133">
        <v>8</v>
      </c>
      <c r="F8" s="133" t="s">
        <v>337</v>
      </c>
      <c r="G8" s="203" cm="1">
        <f t="array" ref="G8">_xlfn.IFS(F8="A",E8+D8+1,F8="B",E8+D8+0.5,F8="C",E8+D8,F8="D",E8+D8-1)</f>
        <v>12</v>
      </c>
      <c r="H8" s="203" t="str" cm="1">
        <f t="array" ref="H8">_xlfn.IFS(G8&lt;10,"Kém",AND(G8&gt;=10,G8&lt;14),"Trung bình",AND(G8&gt;=14,G8&lt;17),"Khá",AND(G8&gt;=17,G8&lt;19),"Giỏi",G8&gt;=19,"Xuất sắc")</f>
        <v>Trung bình</v>
      </c>
      <c r="I8" s="203" t="str">
        <f t="shared" si="1"/>
        <v/>
      </c>
      <c r="K8" s="96" t="s">
        <v>629</v>
      </c>
      <c r="L8" s="199" t="s">
        <v>592</v>
      </c>
    </row>
    <row r="9" spans="1:12" ht="21" customHeight="1" x14ac:dyDescent="0.3">
      <c r="A9" s="133">
        <f t="shared" si="0"/>
        <v>6</v>
      </c>
      <c r="B9" s="202" t="s">
        <v>181</v>
      </c>
      <c r="C9" s="202" t="s">
        <v>176</v>
      </c>
      <c r="D9" s="133">
        <v>5</v>
      </c>
      <c r="E9" s="133">
        <v>4</v>
      </c>
      <c r="F9" s="133" t="s">
        <v>334</v>
      </c>
      <c r="G9" s="203" cm="1">
        <f t="array" ref="G9">_xlfn.IFS(F9="A",E9+D9+1,F9="B",E9+D9+0.5,F9="C",E9+D9,F9="D",E9+D9-1)</f>
        <v>9</v>
      </c>
      <c r="H9" s="203" t="str" cm="1">
        <f t="array" ref="H9">_xlfn.IFS(G9&lt;10,"Kém",AND(G9&gt;=10,G9&lt;14),"Trung bình",AND(G9&gt;=14,G9&lt;17),"Khá",AND(G9&gt;=17,G9&lt;19),"Giỏi",G9&gt;=19,"Xuất sắc")</f>
        <v>Kém</v>
      </c>
      <c r="I9" s="203" t="str">
        <f t="shared" si="1"/>
        <v/>
      </c>
    </row>
    <row r="10" spans="1:12" ht="21" customHeight="1" x14ac:dyDescent="0.3">
      <c r="A10" s="133">
        <f t="shared" si="0"/>
        <v>7</v>
      </c>
      <c r="B10" s="202" t="s">
        <v>182</v>
      </c>
      <c r="C10" s="202" t="s">
        <v>173</v>
      </c>
      <c r="D10" s="133">
        <v>9</v>
      </c>
      <c r="E10" s="133">
        <v>6</v>
      </c>
      <c r="F10" s="133" t="s">
        <v>328</v>
      </c>
      <c r="G10" s="203" cm="1">
        <f t="array" ref="G10">_xlfn.IFS(F10="A",E10+D10+1,F10="B",E10+D10+0.5,F10="C",E10+D10,F10="D",E10+D10-1)</f>
        <v>16</v>
      </c>
      <c r="H10" s="203" t="str" cm="1">
        <f t="array" ref="H10">_xlfn.IFS(G10&lt;10,"Kém",AND(G10&gt;=10,G10&lt;14),"Trung bình",AND(G10&gt;=14,G10&lt;17),"Khá",AND(G10&gt;=17,G10&lt;19),"Giỏi",G10&gt;=19,"Xuất sắc")</f>
        <v>Khá</v>
      </c>
      <c r="I10" s="203" t="str">
        <f t="shared" si="1"/>
        <v>100 USD</v>
      </c>
      <c r="K10" s="208" t="s">
        <v>622</v>
      </c>
      <c r="L10" s="208" t="s">
        <v>630</v>
      </c>
    </row>
    <row r="11" spans="1:12" ht="21" customHeight="1" x14ac:dyDescent="0.3">
      <c r="A11" s="133">
        <f t="shared" si="0"/>
        <v>8</v>
      </c>
      <c r="B11" s="202" t="s">
        <v>183</v>
      </c>
      <c r="C11" s="202" t="s">
        <v>176</v>
      </c>
      <c r="D11" s="133">
        <v>4</v>
      </c>
      <c r="E11" s="133">
        <v>10</v>
      </c>
      <c r="F11" s="133" t="s">
        <v>331</v>
      </c>
      <c r="G11" s="203" cm="1">
        <f t="array" ref="G11">_xlfn.IFS(F11="A",E11+D11+1,F11="B",E11+D11+0.5,F11="C",E11+D11,F11="D",E11+D11-1)</f>
        <v>14.5</v>
      </c>
      <c r="H11" s="203" t="str" cm="1">
        <f t="array" ref="H11">_xlfn.IFS(G11&lt;10,"Kém",AND(G11&gt;=10,G11&lt;14),"Trung bình",AND(G11&gt;=14,G11&lt;17),"Khá",AND(G11&gt;=17,G11&lt;19),"Giỏi",G11&gt;=19,"Xuất sắc")</f>
        <v>Khá</v>
      </c>
      <c r="I11" s="203" t="str">
        <f t="shared" si="1"/>
        <v/>
      </c>
      <c r="K11" s="96" t="s">
        <v>328</v>
      </c>
      <c r="L11" s="96">
        <f>COUNTIF($F$4:$F$13,K11)</f>
        <v>3</v>
      </c>
    </row>
    <row r="12" spans="1:12" ht="21" customHeight="1" x14ac:dyDescent="0.3">
      <c r="A12" s="133">
        <f t="shared" si="0"/>
        <v>9</v>
      </c>
      <c r="B12" s="202" t="s">
        <v>113</v>
      </c>
      <c r="C12" s="202" t="s">
        <v>173</v>
      </c>
      <c r="D12" s="133">
        <v>6</v>
      </c>
      <c r="E12" s="133">
        <v>7</v>
      </c>
      <c r="F12" s="133" t="s">
        <v>334</v>
      </c>
      <c r="G12" s="203" cm="1">
        <f t="array" ref="G12">_xlfn.IFS(F12="A",E12+D12+1,F12="B",E12+D12+0.5,F12="C",E12+D12,F12="D",E12+D12-1)</f>
        <v>13</v>
      </c>
      <c r="H12" s="203" t="str" cm="1">
        <f t="array" ref="H12">_xlfn.IFS(G12&lt;10,"Kém",AND(G12&gt;=10,G12&lt;14),"Trung bình",AND(G12&gt;=14,G12&lt;17),"Khá",AND(G12&gt;=17,G12&lt;19),"Giỏi",G12&gt;=19,"Xuất sắc")</f>
        <v>Trung bình</v>
      </c>
      <c r="I12" s="203" t="str">
        <f t="shared" si="1"/>
        <v/>
      </c>
      <c r="K12" s="96" t="s">
        <v>331</v>
      </c>
      <c r="L12" s="96">
        <f t="shared" ref="L12:L14" si="2">COUNTIF($F$4:$F$13,K12)</f>
        <v>3</v>
      </c>
    </row>
    <row r="13" spans="1:12" ht="18" customHeight="1" x14ac:dyDescent="0.3">
      <c r="A13" s="133">
        <f t="shared" si="0"/>
        <v>10</v>
      </c>
      <c r="B13" s="202" t="s">
        <v>184</v>
      </c>
      <c r="C13" s="202" t="s">
        <v>176</v>
      </c>
      <c r="D13" s="133">
        <v>10</v>
      </c>
      <c r="E13" s="133">
        <v>8</v>
      </c>
      <c r="F13" s="133" t="s">
        <v>331</v>
      </c>
      <c r="G13" s="203" cm="1">
        <f t="array" ref="G13">_xlfn.IFS(F13="A",E13+D13+1,F13="B",E13+D13+0.5,F13="C",E13+D13,F13="D",E13+D13-1)</f>
        <v>18.5</v>
      </c>
      <c r="H13" s="203" t="str" cm="1">
        <f t="array" ref="H13">_xlfn.IFS(G13&lt;10,"Kém",AND(G13&gt;=10,G13&lt;14),"Trung bình",AND(G13&gt;=14,G13&lt;17),"Khá",AND(G13&gt;=17,G13&lt;19),"Giỏi",G13&gt;=19,"Xuất sắc")</f>
        <v>Giỏi</v>
      </c>
      <c r="I13" s="203" t="str">
        <f t="shared" si="1"/>
        <v>100 USD</v>
      </c>
      <c r="K13" s="96" t="s">
        <v>334</v>
      </c>
      <c r="L13" s="96">
        <f t="shared" si="2"/>
        <v>2</v>
      </c>
    </row>
    <row r="14" spans="1:12" x14ac:dyDescent="0.3">
      <c r="K14" s="96" t="s">
        <v>337</v>
      </c>
      <c r="L14" s="96">
        <f t="shared" si="2"/>
        <v>2</v>
      </c>
    </row>
  </sheetData>
  <mergeCells count="1">
    <mergeCell ref="A1:I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E0B4-1A4E-4839-A349-7EE83036D327}">
  <dimension ref="A1:N13"/>
  <sheetViews>
    <sheetView zoomScaleNormal="100" workbookViewId="0">
      <selection activeCell="B15" sqref="B15"/>
    </sheetView>
  </sheetViews>
  <sheetFormatPr defaultRowHeight="14.4" x14ac:dyDescent="0.3"/>
  <cols>
    <col min="1" max="1" width="11.33203125" customWidth="1"/>
    <col min="2" max="2" width="14.6640625" customWidth="1"/>
    <col min="4" max="4" width="12.5546875" customWidth="1"/>
    <col min="5" max="5" width="12.77734375" customWidth="1"/>
    <col min="6" max="6" width="14" customWidth="1"/>
    <col min="7" max="7" width="15.44140625" customWidth="1"/>
    <col min="8" max="8" width="12.21875" customWidth="1"/>
    <col min="10" max="10" width="13.33203125" customWidth="1"/>
    <col min="11" max="11" width="12.21875" customWidth="1"/>
    <col min="12" max="12" width="12.44140625" customWidth="1"/>
    <col min="13" max="13" width="11.33203125" customWidth="1"/>
    <col min="14" max="14" width="11.109375" customWidth="1"/>
  </cols>
  <sheetData>
    <row r="1" spans="1:14" x14ac:dyDescent="0.3">
      <c r="A1" s="283" t="s">
        <v>598</v>
      </c>
      <c r="B1" s="289"/>
      <c r="C1" s="289"/>
      <c r="D1" s="289"/>
      <c r="E1" s="289"/>
      <c r="F1" s="289"/>
      <c r="G1" s="289"/>
      <c r="H1" s="290"/>
    </row>
    <row r="2" spans="1:14" x14ac:dyDescent="0.3">
      <c r="A2" s="291"/>
      <c r="B2" s="292"/>
      <c r="C2" s="292"/>
      <c r="D2" s="292"/>
      <c r="E2" s="292"/>
      <c r="F2" s="292"/>
      <c r="G2" s="292"/>
      <c r="H2" s="293"/>
    </row>
    <row r="3" spans="1:14" ht="21" customHeight="1" x14ac:dyDescent="0.3">
      <c r="A3" s="26" t="s">
        <v>599</v>
      </c>
      <c r="B3" s="177" t="s">
        <v>149</v>
      </c>
      <c r="C3" s="27" t="s">
        <v>600</v>
      </c>
      <c r="D3" s="27" t="s">
        <v>132</v>
      </c>
      <c r="E3" s="27" t="s">
        <v>133</v>
      </c>
      <c r="F3" s="27" t="s">
        <v>134</v>
      </c>
      <c r="G3" s="27" t="s">
        <v>601</v>
      </c>
      <c r="H3" s="27" t="s">
        <v>602</v>
      </c>
      <c r="J3" s="26" t="s">
        <v>149</v>
      </c>
      <c r="K3" s="177" t="s">
        <v>603</v>
      </c>
      <c r="L3" s="177" t="s">
        <v>604</v>
      </c>
      <c r="M3" s="177" t="s">
        <v>605</v>
      </c>
      <c r="N3" s="177" t="s">
        <v>606</v>
      </c>
    </row>
    <row r="4" spans="1:14" ht="21" customHeight="1" x14ac:dyDescent="0.3">
      <c r="A4" s="205" t="s">
        <v>607</v>
      </c>
      <c r="B4" s="109" t="str">
        <f>VLOOKUP(LEFT(A4,2),$J$8:$K$11,2,0)</f>
        <v>Bánh ngọt</v>
      </c>
      <c r="C4" s="109" t="s">
        <v>608</v>
      </c>
      <c r="D4" s="109">
        <v>20</v>
      </c>
      <c r="E4" s="109">
        <f>VLOOKUP(LEFT(A4,2),$J$8:$L$11,3,0)</f>
        <v>80000</v>
      </c>
      <c r="F4" s="206">
        <f>IF(D4&gt;25,D4*E4*0.9,E4*D4)</f>
        <v>1600000</v>
      </c>
      <c r="G4" s="109">
        <f>VLOOKUP(LEFT(A4,2),$J$8:$M$11,4,0)</f>
        <v>1000</v>
      </c>
      <c r="H4" s="206">
        <f>F4+G4*D4</f>
        <v>1620000</v>
      </c>
      <c r="J4" s="109" t="s">
        <v>602</v>
      </c>
      <c r="K4" s="207">
        <f>SUMIF($B$4:$B$12,K3,$H$4:$H$12)</f>
        <v>8470000</v>
      </c>
      <c r="L4" s="207">
        <f t="shared" ref="L4:N4" si="0">SUMIF($B$4:$B$12,L3,$H$4:$H$12)</f>
        <v>2020000</v>
      </c>
      <c r="M4" s="207">
        <f t="shared" si="0"/>
        <v>1452000</v>
      </c>
      <c r="N4" s="207">
        <f t="shared" si="0"/>
        <v>7325500</v>
      </c>
    </row>
    <row r="5" spans="1:14" ht="21" customHeight="1" x14ac:dyDescent="0.3">
      <c r="A5" s="205" t="s">
        <v>607</v>
      </c>
      <c r="B5" s="109" t="str">
        <f>VLOOKUP(LEFT(A5,2),$J$8:$K$11,2,0)</f>
        <v>Bánh ngọt</v>
      </c>
      <c r="C5" s="109" t="s">
        <v>609</v>
      </c>
      <c r="D5" s="109">
        <v>15</v>
      </c>
      <c r="E5" s="109">
        <f>VLOOKUP(LEFT(A5,2),$J$8:$L$11,3,0)</f>
        <v>80000</v>
      </c>
      <c r="F5" s="206">
        <f t="shared" ref="F5:F12" si="1">IF(D5&gt;25,D5*E5*0.9,E5*D5)</f>
        <v>1200000</v>
      </c>
      <c r="G5" s="109">
        <f>VLOOKUP(LEFT(A5,2),$J$8:$M$11,4,0)</f>
        <v>1000</v>
      </c>
      <c r="H5" s="206">
        <f t="shared" ref="H5:H12" si="2">F5+G5*D5</f>
        <v>1215000</v>
      </c>
    </row>
    <row r="6" spans="1:14" ht="21" customHeight="1" x14ac:dyDescent="0.3">
      <c r="A6" s="205" t="s">
        <v>610</v>
      </c>
      <c r="B6" s="109" t="str">
        <f>VLOOKUP(LEFT(A6,2),$J$8:$K$11,2,0)</f>
        <v>Bánh ngọt</v>
      </c>
      <c r="C6" s="109" t="s">
        <v>608</v>
      </c>
      <c r="D6" s="109">
        <v>20</v>
      </c>
      <c r="E6" s="109">
        <f>VLOOKUP(LEFT(A6,2),$J$8:$L$11,3,0)</f>
        <v>80000</v>
      </c>
      <c r="F6" s="206">
        <f t="shared" si="1"/>
        <v>1600000</v>
      </c>
      <c r="G6" s="109">
        <f>VLOOKUP(LEFT(A6,2),$J$8:$M$11,4,0)</f>
        <v>1000</v>
      </c>
      <c r="H6" s="206">
        <f t="shared" si="2"/>
        <v>1620000</v>
      </c>
    </row>
    <row r="7" spans="1:14" ht="21" customHeight="1" x14ac:dyDescent="0.3">
      <c r="A7" s="205" t="s">
        <v>611</v>
      </c>
      <c r="B7" s="109" t="str">
        <f>VLOOKUP(LEFT(A7,2),$J$8:$K$11,2,0)</f>
        <v>Mứt</v>
      </c>
      <c r="C7" s="109" t="s">
        <v>609</v>
      </c>
      <c r="D7" s="109">
        <v>25</v>
      </c>
      <c r="E7" s="109">
        <f>VLOOKUP(LEFT(A7,2),$J$8:$L$11,3,0)</f>
        <v>50000</v>
      </c>
      <c r="F7" s="206">
        <f t="shared" si="1"/>
        <v>1250000</v>
      </c>
      <c r="G7" s="109">
        <f>VLOOKUP(LEFT(A7,2),$J$8:$M$11,4,0)</f>
        <v>500</v>
      </c>
      <c r="H7" s="206">
        <f t="shared" si="2"/>
        <v>1262500</v>
      </c>
      <c r="J7" s="194" t="s">
        <v>84</v>
      </c>
      <c r="K7" s="92" t="s">
        <v>149</v>
      </c>
      <c r="L7" s="94" t="s">
        <v>133</v>
      </c>
      <c r="M7" s="204" t="s">
        <v>601</v>
      </c>
    </row>
    <row r="8" spans="1:14" ht="21" customHeight="1" x14ac:dyDescent="0.3">
      <c r="A8" s="205" t="s">
        <v>612</v>
      </c>
      <c r="B8" s="109" t="str">
        <f>VLOOKUP(LEFT(A8,2),$J$8:$K$11,2,0)</f>
        <v>Bánh ngọt</v>
      </c>
      <c r="C8" s="109" t="s">
        <v>608</v>
      </c>
      <c r="D8" s="109">
        <v>55</v>
      </c>
      <c r="E8" s="109">
        <f>VLOOKUP(LEFT(A8,2),$J$8:$L$11,3,0)</f>
        <v>80000</v>
      </c>
      <c r="F8" s="206">
        <f t="shared" si="1"/>
        <v>3960000</v>
      </c>
      <c r="G8" s="109">
        <f>VLOOKUP(LEFT(A8,2),$J$8:$M$11,4,0)</f>
        <v>1000</v>
      </c>
      <c r="H8" s="206">
        <f t="shared" si="2"/>
        <v>4015000</v>
      </c>
      <c r="J8" s="97" t="s">
        <v>613</v>
      </c>
      <c r="K8" s="97" t="s">
        <v>603</v>
      </c>
      <c r="L8" s="101">
        <v>80000</v>
      </c>
      <c r="M8" s="96">
        <v>1000</v>
      </c>
    </row>
    <row r="9" spans="1:14" ht="21" customHeight="1" x14ac:dyDescent="0.3">
      <c r="A9" s="205" t="s">
        <v>614</v>
      </c>
      <c r="B9" s="109" t="str">
        <f>VLOOKUP(LEFT(A9,2),$J$8:$K$11,2,0)</f>
        <v>Trà</v>
      </c>
      <c r="C9" s="109" t="s">
        <v>609</v>
      </c>
      <c r="D9" s="109">
        <v>40</v>
      </c>
      <c r="E9" s="109">
        <f>VLOOKUP(LEFT(A9,2),$J$8:$L$11,3,0)</f>
        <v>40000</v>
      </c>
      <c r="F9" s="206">
        <f t="shared" si="1"/>
        <v>1440000</v>
      </c>
      <c r="G9" s="109">
        <f>VLOOKUP(LEFT(A9,2),$J$8:$M$11,4,0)</f>
        <v>300</v>
      </c>
      <c r="H9" s="206">
        <f t="shared" si="2"/>
        <v>1452000</v>
      </c>
      <c r="J9" s="97" t="s">
        <v>615</v>
      </c>
      <c r="K9" s="97" t="s">
        <v>604</v>
      </c>
      <c r="L9" s="101">
        <v>50000</v>
      </c>
      <c r="M9" s="96">
        <v>500</v>
      </c>
    </row>
    <row r="10" spans="1:14" ht="21" customHeight="1" x14ac:dyDescent="0.3">
      <c r="A10" s="205" t="s">
        <v>616</v>
      </c>
      <c r="B10" s="109" t="str">
        <f>VLOOKUP(LEFT(A10,2),$J$8:$K$11,2,0)</f>
        <v>Cà phê</v>
      </c>
      <c r="C10" s="109" t="s">
        <v>609</v>
      </c>
      <c r="D10" s="109">
        <v>35</v>
      </c>
      <c r="E10" s="109">
        <f>VLOOKUP(LEFT(A10,2),$J$8:$L$11,3,0)</f>
        <v>70000</v>
      </c>
      <c r="F10" s="206">
        <f t="shared" si="1"/>
        <v>2205000</v>
      </c>
      <c r="G10" s="109">
        <f>VLOOKUP(LEFT(A10,2),$J$8:$M$11,4,0)</f>
        <v>700</v>
      </c>
      <c r="H10" s="206">
        <f t="shared" si="2"/>
        <v>2229500</v>
      </c>
      <c r="J10" s="97" t="s">
        <v>617</v>
      </c>
      <c r="K10" s="97" t="s">
        <v>605</v>
      </c>
      <c r="L10" s="101">
        <v>40000</v>
      </c>
      <c r="M10" s="96">
        <v>300</v>
      </c>
    </row>
    <row r="11" spans="1:14" ht="21" customHeight="1" x14ac:dyDescent="0.3">
      <c r="A11" s="205" t="s">
        <v>618</v>
      </c>
      <c r="B11" s="109" t="str">
        <f>VLOOKUP(LEFT(A11,2),$J$8:$K$11,2,0)</f>
        <v>Cà phê</v>
      </c>
      <c r="C11" s="109" t="s">
        <v>609</v>
      </c>
      <c r="D11" s="109">
        <v>80</v>
      </c>
      <c r="E11" s="109">
        <f>VLOOKUP(LEFT(A11,2),$J$8:$L$11,3,0)</f>
        <v>70000</v>
      </c>
      <c r="F11" s="206">
        <f t="shared" si="1"/>
        <v>5040000</v>
      </c>
      <c r="G11" s="109">
        <f>VLOOKUP(LEFT(A11,2),$J$8:$M$11,4,0)</f>
        <v>700</v>
      </c>
      <c r="H11" s="206">
        <f t="shared" si="2"/>
        <v>5096000</v>
      </c>
      <c r="J11" s="97" t="s">
        <v>619</v>
      </c>
      <c r="K11" s="97" t="s">
        <v>606</v>
      </c>
      <c r="L11" s="101">
        <v>70000</v>
      </c>
      <c r="M11" s="96">
        <v>700</v>
      </c>
    </row>
    <row r="12" spans="1:14" ht="21" customHeight="1" x14ac:dyDescent="0.3">
      <c r="A12" s="205" t="s">
        <v>620</v>
      </c>
      <c r="B12" s="109" t="str">
        <f>VLOOKUP(LEFT(A12,2),$J$8:$K$11,2,0)</f>
        <v>Mứt</v>
      </c>
      <c r="C12" s="109" t="s">
        <v>608</v>
      </c>
      <c r="D12" s="109">
        <v>15</v>
      </c>
      <c r="E12" s="109">
        <f>VLOOKUP(LEFT(A12,2),$J$8:$L$11,3,0)</f>
        <v>50000</v>
      </c>
      <c r="F12" s="206">
        <f t="shared" si="1"/>
        <v>750000</v>
      </c>
      <c r="G12" s="109">
        <f>VLOOKUP(LEFT(A12,2),$J$8:$M$11,4,0)</f>
        <v>500</v>
      </c>
      <c r="H12" s="206">
        <f t="shared" si="2"/>
        <v>757500</v>
      </c>
    </row>
    <row r="13" spans="1:14" ht="18" customHeight="1" x14ac:dyDescent="0.3"/>
  </sheetData>
  <mergeCells count="1">
    <mergeCell ref="A1:H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385B80201B84293BF8E8B174DFFBD" ma:contentTypeVersion="2" ma:contentTypeDescription="Create a new document." ma:contentTypeScope="" ma:versionID="16d26e49814f594563255d01189066aa">
  <xsd:schema xmlns:xsd="http://www.w3.org/2001/XMLSchema" xmlns:xs="http://www.w3.org/2001/XMLSchema" xmlns:p="http://schemas.microsoft.com/office/2006/metadata/properties" xmlns:ns3="70f72310-99d1-4b31-8979-768279074b8a" targetNamespace="http://schemas.microsoft.com/office/2006/metadata/properties" ma:root="true" ma:fieldsID="e70af2c521abfc50daad37b21dd33030" ns3:_="">
    <xsd:import namespace="70f72310-99d1-4b31-8979-768279074b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72310-99d1-4b31-8979-768279074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3AFCC-AC6E-4424-AB6B-9D1288AF2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72310-99d1-4b31-8979-768279074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687252-89EA-4DEF-A7E4-2C80B039A2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2DE31-727E-49E8-A6FC-007D1937283B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70f72310-99d1-4b31-8979-768279074b8a"/>
    <ds:schemaRef ds:uri="http://purl.org/dc/dcmitype/"/>
    <ds:schemaRef ds:uri="http://purl.org/dc/terms/"/>
    <ds:schemaRef ds:uri="http://purl.org/dc/elements/1.1/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</vt:i4>
      </vt:variant>
    </vt:vector>
  </HeadingPairs>
  <TitlesOfParts>
    <vt:vector size="33" baseType="lpstr">
      <vt:lpstr>Bài 1</vt:lpstr>
      <vt:lpstr>Bài 2</vt:lpstr>
      <vt:lpstr>Bài 3</vt:lpstr>
      <vt:lpstr>Bai 3</vt:lpstr>
      <vt:lpstr>Bai 4</vt:lpstr>
      <vt:lpstr>Bai 5</vt:lpstr>
      <vt:lpstr>Bai 6</vt:lpstr>
      <vt:lpstr>Bai 7</vt:lpstr>
      <vt:lpstr>Bai 8</vt:lpstr>
      <vt:lpstr>Bai 9</vt:lpstr>
      <vt:lpstr>Bai 10</vt:lpstr>
      <vt:lpstr>Bai 11</vt:lpstr>
      <vt:lpstr>Bai 12</vt:lpstr>
      <vt:lpstr>Bai 13</vt:lpstr>
      <vt:lpstr>Bai 14</vt:lpstr>
      <vt:lpstr>Bai 15</vt:lpstr>
      <vt:lpstr>Bai 16</vt:lpstr>
      <vt:lpstr>Bài 17</vt:lpstr>
      <vt:lpstr>Bài 18</vt:lpstr>
      <vt:lpstr>Bài 19</vt:lpstr>
      <vt:lpstr>Bài 21</vt:lpstr>
      <vt:lpstr>Bài 22</vt:lpstr>
      <vt:lpstr>Bài 23</vt:lpstr>
      <vt:lpstr>Bài 24</vt:lpstr>
      <vt:lpstr>Bài 25</vt:lpstr>
      <vt:lpstr>Bài 26</vt:lpstr>
      <vt:lpstr>Bài 27</vt:lpstr>
      <vt:lpstr>Bài 28</vt:lpstr>
      <vt:lpstr>Bài 29</vt:lpstr>
      <vt:lpstr>Bai 30</vt:lpstr>
      <vt:lpstr>Bai 31</vt:lpstr>
      <vt:lpstr>'Bài 19'!Criteria</vt:lpstr>
      <vt:lpstr>'Bài 19'!Extract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 Trung</dc:creator>
  <cp:lastModifiedBy>Hai Do Trung</cp:lastModifiedBy>
  <dcterms:created xsi:type="dcterms:W3CDTF">2015-06-05T18:17:20Z</dcterms:created>
  <dcterms:modified xsi:type="dcterms:W3CDTF">2022-01-05T00:47:14Z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0x010100F84385B80201B84293BF8E8B174DFFBD</vt:lpwstr>
  </property>
</Properties>
</file>