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S:\Publications\Standard Notes\Final - SGS\CBP08537 -Hate Crime\Hate Crime 2021\"/>
    </mc:Choice>
  </mc:AlternateContent>
  <xr:revisionPtr revIDLastSave="0" documentId="13_ncr:1_{BE583099-48C3-4BFC-812F-F270FF82ABE3}" xr6:coauthVersionLast="46" xr6:coauthVersionMax="47" xr10:uidLastSave="{00000000-0000-0000-0000-000000000000}"/>
  <bookViews>
    <workbookView xWindow="-108" yWindow="-108" windowWidth="23256" windowHeight="12576" tabRatio="654" xr2:uid="{00000000-000D-0000-FFFF-FFFF00000000}"/>
  </bookViews>
  <sheets>
    <sheet name="Table 1" sheetId="11" r:id="rId1"/>
    <sheet name="Sheet1" sheetId="10" state="hidden" r:id="rId2"/>
    <sheet name="Table 2" sheetId="17" r:id="rId3"/>
    <sheet name="Table A1" sheetId="3" state="hidden" r:id="rId4"/>
    <sheet name="Table A2" sheetId="4" state="hidden" r:id="rId5"/>
    <sheet name="Table A3" sheetId="5" state="hidden" r:id="rId6"/>
    <sheet name="Table A4" sheetId="6" state="hidden" r:id="rId7"/>
    <sheet name="Table A5" sheetId="7" state="hidden" r:id="rId8"/>
    <sheet name="Table A6" sheetId="8" state="hidden" r:id="rId9"/>
    <sheet name="Table A7" sheetId="9" state="hidden" r:id="rId10"/>
    <sheet name="Table A8" sheetId="19" state="hidden" r:id="rId11"/>
    <sheet name="Table 3" sheetId="12" r:id="rId12"/>
    <sheet name="Table 4 " sheetId="14" r:id="rId13"/>
    <sheet name="Table B2" sheetId="13" state="hidden" r:id="rId14"/>
    <sheet name="Table 5" sheetId="15" r:id="rId15"/>
    <sheet name="Table 6" sheetId="16" r:id="rId16"/>
    <sheet name=" Table 7" sheetId="22" r:id="rId17"/>
    <sheet name="Table 8" sheetId="18" r:id="rId18"/>
    <sheet name="Table 9" sheetId="21" r:id="rId19"/>
    <sheet name="Table 10" sheetId="20" r:id="rId20"/>
  </sheets>
  <definedNames>
    <definedName name="HateCrime">'Table 1'!$V$8:$V$13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6" i="11" l="1"/>
  <c r="AW32" i="17" a="1"/>
  <c r="AW32" i="17" s="1"/>
  <c r="AX32" i="17" s="1"/>
  <c r="AR32" i="17" a="1"/>
  <c r="AR32" i="17" s="1"/>
  <c r="AW8" i="17"/>
  <c r="AX8" i="17" s="1"/>
  <c r="AW10" i="17"/>
  <c r="AX10" i="17" s="1"/>
  <c r="AW11" i="17"/>
  <c r="AX11" i="17" s="1"/>
  <c r="AW12" i="17"/>
  <c r="AX12" i="17" s="1"/>
  <c r="AW13" i="17"/>
  <c r="AX13" i="17" s="1"/>
  <c r="AW14" i="17"/>
  <c r="AX14" i="17" s="1"/>
  <c r="AW15" i="17"/>
  <c r="AX15" i="17" s="1"/>
  <c r="AW16" i="17"/>
  <c r="AX16" i="17" s="1"/>
  <c r="AW17" i="17"/>
  <c r="AX17" i="17" s="1"/>
  <c r="AW18" i="17"/>
  <c r="AX18" i="17" s="1"/>
  <c r="AW19" i="17"/>
  <c r="AX19" i="17" s="1"/>
  <c r="AW20" i="17"/>
  <c r="AX20" i="17" s="1"/>
  <c r="AW21" i="17"/>
  <c r="AX21" i="17" s="1"/>
  <c r="AW22" i="17"/>
  <c r="AX22" i="17" s="1"/>
  <c r="AW23" i="17"/>
  <c r="AX23" i="17" s="1"/>
  <c r="AW24" i="17"/>
  <c r="AX24" i="17" s="1"/>
  <c r="AW25" i="17"/>
  <c r="AX25" i="17" s="1"/>
  <c r="AW26" i="17"/>
  <c r="AX26" i="17" s="1"/>
  <c r="AW27" i="17"/>
  <c r="AX27" i="17" s="1"/>
  <c r="AW28" i="17"/>
  <c r="AX28" i="17" s="1"/>
  <c r="AW29" i="17"/>
  <c r="AX29" i="17" s="1"/>
  <c r="AW30" i="17"/>
  <c r="AX30" i="17" s="1"/>
  <c r="AW31" i="17"/>
  <c r="AX31" i="17" s="1"/>
  <c r="AW33" i="17"/>
  <c r="AX33" i="17" s="1"/>
  <c r="AW34" i="17"/>
  <c r="AX34" i="17" s="1"/>
  <c r="AW35" i="17"/>
  <c r="AX35" i="17" s="1"/>
  <c r="AW36" i="17"/>
  <c r="AX36" i="17" s="1"/>
  <c r="AW37" i="17"/>
  <c r="AX37" i="17" s="1"/>
  <c r="AW38" i="17"/>
  <c r="AX38" i="17" s="1"/>
  <c r="AW39" i="17"/>
  <c r="AX39" i="17" s="1"/>
  <c r="AW40" i="17"/>
  <c r="AX40" i="17" s="1"/>
  <c r="AW41" i="17"/>
  <c r="AX41" i="17" s="1"/>
  <c r="AW42" i="17"/>
  <c r="AX42" i="17" s="1"/>
  <c r="AW43" i="17"/>
  <c r="AX43" i="17" s="1"/>
  <c r="AW44" i="17"/>
  <c r="AX44" i="17" s="1"/>
  <c r="AW45" i="17"/>
  <c r="AX45" i="17" s="1"/>
  <c r="AW46" i="17"/>
  <c r="AX46" i="17" s="1"/>
  <c r="AW47" i="17"/>
  <c r="AX47" i="17" s="1"/>
  <c r="AW48" i="17"/>
  <c r="AX48" i="17" s="1"/>
  <c r="AW49" i="17"/>
  <c r="AX49" i="17" s="1"/>
  <c r="AW50" i="17"/>
  <c r="AX50" i="17" s="1"/>
  <c r="AW9" i="17"/>
  <c r="AX9" i="17" s="1"/>
  <c r="AR9" i="17"/>
  <c r="AY35" i="17" l="1"/>
  <c r="AY26" i="17"/>
  <c r="AY36" i="17"/>
  <c r="AY27" i="17"/>
  <c r="AY50" i="17"/>
  <c r="AY38" i="17"/>
  <c r="AY25" i="17"/>
  <c r="AY13" i="17"/>
  <c r="AY21" i="17"/>
  <c r="AY49" i="17"/>
  <c r="AY37" i="17"/>
  <c r="AY24" i="17"/>
  <c r="AY12" i="17"/>
  <c r="AY45" i="17"/>
  <c r="AY10" i="17"/>
  <c r="AY48" i="17"/>
  <c r="AY23" i="17"/>
  <c r="AY47" i="17"/>
  <c r="AY22" i="17"/>
  <c r="AY46" i="17"/>
  <c r="AY34" i="17"/>
  <c r="AY15" i="17"/>
  <c r="AY20" i="17"/>
  <c r="AY31" i="17"/>
  <c r="AY30" i="17"/>
  <c r="AY41" i="17"/>
  <c r="AY44" i="17"/>
  <c r="AY42" i="17"/>
  <c r="AY18" i="17"/>
  <c r="AY40" i="17"/>
  <c r="AY28" i="17"/>
  <c r="AY16" i="17"/>
  <c r="AY39" i="17"/>
  <c r="AY14" i="17"/>
  <c r="AY11" i="17"/>
  <c r="AY33" i="17"/>
  <c r="AY32" i="17"/>
  <c r="AY43" i="17"/>
  <c r="AY19" i="17"/>
  <c r="AY29" i="17"/>
  <c r="AY17" i="17"/>
  <c r="AY9" i="17"/>
  <c r="L9" i="11" l="1"/>
  <c r="L10" i="11"/>
  <c r="L11" i="11"/>
  <c r="L12" i="11"/>
  <c r="L13" i="11"/>
  <c r="L14" i="11"/>
  <c r="L15" i="11"/>
  <c r="L16" i="11"/>
  <c r="L17" i="11"/>
  <c r="L18" i="11"/>
  <c r="L19" i="11"/>
  <c r="L20" i="11"/>
  <c r="L21" i="11"/>
  <c r="L22" i="11"/>
  <c r="L23" i="11"/>
  <c r="L24" i="11"/>
  <c r="L25" i="11"/>
  <c r="L26" i="11"/>
  <c r="L27" i="11"/>
  <c r="L28" i="11"/>
  <c r="L29" i="11"/>
  <c r="L30" i="11"/>
  <c r="L31" i="11"/>
  <c r="L32" i="11"/>
  <c r="L33" i="11"/>
  <c r="L34" i="11"/>
  <c r="L35" i="11"/>
  <c r="L36" i="11"/>
  <c r="L37" i="11"/>
  <c r="L38" i="11"/>
  <c r="L39" i="11"/>
  <c r="L40" i="11"/>
  <c r="L41" i="11"/>
  <c r="L42" i="11"/>
  <c r="L43" i="11"/>
  <c r="L44" i="11"/>
  <c r="L45" i="11"/>
  <c r="L46" i="11"/>
  <c r="L48" i="11"/>
  <c r="L49" i="11"/>
  <c r="L50" i="11"/>
  <c r="L51" i="11"/>
  <c r="L54" i="11"/>
  <c r="L8" i="11"/>
  <c r="L47" i="11" l="1"/>
  <c r="L52" i="11"/>
  <c r="Q24" i="18"/>
  <c r="H8" i="18"/>
  <c r="H9" i="18"/>
  <c r="H10" i="18"/>
  <c r="H11" i="18"/>
  <c r="H12" i="18"/>
  <c r="H13" i="18"/>
  <c r="H14" i="18"/>
  <c r="H15" i="18"/>
  <c r="H16" i="18"/>
  <c r="H17" i="18"/>
  <c r="H18" i="18"/>
  <c r="H19" i="18"/>
  <c r="H20" i="18"/>
  <c r="H21" i="18"/>
  <c r="H22" i="18"/>
  <c r="H23" i="18"/>
  <c r="H24" i="18"/>
  <c r="H25" i="18"/>
  <c r="H26" i="18"/>
  <c r="H27" i="18"/>
  <c r="H28" i="18"/>
  <c r="H29" i="18"/>
  <c r="H30" i="18"/>
  <c r="H31" i="18"/>
  <c r="H32" i="18"/>
  <c r="H33" i="18"/>
  <c r="H35" i="18"/>
  <c r="H36" i="18"/>
  <c r="H37" i="18"/>
  <c r="H38" i="18"/>
  <c r="H39" i="18"/>
  <c r="H40" i="18"/>
  <c r="H41" i="18"/>
  <c r="H42" i="18"/>
  <c r="H43" i="18"/>
  <c r="H44" i="18"/>
  <c r="H45" i="18"/>
  <c r="H46" i="18"/>
  <c r="H47" i="18"/>
  <c r="H48" i="18"/>
  <c r="H49" i="18"/>
  <c r="H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5" i="18"/>
  <c r="G36" i="18"/>
  <c r="G37" i="18"/>
  <c r="G38" i="18"/>
  <c r="G39" i="18"/>
  <c r="G40" i="18"/>
  <c r="G41" i="18"/>
  <c r="G42" i="18"/>
  <c r="G43" i="18"/>
  <c r="G44" i="18"/>
  <c r="G45" i="18"/>
  <c r="G46" i="18"/>
  <c r="G47" i="18"/>
  <c r="G48" i="18"/>
  <c r="G49" i="18"/>
  <c r="G7" i="18"/>
  <c r="P9" i="18"/>
  <c r="P10" i="18"/>
  <c r="P11" i="18"/>
  <c r="P12" i="18"/>
  <c r="P13" i="18"/>
  <c r="P14" i="18"/>
  <c r="P15" i="18"/>
  <c r="P16" i="18"/>
  <c r="P17" i="18"/>
  <c r="P18" i="18"/>
  <c r="P19" i="18"/>
  <c r="P20" i="18"/>
  <c r="P21" i="18"/>
  <c r="P22" i="18"/>
  <c r="P23" i="18"/>
  <c r="P24" i="18"/>
  <c r="P25" i="18"/>
  <c r="P26" i="18"/>
  <c r="P27" i="18"/>
  <c r="P28" i="18"/>
  <c r="P29" i="18"/>
  <c r="P30" i="18"/>
  <c r="P31" i="18"/>
  <c r="P32" i="18"/>
  <c r="P33" i="18"/>
  <c r="P34" i="18"/>
  <c r="P35" i="18"/>
  <c r="P36" i="18"/>
  <c r="P37" i="18"/>
  <c r="P38" i="18"/>
  <c r="P39" i="18"/>
  <c r="P40" i="18"/>
  <c r="P41" i="18"/>
  <c r="P42" i="18"/>
  <c r="P43" i="18"/>
  <c r="P44" i="18"/>
  <c r="P45" i="18"/>
  <c r="P46" i="18"/>
  <c r="P47" i="18"/>
  <c r="P48" i="18"/>
  <c r="P49" i="18"/>
  <c r="P7" i="18"/>
  <c r="O9" i="18"/>
  <c r="O10" i="18"/>
  <c r="O11" i="18"/>
  <c r="O12" i="18"/>
  <c r="O13" i="18"/>
  <c r="O14" i="18"/>
  <c r="O15" i="18"/>
  <c r="O16" i="18"/>
  <c r="O17" i="18"/>
  <c r="O18" i="18"/>
  <c r="O19" i="18"/>
  <c r="O20" i="18"/>
  <c r="O21" i="18"/>
  <c r="O22" i="18"/>
  <c r="O23" i="18"/>
  <c r="O24" i="18"/>
  <c r="O25" i="18"/>
  <c r="O26" i="18"/>
  <c r="O27" i="18"/>
  <c r="O28" i="18"/>
  <c r="O29" i="18"/>
  <c r="O30" i="18"/>
  <c r="O31" i="18"/>
  <c r="O32" i="18"/>
  <c r="O33" i="18"/>
  <c r="O34" i="18"/>
  <c r="O35" i="18"/>
  <c r="O36" i="18"/>
  <c r="O37" i="18"/>
  <c r="O38" i="18"/>
  <c r="O39" i="18"/>
  <c r="O40" i="18"/>
  <c r="O41" i="18"/>
  <c r="O42" i="18"/>
  <c r="O43" i="18"/>
  <c r="O44" i="18"/>
  <c r="O45" i="18"/>
  <c r="O46" i="18"/>
  <c r="O47" i="18"/>
  <c r="O48" i="18"/>
  <c r="O49" i="18"/>
  <c r="O7" i="18"/>
  <c r="S7" i="18"/>
  <c r="T7" i="18"/>
  <c r="T8" i="18"/>
  <c r="T9" i="18"/>
  <c r="T10" i="18"/>
  <c r="T11" i="18"/>
  <c r="T12" i="18"/>
  <c r="T13" i="18"/>
  <c r="T14" i="18"/>
  <c r="T15" i="18"/>
  <c r="T16" i="18"/>
  <c r="T17" i="18"/>
  <c r="T18" i="18"/>
  <c r="T19" i="18"/>
  <c r="T20" i="18"/>
  <c r="T21" i="18"/>
  <c r="T22" i="18"/>
  <c r="T23" i="18"/>
  <c r="T24" i="18"/>
  <c r="T25" i="18"/>
  <c r="T26" i="18"/>
  <c r="T27" i="18"/>
  <c r="T28" i="18"/>
  <c r="T29" i="18"/>
  <c r="T30" i="18"/>
  <c r="T31" i="18"/>
  <c r="T32" i="18"/>
  <c r="T33" i="18"/>
  <c r="T34" i="18"/>
  <c r="T35" i="18"/>
  <c r="T36" i="18"/>
  <c r="T3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L53" i="11" l="1"/>
  <c r="I22" i="15"/>
  <c r="I8" i="15"/>
  <c r="I6" i="15"/>
  <c r="I7" i="15"/>
  <c r="I9" i="15"/>
  <c r="I10" i="15"/>
  <c r="I11" i="15"/>
  <c r="I12" i="15"/>
  <c r="I13" i="15"/>
  <c r="I14" i="15"/>
  <c r="I15" i="15"/>
  <c r="I16" i="15"/>
  <c r="I17" i="15"/>
  <c r="I18" i="15"/>
  <c r="I19" i="15"/>
  <c r="I20" i="15"/>
  <c r="I21" i="15"/>
  <c r="I23" i="15"/>
  <c r="I24" i="15"/>
  <c r="I25" i="15"/>
  <c r="I26" i="15"/>
  <c r="I27" i="15"/>
  <c r="I28" i="15"/>
  <c r="I29" i="15"/>
  <c r="I30" i="15"/>
  <c r="I31" i="15"/>
  <c r="I32" i="15"/>
  <c r="I33" i="15"/>
  <c r="I34" i="15"/>
  <c r="I35" i="15"/>
  <c r="I36" i="15"/>
  <c r="I37" i="15"/>
  <c r="D37" i="20"/>
  <c r="E37" i="20"/>
  <c r="F37" i="20"/>
  <c r="G37" i="20"/>
  <c r="H37" i="20"/>
  <c r="I37" i="20"/>
  <c r="C37" i="20"/>
  <c r="D35" i="20"/>
  <c r="E35" i="20"/>
  <c r="F35" i="20"/>
  <c r="G35" i="20"/>
  <c r="H35" i="20"/>
  <c r="I35" i="20"/>
  <c r="C35" i="20"/>
  <c r="D21" i="20"/>
  <c r="E21" i="20"/>
  <c r="F21" i="20"/>
  <c r="G21" i="20"/>
  <c r="H21" i="20"/>
  <c r="C21" i="20"/>
  <c r="D19" i="20"/>
  <c r="E19" i="20"/>
  <c r="F19" i="20"/>
  <c r="G19" i="20"/>
  <c r="H19" i="20"/>
  <c r="C19" i="20"/>
  <c r="A68" i="22"/>
  <c r="P16" i="16"/>
  <c r="P17" i="16"/>
  <c r="P18" i="16"/>
  <c r="P19" i="16"/>
  <c r="P20" i="16"/>
  <c r="P15" i="16"/>
  <c r="P12" i="16"/>
  <c r="E69" i="12"/>
  <c r="E70" i="12"/>
  <c r="E71" i="12"/>
  <c r="E72" i="12"/>
  <c r="E73" i="12"/>
  <c r="E74" i="12"/>
  <c r="E75" i="12"/>
  <c r="E76" i="12"/>
  <c r="D69" i="12"/>
  <c r="D70" i="12"/>
  <c r="D71" i="12"/>
  <c r="D72" i="12"/>
  <c r="D73" i="12"/>
  <c r="D74" i="12"/>
  <c r="D75" i="12"/>
  <c r="D76" i="12"/>
  <c r="L55" i="11" l="1"/>
  <c r="I64" i="22"/>
  <c r="G64" i="22"/>
  <c r="D64" i="22"/>
  <c r="H64" i="22" s="1"/>
  <c r="I63" i="22"/>
  <c r="H63" i="22"/>
  <c r="G63" i="22"/>
  <c r="I62" i="22"/>
  <c r="H62" i="22"/>
  <c r="G62" i="22"/>
  <c r="H61" i="22"/>
  <c r="G61" i="22"/>
  <c r="H60" i="22"/>
  <c r="G60" i="22"/>
  <c r="H59" i="22"/>
  <c r="G59" i="22"/>
  <c r="H58" i="22"/>
  <c r="G58" i="22"/>
  <c r="H57" i="22"/>
  <c r="G57" i="22"/>
  <c r="H56" i="22"/>
  <c r="G56" i="22"/>
  <c r="I52" i="22"/>
  <c r="H52" i="22"/>
  <c r="G52" i="22"/>
  <c r="D52" i="22"/>
  <c r="E51" i="22"/>
  <c r="I51" i="22" s="1"/>
  <c r="E50" i="22"/>
  <c r="H50" i="22" s="1"/>
  <c r="E49" i="22"/>
  <c r="H49" i="22" s="1"/>
  <c r="E48" i="22"/>
  <c r="I48" i="22" s="1"/>
  <c r="E47" i="22"/>
  <c r="G47" i="22" s="1"/>
  <c r="E46" i="22"/>
  <c r="I46" i="22" s="1"/>
  <c r="E45" i="22"/>
  <c r="G45" i="22" s="1"/>
  <c r="E44" i="22"/>
  <c r="G44" i="22" s="1"/>
  <c r="I40" i="22"/>
  <c r="H40" i="22"/>
  <c r="G40" i="22"/>
  <c r="D40" i="22"/>
  <c r="E39" i="22"/>
  <c r="E38" i="22"/>
  <c r="E37" i="22"/>
  <c r="G37" i="22" s="1"/>
  <c r="E36" i="22"/>
  <c r="E35" i="22"/>
  <c r="G35" i="22" s="1"/>
  <c r="E34" i="22"/>
  <c r="G34" i="22" s="1"/>
  <c r="E33" i="22"/>
  <c r="I33" i="22" s="1"/>
  <c r="E32" i="22"/>
  <c r="H32" i="22" s="1"/>
  <c r="I28" i="22"/>
  <c r="H28" i="22"/>
  <c r="G28" i="22"/>
  <c r="D28" i="22"/>
  <c r="E27" i="22"/>
  <c r="G27" i="22" s="1"/>
  <c r="E26" i="22"/>
  <c r="I27" i="22" s="1"/>
  <c r="I25" i="22"/>
  <c r="H25" i="22"/>
  <c r="E25" i="22"/>
  <c r="G25" i="22" s="1"/>
  <c r="E24" i="22"/>
  <c r="G24" i="22" s="1"/>
  <c r="E23" i="22"/>
  <c r="I24" i="22" s="1"/>
  <c r="I22" i="22"/>
  <c r="H22" i="22"/>
  <c r="G22" i="22"/>
  <c r="E22" i="22"/>
  <c r="E21" i="22"/>
  <c r="G21" i="22" s="1"/>
  <c r="E20" i="22"/>
  <c r="H20" i="22" s="1"/>
  <c r="I16" i="22"/>
  <c r="G16" i="22"/>
  <c r="D16" i="22"/>
  <c r="H16" i="22" s="1"/>
  <c r="E15" i="22"/>
  <c r="I15" i="22" s="1"/>
  <c r="E14" i="22"/>
  <c r="G14" i="22" s="1"/>
  <c r="E13" i="22"/>
  <c r="H13" i="22" s="1"/>
  <c r="I12" i="22"/>
  <c r="E12" i="22"/>
  <c r="H12" i="22" s="1"/>
  <c r="E11" i="22"/>
  <c r="H11" i="22" s="1"/>
  <c r="E10" i="22"/>
  <c r="I10" i="22" s="1"/>
  <c r="I9" i="22"/>
  <c r="H9" i="22"/>
  <c r="E9" i="22"/>
  <c r="G9" i="22" s="1"/>
  <c r="E8" i="22"/>
  <c r="H8" i="22" s="1"/>
  <c r="H37" i="22" l="1"/>
  <c r="I37" i="22"/>
  <c r="G10" i="22"/>
  <c r="H27" i="22"/>
  <c r="H34" i="22"/>
  <c r="I39" i="22"/>
  <c r="G46" i="22"/>
  <c r="I49" i="22"/>
  <c r="G15" i="22"/>
  <c r="H21" i="22"/>
  <c r="H24" i="22"/>
  <c r="I34" i="22"/>
  <c r="H46" i="22"/>
  <c r="G13" i="22"/>
  <c r="G49" i="22"/>
  <c r="I38" i="22"/>
  <c r="G12" i="22"/>
  <c r="H15" i="22"/>
  <c r="I21" i="22"/>
  <c r="I36" i="22"/>
  <c r="H10" i="22"/>
  <c r="I13" i="22"/>
  <c r="G38" i="22"/>
  <c r="G26" i="22"/>
  <c r="H35" i="22"/>
  <c r="H44" i="22"/>
  <c r="I47" i="22"/>
  <c r="I50" i="22"/>
  <c r="G11" i="22"/>
  <c r="G20" i="22"/>
  <c r="H26" i="22"/>
  <c r="I35" i="22"/>
  <c r="G8" i="22"/>
  <c r="H14" i="22"/>
  <c r="I23" i="22"/>
  <c r="I26" i="22"/>
  <c r="G48" i="22"/>
  <c r="G51" i="22"/>
  <c r="I11" i="22"/>
  <c r="I14" i="22"/>
  <c r="G33" i="22"/>
  <c r="G36" i="22"/>
  <c r="G39" i="22"/>
  <c r="H45" i="22"/>
  <c r="H48" i="22"/>
  <c r="H51" i="22"/>
  <c r="H33" i="22"/>
  <c r="H36" i="22"/>
  <c r="H39" i="22"/>
  <c r="I45" i="22"/>
  <c r="G50" i="22"/>
  <c r="H47" i="22"/>
  <c r="G23" i="22"/>
  <c r="G32" i="22"/>
  <c r="H38" i="22"/>
  <c r="H23" i="22"/>
  <c r="I32" i="20" l="1"/>
  <c r="I31" i="20"/>
  <c r="I30" i="20"/>
  <c r="I29" i="20"/>
  <c r="I28" i="20"/>
  <c r="I27" i="20"/>
  <c r="I26" i="20"/>
  <c r="I25" i="20"/>
  <c r="I24" i="20"/>
  <c r="I23" i="20"/>
  <c r="I16" i="20"/>
  <c r="I19" i="20" s="1"/>
  <c r="I15" i="20"/>
  <c r="I14" i="20"/>
  <c r="I13" i="20"/>
  <c r="I12" i="20"/>
  <c r="I11" i="20"/>
  <c r="I10" i="20"/>
  <c r="I9" i="20"/>
  <c r="I8" i="20"/>
  <c r="I7" i="20"/>
  <c r="I21" i="20" s="1"/>
  <c r="U8" i="18" l="1"/>
  <c r="U9" i="18"/>
  <c r="U10" i="18"/>
  <c r="U11" i="18"/>
  <c r="U12" i="18"/>
  <c r="U13" i="18"/>
  <c r="U14" i="18"/>
  <c r="U15" i="18"/>
  <c r="U16" i="18"/>
  <c r="U17" i="18"/>
  <c r="U18" i="18"/>
  <c r="U19" i="18"/>
  <c r="U20" i="18"/>
  <c r="U21" i="18"/>
  <c r="U22" i="18"/>
  <c r="U23" i="18"/>
  <c r="U24" i="18"/>
  <c r="U25" i="18"/>
  <c r="U26" i="18"/>
  <c r="U27" i="18"/>
  <c r="U28" i="18"/>
  <c r="U29" i="18"/>
  <c r="U30" i="18"/>
  <c r="U31" i="18"/>
  <c r="U32" i="18"/>
  <c r="U33" i="18"/>
  <c r="U34" i="18"/>
  <c r="U35" i="18"/>
  <c r="U36" i="18"/>
  <c r="U37" i="18"/>
  <c r="U7" i="18"/>
  <c r="T38" i="18"/>
  <c r="T39" i="18"/>
  <c r="T40" i="18"/>
  <c r="T41" i="18"/>
  <c r="T42" i="18"/>
  <c r="T43" i="18"/>
  <c r="T44" i="18"/>
  <c r="T45" i="18"/>
  <c r="T46" i="18"/>
  <c r="T47" i="18"/>
  <c r="T48" i="18"/>
  <c r="T49" i="18"/>
  <c r="S38" i="18"/>
  <c r="S39" i="18"/>
  <c r="S40" i="18"/>
  <c r="S41" i="18"/>
  <c r="S42" i="18"/>
  <c r="S43" i="18"/>
  <c r="U43" i="18" s="1"/>
  <c r="S44" i="18"/>
  <c r="S45" i="18"/>
  <c r="U45" i="18" s="1"/>
  <c r="S46" i="18"/>
  <c r="S47" i="18"/>
  <c r="S48" i="18"/>
  <c r="S49" i="18"/>
  <c r="I8" i="18"/>
  <c r="I9" i="18"/>
  <c r="I10" i="18"/>
  <c r="I11" i="18"/>
  <c r="I12" i="18"/>
  <c r="I13" i="18"/>
  <c r="I14" i="18"/>
  <c r="I15" i="18"/>
  <c r="I16" i="18"/>
  <c r="I17" i="18"/>
  <c r="I18" i="18"/>
  <c r="I19" i="18"/>
  <c r="I20" i="18"/>
  <c r="I21" i="18"/>
  <c r="I22" i="18"/>
  <c r="I23" i="18"/>
  <c r="I24" i="18"/>
  <c r="I25" i="18"/>
  <c r="I26" i="18"/>
  <c r="I27" i="18"/>
  <c r="I28" i="18"/>
  <c r="I29" i="18"/>
  <c r="I30" i="18"/>
  <c r="I31" i="18"/>
  <c r="I32" i="18"/>
  <c r="I33" i="18"/>
  <c r="I34" i="18"/>
  <c r="I35" i="18"/>
  <c r="I36" i="18"/>
  <c r="I37" i="18"/>
  <c r="I38" i="18"/>
  <c r="I39" i="18"/>
  <c r="I40" i="18"/>
  <c r="I41" i="18"/>
  <c r="I42" i="18"/>
  <c r="I43" i="18"/>
  <c r="I44" i="18"/>
  <c r="I45" i="18"/>
  <c r="I46" i="18"/>
  <c r="I47" i="18"/>
  <c r="I48" i="18"/>
  <c r="I7" i="18"/>
  <c r="E8" i="18"/>
  <c r="E9" i="18"/>
  <c r="E10" i="18"/>
  <c r="E11" i="18"/>
  <c r="E12" i="18"/>
  <c r="E13" i="18"/>
  <c r="E14" i="18"/>
  <c r="E15" i="18"/>
  <c r="E16" i="18"/>
  <c r="E17" i="18"/>
  <c r="E18" i="18"/>
  <c r="E19" i="18"/>
  <c r="E20" i="18"/>
  <c r="E21" i="18"/>
  <c r="E22" i="18"/>
  <c r="E23" i="18"/>
  <c r="E24" i="18"/>
  <c r="E25" i="18"/>
  <c r="E26" i="18"/>
  <c r="E27" i="18"/>
  <c r="E28" i="18"/>
  <c r="E29" i="18"/>
  <c r="E30" i="18"/>
  <c r="E31" i="18"/>
  <c r="E32" i="18"/>
  <c r="E33" i="18"/>
  <c r="E34" i="18"/>
  <c r="E35" i="18"/>
  <c r="E36" i="18"/>
  <c r="E37" i="18"/>
  <c r="E38" i="18"/>
  <c r="E39" i="18"/>
  <c r="E40" i="18"/>
  <c r="E41" i="18"/>
  <c r="E42" i="18"/>
  <c r="E43" i="18"/>
  <c r="E44" i="18"/>
  <c r="E45" i="18"/>
  <c r="E46" i="18"/>
  <c r="E47" i="18"/>
  <c r="E48" i="18"/>
  <c r="E49" i="18"/>
  <c r="E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7" i="18"/>
  <c r="Q9" i="18"/>
  <c r="Q10" i="18"/>
  <c r="Q11" i="18"/>
  <c r="Q12" i="18"/>
  <c r="Q13" i="18"/>
  <c r="Q14" i="18"/>
  <c r="Q15" i="18"/>
  <c r="Q16" i="18"/>
  <c r="Q17" i="18"/>
  <c r="Q18" i="18"/>
  <c r="Q19" i="18"/>
  <c r="Q20" i="18"/>
  <c r="Q21" i="18"/>
  <c r="Q22" i="18"/>
  <c r="Q23" i="18"/>
  <c r="Q25" i="18"/>
  <c r="Q26" i="18"/>
  <c r="Q27" i="18"/>
  <c r="Q28" i="18"/>
  <c r="Q29" i="18"/>
  <c r="Q30" i="18"/>
  <c r="Q31" i="18"/>
  <c r="Q32" i="18"/>
  <c r="Q33" i="18"/>
  <c r="Q34" i="18"/>
  <c r="Q35" i="18"/>
  <c r="Q36" i="18"/>
  <c r="Q37" i="18"/>
  <c r="Q38" i="18"/>
  <c r="Q39" i="18"/>
  <c r="Q40" i="18"/>
  <c r="Q41" i="18"/>
  <c r="Q42" i="18"/>
  <c r="Q43" i="18"/>
  <c r="Q44" i="18"/>
  <c r="Q45" i="18"/>
  <c r="Q46" i="18"/>
  <c r="Q47" i="18"/>
  <c r="Q48" i="18"/>
  <c r="Q49" i="18"/>
  <c r="Q7" i="18"/>
  <c r="Y8" i="18"/>
  <c r="Y9" i="18"/>
  <c r="Y10" i="18"/>
  <c r="Y11" i="18"/>
  <c r="Y12" i="18"/>
  <c r="Y13" i="18"/>
  <c r="Y14" i="18"/>
  <c r="Y15" i="18"/>
  <c r="Y16" i="18"/>
  <c r="Y17" i="18"/>
  <c r="Y18" i="18"/>
  <c r="Y19" i="18"/>
  <c r="Y20" i="18"/>
  <c r="Y21" i="18"/>
  <c r="Y22" i="18"/>
  <c r="Y23" i="18"/>
  <c r="Y24" i="18"/>
  <c r="Y25" i="18"/>
  <c r="Y26" i="18"/>
  <c r="Y27" i="18"/>
  <c r="Y28" i="18"/>
  <c r="Y29" i="18"/>
  <c r="Y30" i="18"/>
  <c r="Y31" i="18"/>
  <c r="Y32" i="18"/>
  <c r="Y33" i="18"/>
  <c r="Y34" i="18"/>
  <c r="Y35" i="18"/>
  <c r="Y36" i="18"/>
  <c r="Y37" i="18"/>
  <c r="Y38" i="18"/>
  <c r="Y39" i="18"/>
  <c r="Y40" i="18"/>
  <c r="Y41" i="18"/>
  <c r="Y42" i="18"/>
  <c r="Y43" i="18"/>
  <c r="Y44" i="18"/>
  <c r="Y45" i="18"/>
  <c r="Y46" i="18"/>
  <c r="Y47" i="18"/>
  <c r="Y48" i="18"/>
  <c r="Y49" i="18"/>
  <c r="Y7" i="18"/>
  <c r="U47" i="18" l="1"/>
  <c r="U39" i="18"/>
  <c r="U44" i="18"/>
  <c r="U49" i="18"/>
  <c r="U46" i="18"/>
  <c r="U38" i="18"/>
  <c r="U41" i="18"/>
  <c r="U42" i="18"/>
  <c r="U48" i="18"/>
  <c r="U40" i="18"/>
  <c r="I49" i="18"/>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17" i="12"/>
  <c r="D65" i="12"/>
  <c r="D66" i="12"/>
  <c r="D67" i="12"/>
  <c r="D68" i="12"/>
  <c r="G6" i="15" l="1"/>
  <c r="C30" i="11"/>
  <c r="I6" i="14" l="1"/>
  <c r="I8" i="14"/>
  <c r="I9" i="14"/>
  <c r="I10" i="14"/>
  <c r="I11" i="14"/>
  <c r="I12" i="14"/>
  <c r="I13" i="14"/>
  <c r="I14" i="14"/>
  <c r="I16" i="14"/>
  <c r="I17" i="14"/>
  <c r="I18" i="14"/>
  <c r="I19" i="14"/>
  <c r="I20" i="14"/>
  <c r="I21" i="14"/>
  <c r="I22" i="14"/>
  <c r="I23" i="14"/>
  <c r="I24" i="14"/>
  <c r="I25" i="14"/>
  <c r="I26" i="14"/>
  <c r="I27" i="14"/>
  <c r="I29" i="14"/>
  <c r="I30" i="14"/>
  <c r="I31" i="14"/>
  <c r="I32" i="14"/>
  <c r="I33" i="14"/>
  <c r="I34" i="14"/>
  <c r="I35" i="14"/>
  <c r="I36" i="14"/>
  <c r="AS32" i="17" l="1"/>
  <c r="AM32" i="17" a="1"/>
  <c r="AM32" i="17" s="1"/>
  <c r="AH32" i="17" a="1"/>
  <c r="AH32" i="17" s="1"/>
  <c r="AC32" i="17" a="1"/>
  <c r="AC32" i="17" s="1"/>
  <c r="X32" i="17" a="1"/>
  <c r="X32" i="17" s="1"/>
  <c r="S32" i="17" a="1"/>
  <c r="S32" i="17" s="1"/>
  <c r="N32" i="17" a="1"/>
  <c r="N32" i="17" s="1"/>
  <c r="I32" i="17" a="1"/>
  <c r="I32" i="17" s="1"/>
  <c r="D32" i="17" a="1"/>
  <c r="D32" i="17" s="1"/>
  <c r="G30" i="11"/>
  <c r="N30" i="11" s="1"/>
  <c r="F30" i="11"/>
  <c r="E30" i="11"/>
  <c r="D30" i="11"/>
  <c r="AR10" i="17"/>
  <c r="AS10" i="17" s="1"/>
  <c r="AR11" i="17"/>
  <c r="AS11" i="17" s="1"/>
  <c r="AR12" i="17"/>
  <c r="AS12" i="17" s="1"/>
  <c r="AR13" i="17"/>
  <c r="AS13" i="17" s="1"/>
  <c r="AR14" i="17"/>
  <c r="AS14" i="17" s="1"/>
  <c r="AR15" i="17"/>
  <c r="AS15" i="17" s="1"/>
  <c r="AR16" i="17"/>
  <c r="AS16" i="17" s="1"/>
  <c r="AR17" i="17"/>
  <c r="AS17" i="17" s="1"/>
  <c r="AR18" i="17"/>
  <c r="AS18" i="17" s="1"/>
  <c r="AR19" i="17"/>
  <c r="AS19" i="17" s="1"/>
  <c r="AR20" i="17"/>
  <c r="AS20" i="17" s="1"/>
  <c r="AR21" i="17"/>
  <c r="AS21" i="17" s="1"/>
  <c r="AR22" i="17"/>
  <c r="AR23" i="17"/>
  <c r="AS23" i="17" s="1"/>
  <c r="AR24" i="17"/>
  <c r="AS24" i="17" s="1"/>
  <c r="AR25" i="17"/>
  <c r="AS25" i="17" s="1"/>
  <c r="AR26" i="17"/>
  <c r="AS26" i="17" s="1"/>
  <c r="AR27" i="17"/>
  <c r="AS27" i="17" s="1"/>
  <c r="AR28" i="17"/>
  <c r="AS28" i="17" s="1"/>
  <c r="AR29" i="17"/>
  <c r="AS29" i="17" s="1"/>
  <c r="AR30" i="17"/>
  <c r="AS30" i="17" s="1"/>
  <c r="AR31" i="17"/>
  <c r="AS31" i="17" s="1"/>
  <c r="AR33" i="17"/>
  <c r="AS33" i="17" s="1"/>
  <c r="AR34" i="17"/>
  <c r="AS34" i="17" s="1"/>
  <c r="AR35" i="17"/>
  <c r="AS35" i="17" s="1"/>
  <c r="AR36" i="17"/>
  <c r="AS36" i="17" s="1"/>
  <c r="AR37" i="17"/>
  <c r="AS37" i="17" s="1"/>
  <c r="AR38" i="17"/>
  <c r="AS38" i="17" s="1"/>
  <c r="AR39" i="17"/>
  <c r="AS39" i="17" s="1"/>
  <c r="AR40" i="17"/>
  <c r="AS40" i="17" s="1"/>
  <c r="AR41" i="17"/>
  <c r="AS41" i="17" s="1"/>
  <c r="AR42" i="17"/>
  <c r="AS42" i="17" s="1"/>
  <c r="AR43" i="17"/>
  <c r="AS43" i="17" s="1"/>
  <c r="AR44" i="17"/>
  <c r="AS44" i="17" s="1"/>
  <c r="AR45" i="17"/>
  <c r="AS45" i="17" s="1"/>
  <c r="AR46" i="17"/>
  <c r="AS46" i="17" s="1"/>
  <c r="AR47" i="17"/>
  <c r="AS47" i="17" s="1"/>
  <c r="AR48" i="17"/>
  <c r="AS48" i="17" s="1"/>
  <c r="AR49" i="17"/>
  <c r="AS49" i="17" s="1"/>
  <c r="AR50" i="17"/>
  <c r="AS50" i="17" s="1"/>
  <c r="AS9" i="17"/>
  <c r="AM9" i="17"/>
  <c r="H9" i="11"/>
  <c r="H10" i="11"/>
  <c r="H11" i="11"/>
  <c r="H12" i="11"/>
  <c r="H13" i="11"/>
  <c r="H14" i="11"/>
  <c r="H15" i="11"/>
  <c r="H16" i="11"/>
  <c r="H17" i="11"/>
  <c r="H18" i="11"/>
  <c r="H19" i="11"/>
  <c r="H20" i="11"/>
  <c r="H21" i="11"/>
  <c r="H22" i="11"/>
  <c r="H23" i="11"/>
  <c r="H24" i="11"/>
  <c r="H25" i="11"/>
  <c r="H26" i="11"/>
  <c r="H27" i="11"/>
  <c r="H28" i="11"/>
  <c r="H29" i="11"/>
  <c r="H30" i="11"/>
  <c r="H31" i="11"/>
  <c r="H32" i="11"/>
  <c r="H33" i="11"/>
  <c r="H34" i="11"/>
  <c r="H35" i="11"/>
  <c r="H36" i="11"/>
  <c r="H37" i="11"/>
  <c r="H38" i="11"/>
  <c r="H39" i="11"/>
  <c r="H40" i="11"/>
  <c r="H41" i="11"/>
  <c r="H42" i="11"/>
  <c r="H43" i="11"/>
  <c r="H44" i="11"/>
  <c r="H45" i="11"/>
  <c r="H46" i="11"/>
  <c r="H48" i="11"/>
  <c r="H49" i="11"/>
  <c r="H50" i="11"/>
  <c r="H51" i="11"/>
  <c r="H54" i="11"/>
  <c r="H8" i="11"/>
  <c r="I9" i="11"/>
  <c r="I10" i="11"/>
  <c r="I11" i="11"/>
  <c r="I12" i="11"/>
  <c r="I13" i="11"/>
  <c r="I14" i="11"/>
  <c r="I15" i="11"/>
  <c r="I16" i="11"/>
  <c r="I17" i="11"/>
  <c r="I18" i="11"/>
  <c r="I19" i="11"/>
  <c r="I20" i="11"/>
  <c r="I21" i="11"/>
  <c r="I22" i="11"/>
  <c r="I23" i="11"/>
  <c r="I24" i="11"/>
  <c r="I25" i="11"/>
  <c r="I26" i="11"/>
  <c r="I27" i="11"/>
  <c r="I28" i="11"/>
  <c r="I29" i="11"/>
  <c r="I30" i="11"/>
  <c r="I31" i="11"/>
  <c r="I32" i="11"/>
  <c r="I33" i="11"/>
  <c r="I34" i="11"/>
  <c r="I35" i="11"/>
  <c r="I36" i="11"/>
  <c r="I37" i="11"/>
  <c r="I38" i="11"/>
  <c r="I39" i="11"/>
  <c r="I40" i="11"/>
  <c r="I41" i="11"/>
  <c r="I42" i="11"/>
  <c r="I43" i="11"/>
  <c r="I44" i="11"/>
  <c r="I45" i="11"/>
  <c r="I46" i="11"/>
  <c r="I48" i="11"/>
  <c r="I49" i="11"/>
  <c r="I50" i="11"/>
  <c r="I51" i="11"/>
  <c r="I54" i="11"/>
  <c r="I8" i="11"/>
  <c r="J9" i="11"/>
  <c r="J10" i="11"/>
  <c r="J11" i="11"/>
  <c r="J12" i="11"/>
  <c r="J13" i="11"/>
  <c r="J14" i="11"/>
  <c r="J15" i="11"/>
  <c r="J16" i="11"/>
  <c r="J17" i="11"/>
  <c r="J18" i="11"/>
  <c r="J19" i="11"/>
  <c r="J20" i="11"/>
  <c r="J21" i="11"/>
  <c r="J22" i="11"/>
  <c r="J23" i="11"/>
  <c r="J24" i="11"/>
  <c r="J25" i="11"/>
  <c r="J26" i="11"/>
  <c r="J27" i="11"/>
  <c r="J28" i="11"/>
  <c r="J29" i="11"/>
  <c r="J30" i="11"/>
  <c r="J31" i="11"/>
  <c r="J32" i="11"/>
  <c r="J33" i="11"/>
  <c r="J34" i="11"/>
  <c r="J35" i="11"/>
  <c r="J36" i="11"/>
  <c r="J37" i="11"/>
  <c r="J38" i="11"/>
  <c r="J39" i="11"/>
  <c r="J40" i="11"/>
  <c r="J41" i="11"/>
  <c r="J42" i="11"/>
  <c r="J43" i="11"/>
  <c r="J44" i="11"/>
  <c r="J45" i="11"/>
  <c r="J46" i="11"/>
  <c r="J48" i="11"/>
  <c r="J49" i="11"/>
  <c r="J50" i="11"/>
  <c r="J51" i="11"/>
  <c r="J54" i="11"/>
  <c r="J8" i="11"/>
  <c r="K48" i="11"/>
  <c r="M48" i="11" s="1"/>
  <c r="K49" i="11"/>
  <c r="M49" i="11" s="1"/>
  <c r="K50" i="11"/>
  <c r="M50" i="11" s="1"/>
  <c r="K51" i="11"/>
  <c r="M51" i="11" s="1"/>
  <c r="K54" i="11"/>
  <c r="M54" i="11" s="1"/>
  <c r="K9" i="11"/>
  <c r="M9" i="11" s="1"/>
  <c r="K10" i="11"/>
  <c r="M10" i="11" s="1"/>
  <c r="K11" i="11"/>
  <c r="M11" i="11" s="1"/>
  <c r="K12" i="11"/>
  <c r="M12" i="11" s="1"/>
  <c r="K13" i="11"/>
  <c r="M13" i="11" s="1"/>
  <c r="K14" i="11"/>
  <c r="M14" i="11" s="1"/>
  <c r="K15" i="11"/>
  <c r="M15" i="11" s="1"/>
  <c r="K16" i="11"/>
  <c r="M16" i="11" s="1"/>
  <c r="K17" i="11"/>
  <c r="M17" i="11" s="1"/>
  <c r="K18" i="11"/>
  <c r="M18" i="11" s="1"/>
  <c r="K19" i="11"/>
  <c r="M19" i="11" s="1"/>
  <c r="K20" i="11"/>
  <c r="K21" i="11"/>
  <c r="M21" i="11" s="1"/>
  <c r="K22" i="11"/>
  <c r="M22" i="11" s="1"/>
  <c r="K23" i="11"/>
  <c r="M23" i="11" s="1"/>
  <c r="K24" i="11"/>
  <c r="M24" i="11" s="1"/>
  <c r="K25" i="11"/>
  <c r="M25" i="11" s="1"/>
  <c r="K26" i="11"/>
  <c r="M26" i="11" s="1"/>
  <c r="K27" i="11"/>
  <c r="M27" i="11" s="1"/>
  <c r="K28" i="11"/>
  <c r="M28" i="11" s="1"/>
  <c r="K29" i="11"/>
  <c r="M29" i="11" s="1"/>
  <c r="K30" i="11"/>
  <c r="M30" i="11" s="1"/>
  <c r="K31" i="11"/>
  <c r="M31" i="11" s="1"/>
  <c r="K32" i="11"/>
  <c r="M32" i="11" s="1"/>
  <c r="K33" i="11"/>
  <c r="M33" i="11" s="1"/>
  <c r="K34" i="11"/>
  <c r="M34" i="11" s="1"/>
  <c r="K35" i="11"/>
  <c r="M35" i="11" s="1"/>
  <c r="K36" i="11"/>
  <c r="M36" i="11" s="1"/>
  <c r="K37" i="11"/>
  <c r="M37" i="11" s="1"/>
  <c r="K38" i="11"/>
  <c r="M38" i="11" s="1"/>
  <c r="K39" i="11"/>
  <c r="M39" i="11" s="1"/>
  <c r="K40" i="11"/>
  <c r="M40" i="11" s="1"/>
  <c r="K41" i="11"/>
  <c r="M41" i="11" s="1"/>
  <c r="K42" i="11"/>
  <c r="M42" i="11" s="1"/>
  <c r="K43" i="11"/>
  <c r="M43" i="11" s="1"/>
  <c r="K44" i="11"/>
  <c r="M44" i="11" s="1"/>
  <c r="K45" i="11"/>
  <c r="M45" i="11" s="1"/>
  <c r="K46" i="11"/>
  <c r="M46" i="11" s="1"/>
  <c r="K8" i="11"/>
  <c r="M8" i="11" s="1"/>
  <c r="AT48" i="17" l="1"/>
  <c r="AT47" i="17"/>
  <c r="AT9" i="17"/>
  <c r="AT45" i="17"/>
  <c r="AT39" i="17"/>
  <c r="AT33" i="17"/>
  <c r="AT27" i="17"/>
  <c r="AT21" i="17"/>
  <c r="AT15" i="17"/>
  <c r="AT17" i="17"/>
  <c r="AT50" i="17"/>
  <c r="AT44" i="17"/>
  <c r="AT38" i="17"/>
  <c r="AT32" i="17"/>
  <c r="AT26" i="17"/>
  <c r="AT20" i="17"/>
  <c r="AT14" i="17"/>
  <c r="AT11" i="17"/>
  <c r="AT49" i="17"/>
  <c r="AT43" i="17"/>
  <c r="AT37" i="17"/>
  <c r="AT31" i="17"/>
  <c r="AT25" i="17"/>
  <c r="AT19" i="17"/>
  <c r="AT13" i="17"/>
  <c r="AT42" i="17"/>
  <c r="AT36" i="17"/>
  <c r="AT30" i="17"/>
  <c r="AT24" i="17"/>
  <c r="AT18" i="17"/>
  <c r="AT12" i="17"/>
  <c r="AT23" i="17"/>
  <c r="AT41" i="17"/>
  <c r="AT35" i="17"/>
  <c r="AT29" i="17"/>
  <c r="AT46" i="17"/>
  <c r="AT40" i="17"/>
  <c r="AT34" i="17"/>
  <c r="AT28" i="17"/>
  <c r="AT16" i="17"/>
  <c r="AT10" i="17"/>
  <c r="I52" i="11"/>
  <c r="J47" i="11"/>
  <c r="I47" i="11"/>
  <c r="H52" i="11"/>
  <c r="H47" i="11"/>
  <c r="J52" i="11"/>
  <c r="K52" i="11"/>
  <c r="M52" i="11" s="1"/>
  <c r="O16" i="16"/>
  <c r="O17" i="16"/>
  <c r="O18" i="16"/>
  <c r="O19" i="16"/>
  <c r="O20" i="16"/>
  <c r="O15" i="16"/>
  <c r="O12" i="16"/>
  <c r="I53" i="11" l="1"/>
  <c r="I55" i="11" s="1"/>
  <c r="J53" i="11"/>
  <c r="J55" i="11" s="1"/>
  <c r="H53" i="11"/>
  <c r="H55" i="11" s="1"/>
  <c r="Z5" i="19"/>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Z42" i="19"/>
  <c r="Z43" i="19"/>
  <c r="Z44" i="19"/>
  <c r="Z45" i="19"/>
  <c r="Z46" i="19"/>
  <c r="V5" i="19"/>
  <c r="V6" i="19"/>
  <c r="V7" i="19"/>
  <c r="V8" i="19"/>
  <c r="V9" i="19"/>
  <c r="V10" i="19"/>
  <c r="V11" i="19"/>
  <c r="W11" i="19" s="1"/>
  <c r="V12" i="19"/>
  <c r="V13" i="19"/>
  <c r="V14" i="19"/>
  <c r="V15" i="19"/>
  <c r="V16" i="19"/>
  <c r="V17" i="19"/>
  <c r="V18" i="19"/>
  <c r="V19" i="19"/>
  <c r="V20" i="19"/>
  <c r="V21" i="19"/>
  <c r="V22" i="19"/>
  <c r="V23" i="19"/>
  <c r="V24" i="19"/>
  <c r="V25" i="19"/>
  <c r="V26" i="19"/>
  <c r="V27" i="19"/>
  <c r="V28" i="19"/>
  <c r="V29" i="19"/>
  <c r="V30" i="19"/>
  <c r="V31" i="19"/>
  <c r="V32" i="19"/>
  <c r="V33" i="19"/>
  <c r="V34" i="19"/>
  <c r="W34" i="19" s="1"/>
  <c r="V35" i="19"/>
  <c r="V36" i="19"/>
  <c r="V37" i="19"/>
  <c r="V38" i="19"/>
  <c r="V39" i="19"/>
  <c r="V40" i="19"/>
  <c r="V41" i="19"/>
  <c r="V42" i="19"/>
  <c r="V43" i="19"/>
  <c r="V44" i="19"/>
  <c r="V45" i="19"/>
  <c r="V46" i="19"/>
  <c r="R5" i="19"/>
  <c r="R6" i="19"/>
  <c r="R7" i="19"/>
  <c r="R8" i="19"/>
  <c r="R9" i="19"/>
  <c r="R10" i="19"/>
  <c r="R11" i="19"/>
  <c r="R12" i="19"/>
  <c r="R13" i="19"/>
  <c r="R14" i="19"/>
  <c r="R15" i="19"/>
  <c r="R16" i="19"/>
  <c r="R17" i="19"/>
  <c r="R18" i="19"/>
  <c r="R19" i="19"/>
  <c r="R20" i="19"/>
  <c r="R21" i="19"/>
  <c r="R22" i="19"/>
  <c r="R23" i="19"/>
  <c r="R24" i="19"/>
  <c r="R25" i="19"/>
  <c r="R26" i="19"/>
  <c r="R27" i="19"/>
  <c r="R28" i="19"/>
  <c r="R29" i="19"/>
  <c r="R30" i="19"/>
  <c r="R31" i="19"/>
  <c r="R32" i="19"/>
  <c r="R33" i="19"/>
  <c r="R34" i="19"/>
  <c r="R35" i="19"/>
  <c r="R36" i="19"/>
  <c r="R37" i="19"/>
  <c r="R38" i="19"/>
  <c r="R39" i="19"/>
  <c r="R40" i="19"/>
  <c r="R41" i="19"/>
  <c r="R42" i="19"/>
  <c r="R43" i="19"/>
  <c r="R44" i="19"/>
  <c r="R45" i="19"/>
  <c r="R46" i="19"/>
  <c r="N5" i="19"/>
  <c r="O15" i="19" s="1"/>
  <c r="N6" i="19"/>
  <c r="N7" i="19"/>
  <c r="N8" i="19"/>
  <c r="N9" i="19"/>
  <c r="N10" i="19"/>
  <c r="N11" i="19"/>
  <c r="N12" i="19"/>
  <c r="N13" i="19"/>
  <c r="N14" i="19"/>
  <c r="N15" i="19"/>
  <c r="N16" i="19"/>
  <c r="N17" i="19"/>
  <c r="N18" i="19"/>
  <c r="N19" i="19"/>
  <c r="N20" i="19"/>
  <c r="N21" i="19"/>
  <c r="N22" i="19"/>
  <c r="N23" i="19"/>
  <c r="N24" i="19"/>
  <c r="N25" i="19"/>
  <c r="N26" i="19"/>
  <c r="N27" i="19"/>
  <c r="N28" i="19"/>
  <c r="N29" i="19"/>
  <c r="N30" i="19"/>
  <c r="N31" i="19"/>
  <c r="N32" i="19"/>
  <c r="N33" i="19"/>
  <c r="N34" i="19"/>
  <c r="N35" i="19"/>
  <c r="N36" i="19"/>
  <c r="N37" i="19"/>
  <c r="N38" i="19"/>
  <c r="N39" i="19"/>
  <c r="N40" i="19"/>
  <c r="N41" i="19"/>
  <c r="N42" i="19"/>
  <c r="N43" i="19"/>
  <c r="N44" i="19"/>
  <c r="N45" i="19"/>
  <c r="N46" i="19"/>
  <c r="J5" i="19"/>
  <c r="K30" i="19" s="1"/>
  <c r="J6" i="19"/>
  <c r="J7" i="19"/>
  <c r="J8" i="19"/>
  <c r="J9" i="19"/>
  <c r="J10" i="19"/>
  <c r="J11" i="19"/>
  <c r="J12" i="19"/>
  <c r="J13" i="19"/>
  <c r="J14" i="19"/>
  <c r="J15" i="19"/>
  <c r="J16" i="19"/>
  <c r="J17" i="19"/>
  <c r="J18" i="19"/>
  <c r="J19" i="19"/>
  <c r="J20" i="19"/>
  <c r="J21" i="19"/>
  <c r="J22" i="19"/>
  <c r="J23" i="19"/>
  <c r="J24" i="19"/>
  <c r="J25" i="19"/>
  <c r="J26" i="19"/>
  <c r="J27" i="19"/>
  <c r="J28" i="19"/>
  <c r="J29" i="19"/>
  <c r="J30" i="19"/>
  <c r="J31" i="19"/>
  <c r="J32" i="19"/>
  <c r="J33" i="19"/>
  <c r="J34" i="19"/>
  <c r="J35" i="19"/>
  <c r="J36" i="19"/>
  <c r="J37" i="19"/>
  <c r="J38" i="19"/>
  <c r="J39" i="19"/>
  <c r="J40" i="19"/>
  <c r="J41" i="19"/>
  <c r="J42" i="19"/>
  <c r="J43" i="19"/>
  <c r="J44" i="19"/>
  <c r="J45" i="19"/>
  <c r="J46" i="19"/>
  <c r="F5" i="19"/>
  <c r="F6" i="19"/>
  <c r="F7" i="19"/>
  <c r="F8" i="19"/>
  <c r="F9" i="19"/>
  <c r="F10" i="19"/>
  <c r="F11" i="19"/>
  <c r="F12" i="19"/>
  <c r="F13" i="19"/>
  <c r="F14" i="19"/>
  <c r="F15" i="19"/>
  <c r="F16" i="19"/>
  <c r="F17" i="19"/>
  <c r="F18" i="19"/>
  <c r="F19" i="19"/>
  <c r="F20" i="19"/>
  <c r="G20" i="19" s="1"/>
  <c r="F21" i="19"/>
  <c r="F22" i="19"/>
  <c r="F23" i="19"/>
  <c r="F24" i="19"/>
  <c r="F25" i="19"/>
  <c r="F26" i="19"/>
  <c r="F27" i="19"/>
  <c r="F28" i="19"/>
  <c r="F29" i="19"/>
  <c r="F30" i="19"/>
  <c r="F31" i="19"/>
  <c r="F32" i="19"/>
  <c r="F33" i="19"/>
  <c r="F34" i="19"/>
  <c r="F35" i="19"/>
  <c r="F36" i="19"/>
  <c r="F37" i="19"/>
  <c r="F38" i="19"/>
  <c r="F39" i="19"/>
  <c r="F40" i="19"/>
  <c r="F41" i="19"/>
  <c r="F42" i="19"/>
  <c r="F43" i="19"/>
  <c r="F44" i="19"/>
  <c r="G44" i="19" s="1"/>
  <c r="F45" i="19"/>
  <c r="F46" i="19"/>
  <c r="W37" i="19"/>
  <c r="W17" i="19"/>
  <c r="O11" i="19"/>
  <c r="Z4" i="19"/>
  <c r="V4" i="19"/>
  <c r="R4" i="19"/>
  <c r="N4" i="19"/>
  <c r="J4" i="19"/>
  <c r="F4" i="19"/>
  <c r="G10" i="19" l="1"/>
  <c r="G23" i="19"/>
  <c r="W41" i="19"/>
  <c r="K22" i="19"/>
  <c r="AA28" i="19"/>
  <c r="G35" i="19"/>
  <c r="G32" i="19"/>
  <c r="K35" i="19"/>
  <c r="S35" i="19"/>
  <c r="W23" i="19"/>
  <c r="G28" i="19"/>
  <c r="O16" i="19"/>
  <c r="G45" i="19"/>
  <c r="G39" i="19"/>
  <c r="G42" i="19"/>
  <c r="G27" i="19"/>
  <c r="G15" i="19"/>
  <c r="K27" i="19"/>
  <c r="O33" i="19"/>
  <c r="K14" i="19"/>
  <c r="O14" i="19"/>
  <c r="S13" i="19"/>
  <c r="AA44" i="19"/>
  <c r="G43" i="19"/>
  <c r="G37" i="19"/>
  <c r="G31" i="19"/>
  <c r="G19" i="19"/>
  <c r="G7" i="19"/>
  <c r="K43" i="19"/>
  <c r="O13" i="19"/>
  <c r="S43" i="19"/>
  <c r="S37" i="19"/>
  <c r="W31" i="19"/>
  <c r="G36" i="19"/>
  <c r="G12" i="19"/>
  <c r="K6" i="19"/>
  <c r="O30" i="19"/>
  <c r="W42" i="19"/>
  <c r="AA36" i="19"/>
  <c r="AA38" i="19"/>
  <c r="AA43" i="19"/>
  <c r="AA9" i="19"/>
  <c r="AA20" i="19"/>
  <c r="AA33" i="19"/>
  <c r="AA35" i="19"/>
  <c r="AA37" i="19"/>
  <c r="AA15" i="19"/>
  <c r="AA27" i="19"/>
  <c r="AA12" i="19"/>
  <c r="AA25" i="19"/>
  <c r="W18" i="19"/>
  <c r="W10" i="19"/>
  <c r="W6" i="19"/>
  <c r="W8" i="19"/>
  <c r="W36" i="19"/>
  <c r="W13" i="19"/>
  <c r="W43" i="19"/>
  <c r="W35" i="19"/>
  <c r="W27" i="19"/>
  <c r="W19" i="19"/>
  <c r="W39" i="19"/>
  <c r="S9" i="19"/>
  <c r="S29" i="19"/>
  <c r="S21" i="19"/>
  <c r="S36" i="19"/>
  <c r="S11" i="19"/>
  <c r="S27" i="19"/>
  <c r="S19" i="19"/>
  <c r="S44" i="19"/>
  <c r="S42" i="19"/>
  <c r="S26" i="19"/>
  <c r="S18" i="19"/>
  <c r="S16" i="19"/>
  <c r="O45" i="19"/>
  <c r="O46" i="19"/>
  <c r="O29" i="19"/>
  <c r="O36" i="19"/>
  <c r="O20" i="19"/>
  <c r="O17" i="19"/>
  <c r="O43" i="19"/>
  <c r="O37" i="19"/>
  <c r="O31" i="19"/>
  <c r="O28" i="19"/>
  <c r="O21" i="19"/>
  <c r="O12" i="19"/>
  <c r="O18" i="19"/>
  <c r="O34" i="19"/>
  <c r="O41" i="19"/>
  <c r="O25" i="19"/>
  <c r="O42" i="19"/>
  <c r="O40" i="19"/>
  <c r="O24" i="19"/>
  <c r="O8" i="19"/>
  <c r="O27" i="19"/>
  <c r="O23" i="19"/>
  <c r="O7" i="19"/>
  <c r="K45" i="19"/>
  <c r="K37" i="19"/>
  <c r="K29" i="19"/>
  <c r="K21" i="19"/>
  <c r="K13" i="19"/>
  <c r="K5" i="19"/>
  <c r="K44" i="19"/>
  <c r="K36" i="19"/>
  <c r="K28" i="19"/>
  <c r="K20" i="19"/>
  <c r="K46" i="19"/>
  <c r="K19" i="19"/>
  <c r="K33" i="19"/>
  <c r="K17" i="19"/>
  <c r="K9" i="19"/>
  <c r="K11" i="19"/>
  <c r="K41" i="19"/>
  <c r="K25" i="19"/>
  <c r="K39" i="19"/>
  <c r="K31" i="19"/>
  <c r="K23" i="19"/>
  <c r="K15" i="19"/>
  <c r="K7" i="19"/>
  <c r="AA19" i="19"/>
  <c r="AA16" i="19"/>
  <c r="AA34" i="19"/>
  <c r="AA39" i="19"/>
  <c r="AA45" i="19"/>
  <c r="AA10" i="19"/>
  <c r="AA6" i="19"/>
  <c r="AA13" i="19"/>
  <c r="AA21" i="19"/>
  <c r="AA40" i="19"/>
  <c r="AA46" i="19"/>
  <c r="AA26" i="19"/>
  <c r="AA7" i="19"/>
  <c r="AA31" i="19"/>
  <c r="AA30" i="19"/>
  <c r="AA17" i="19"/>
  <c r="AA22" i="19"/>
  <c r="AA32" i="19"/>
  <c r="AA41" i="19"/>
  <c r="AA11" i="19"/>
  <c r="AA14" i="19"/>
  <c r="AA23" i="19"/>
  <c r="AA29" i="19"/>
  <c r="AA42" i="19"/>
  <c r="AA5" i="19"/>
  <c r="AA8" i="19"/>
  <c r="AA18" i="19"/>
  <c r="AA24" i="19"/>
  <c r="W16" i="19"/>
  <c r="W7" i="19"/>
  <c r="W15" i="19"/>
  <c r="W21" i="19"/>
  <c r="W40" i="19"/>
  <c r="W5" i="19"/>
  <c r="W25" i="19"/>
  <c r="W28" i="19"/>
  <c r="W44" i="19"/>
  <c r="W29" i="19"/>
  <c r="W32" i="19"/>
  <c r="W9" i="19"/>
  <c r="W26" i="19"/>
  <c r="W45" i="19"/>
  <c r="W38" i="19"/>
  <c r="W12" i="19"/>
  <c r="W14" i="19"/>
  <c r="W46" i="19"/>
  <c r="W22" i="19"/>
  <c r="W20" i="19"/>
  <c r="W24" i="19"/>
  <c r="W30" i="19"/>
  <c r="W33" i="19"/>
  <c r="S23" i="19"/>
  <c r="S32" i="19"/>
  <c r="S34" i="19"/>
  <c r="S39" i="19"/>
  <c r="S6" i="19"/>
  <c r="S28" i="19"/>
  <c r="S30" i="19"/>
  <c r="S15" i="19"/>
  <c r="S40" i="19"/>
  <c r="S45" i="19"/>
  <c r="S7" i="19"/>
  <c r="S33" i="19"/>
  <c r="S17" i="19"/>
  <c r="S24" i="19"/>
  <c r="S5" i="19"/>
  <c r="S10" i="19"/>
  <c r="S22" i="19"/>
  <c r="S31" i="19"/>
  <c r="S38" i="19"/>
  <c r="S12" i="19"/>
  <c r="S46" i="19"/>
  <c r="S25" i="19"/>
  <c r="S41" i="19"/>
  <c r="S8" i="19"/>
  <c r="S14" i="19"/>
  <c r="S20" i="19"/>
  <c r="O5" i="19"/>
  <c r="O35" i="19"/>
  <c r="O39" i="19"/>
  <c r="O9" i="19"/>
  <c r="O22" i="19"/>
  <c r="O26" i="19"/>
  <c r="O19" i="19"/>
  <c r="O32" i="19"/>
  <c r="O38" i="19"/>
  <c r="O6" i="19"/>
  <c r="O10" i="19"/>
  <c r="O44" i="19"/>
  <c r="K8" i="19"/>
  <c r="K24" i="19"/>
  <c r="K32" i="19"/>
  <c r="K40" i="19"/>
  <c r="K26" i="19"/>
  <c r="K42" i="19"/>
  <c r="K18" i="19"/>
  <c r="K16" i="19"/>
  <c r="K10" i="19"/>
  <c r="K34" i="19"/>
  <c r="K12" i="19"/>
  <c r="K38" i="19"/>
  <c r="G33" i="19"/>
  <c r="G41" i="19"/>
  <c r="G30" i="19"/>
  <c r="G46" i="19"/>
  <c r="G5" i="19"/>
  <c r="G17" i="19"/>
  <c r="G29" i="19"/>
  <c r="G8" i="19"/>
  <c r="G16" i="19"/>
  <c r="G6" i="19"/>
  <c r="G14" i="19"/>
  <c r="G22" i="19"/>
  <c r="G38" i="19"/>
  <c r="G13" i="19"/>
  <c r="G25" i="19"/>
  <c r="G40" i="19"/>
  <c r="G18" i="19"/>
  <c r="G26" i="19"/>
  <c r="G34" i="19"/>
  <c r="G9" i="19"/>
  <c r="G21" i="19"/>
  <c r="G24" i="19"/>
  <c r="G11" i="19"/>
  <c r="N60" i="10"/>
  <c r="D7" i="12" l="1"/>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 i="12"/>
  <c r="AM8" i="17"/>
  <c r="AN8" i="17" s="1"/>
  <c r="AM10" i="17"/>
  <c r="AN10" i="17" s="1"/>
  <c r="AM11" i="17"/>
  <c r="AN11" i="17" s="1"/>
  <c r="AM12" i="17"/>
  <c r="AN12" i="17" s="1"/>
  <c r="AM13" i="17"/>
  <c r="AN13" i="17" s="1"/>
  <c r="AM14" i="17"/>
  <c r="AN14" i="17" s="1"/>
  <c r="AM15" i="17"/>
  <c r="AM16" i="17"/>
  <c r="AN16" i="17" s="1"/>
  <c r="AM17" i="17"/>
  <c r="AN17" i="17" s="1"/>
  <c r="AM18" i="17"/>
  <c r="AN18" i="17" s="1"/>
  <c r="AM19" i="17"/>
  <c r="AN19" i="17" s="1"/>
  <c r="AM20" i="17"/>
  <c r="AN20" i="17" s="1"/>
  <c r="AM21" i="17"/>
  <c r="AM22" i="17"/>
  <c r="AN22" i="17" s="1"/>
  <c r="AM23" i="17"/>
  <c r="AN23" i="17" s="1"/>
  <c r="AM24" i="17"/>
  <c r="AN24" i="17" s="1"/>
  <c r="AM25" i="17"/>
  <c r="AN25" i="17" s="1"/>
  <c r="AM26" i="17"/>
  <c r="AN26" i="17" s="1"/>
  <c r="AM27" i="17"/>
  <c r="AM28" i="17"/>
  <c r="AN28" i="17" s="1"/>
  <c r="AM29" i="17"/>
  <c r="AN29" i="17" s="1"/>
  <c r="AM30" i="17"/>
  <c r="AN30" i="17" s="1"/>
  <c r="AM31" i="17"/>
  <c r="AN31" i="17" s="1"/>
  <c r="AN32" i="17"/>
  <c r="AM33" i="17"/>
  <c r="AM34" i="17"/>
  <c r="AN34" i="17" s="1"/>
  <c r="AM35" i="17"/>
  <c r="AN35" i="17" s="1"/>
  <c r="AM36" i="17"/>
  <c r="AN36" i="17" s="1"/>
  <c r="AM37" i="17"/>
  <c r="AN37" i="17" s="1"/>
  <c r="AM38" i="17"/>
  <c r="AN38" i="17" s="1"/>
  <c r="AM39" i="17"/>
  <c r="AM40" i="17"/>
  <c r="AN40" i="17" s="1"/>
  <c r="AM41" i="17"/>
  <c r="AN41" i="17" s="1"/>
  <c r="AM42" i="17"/>
  <c r="AN42" i="17" s="1"/>
  <c r="AM43" i="17"/>
  <c r="AN43" i="17" s="1"/>
  <c r="AM44" i="17"/>
  <c r="AN44" i="17" s="1"/>
  <c r="AM45" i="17"/>
  <c r="AM46" i="17"/>
  <c r="AN46" i="17" s="1"/>
  <c r="AM47" i="17"/>
  <c r="AN47" i="17" s="1"/>
  <c r="AM48" i="17"/>
  <c r="AN48" i="17" s="1"/>
  <c r="AM49" i="17"/>
  <c r="AN49" i="17" s="1"/>
  <c r="AM50" i="17"/>
  <c r="AN50" i="17" l="1"/>
  <c r="AN9" i="17"/>
  <c r="AN45" i="17"/>
  <c r="AN39" i="17"/>
  <c r="AN33" i="17"/>
  <c r="AN27" i="17"/>
  <c r="AN21" i="17"/>
  <c r="AN15" i="17"/>
  <c r="AO15" i="17" l="1"/>
  <c r="AO9" i="17"/>
  <c r="AO21" i="17"/>
  <c r="AO35" i="17"/>
  <c r="AO30" i="17"/>
  <c r="AO25" i="17"/>
  <c r="AO20" i="17"/>
  <c r="AO14" i="17"/>
  <c r="AO27" i="17"/>
  <c r="AO46" i="17"/>
  <c r="AO41" i="17"/>
  <c r="AO36" i="17"/>
  <c r="AO31" i="17"/>
  <c r="AO26" i="17"/>
  <c r="AO29" i="17"/>
  <c r="AO33" i="17"/>
  <c r="AO11" i="17"/>
  <c r="AO47" i="17"/>
  <c r="AO42" i="17"/>
  <c r="AO37" i="17"/>
  <c r="AO32" i="17"/>
  <c r="AO34" i="17"/>
  <c r="AO19" i="17"/>
  <c r="AO40" i="17"/>
  <c r="AO39" i="17"/>
  <c r="AO16" i="17"/>
  <c r="AO17" i="17"/>
  <c r="AO12" i="17"/>
  <c r="AO48" i="17"/>
  <c r="AO43" i="17"/>
  <c r="AO38" i="17"/>
  <c r="AO24" i="17"/>
  <c r="AO50" i="17"/>
  <c r="AO22" i="17"/>
  <c r="AO10" i="17"/>
  <c r="AO45" i="17"/>
  <c r="AO28" i="17"/>
  <c r="AO23" i="17"/>
  <c r="AO18" i="17"/>
  <c r="AO13" i="17"/>
  <c r="AO49" i="17"/>
  <c r="AO44" i="17"/>
  <c r="AH8" i="17"/>
  <c r="AI8" i="17" s="1"/>
  <c r="AC8" i="17"/>
  <c r="AD8" i="17" s="1"/>
  <c r="X8" i="17"/>
  <c r="Y8" i="17" s="1"/>
  <c r="S8" i="17"/>
  <c r="T8" i="17" s="1"/>
  <c r="N8" i="17"/>
  <c r="O8" i="17" s="1"/>
  <c r="I8" i="17"/>
  <c r="J8" i="17" s="1"/>
  <c r="D8" i="17"/>
  <c r="E8" i="17" s="1"/>
  <c r="D9" i="17"/>
  <c r="E9" i="17" s="1"/>
  <c r="D14" i="17" l="1"/>
  <c r="E14" i="17" s="1"/>
  <c r="AH10" i="17" l="1"/>
  <c r="AI10" i="17" s="1"/>
  <c r="AH11" i="17"/>
  <c r="AI11" i="17" s="1"/>
  <c r="AH12" i="17"/>
  <c r="AI12" i="17" s="1"/>
  <c r="AH13" i="17"/>
  <c r="AI13" i="17" s="1"/>
  <c r="AH14" i="17"/>
  <c r="AI14" i="17" s="1"/>
  <c r="AH15" i="17"/>
  <c r="AI15" i="17" s="1"/>
  <c r="AH16" i="17"/>
  <c r="AI16" i="17" s="1"/>
  <c r="AH17" i="17"/>
  <c r="AI17" i="17" s="1"/>
  <c r="AH18" i="17"/>
  <c r="AI18" i="17" s="1"/>
  <c r="AH19" i="17"/>
  <c r="AI19" i="17" s="1"/>
  <c r="AH20" i="17"/>
  <c r="AI20" i="17" s="1"/>
  <c r="AH21" i="17"/>
  <c r="AI21" i="17" s="1"/>
  <c r="AH22" i="17"/>
  <c r="AI22" i="17" s="1"/>
  <c r="AH23" i="17"/>
  <c r="AI23" i="17" s="1"/>
  <c r="AH24" i="17"/>
  <c r="AI24" i="17" s="1"/>
  <c r="AH25" i="17"/>
  <c r="AI25" i="17" s="1"/>
  <c r="AH26" i="17"/>
  <c r="AI26" i="17" s="1"/>
  <c r="AH27" i="17"/>
  <c r="AI27" i="17" s="1"/>
  <c r="AH28" i="17"/>
  <c r="AI28" i="17" s="1"/>
  <c r="AH29" i="17"/>
  <c r="AI29" i="17" s="1"/>
  <c r="AH30" i="17"/>
  <c r="AI30" i="17" s="1"/>
  <c r="AH31" i="17"/>
  <c r="AI31" i="17" s="1"/>
  <c r="AI32" i="17"/>
  <c r="AH33" i="17"/>
  <c r="AI33" i="17" s="1"/>
  <c r="AH34" i="17"/>
  <c r="AI34" i="17" s="1"/>
  <c r="AH35" i="17"/>
  <c r="AI35" i="17" s="1"/>
  <c r="AH36" i="17"/>
  <c r="AI36" i="17" s="1"/>
  <c r="AH37" i="17"/>
  <c r="AI37" i="17" s="1"/>
  <c r="AH38" i="17"/>
  <c r="AI38" i="17" s="1"/>
  <c r="AH39" i="17"/>
  <c r="AI39" i="17" s="1"/>
  <c r="AH40" i="17"/>
  <c r="AI40" i="17" s="1"/>
  <c r="AH41" i="17"/>
  <c r="AI41" i="17" s="1"/>
  <c r="AH42" i="17"/>
  <c r="AI42" i="17" s="1"/>
  <c r="AH43" i="17"/>
  <c r="AI43" i="17" s="1"/>
  <c r="AH44" i="17"/>
  <c r="AI44" i="17" s="1"/>
  <c r="AH45" i="17"/>
  <c r="AI45" i="17" s="1"/>
  <c r="AH46" i="17"/>
  <c r="AI46" i="17" s="1"/>
  <c r="AH47" i="17"/>
  <c r="AI47" i="17" s="1"/>
  <c r="AH48" i="17"/>
  <c r="AI48" i="17" s="1"/>
  <c r="AH49" i="17"/>
  <c r="AI49" i="17" s="1"/>
  <c r="AH50" i="17"/>
  <c r="AI50" i="17" s="1"/>
  <c r="AH9" i="17"/>
  <c r="AI9" i="17" s="1"/>
  <c r="AC10" i="17"/>
  <c r="AD10" i="17" s="1"/>
  <c r="AC11" i="17"/>
  <c r="AD11" i="17" s="1"/>
  <c r="AC12" i="17"/>
  <c r="AD12" i="17" s="1"/>
  <c r="AC13" i="17"/>
  <c r="AD13" i="17" s="1"/>
  <c r="AC14" i="17"/>
  <c r="AD14" i="17" s="1"/>
  <c r="AC15" i="17"/>
  <c r="AD15" i="17" s="1"/>
  <c r="AC16" i="17"/>
  <c r="AD16" i="17" s="1"/>
  <c r="AC17" i="17"/>
  <c r="AD17" i="17" s="1"/>
  <c r="AC18" i="17"/>
  <c r="AD18" i="17" s="1"/>
  <c r="AC19" i="17"/>
  <c r="AD19" i="17" s="1"/>
  <c r="AC20" i="17"/>
  <c r="AD20" i="17" s="1"/>
  <c r="AC21" i="17"/>
  <c r="AD21" i="17" s="1"/>
  <c r="AC22" i="17"/>
  <c r="AD22" i="17" s="1"/>
  <c r="AC23" i="17"/>
  <c r="AD23" i="17" s="1"/>
  <c r="AC24" i="17"/>
  <c r="AD24" i="17" s="1"/>
  <c r="AC25" i="17"/>
  <c r="AD25" i="17" s="1"/>
  <c r="AC26" i="17"/>
  <c r="AD26" i="17" s="1"/>
  <c r="AC27" i="17"/>
  <c r="AD27" i="17" s="1"/>
  <c r="AC28" i="17"/>
  <c r="AD28" i="17" s="1"/>
  <c r="AC29" i="17"/>
  <c r="AD29" i="17" s="1"/>
  <c r="AC30" i="17"/>
  <c r="AD30" i="17" s="1"/>
  <c r="AC31" i="17"/>
  <c r="AD31" i="17" s="1"/>
  <c r="AD32" i="17"/>
  <c r="AC33" i="17"/>
  <c r="AD33" i="17" s="1"/>
  <c r="AC34" i="17"/>
  <c r="AD34" i="17" s="1"/>
  <c r="AC35" i="17"/>
  <c r="AD35" i="17" s="1"/>
  <c r="AC36" i="17"/>
  <c r="AD36" i="17" s="1"/>
  <c r="AC37" i="17"/>
  <c r="AD37" i="17" s="1"/>
  <c r="AC38" i="17"/>
  <c r="AD38" i="17" s="1"/>
  <c r="AC39" i="17"/>
  <c r="AD39" i="17" s="1"/>
  <c r="AC40" i="17"/>
  <c r="AD40" i="17" s="1"/>
  <c r="AC41" i="17"/>
  <c r="AD41" i="17" s="1"/>
  <c r="AC42" i="17"/>
  <c r="AD42" i="17" s="1"/>
  <c r="AC43" i="17"/>
  <c r="AD43" i="17" s="1"/>
  <c r="AC44" i="17"/>
  <c r="AD44" i="17" s="1"/>
  <c r="AC45" i="17"/>
  <c r="AD45" i="17" s="1"/>
  <c r="AC46" i="17"/>
  <c r="AD46" i="17" s="1"/>
  <c r="AC47" i="17"/>
  <c r="AD47" i="17" s="1"/>
  <c r="AC48" i="17"/>
  <c r="AD48" i="17" s="1"/>
  <c r="AC49" i="17"/>
  <c r="AD49" i="17" s="1"/>
  <c r="AC50" i="17"/>
  <c r="AD50" i="17" s="1"/>
  <c r="AC9" i="17"/>
  <c r="AD9" i="17" s="1"/>
  <c r="X10" i="17"/>
  <c r="Y10" i="17" s="1"/>
  <c r="X11" i="17"/>
  <c r="Y11" i="17" s="1"/>
  <c r="X12" i="17"/>
  <c r="Y12" i="17" s="1"/>
  <c r="X13" i="17"/>
  <c r="Y13" i="17" s="1"/>
  <c r="X14" i="17"/>
  <c r="Y14" i="17" s="1"/>
  <c r="X15" i="17"/>
  <c r="Y15" i="17" s="1"/>
  <c r="X16" i="17"/>
  <c r="Y16" i="17" s="1"/>
  <c r="X17" i="17"/>
  <c r="Y17" i="17" s="1"/>
  <c r="X18" i="17"/>
  <c r="Y18" i="17" s="1"/>
  <c r="X19" i="17"/>
  <c r="Y19" i="17" s="1"/>
  <c r="X20" i="17"/>
  <c r="Y20" i="17" s="1"/>
  <c r="X21" i="17"/>
  <c r="Y21" i="17" s="1"/>
  <c r="X22" i="17"/>
  <c r="Y22" i="17" s="1"/>
  <c r="X23" i="17"/>
  <c r="Y23" i="17" s="1"/>
  <c r="X24" i="17"/>
  <c r="Y24" i="17" s="1"/>
  <c r="X25" i="17"/>
  <c r="Y25" i="17" s="1"/>
  <c r="X26" i="17"/>
  <c r="Y26" i="17" s="1"/>
  <c r="X27" i="17"/>
  <c r="Y27" i="17" s="1"/>
  <c r="X28" i="17"/>
  <c r="Y28" i="17" s="1"/>
  <c r="X29" i="17"/>
  <c r="Y29" i="17" s="1"/>
  <c r="X30" i="17"/>
  <c r="Y30" i="17" s="1"/>
  <c r="X31" i="17"/>
  <c r="Y31" i="17" s="1"/>
  <c r="Y32" i="17"/>
  <c r="X33" i="17"/>
  <c r="Y33" i="17" s="1"/>
  <c r="X34" i="17"/>
  <c r="Y34" i="17" s="1"/>
  <c r="X35" i="17"/>
  <c r="Y35" i="17" s="1"/>
  <c r="X36" i="17"/>
  <c r="Y36" i="17" s="1"/>
  <c r="X37" i="17"/>
  <c r="Y37" i="17" s="1"/>
  <c r="X38" i="17"/>
  <c r="Y38" i="17" s="1"/>
  <c r="X39" i="17"/>
  <c r="Y39" i="17" s="1"/>
  <c r="X40" i="17"/>
  <c r="Y40" i="17" s="1"/>
  <c r="X41" i="17"/>
  <c r="Y41" i="17" s="1"/>
  <c r="X42" i="17"/>
  <c r="Y42" i="17" s="1"/>
  <c r="X43" i="17"/>
  <c r="Y43" i="17" s="1"/>
  <c r="X44" i="17"/>
  <c r="Y44" i="17" s="1"/>
  <c r="X45" i="17"/>
  <c r="Y45" i="17" s="1"/>
  <c r="X46" i="17"/>
  <c r="Y46" i="17" s="1"/>
  <c r="X47" i="17"/>
  <c r="Y47" i="17" s="1"/>
  <c r="X48" i="17"/>
  <c r="Y48" i="17" s="1"/>
  <c r="X49" i="17"/>
  <c r="Y49" i="17" s="1"/>
  <c r="X50" i="17"/>
  <c r="Y50" i="17" s="1"/>
  <c r="X9" i="17"/>
  <c r="Y9" i="17" s="1"/>
  <c r="G8" i="11"/>
  <c r="N8" i="11" s="1"/>
  <c r="S10" i="17"/>
  <c r="T10" i="17" s="1"/>
  <c r="S11" i="17"/>
  <c r="T11" i="17" s="1"/>
  <c r="S12" i="17"/>
  <c r="T12" i="17" s="1"/>
  <c r="S13" i="17"/>
  <c r="T13" i="17" s="1"/>
  <c r="S14" i="17"/>
  <c r="T14" i="17" s="1"/>
  <c r="S15" i="17"/>
  <c r="T15" i="17" s="1"/>
  <c r="S16" i="17"/>
  <c r="T16" i="17" s="1"/>
  <c r="S17" i="17"/>
  <c r="T17" i="17" s="1"/>
  <c r="S18" i="17"/>
  <c r="T18" i="17" s="1"/>
  <c r="S19" i="17"/>
  <c r="T19" i="17" s="1"/>
  <c r="S20" i="17"/>
  <c r="T20" i="17" s="1"/>
  <c r="S21" i="17"/>
  <c r="T21" i="17" s="1"/>
  <c r="S22" i="17"/>
  <c r="T22" i="17" s="1"/>
  <c r="S23" i="17"/>
  <c r="T23" i="17" s="1"/>
  <c r="S24" i="17"/>
  <c r="T24" i="17" s="1"/>
  <c r="S25" i="17"/>
  <c r="T25" i="17" s="1"/>
  <c r="S26" i="17"/>
  <c r="T26" i="17" s="1"/>
  <c r="S27" i="17"/>
  <c r="T27" i="17" s="1"/>
  <c r="S28" i="17"/>
  <c r="T28" i="17" s="1"/>
  <c r="S29" i="17"/>
  <c r="T29" i="17" s="1"/>
  <c r="S30" i="17"/>
  <c r="T30" i="17" s="1"/>
  <c r="S31" i="17"/>
  <c r="T31" i="17" s="1"/>
  <c r="T32" i="17"/>
  <c r="S33" i="17"/>
  <c r="T33" i="17" s="1"/>
  <c r="S34" i="17"/>
  <c r="T34" i="17" s="1"/>
  <c r="S35" i="17"/>
  <c r="T35" i="17" s="1"/>
  <c r="S36" i="17"/>
  <c r="T36" i="17" s="1"/>
  <c r="S37" i="17"/>
  <c r="T37" i="17" s="1"/>
  <c r="S38" i="17"/>
  <c r="T38" i="17" s="1"/>
  <c r="S39" i="17"/>
  <c r="T39" i="17" s="1"/>
  <c r="S40" i="17"/>
  <c r="T40" i="17" s="1"/>
  <c r="S41" i="17"/>
  <c r="T41" i="17" s="1"/>
  <c r="S42" i="17"/>
  <c r="T42" i="17" s="1"/>
  <c r="S43" i="17"/>
  <c r="T43" i="17" s="1"/>
  <c r="S44" i="17"/>
  <c r="T44" i="17" s="1"/>
  <c r="S45" i="17"/>
  <c r="T45" i="17" s="1"/>
  <c r="S46" i="17"/>
  <c r="T46" i="17" s="1"/>
  <c r="S47" i="17"/>
  <c r="T47" i="17" s="1"/>
  <c r="S48" i="17"/>
  <c r="T48" i="17" s="1"/>
  <c r="S49" i="17"/>
  <c r="T49" i="17" s="1"/>
  <c r="S50" i="17"/>
  <c r="T50" i="17" s="1"/>
  <c r="S9" i="17"/>
  <c r="T9" i="17" s="1"/>
  <c r="F8" i="11"/>
  <c r="N10" i="17"/>
  <c r="O10" i="17" s="1"/>
  <c r="N11" i="17"/>
  <c r="O11" i="17" s="1"/>
  <c r="N12" i="17"/>
  <c r="O12" i="17" s="1"/>
  <c r="N13" i="17"/>
  <c r="O13" i="17" s="1"/>
  <c r="N14" i="17"/>
  <c r="O14" i="17" s="1"/>
  <c r="N15" i="17"/>
  <c r="O15" i="17" s="1"/>
  <c r="N16" i="17"/>
  <c r="O16" i="17" s="1"/>
  <c r="N17" i="17"/>
  <c r="O17" i="17" s="1"/>
  <c r="N18" i="17"/>
  <c r="O18" i="17" s="1"/>
  <c r="N19" i="17"/>
  <c r="O19" i="17" s="1"/>
  <c r="N20" i="17"/>
  <c r="O20" i="17" s="1"/>
  <c r="N21" i="17"/>
  <c r="O21" i="17" s="1"/>
  <c r="N22" i="17"/>
  <c r="O22" i="17" s="1"/>
  <c r="N23" i="17"/>
  <c r="O23" i="17" s="1"/>
  <c r="N24" i="17"/>
  <c r="O24" i="17" s="1"/>
  <c r="N25" i="17"/>
  <c r="O25" i="17" s="1"/>
  <c r="N26" i="17"/>
  <c r="O26" i="17" s="1"/>
  <c r="N27" i="17"/>
  <c r="O27" i="17" s="1"/>
  <c r="N28" i="17"/>
  <c r="O28" i="17" s="1"/>
  <c r="N29" i="17"/>
  <c r="O29" i="17" s="1"/>
  <c r="N30" i="17"/>
  <c r="O30" i="17" s="1"/>
  <c r="N31" i="17"/>
  <c r="O31" i="17" s="1"/>
  <c r="O32" i="17"/>
  <c r="N33" i="17"/>
  <c r="O33" i="17" s="1"/>
  <c r="N34" i="17"/>
  <c r="O34" i="17" s="1"/>
  <c r="N35" i="17"/>
  <c r="O35" i="17" s="1"/>
  <c r="N36" i="17"/>
  <c r="O36" i="17" s="1"/>
  <c r="N37" i="17"/>
  <c r="O37" i="17" s="1"/>
  <c r="N38" i="17"/>
  <c r="O38" i="17" s="1"/>
  <c r="N39" i="17"/>
  <c r="O39" i="17" s="1"/>
  <c r="N40" i="17"/>
  <c r="O40" i="17" s="1"/>
  <c r="N41" i="17"/>
  <c r="O41" i="17" s="1"/>
  <c r="N42" i="17"/>
  <c r="O42" i="17" s="1"/>
  <c r="N43" i="17"/>
  <c r="O43" i="17" s="1"/>
  <c r="N44" i="17"/>
  <c r="O44" i="17" s="1"/>
  <c r="N45" i="17"/>
  <c r="O45" i="17" s="1"/>
  <c r="N46" i="17"/>
  <c r="O46" i="17" s="1"/>
  <c r="N47" i="17"/>
  <c r="O47" i="17" s="1"/>
  <c r="N48" i="17"/>
  <c r="O48" i="17" s="1"/>
  <c r="N49" i="17"/>
  <c r="O49" i="17" s="1"/>
  <c r="N50" i="17"/>
  <c r="O50" i="17" s="1"/>
  <c r="N9" i="17"/>
  <c r="O9" i="17" s="1"/>
  <c r="E8" i="11"/>
  <c r="I10" i="17"/>
  <c r="J10" i="17" s="1"/>
  <c r="I11" i="17"/>
  <c r="J11" i="17" s="1"/>
  <c r="I12" i="17"/>
  <c r="J12" i="17" s="1"/>
  <c r="I13" i="17"/>
  <c r="J13" i="17" s="1"/>
  <c r="I14" i="17"/>
  <c r="J14" i="17" s="1"/>
  <c r="I15" i="17"/>
  <c r="J15" i="17" s="1"/>
  <c r="I16" i="17"/>
  <c r="J16" i="17" s="1"/>
  <c r="I17" i="17"/>
  <c r="J17" i="17" s="1"/>
  <c r="I18" i="17"/>
  <c r="J18" i="17" s="1"/>
  <c r="I19" i="17"/>
  <c r="J19" i="17" s="1"/>
  <c r="I20" i="17"/>
  <c r="J20" i="17" s="1"/>
  <c r="I21" i="17"/>
  <c r="J21" i="17" s="1"/>
  <c r="I22" i="17"/>
  <c r="J22" i="17" s="1"/>
  <c r="I23" i="17"/>
  <c r="J23" i="17" s="1"/>
  <c r="I24" i="17"/>
  <c r="J24" i="17" s="1"/>
  <c r="I25" i="17"/>
  <c r="J25" i="17" s="1"/>
  <c r="I26" i="17"/>
  <c r="J26" i="17" s="1"/>
  <c r="I27" i="17"/>
  <c r="J27" i="17" s="1"/>
  <c r="I28" i="17"/>
  <c r="J28" i="17" s="1"/>
  <c r="I29" i="17"/>
  <c r="J29" i="17" s="1"/>
  <c r="I30" i="17"/>
  <c r="J30" i="17" s="1"/>
  <c r="I31" i="17"/>
  <c r="J31" i="17" s="1"/>
  <c r="J32" i="17"/>
  <c r="I33" i="17"/>
  <c r="J33" i="17" s="1"/>
  <c r="I34" i="17"/>
  <c r="J34" i="17" s="1"/>
  <c r="I35" i="17"/>
  <c r="J35" i="17" s="1"/>
  <c r="I36" i="17"/>
  <c r="J36" i="17" s="1"/>
  <c r="I37" i="17"/>
  <c r="J37" i="17" s="1"/>
  <c r="I38" i="17"/>
  <c r="J38" i="17" s="1"/>
  <c r="I39" i="17"/>
  <c r="J39" i="17" s="1"/>
  <c r="I40" i="17"/>
  <c r="J40" i="17" s="1"/>
  <c r="I41" i="17"/>
  <c r="J41" i="17" s="1"/>
  <c r="I42" i="17"/>
  <c r="J42" i="17" s="1"/>
  <c r="I43" i="17"/>
  <c r="J43" i="17" s="1"/>
  <c r="I44" i="17"/>
  <c r="J44" i="17" s="1"/>
  <c r="I45" i="17"/>
  <c r="J45" i="17" s="1"/>
  <c r="I46" i="17"/>
  <c r="J46" i="17" s="1"/>
  <c r="I47" i="17"/>
  <c r="J47" i="17" s="1"/>
  <c r="I48" i="17"/>
  <c r="J48" i="17" s="1"/>
  <c r="I49" i="17"/>
  <c r="J49" i="17" s="1"/>
  <c r="I50" i="17"/>
  <c r="J50" i="17" s="1"/>
  <c r="I9" i="17"/>
  <c r="J9" i="17" s="1"/>
  <c r="D8" i="11"/>
  <c r="D10" i="17"/>
  <c r="E10" i="17" s="1"/>
  <c r="D11" i="17"/>
  <c r="E11" i="17" s="1"/>
  <c r="D12" i="17"/>
  <c r="E12" i="17" s="1"/>
  <c r="D13" i="17"/>
  <c r="E13" i="17" s="1"/>
  <c r="D15" i="17"/>
  <c r="E15" i="17" s="1"/>
  <c r="D16" i="17"/>
  <c r="E16" i="17" s="1"/>
  <c r="D17" i="17"/>
  <c r="E17" i="17" s="1"/>
  <c r="D18" i="17"/>
  <c r="E18" i="17" s="1"/>
  <c r="D19" i="17"/>
  <c r="E19" i="17" s="1"/>
  <c r="D20" i="17"/>
  <c r="E20" i="17" s="1"/>
  <c r="D21" i="17"/>
  <c r="E21" i="17" s="1"/>
  <c r="D22" i="17"/>
  <c r="E22" i="17" s="1"/>
  <c r="D23" i="17"/>
  <c r="E23" i="17" s="1"/>
  <c r="D24" i="17"/>
  <c r="E24" i="17" s="1"/>
  <c r="D25" i="17"/>
  <c r="E25" i="17" s="1"/>
  <c r="D26" i="17"/>
  <c r="E26" i="17" s="1"/>
  <c r="D27" i="17"/>
  <c r="E27" i="17" s="1"/>
  <c r="D28" i="17"/>
  <c r="E28" i="17" s="1"/>
  <c r="D29" i="17"/>
  <c r="E29" i="17" s="1"/>
  <c r="D30" i="17"/>
  <c r="E30" i="17" s="1"/>
  <c r="D31" i="17"/>
  <c r="E31" i="17" s="1"/>
  <c r="E32" i="17"/>
  <c r="D33" i="17"/>
  <c r="E33" i="17" s="1"/>
  <c r="D34" i="17"/>
  <c r="E34" i="17" s="1"/>
  <c r="D35" i="17"/>
  <c r="E35" i="17" s="1"/>
  <c r="D36" i="17"/>
  <c r="E36" i="17" s="1"/>
  <c r="D37" i="17"/>
  <c r="E37" i="17" s="1"/>
  <c r="D38" i="17"/>
  <c r="E38" i="17" s="1"/>
  <c r="D39" i="17"/>
  <c r="E39" i="17" s="1"/>
  <c r="D40" i="17"/>
  <c r="E40" i="17" s="1"/>
  <c r="D41" i="17"/>
  <c r="E41" i="17" s="1"/>
  <c r="D42" i="17"/>
  <c r="E42" i="17" s="1"/>
  <c r="D43" i="17"/>
  <c r="E43" i="17" s="1"/>
  <c r="D44" i="17"/>
  <c r="E44" i="17" s="1"/>
  <c r="D45" i="17"/>
  <c r="E45" i="17" s="1"/>
  <c r="D46" i="17"/>
  <c r="E46" i="17" s="1"/>
  <c r="D47" i="17"/>
  <c r="E47" i="17" s="1"/>
  <c r="D48" i="17"/>
  <c r="E48" i="17" s="1"/>
  <c r="D49" i="17"/>
  <c r="E49" i="17" s="1"/>
  <c r="D50" i="17"/>
  <c r="E50" i="17" s="1"/>
  <c r="C8" i="11"/>
  <c r="AJ48" i="17" l="1"/>
  <c r="AE45" i="17"/>
  <c r="AE49" i="17"/>
  <c r="AE41" i="17"/>
  <c r="AJ44" i="17"/>
  <c r="AE33" i="17"/>
  <c r="AE21" i="17"/>
  <c r="AE13" i="17"/>
  <c r="AJ36" i="17"/>
  <c r="AJ28" i="17"/>
  <c r="AJ20" i="17"/>
  <c r="AJ16" i="17"/>
  <c r="AE47" i="17"/>
  <c r="AE31" i="17"/>
  <c r="AJ43" i="17"/>
  <c r="AJ27" i="17"/>
  <c r="AE48" i="17"/>
  <c r="AE44" i="17"/>
  <c r="AE40" i="17"/>
  <c r="AE36" i="17"/>
  <c r="AE32" i="17"/>
  <c r="AE28" i="17"/>
  <c r="AE24" i="17"/>
  <c r="AE20" i="17"/>
  <c r="AE16" i="17"/>
  <c r="AE12" i="17"/>
  <c r="AE43" i="17"/>
  <c r="AE27" i="17"/>
  <c r="AE11" i="17"/>
  <c r="AJ39" i="17"/>
  <c r="AJ23" i="17"/>
  <c r="AE37" i="17"/>
  <c r="AE25" i="17"/>
  <c r="AE17" i="17"/>
  <c r="AJ40" i="17"/>
  <c r="AJ32" i="17"/>
  <c r="AJ24" i="17"/>
  <c r="AJ12" i="17"/>
  <c r="AE15" i="17"/>
  <c r="AJ50" i="17"/>
  <c r="AJ46" i="17"/>
  <c r="AJ42" i="17"/>
  <c r="AJ38" i="17"/>
  <c r="AJ34" i="17"/>
  <c r="AJ30" i="17"/>
  <c r="AJ26" i="17"/>
  <c r="AJ22" i="17"/>
  <c r="AJ18" i="17"/>
  <c r="AJ14" i="17"/>
  <c r="AJ10" i="17"/>
  <c r="AE39" i="17"/>
  <c r="AE23" i="17"/>
  <c r="AJ9" i="17"/>
  <c r="AJ35" i="17"/>
  <c r="AJ19" i="17"/>
  <c r="AE29" i="17"/>
  <c r="AE50" i="17"/>
  <c r="AE46" i="17"/>
  <c r="AE42" i="17"/>
  <c r="AE38" i="17"/>
  <c r="AE34" i="17"/>
  <c r="AE30" i="17"/>
  <c r="AE26" i="17"/>
  <c r="AE22" i="17"/>
  <c r="AE18" i="17"/>
  <c r="AE14" i="17"/>
  <c r="AE10" i="17"/>
  <c r="AJ49" i="17"/>
  <c r="AJ45" i="17"/>
  <c r="AJ41" i="17"/>
  <c r="AJ37" i="17"/>
  <c r="AJ33" i="17"/>
  <c r="AJ29" i="17"/>
  <c r="AJ25" i="17"/>
  <c r="AJ21" i="17"/>
  <c r="AJ17" i="17"/>
  <c r="AJ13" i="17"/>
  <c r="AE9" i="17"/>
  <c r="AE35" i="17"/>
  <c r="AE19" i="17"/>
  <c r="AJ47" i="17"/>
  <c r="AJ31" i="17"/>
  <c r="AJ15" i="17"/>
  <c r="AJ11" i="17"/>
  <c r="Z9" i="17"/>
  <c r="Z45" i="17"/>
  <c r="Z39" i="17"/>
  <c r="Z33" i="17"/>
  <c r="Z21" i="17"/>
  <c r="Z15" i="17"/>
  <c r="Z50" i="17"/>
  <c r="Z44" i="17"/>
  <c r="Z38" i="17"/>
  <c r="Z32" i="17"/>
  <c r="Z26" i="17"/>
  <c r="Z20" i="17"/>
  <c r="Z14" i="17"/>
  <c r="Z49" i="17"/>
  <c r="Z43" i="17"/>
  <c r="Z37" i="17"/>
  <c r="Z31" i="17"/>
  <c r="Z25" i="17"/>
  <c r="Z19" i="17"/>
  <c r="Z13" i="17"/>
  <c r="Z48" i="17"/>
  <c r="Z30" i="17"/>
  <c r="Z18" i="17"/>
  <c r="Z47" i="17"/>
  <c r="Z41" i="17"/>
  <c r="Z35" i="17"/>
  <c r="Z29" i="17"/>
  <c r="Z23" i="17"/>
  <c r="Z17" i="17"/>
  <c r="Z11" i="17"/>
  <c r="Z27" i="17"/>
  <c r="Z42" i="17"/>
  <c r="Z36" i="17"/>
  <c r="Z24" i="17"/>
  <c r="Z12" i="17"/>
  <c r="Z46" i="17"/>
  <c r="Z40" i="17"/>
  <c r="Z34" i="17"/>
  <c r="Z28" i="17"/>
  <c r="Z22" i="17"/>
  <c r="Z16" i="17"/>
  <c r="Z10" i="17"/>
  <c r="P50" i="17"/>
  <c r="P44" i="17"/>
  <c r="U9" i="17"/>
  <c r="U45" i="17"/>
  <c r="U33" i="17"/>
  <c r="U15" i="17"/>
  <c r="U50" i="17"/>
  <c r="U44" i="17"/>
  <c r="U38" i="17"/>
  <c r="U32" i="17"/>
  <c r="U26" i="17"/>
  <c r="U20" i="17"/>
  <c r="U14" i="17"/>
  <c r="U49" i="17"/>
  <c r="U43" i="17"/>
  <c r="U37" i="17"/>
  <c r="U31" i="17"/>
  <c r="U25" i="17"/>
  <c r="U19" i="17"/>
  <c r="U13" i="17"/>
  <c r="U27" i="17"/>
  <c r="U42" i="17"/>
  <c r="U30" i="17"/>
  <c r="U18" i="17"/>
  <c r="U47" i="17"/>
  <c r="U35" i="17"/>
  <c r="U29" i="17"/>
  <c r="U23" i="17"/>
  <c r="U17" i="17"/>
  <c r="U11" i="17"/>
  <c r="U39" i="17"/>
  <c r="U21" i="17"/>
  <c r="U48" i="17"/>
  <c r="U36" i="17"/>
  <c r="U24" i="17"/>
  <c r="U12" i="17"/>
  <c r="U41" i="17"/>
  <c r="U46" i="17"/>
  <c r="U40" i="17"/>
  <c r="U34" i="17"/>
  <c r="U28" i="17"/>
  <c r="U22" i="17"/>
  <c r="U16" i="17"/>
  <c r="U10" i="17"/>
  <c r="P26" i="17"/>
  <c r="P37" i="17"/>
  <c r="P19" i="17"/>
  <c r="P13" i="17"/>
  <c r="P48" i="17"/>
  <c r="P42" i="17"/>
  <c r="P36" i="17"/>
  <c r="P30" i="17"/>
  <c r="P24" i="17"/>
  <c r="P18" i="17"/>
  <c r="P12" i="17"/>
  <c r="P38" i="17"/>
  <c r="P20" i="17"/>
  <c r="P49" i="17"/>
  <c r="P31" i="17"/>
  <c r="P41" i="17"/>
  <c r="P35" i="17"/>
  <c r="P23" i="17"/>
  <c r="P11" i="17"/>
  <c r="P46" i="17"/>
  <c r="P40" i="17"/>
  <c r="P34" i="17"/>
  <c r="P28" i="17"/>
  <c r="P22" i="17"/>
  <c r="P16" i="17"/>
  <c r="P10" i="17"/>
  <c r="P32" i="17"/>
  <c r="P14" i="17"/>
  <c r="P43" i="17"/>
  <c r="P25" i="17"/>
  <c r="P47" i="17"/>
  <c r="P29" i="17"/>
  <c r="P17" i="17"/>
  <c r="F49" i="17"/>
  <c r="F43" i="17"/>
  <c r="F37" i="17"/>
  <c r="P9" i="17"/>
  <c r="P45" i="17"/>
  <c r="P39" i="17"/>
  <c r="P33" i="17"/>
  <c r="P27" i="17"/>
  <c r="P21" i="17"/>
  <c r="P15" i="17"/>
  <c r="F19" i="17"/>
  <c r="F35" i="17"/>
  <c r="F17" i="17"/>
  <c r="F46" i="17"/>
  <c r="F34" i="17"/>
  <c r="F16" i="17"/>
  <c r="F10" i="17"/>
  <c r="F31" i="17"/>
  <c r="F42" i="17"/>
  <c r="F41" i="17"/>
  <c r="F23" i="17"/>
  <c r="F40" i="17"/>
  <c r="F28" i="17"/>
  <c r="F22" i="17"/>
  <c r="F25" i="17"/>
  <c r="F13" i="17"/>
  <c r="F48" i="17"/>
  <c r="F47" i="17"/>
  <c r="F29" i="17"/>
  <c r="F12" i="17"/>
  <c r="F50" i="17"/>
  <c r="F44" i="17"/>
  <c r="F38" i="17"/>
  <c r="F32" i="17"/>
  <c r="F26" i="17"/>
  <c r="F20" i="17"/>
  <c r="F15" i="17"/>
  <c r="F9" i="17"/>
  <c r="F14" i="17"/>
  <c r="F39" i="17"/>
  <c r="F27" i="17"/>
  <c r="F21" i="17"/>
  <c r="F36" i="17"/>
  <c r="F24" i="17"/>
  <c r="F18" i="17"/>
  <c r="F11" i="17"/>
  <c r="F45" i="17"/>
  <c r="F33" i="17"/>
  <c r="F30" i="17"/>
  <c r="K49" i="17"/>
  <c r="K43" i="17"/>
  <c r="K37" i="17"/>
  <c r="K9" i="17"/>
  <c r="K45" i="17"/>
  <c r="K39" i="17"/>
  <c r="K33" i="17"/>
  <c r="K27" i="17"/>
  <c r="K21" i="17"/>
  <c r="K15" i="17"/>
  <c r="K50" i="17"/>
  <c r="K44" i="17"/>
  <c r="K38" i="17"/>
  <c r="K32" i="17"/>
  <c r="K26" i="17"/>
  <c r="K20" i="17"/>
  <c r="K14" i="17"/>
  <c r="K13" i="17"/>
  <c r="K31" i="17"/>
  <c r="K25" i="17"/>
  <c r="K19" i="17"/>
  <c r="K48" i="17"/>
  <c r="K42" i="17"/>
  <c r="K36" i="17"/>
  <c r="K30" i="17"/>
  <c r="K24" i="17"/>
  <c r="K18" i="17"/>
  <c r="K12" i="17"/>
  <c r="K11" i="17"/>
  <c r="K47" i="17"/>
  <c r="K41" i="17"/>
  <c r="K35" i="17"/>
  <c r="K29" i="17"/>
  <c r="K23" i="17"/>
  <c r="K17" i="17"/>
  <c r="K46" i="17"/>
  <c r="K40" i="17"/>
  <c r="K34" i="17"/>
  <c r="K28" i="17"/>
  <c r="K22" i="17"/>
  <c r="K16" i="17"/>
  <c r="K10" i="17"/>
  <c r="N12" i="16"/>
  <c r="N17" i="16" s="1"/>
  <c r="N16" i="16" l="1"/>
  <c r="N15" i="16"/>
  <c r="N20" i="16"/>
  <c r="N19" i="16"/>
  <c r="N18" i="16"/>
  <c r="J20" i="16"/>
  <c r="M12" i="16"/>
  <c r="M16" i="16" s="1"/>
  <c r="L12" i="16"/>
  <c r="L16" i="16" s="1"/>
  <c r="K12" i="16"/>
  <c r="K16" i="16" s="1"/>
  <c r="J12" i="16"/>
  <c r="J16" i="16" s="1"/>
  <c r="I12" i="16"/>
  <c r="I16" i="16" s="1"/>
  <c r="H12" i="16"/>
  <c r="H16" i="16" s="1"/>
  <c r="G12" i="16"/>
  <c r="G16" i="16" s="1"/>
  <c r="F12" i="16"/>
  <c r="F16" i="16" s="1"/>
  <c r="E12" i="16"/>
  <c r="E16" i="16" s="1"/>
  <c r="D12" i="16"/>
  <c r="D16" i="16" s="1"/>
  <c r="C12" i="16"/>
  <c r="C16" i="16" s="1"/>
  <c r="F19" i="16" l="1"/>
  <c r="G15" i="16"/>
  <c r="J15" i="16"/>
  <c r="E19" i="16"/>
  <c r="K19" i="16"/>
  <c r="F15" i="16"/>
  <c r="M20" i="16"/>
  <c r="D20" i="16"/>
  <c r="D19" i="16"/>
  <c r="G20" i="16"/>
  <c r="L15" i="16"/>
  <c r="M19" i="16"/>
  <c r="C15" i="16"/>
  <c r="E15" i="16"/>
  <c r="F20" i="16"/>
  <c r="G19" i="16"/>
  <c r="K15" i="16"/>
  <c r="L20" i="16"/>
  <c r="D15" i="16"/>
  <c r="E20" i="16"/>
  <c r="I15" i="16"/>
  <c r="K20" i="16"/>
  <c r="M15" i="16"/>
  <c r="I20" i="16"/>
  <c r="L19" i="16"/>
  <c r="C18" i="16"/>
  <c r="D18" i="16"/>
  <c r="E18" i="16"/>
  <c r="F18" i="16"/>
  <c r="G18" i="16"/>
  <c r="H18" i="16"/>
  <c r="I18" i="16"/>
  <c r="J18" i="16"/>
  <c r="K18" i="16"/>
  <c r="L18" i="16"/>
  <c r="M18" i="16"/>
  <c r="H15" i="16"/>
  <c r="D17" i="16"/>
  <c r="E17" i="16"/>
  <c r="F17" i="16"/>
  <c r="G17" i="16"/>
  <c r="H17" i="16"/>
  <c r="I17" i="16"/>
  <c r="J17" i="16"/>
  <c r="K17" i="16"/>
  <c r="L17" i="16"/>
  <c r="M17" i="16"/>
  <c r="C20" i="16"/>
  <c r="H20" i="16"/>
  <c r="C19" i="16"/>
  <c r="H19" i="16"/>
  <c r="I19" i="16"/>
  <c r="J19" i="16"/>
  <c r="C17" i="16"/>
  <c r="U37" i="13"/>
  <c r="G7" i="15" l="1"/>
  <c r="G6" i="14"/>
  <c r="G7" i="14"/>
  <c r="G8" i="14"/>
  <c r="G9" i="14"/>
  <c r="G10" i="14"/>
  <c r="G11" i="14"/>
  <c r="G12" i="14"/>
  <c r="G13" i="14"/>
  <c r="G14" i="14"/>
  <c r="G15" i="14"/>
  <c r="G16" i="14"/>
  <c r="G17" i="14"/>
  <c r="G18" i="14"/>
  <c r="G19" i="14"/>
  <c r="G20" i="14"/>
  <c r="G21" i="14"/>
  <c r="G22" i="14"/>
  <c r="G23" i="14"/>
  <c r="G24" i="14"/>
  <c r="G25" i="14"/>
  <c r="G26" i="14"/>
  <c r="G27" i="14"/>
  <c r="G28" i="14"/>
  <c r="G29" i="14"/>
  <c r="G30" i="14"/>
  <c r="G31" i="14"/>
  <c r="G32" i="14"/>
  <c r="G33" i="14"/>
  <c r="G34" i="14"/>
  <c r="G35" i="14"/>
  <c r="G36" i="14"/>
  <c r="G5" i="14"/>
  <c r="G36" i="15" l="1"/>
  <c r="G32" i="15"/>
  <c r="G30" i="15"/>
  <c r="G18" i="15"/>
  <c r="G29" i="15"/>
  <c r="G17" i="15"/>
  <c r="G28" i="15"/>
  <c r="G16" i="15"/>
  <c r="G27" i="15"/>
  <c r="G15" i="15"/>
  <c r="G26" i="15"/>
  <c r="G14" i="15"/>
  <c r="G37" i="15"/>
  <c r="G25" i="15"/>
  <c r="G13" i="15"/>
  <c r="G12" i="15"/>
  <c r="G35" i="15"/>
  <c r="G23" i="15"/>
  <c r="G11" i="15"/>
  <c r="G24" i="15"/>
  <c r="G34" i="15"/>
  <c r="G22" i="15"/>
  <c r="G10" i="15"/>
  <c r="G33" i="15"/>
  <c r="G21" i="15"/>
  <c r="G9" i="15"/>
  <c r="G20" i="15"/>
  <c r="G8" i="15"/>
  <c r="G31" i="15"/>
  <c r="G19" i="15"/>
  <c r="L6" i="13"/>
  <c r="L7" i="13"/>
  <c r="L8" i="13"/>
  <c r="L9" i="13"/>
  <c r="L10" i="13"/>
  <c r="L11" i="13"/>
  <c r="L12" i="13"/>
  <c r="L13" i="13"/>
  <c r="L14" i="13"/>
  <c r="L15" i="13"/>
  <c r="L16" i="13"/>
  <c r="L17" i="13"/>
  <c r="L18" i="13"/>
  <c r="L19" i="13"/>
  <c r="L20" i="13"/>
  <c r="L21" i="13"/>
  <c r="L22" i="13"/>
  <c r="L23" i="13"/>
  <c r="L24" i="13"/>
  <c r="L25" i="13"/>
  <c r="L26" i="13"/>
  <c r="L27" i="13"/>
  <c r="L28" i="13"/>
  <c r="L29" i="13"/>
  <c r="L30" i="13"/>
  <c r="L31" i="13"/>
  <c r="L32" i="13"/>
  <c r="L33" i="13"/>
  <c r="L34" i="13"/>
  <c r="L35" i="13"/>
  <c r="L36" i="13"/>
  <c r="L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5" i="13"/>
  <c r="N36" i="13"/>
  <c r="K36" i="13"/>
  <c r="E36" i="13"/>
  <c r="N35" i="13"/>
  <c r="K35" i="13"/>
  <c r="E35" i="13"/>
  <c r="N34" i="13"/>
  <c r="K34" i="13"/>
  <c r="E34" i="13"/>
  <c r="N33" i="13"/>
  <c r="K33" i="13"/>
  <c r="E33" i="13"/>
  <c r="N32" i="13"/>
  <c r="K32" i="13"/>
  <c r="E32" i="13"/>
  <c r="N31" i="13"/>
  <c r="K31" i="13"/>
  <c r="E31" i="13"/>
  <c r="N30" i="13"/>
  <c r="K30" i="13"/>
  <c r="E30" i="13"/>
  <c r="N29" i="13"/>
  <c r="K29" i="13"/>
  <c r="E29" i="13"/>
  <c r="N28" i="13"/>
  <c r="K28" i="13"/>
  <c r="E28" i="13"/>
  <c r="N27" i="13"/>
  <c r="K27" i="13"/>
  <c r="E27" i="13"/>
  <c r="N26" i="13"/>
  <c r="K26" i="13"/>
  <c r="E26" i="13"/>
  <c r="N25" i="13"/>
  <c r="K25" i="13"/>
  <c r="E25" i="13"/>
  <c r="N24" i="13"/>
  <c r="K24" i="13"/>
  <c r="E24" i="13"/>
  <c r="N23" i="13"/>
  <c r="K23" i="13"/>
  <c r="E23" i="13"/>
  <c r="N22" i="13"/>
  <c r="K22" i="13"/>
  <c r="E22" i="13"/>
  <c r="N21" i="13"/>
  <c r="K21" i="13"/>
  <c r="E21" i="13"/>
  <c r="N20" i="13"/>
  <c r="K20" i="13"/>
  <c r="E20" i="13"/>
  <c r="N19" i="13"/>
  <c r="K19" i="13"/>
  <c r="E19" i="13"/>
  <c r="N18" i="13"/>
  <c r="K18" i="13"/>
  <c r="E18" i="13"/>
  <c r="N17" i="13"/>
  <c r="K17" i="13"/>
  <c r="E17" i="13"/>
  <c r="N16" i="13"/>
  <c r="K16" i="13"/>
  <c r="E16" i="13"/>
  <c r="N15" i="13"/>
  <c r="K15" i="13"/>
  <c r="E15" i="13"/>
  <c r="N14" i="13"/>
  <c r="K14" i="13"/>
  <c r="E14" i="13"/>
  <c r="N13" i="13"/>
  <c r="K13" i="13"/>
  <c r="E13" i="13"/>
  <c r="N12" i="13"/>
  <c r="K12" i="13"/>
  <c r="E12" i="13"/>
  <c r="N11" i="13"/>
  <c r="K11" i="13"/>
  <c r="E11" i="13"/>
  <c r="N10" i="13"/>
  <c r="K10" i="13"/>
  <c r="E10" i="13"/>
  <c r="N9" i="13"/>
  <c r="K9" i="13"/>
  <c r="E9" i="13"/>
  <c r="N8" i="13"/>
  <c r="K8" i="13"/>
  <c r="E8" i="13"/>
  <c r="N7" i="13"/>
  <c r="K7" i="13"/>
  <c r="E7" i="13"/>
  <c r="N6" i="13"/>
  <c r="K6" i="13"/>
  <c r="E6" i="13"/>
  <c r="N5" i="13"/>
  <c r="K5" i="13"/>
  <c r="E5" i="13"/>
  <c r="G21" i="13" l="1"/>
  <c r="M5" i="13"/>
  <c r="M7" i="13"/>
  <c r="O5" i="13"/>
  <c r="G7" i="13"/>
  <c r="G6" i="13"/>
  <c r="G13" i="13"/>
  <c r="G17" i="13"/>
  <c r="G23" i="13"/>
  <c r="G27" i="13"/>
  <c r="G29" i="13"/>
  <c r="G33" i="13"/>
  <c r="G35" i="13"/>
  <c r="G11" i="13"/>
  <c r="G12" i="13"/>
  <c r="G18" i="13"/>
  <c r="G24" i="13"/>
  <c r="G30" i="13"/>
  <c r="G9" i="13"/>
  <c r="G10" i="13"/>
  <c r="G16" i="13"/>
  <c r="G26" i="13"/>
  <c r="O6" i="13"/>
  <c r="G31" i="13"/>
  <c r="G36" i="13"/>
  <c r="G15" i="13"/>
  <c r="G19" i="13"/>
  <c r="G25" i="13"/>
  <c r="G8" i="13"/>
  <c r="G14" i="13"/>
  <c r="G20" i="13"/>
  <c r="G22" i="13"/>
  <c r="G28" i="13"/>
  <c r="G34" i="13"/>
  <c r="G32" i="13"/>
  <c r="O34" i="13"/>
  <c r="G5" i="13"/>
  <c r="M15" i="13"/>
  <c r="M25" i="13"/>
  <c r="M33" i="13"/>
  <c r="M11" i="13"/>
  <c r="M19" i="13"/>
  <c r="M27" i="13"/>
  <c r="M35" i="13"/>
  <c r="O7" i="13"/>
  <c r="O11" i="13"/>
  <c r="O15" i="13"/>
  <c r="O17" i="13"/>
  <c r="O21" i="13"/>
  <c r="O29" i="13"/>
  <c r="M23" i="13"/>
  <c r="O9" i="13"/>
  <c r="O13" i="13"/>
  <c r="O19" i="13"/>
  <c r="O23" i="13"/>
  <c r="O25" i="13"/>
  <c r="O27" i="13"/>
  <c r="O31" i="13"/>
  <c r="O33" i="13"/>
  <c r="O35" i="13"/>
  <c r="M13" i="13"/>
  <c r="M21" i="13"/>
  <c r="M29" i="13"/>
  <c r="M6" i="13"/>
  <c r="M8" i="13"/>
  <c r="M10" i="13"/>
  <c r="M12" i="13"/>
  <c r="M14" i="13"/>
  <c r="M16" i="13"/>
  <c r="M18" i="13"/>
  <c r="M20" i="13"/>
  <c r="M22" i="13"/>
  <c r="M24" i="13"/>
  <c r="M26" i="13"/>
  <c r="M28" i="13"/>
  <c r="M30" i="13"/>
  <c r="M32" i="13"/>
  <c r="M34" i="13"/>
  <c r="M36" i="13"/>
  <c r="M9" i="13"/>
  <c r="M17" i="13"/>
  <c r="M31" i="13"/>
  <c r="O8" i="13"/>
  <c r="O10" i="13"/>
  <c r="O12" i="13"/>
  <c r="O14" i="13"/>
  <c r="O16" i="13"/>
  <c r="O18" i="13"/>
  <c r="O20" i="13"/>
  <c r="O22" i="13"/>
  <c r="O24" i="13"/>
  <c r="O26" i="13"/>
  <c r="O28" i="13"/>
  <c r="O30" i="13"/>
  <c r="O32" i="13"/>
  <c r="O36" i="13"/>
  <c r="J28" i="3"/>
  <c r="F28" i="3"/>
  <c r="G9" i="11" l="1"/>
  <c r="N9" i="11" s="1"/>
  <c r="G10" i="11"/>
  <c r="N10" i="11" s="1"/>
  <c r="G11" i="11"/>
  <c r="N11" i="11" s="1"/>
  <c r="G12" i="11"/>
  <c r="N12" i="11" s="1"/>
  <c r="G13" i="11"/>
  <c r="N13" i="11" s="1"/>
  <c r="G14" i="11"/>
  <c r="N14" i="11" s="1"/>
  <c r="G15" i="11"/>
  <c r="N15" i="11" s="1"/>
  <c r="G16" i="11"/>
  <c r="N16" i="11" s="1"/>
  <c r="G17" i="11"/>
  <c r="N17" i="11" s="1"/>
  <c r="G18" i="11"/>
  <c r="N18" i="11" s="1"/>
  <c r="G19" i="11"/>
  <c r="N19" i="11" s="1"/>
  <c r="G20" i="11"/>
  <c r="N20" i="11" s="1"/>
  <c r="G21" i="11"/>
  <c r="N21" i="11" s="1"/>
  <c r="G22" i="11"/>
  <c r="N22" i="11" s="1"/>
  <c r="G23" i="11"/>
  <c r="N23" i="11" s="1"/>
  <c r="G24" i="11"/>
  <c r="N24" i="11" s="1"/>
  <c r="G25" i="11"/>
  <c r="N25" i="11" s="1"/>
  <c r="G26" i="11"/>
  <c r="N26" i="11" s="1"/>
  <c r="G27" i="11"/>
  <c r="N27" i="11" s="1"/>
  <c r="G28" i="11"/>
  <c r="N28" i="11" s="1"/>
  <c r="G29" i="11"/>
  <c r="N29" i="11" s="1"/>
  <c r="G31" i="11"/>
  <c r="N31" i="11" s="1"/>
  <c r="G32" i="11"/>
  <c r="N32" i="11" s="1"/>
  <c r="G33" i="11"/>
  <c r="N33" i="11" s="1"/>
  <c r="G34" i="11"/>
  <c r="N34" i="11" s="1"/>
  <c r="G35" i="11"/>
  <c r="N35" i="11" s="1"/>
  <c r="G36" i="11"/>
  <c r="N36" i="11" s="1"/>
  <c r="G37" i="11"/>
  <c r="N37" i="11" s="1"/>
  <c r="G38" i="11"/>
  <c r="N38" i="11" s="1"/>
  <c r="G39" i="11"/>
  <c r="N39" i="11" s="1"/>
  <c r="G40" i="11"/>
  <c r="N40" i="11" s="1"/>
  <c r="G41" i="11"/>
  <c r="N41" i="11" s="1"/>
  <c r="G42" i="11"/>
  <c r="N42" i="11" s="1"/>
  <c r="G43" i="11"/>
  <c r="N43" i="11" s="1"/>
  <c r="G44" i="11"/>
  <c r="N44" i="11" s="1"/>
  <c r="G45" i="11"/>
  <c r="N45" i="11" s="1"/>
  <c r="G46" i="11"/>
  <c r="N46" i="11" s="1"/>
  <c r="G48" i="11"/>
  <c r="N48" i="11" s="1"/>
  <c r="G49" i="11"/>
  <c r="N49" i="11" s="1"/>
  <c r="G50" i="11"/>
  <c r="N50" i="11" s="1"/>
  <c r="G51" i="11"/>
  <c r="N51" i="11" s="1"/>
  <c r="G54" i="11"/>
  <c r="N54" i="11" s="1"/>
  <c r="F9" i="11"/>
  <c r="F10" i="11"/>
  <c r="F11" i="11"/>
  <c r="F12" i="11"/>
  <c r="F13" i="11"/>
  <c r="F14" i="11"/>
  <c r="F15" i="11"/>
  <c r="F16" i="11"/>
  <c r="F17" i="11"/>
  <c r="F18" i="11"/>
  <c r="F19" i="11"/>
  <c r="F20" i="11"/>
  <c r="F21" i="11"/>
  <c r="F22" i="11"/>
  <c r="F23" i="11"/>
  <c r="F24" i="11"/>
  <c r="F25" i="11"/>
  <c r="F26" i="11"/>
  <c r="F27" i="11"/>
  <c r="F28" i="11"/>
  <c r="F29" i="11"/>
  <c r="F31" i="11"/>
  <c r="F32" i="11"/>
  <c r="F33" i="11"/>
  <c r="F34" i="11"/>
  <c r="F35" i="11"/>
  <c r="F36" i="11"/>
  <c r="F37" i="11"/>
  <c r="F38" i="11"/>
  <c r="F39" i="11"/>
  <c r="F40" i="11"/>
  <c r="F41" i="11"/>
  <c r="F42" i="11"/>
  <c r="F43" i="11"/>
  <c r="F44" i="11"/>
  <c r="F45" i="11"/>
  <c r="F46" i="11"/>
  <c r="F48" i="11"/>
  <c r="F49" i="11"/>
  <c r="F50" i="11"/>
  <c r="F51" i="11"/>
  <c r="F54" i="11"/>
  <c r="E9" i="11"/>
  <c r="E10" i="11"/>
  <c r="E11" i="11"/>
  <c r="E12" i="11"/>
  <c r="E13" i="11"/>
  <c r="E14" i="11"/>
  <c r="E15" i="11"/>
  <c r="E16" i="11"/>
  <c r="E17" i="11"/>
  <c r="E18" i="11"/>
  <c r="E19" i="11"/>
  <c r="E20" i="11"/>
  <c r="E21" i="11"/>
  <c r="E22" i="11"/>
  <c r="E23" i="11"/>
  <c r="E24" i="11"/>
  <c r="E25" i="11"/>
  <c r="E26" i="11"/>
  <c r="E27" i="11"/>
  <c r="E28" i="11"/>
  <c r="E29" i="11"/>
  <c r="E31" i="11"/>
  <c r="E32" i="11"/>
  <c r="E33" i="11"/>
  <c r="E34" i="11"/>
  <c r="E35" i="11"/>
  <c r="E36" i="11"/>
  <c r="E37" i="11"/>
  <c r="E38" i="11"/>
  <c r="E39" i="11"/>
  <c r="E40" i="11"/>
  <c r="E41" i="11"/>
  <c r="E42" i="11"/>
  <c r="E43" i="11"/>
  <c r="E44" i="11"/>
  <c r="E45" i="11"/>
  <c r="E46" i="11"/>
  <c r="E48" i="11"/>
  <c r="E49" i="11"/>
  <c r="E50" i="11"/>
  <c r="E51" i="11"/>
  <c r="E54" i="11"/>
  <c r="D9" i="11"/>
  <c r="D10" i="11"/>
  <c r="D11" i="11"/>
  <c r="D12" i="11"/>
  <c r="D13" i="11"/>
  <c r="D14" i="11"/>
  <c r="D15" i="11"/>
  <c r="D16" i="11"/>
  <c r="D17" i="11"/>
  <c r="D18" i="11"/>
  <c r="D19" i="11"/>
  <c r="D20" i="11"/>
  <c r="D21" i="11"/>
  <c r="D22" i="11"/>
  <c r="D23" i="11"/>
  <c r="D24" i="11"/>
  <c r="D25" i="11"/>
  <c r="D26" i="11"/>
  <c r="D27" i="11"/>
  <c r="D28" i="11"/>
  <c r="D29" i="11"/>
  <c r="D31" i="11"/>
  <c r="D32" i="11"/>
  <c r="D33" i="11"/>
  <c r="D34" i="11"/>
  <c r="D35" i="11"/>
  <c r="D36" i="11"/>
  <c r="D37" i="11"/>
  <c r="D38" i="11"/>
  <c r="D39" i="11"/>
  <c r="D40" i="11"/>
  <c r="D41" i="11"/>
  <c r="D42" i="11"/>
  <c r="D43" i="11"/>
  <c r="D44" i="11"/>
  <c r="D45" i="11"/>
  <c r="D46" i="11"/>
  <c r="D48" i="11"/>
  <c r="D49" i="11"/>
  <c r="D50" i="11"/>
  <c r="D51" i="11"/>
  <c r="D54" i="11"/>
  <c r="C9" i="11"/>
  <c r="C10" i="11"/>
  <c r="C11" i="11"/>
  <c r="C12" i="11"/>
  <c r="C13" i="11"/>
  <c r="C14" i="11"/>
  <c r="C15" i="11"/>
  <c r="C16" i="11"/>
  <c r="C17" i="11"/>
  <c r="C18" i="11"/>
  <c r="C19" i="11"/>
  <c r="C20" i="11"/>
  <c r="C21" i="11"/>
  <c r="C22" i="11"/>
  <c r="C23" i="11"/>
  <c r="C24" i="11"/>
  <c r="C25" i="11"/>
  <c r="C26" i="11"/>
  <c r="C27" i="11"/>
  <c r="C28" i="11"/>
  <c r="C29" i="11"/>
  <c r="C31" i="11"/>
  <c r="C32" i="11"/>
  <c r="C33" i="11"/>
  <c r="C34" i="11"/>
  <c r="C35" i="11"/>
  <c r="C36" i="11"/>
  <c r="C37" i="11"/>
  <c r="C38" i="11"/>
  <c r="C39" i="11"/>
  <c r="C40" i="11"/>
  <c r="C41" i="11"/>
  <c r="C42" i="11"/>
  <c r="C43" i="11"/>
  <c r="C44" i="11"/>
  <c r="C45" i="11"/>
  <c r="C48" i="11"/>
  <c r="C49" i="11"/>
  <c r="C50" i="11"/>
  <c r="C51" i="11"/>
  <c r="C54" i="11"/>
  <c r="C47" i="11" l="1"/>
  <c r="E52" i="11"/>
  <c r="E47" i="11"/>
  <c r="F52" i="11"/>
  <c r="G47" i="11"/>
  <c r="N47" i="11" s="1"/>
  <c r="D52" i="11"/>
  <c r="G52" i="11"/>
  <c r="N52" i="11" s="1"/>
  <c r="F47" i="11"/>
  <c r="D47" i="11"/>
  <c r="C55" i="11" l="1"/>
  <c r="E53" i="11"/>
  <c r="E55" i="11" s="1"/>
  <c r="D53" i="11"/>
  <c r="D55" i="11" s="1"/>
  <c r="G53" i="11"/>
  <c r="N53" i="11" s="1"/>
  <c r="F53" i="11"/>
  <c r="F55" i="11" s="1"/>
  <c r="G55" i="11" l="1"/>
  <c r="N55" i="11" s="1"/>
  <c r="AA6" i="9"/>
  <c r="AA7" i="9"/>
  <c r="AA8" i="9"/>
  <c r="AA9" i="9"/>
  <c r="AA10" i="9"/>
  <c r="AA11" i="9"/>
  <c r="AA12" i="9"/>
  <c r="AA13" i="9"/>
  <c r="AA14" i="9"/>
  <c r="AA15" i="9"/>
  <c r="AA16" i="9"/>
  <c r="AA17" i="9"/>
  <c r="AA18" i="9"/>
  <c r="AA19" i="9"/>
  <c r="AA20" i="9"/>
  <c r="AA21" i="9"/>
  <c r="AA22" i="9"/>
  <c r="AA23" i="9"/>
  <c r="AA24" i="9"/>
  <c r="AA25" i="9"/>
  <c r="AA26" i="9"/>
  <c r="AA27" i="9"/>
  <c r="AA28" i="9"/>
  <c r="AA29" i="9"/>
  <c r="AA30" i="9"/>
  <c r="AA31" i="9"/>
  <c r="AA32" i="9"/>
  <c r="AA33" i="9"/>
  <c r="AA34" i="9"/>
  <c r="AA35" i="9"/>
  <c r="AA36" i="9"/>
  <c r="AA37" i="9"/>
  <c r="AA38" i="9"/>
  <c r="AA39" i="9"/>
  <c r="AA40" i="9"/>
  <c r="AA41" i="9"/>
  <c r="AA42" i="9"/>
  <c r="AA43" i="9"/>
  <c r="AA44" i="9"/>
  <c r="AA45" i="9"/>
  <c r="AA46" i="9"/>
  <c r="AA5" i="9"/>
  <c r="W6" i="9"/>
  <c r="W7" i="9"/>
  <c r="W8" i="9"/>
  <c r="W9" i="9"/>
  <c r="W10" i="9"/>
  <c r="W11" i="9"/>
  <c r="W12" i="9"/>
  <c r="W13" i="9"/>
  <c r="W14" i="9"/>
  <c r="W15" i="9"/>
  <c r="W16" i="9"/>
  <c r="W17" i="9"/>
  <c r="W18" i="9"/>
  <c r="W19" i="9"/>
  <c r="W20" i="9"/>
  <c r="W21" i="9"/>
  <c r="W22" i="9"/>
  <c r="W23" i="9"/>
  <c r="W24" i="9"/>
  <c r="W25" i="9"/>
  <c r="W26" i="9"/>
  <c r="W27" i="9"/>
  <c r="W28" i="9"/>
  <c r="W29" i="9"/>
  <c r="W30" i="9"/>
  <c r="W31" i="9"/>
  <c r="W32" i="9"/>
  <c r="W33" i="9"/>
  <c r="W34" i="9"/>
  <c r="W35" i="9"/>
  <c r="W36" i="9"/>
  <c r="W37" i="9"/>
  <c r="W38" i="9"/>
  <c r="W39" i="9"/>
  <c r="W40" i="9"/>
  <c r="W41" i="9"/>
  <c r="W42" i="9"/>
  <c r="W43" i="9"/>
  <c r="W44" i="9"/>
  <c r="W45" i="9"/>
  <c r="W46" i="9"/>
  <c r="W5" i="9"/>
  <c r="S6" i="9"/>
  <c r="S7" i="9"/>
  <c r="S8" i="9"/>
  <c r="S9" i="9"/>
  <c r="S10" i="9"/>
  <c r="S11" i="9"/>
  <c r="S12" i="9"/>
  <c r="S13" i="9"/>
  <c r="S14" i="9"/>
  <c r="S15" i="9"/>
  <c r="S16" i="9"/>
  <c r="S17" i="9"/>
  <c r="S18" i="9"/>
  <c r="S19" i="9"/>
  <c r="S20" i="9"/>
  <c r="S21" i="9"/>
  <c r="S22" i="9"/>
  <c r="S23" i="9"/>
  <c r="S24" i="9"/>
  <c r="S25" i="9"/>
  <c r="S26" i="9"/>
  <c r="S27" i="9"/>
  <c r="S28" i="9"/>
  <c r="S29" i="9"/>
  <c r="S30" i="9"/>
  <c r="S31" i="9"/>
  <c r="S32" i="9"/>
  <c r="S33" i="9"/>
  <c r="S34" i="9"/>
  <c r="S35" i="9"/>
  <c r="S36" i="9"/>
  <c r="S37" i="9"/>
  <c r="S38" i="9"/>
  <c r="S39" i="9"/>
  <c r="S40" i="9"/>
  <c r="S41" i="9"/>
  <c r="S42" i="9"/>
  <c r="S43" i="9"/>
  <c r="S44" i="9"/>
  <c r="S45" i="9"/>
  <c r="S46" i="9"/>
  <c r="S5" i="9"/>
  <c r="O6" i="9"/>
  <c r="O7" i="9"/>
  <c r="O8" i="9"/>
  <c r="O9" i="9"/>
  <c r="O10" i="9"/>
  <c r="O11" i="9"/>
  <c r="O12" i="9"/>
  <c r="O13" i="9"/>
  <c r="O14" i="9"/>
  <c r="O15" i="9"/>
  <c r="O16" i="9"/>
  <c r="O17" i="9"/>
  <c r="O18" i="9"/>
  <c r="O19" i="9"/>
  <c r="O20" i="9"/>
  <c r="O21" i="9"/>
  <c r="O22" i="9"/>
  <c r="O23" i="9"/>
  <c r="O24" i="9"/>
  <c r="O25" i="9"/>
  <c r="O26" i="9"/>
  <c r="O27" i="9"/>
  <c r="O28" i="9"/>
  <c r="O29" i="9"/>
  <c r="O30" i="9"/>
  <c r="O31" i="9"/>
  <c r="O32" i="9"/>
  <c r="O33" i="9"/>
  <c r="O34" i="9"/>
  <c r="O35" i="9"/>
  <c r="O36" i="9"/>
  <c r="O37" i="9"/>
  <c r="O38" i="9"/>
  <c r="O39" i="9"/>
  <c r="O40" i="9"/>
  <c r="O41" i="9"/>
  <c r="O42" i="9"/>
  <c r="O43" i="9"/>
  <c r="O44" i="9"/>
  <c r="O45" i="9"/>
  <c r="O46" i="9"/>
  <c r="O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5" i="9"/>
  <c r="Z4" i="6"/>
  <c r="Z4" i="8"/>
  <c r="Z4" i="7"/>
  <c r="Z4" i="9"/>
  <c r="V4" i="9"/>
  <c r="R4" i="9"/>
  <c r="N4" i="9"/>
  <c r="J4" i="9"/>
  <c r="F4" i="9"/>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5" i="8"/>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5" i="8"/>
  <c r="S6" i="8"/>
  <c r="S7" i="8"/>
  <c r="S8" i="8"/>
  <c r="S9" i="8"/>
  <c r="S10" i="8"/>
  <c r="S11" i="8"/>
  <c r="S12" i="8"/>
  <c r="S13" i="8"/>
  <c r="S14" i="8"/>
  <c r="S15" i="8"/>
  <c r="S16" i="8"/>
  <c r="S17" i="8"/>
  <c r="S18" i="8"/>
  <c r="S19" i="8"/>
  <c r="S20" i="8"/>
  <c r="S21" i="8"/>
  <c r="S22" i="8"/>
  <c r="S23" i="8"/>
  <c r="S24" i="8"/>
  <c r="S25" i="8"/>
  <c r="S26" i="8"/>
  <c r="S27" i="8"/>
  <c r="S28" i="8"/>
  <c r="S29" i="8"/>
  <c r="S30" i="8"/>
  <c r="S31" i="8"/>
  <c r="S32" i="8"/>
  <c r="S33" i="8"/>
  <c r="S34" i="8"/>
  <c r="S35" i="8"/>
  <c r="S36" i="8"/>
  <c r="S37" i="8"/>
  <c r="S38" i="8"/>
  <c r="S39" i="8"/>
  <c r="S40" i="8"/>
  <c r="S41" i="8"/>
  <c r="S42" i="8"/>
  <c r="S43" i="8"/>
  <c r="S44" i="8"/>
  <c r="S45" i="8"/>
  <c r="S46" i="8"/>
  <c r="S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5" i="8"/>
  <c r="K6" i="8"/>
  <c r="K7" i="8"/>
  <c r="K8" i="8"/>
  <c r="K9" i="8"/>
  <c r="K10" i="8"/>
  <c r="K11" i="8"/>
  <c r="K12" i="8"/>
  <c r="K13" i="8"/>
  <c r="K14" i="8"/>
  <c r="K15" i="8"/>
  <c r="K16" i="8"/>
  <c r="K17" i="8"/>
  <c r="K18"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5" i="8"/>
  <c r="AA6" i="7"/>
  <c r="AA7" i="7"/>
  <c r="AA8" i="7"/>
  <c r="AA9" i="7"/>
  <c r="AA10" i="7"/>
  <c r="AA11" i="7"/>
  <c r="AA12" i="7"/>
  <c r="AA13" i="7"/>
  <c r="AA14" i="7"/>
  <c r="AA15" i="7"/>
  <c r="AA16" i="7"/>
  <c r="AA17" i="7"/>
  <c r="AA18" i="7"/>
  <c r="AA19" i="7"/>
  <c r="AA20" i="7"/>
  <c r="AA21" i="7"/>
  <c r="AA22" i="7"/>
  <c r="AA23" i="7"/>
  <c r="AA24" i="7"/>
  <c r="AA25" i="7"/>
  <c r="AA26" i="7"/>
  <c r="AA27" i="7"/>
  <c r="AA28" i="7"/>
  <c r="AA29" i="7"/>
  <c r="AA30" i="7"/>
  <c r="AA31" i="7"/>
  <c r="AA32" i="7"/>
  <c r="AA33" i="7"/>
  <c r="AA34" i="7"/>
  <c r="AA35" i="7"/>
  <c r="AA36" i="7"/>
  <c r="AA37" i="7"/>
  <c r="AA38" i="7"/>
  <c r="AA39" i="7"/>
  <c r="AA40" i="7"/>
  <c r="AA41" i="7"/>
  <c r="AA42" i="7"/>
  <c r="AA43" i="7"/>
  <c r="AA44" i="7"/>
  <c r="AA45" i="7"/>
  <c r="AA46" i="7"/>
  <c r="AA5" i="7"/>
  <c r="W6" i="7"/>
  <c r="W7" i="7"/>
  <c r="W8" i="7"/>
  <c r="W9" i="7"/>
  <c r="W10" i="7"/>
  <c r="W11" i="7"/>
  <c r="W12" i="7"/>
  <c r="W13" i="7"/>
  <c r="W14" i="7"/>
  <c r="W15" i="7"/>
  <c r="W16" i="7"/>
  <c r="W17" i="7"/>
  <c r="W18" i="7"/>
  <c r="W19" i="7"/>
  <c r="W20" i="7"/>
  <c r="W21" i="7"/>
  <c r="W22" i="7"/>
  <c r="W23" i="7"/>
  <c r="W24" i="7"/>
  <c r="W25" i="7"/>
  <c r="W26" i="7"/>
  <c r="W27" i="7"/>
  <c r="W28" i="7"/>
  <c r="W29" i="7"/>
  <c r="W30" i="7"/>
  <c r="W31" i="7"/>
  <c r="W32" i="7"/>
  <c r="W33" i="7"/>
  <c r="W34" i="7"/>
  <c r="W35" i="7"/>
  <c r="W36" i="7"/>
  <c r="W37" i="7"/>
  <c r="W38" i="7"/>
  <c r="W39" i="7"/>
  <c r="W40" i="7"/>
  <c r="W41" i="7"/>
  <c r="W42" i="7"/>
  <c r="W43" i="7"/>
  <c r="W44" i="7"/>
  <c r="W45" i="7"/>
  <c r="W46" i="7"/>
  <c r="W5" i="7"/>
  <c r="S6" i="7"/>
  <c r="S7" i="7"/>
  <c r="S8" i="7"/>
  <c r="S9" i="7"/>
  <c r="S10" i="7"/>
  <c r="S11" i="7"/>
  <c r="S12" i="7"/>
  <c r="S13" i="7"/>
  <c r="S14" i="7"/>
  <c r="S15" i="7"/>
  <c r="S16" i="7"/>
  <c r="S17" i="7"/>
  <c r="S18" i="7"/>
  <c r="S19" i="7"/>
  <c r="S20" i="7"/>
  <c r="S21" i="7"/>
  <c r="S22" i="7"/>
  <c r="S23" i="7"/>
  <c r="S24" i="7"/>
  <c r="S25" i="7"/>
  <c r="S26" i="7"/>
  <c r="S27" i="7"/>
  <c r="S28" i="7"/>
  <c r="S29" i="7"/>
  <c r="S30" i="7"/>
  <c r="S31" i="7"/>
  <c r="S32" i="7"/>
  <c r="S33" i="7"/>
  <c r="S34" i="7"/>
  <c r="S35" i="7"/>
  <c r="S36" i="7"/>
  <c r="S37" i="7"/>
  <c r="S38" i="7"/>
  <c r="S39" i="7"/>
  <c r="S40" i="7"/>
  <c r="S41" i="7"/>
  <c r="S42" i="7"/>
  <c r="S43" i="7"/>
  <c r="S44" i="7"/>
  <c r="S45" i="7"/>
  <c r="S46" i="7"/>
  <c r="S5" i="7"/>
  <c r="O6"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5" i="7"/>
  <c r="AA6" i="6"/>
  <c r="AA7" i="6"/>
  <c r="AA8" i="6"/>
  <c r="AA9" i="6"/>
  <c r="AA10" i="6"/>
  <c r="AA11" i="6"/>
  <c r="AA12" i="6"/>
  <c r="AA13" i="6"/>
  <c r="AA14" i="6"/>
  <c r="AA15" i="6"/>
  <c r="AA16" i="6"/>
  <c r="AA17" i="6"/>
  <c r="AA18" i="6"/>
  <c r="AA19" i="6"/>
  <c r="AA20" i="6"/>
  <c r="AA21" i="6"/>
  <c r="AA22" i="6"/>
  <c r="AA23" i="6"/>
  <c r="AA24" i="6"/>
  <c r="AA25" i="6"/>
  <c r="AA26" i="6"/>
  <c r="AA27" i="6"/>
  <c r="AA28" i="6"/>
  <c r="AA29" i="6"/>
  <c r="AA30" i="6"/>
  <c r="AA31" i="6"/>
  <c r="AA32" i="6"/>
  <c r="AA33" i="6"/>
  <c r="AA34" i="6"/>
  <c r="AA35" i="6"/>
  <c r="AA36" i="6"/>
  <c r="AA37" i="6"/>
  <c r="AA38" i="6"/>
  <c r="AA39" i="6"/>
  <c r="AA40" i="6"/>
  <c r="AA41" i="6"/>
  <c r="AA42" i="6"/>
  <c r="AA43" i="6"/>
  <c r="AA44" i="6"/>
  <c r="AA45" i="6"/>
  <c r="AA46" i="6"/>
  <c r="AA5" i="6"/>
  <c r="W6" i="6"/>
  <c r="W7" i="6"/>
  <c r="W8" i="6"/>
  <c r="W9" i="6"/>
  <c r="W10" i="6"/>
  <c r="W11" i="6"/>
  <c r="W12" i="6"/>
  <c r="W13" i="6"/>
  <c r="W14" i="6"/>
  <c r="W15" i="6"/>
  <c r="W16" i="6"/>
  <c r="W17" i="6"/>
  <c r="W18" i="6"/>
  <c r="W19" i="6"/>
  <c r="W20" i="6"/>
  <c r="W21" i="6"/>
  <c r="W22" i="6"/>
  <c r="W23" i="6"/>
  <c r="W24" i="6"/>
  <c r="W25" i="6"/>
  <c r="W26" i="6"/>
  <c r="W27" i="6"/>
  <c r="W28" i="6"/>
  <c r="W29" i="6"/>
  <c r="W30" i="6"/>
  <c r="W31" i="6"/>
  <c r="W32" i="6"/>
  <c r="W33" i="6"/>
  <c r="W34" i="6"/>
  <c r="W35" i="6"/>
  <c r="W36" i="6"/>
  <c r="W37" i="6"/>
  <c r="W38" i="6"/>
  <c r="W39" i="6"/>
  <c r="W40" i="6"/>
  <c r="W41" i="6"/>
  <c r="W42" i="6"/>
  <c r="W43" i="6"/>
  <c r="W44" i="6"/>
  <c r="W45" i="6"/>
  <c r="W46" i="6"/>
  <c r="W5" i="6"/>
  <c r="S6" i="6"/>
  <c r="S7" i="6"/>
  <c r="S8" i="6"/>
  <c r="S9" i="6"/>
  <c r="S10" i="6"/>
  <c r="S11" i="6"/>
  <c r="S12" i="6"/>
  <c r="S13" i="6"/>
  <c r="S14" i="6"/>
  <c r="S15" i="6"/>
  <c r="S16" i="6"/>
  <c r="S17" i="6"/>
  <c r="S18" i="6"/>
  <c r="S19" i="6"/>
  <c r="S20" i="6"/>
  <c r="S21" i="6"/>
  <c r="S22" i="6"/>
  <c r="S23" i="6"/>
  <c r="S24" i="6"/>
  <c r="S25" i="6"/>
  <c r="S26" i="6"/>
  <c r="S27" i="6"/>
  <c r="S28" i="6"/>
  <c r="S29" i="6"/>
  <c r="S30" i="6"/>
  <c r="S31" i="6"/>
  <c r="S32" i="6"/>
  <c r="S33" i="6"/>
  <c r="S34" i="6"/>
  <c r="S35" i="6"/>
  <c r="S36" i="6"/>
  <c r="S37" i="6"/>
  <c r="S38" i="6"/>
  <c r="S39" i="6"/>
  <c r="S40" i="6"/>
  <c r="S41" i="6"/>
  <c r="S42" i="6"/>
  <c r="S43" i="6"/>
  <c r="S44" i="6"/>
  <c r="S45" i="6"/>
  <c r="S46" i="6"/>
  <c r="S5"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5" i="6"/>
  <c r="AA6" i="5"/>
  <c r="AA7" i="5"/>
  <c r="AA8" i="5"/>
  <c r="AA9" i="5"/>
  <c r="AA10" i="5"/>
  <c r="AA11" i="5"/>
  <c r="AA12" i="5"/>
  <c r="AA13" i="5"/>
  <c r="AA14" i="5"/>
  <c r="AA15" i="5"/>
  <c r="AA16" i="5"/>
  <c r="AA17" i="5"/>
  <c r="AA18" i="5"/>
  <c r="AA19" i="5"/>
  <c r="AA20" i="5"/>
  <c r="AA21" i="5"/>
  <c r="AA22" i="5"/>
  <c r="AA23" i="5"/>
  <c r="AA24" i="5"/>
  <c r="AA25" i="5"/>
  <c r="AA26" i="5"/>
  <c r="AA27" i="5"/>
  <c r="AA28" i="5"/>
  <c r="AA29" i="5"/>
  <c r="AA30" i="5"/>
  <c r="AA31" i="5"/>
  <c r="AA32" i="5"/>
  <c r="AA33" i="5"/>
  <c r="AA34" i="5"/>
  <c r="AA35" i="5"/>
  <c r="AA36" i="5"/>
  <c r="AA37" i="5"/>
  <c r="AA38" i="5"/>
  <c r="AA39" i="5"/>
  <c r="AA40" i="5"/>
  <c r="AA41" i="5"/>
  <c r="AA42" i="5"/>
  <c r="AA43" i="5"/>
  <c r="AA44" i="5"/>
  <c r="AA45" i="5"/>
  <c r="AA46" i="5"/>
  <c r="AA5" i="5"/>
  <c r="W6" i="5"/>
  <c r="W7" i="5"/>
  <c r="W8" i="5"/>
  <c r="W9" i="5"/>
  <c r="W10" i="5"/>
  <c r="W11" i="5"/>
  <c r="W12" i="5"/>
  <c r="W13" i="5"/>
  <c r="W14" i="5"/>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5" i="5"/>
  <c r="S6" i="5"/>
  <c r="S7" i="5"/>
  <c r="S8" i="5"/>
  <c r="S9" i="5"/>
  <c r="S10" i="5"/>
  <c r="S11" i="5"/>
  <c r="S12" i="5"/>
  <c r="S13" i="5"/>
  <c r="S14" i="5"/>
  <c r="S15" i="5"/>
  <c r="S16" i="5"/>
  <c r="S17" i="5"/>
  <c r="S18" i="5"/>
  <c r="S19" i="5"/>
  <c r="S20" i="5"/>
  <c r="S21" i="5"/>
  <c r="S22" i="5"/>
  <c r="S23" i="5"/>
  <c r="S24" i="5"/>
  <c r="S25" i="5"/>
  <c r="S26" i="5"/>
  <c r="S27" i="5"/>
  <c r="S28" i="5"/>
  <c r="S29" i="5"/>
  <c r="S30" i="5"/>
  <c r="S31" i="5"/>
  <c r="S32" i="5"/>
  <c r="S33" i="5"/>
  <c r="S34" i="5"/>
  <c r="S35" i="5"/>
  <c r="S36" i="5"/>
  <c r="S37" i="5"/>
  <c r="S38" i="5"/>
  <c r="S39" i="5"/>
  <c r="S40" i="5"/>
  <c r="S41" i="5"/>
  <c r="S42" i="5"/>
  <c r="S43" i="5"/>
  <c r="S44" i="5"/>
  <c r="S45" i="5"/>
  <c r="S46" i="5"/>
  <c r="S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5"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6" i="5"/>
  <c r="C5" i="5"/>
  <c r="C4" i="5"/>
  <c r="Z4" i="5" s="1"/>
  <c r="C4"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5" i="4"/>
  <c r="W6" i="4" l="1"/>
  <c r="W7" i="4"/>
  <c r="W8" i="4"/>
  <c r="W9" i="4"/>
  <c r="W10" i="4"/>
  <c r="W11" i="4"/>
  <c r="W12" i="4"/>
  <c r="W13" i="4"/>
  <c r="W14" i="4"/>
  <c r="W15" i="4"/>
  <c r="W16" i="4"/>
  <c r="W17" i="4"/>
  <c r="W18" i="4"/>
  <c r="W19" i="4"/>
  <c r="W20" i="4"/>
  <c r="W21" i="4"/>
  <c r="W22" i="4"/>
  <c r="W23" i="4"/>
  <c r="W24" i="4"/>
  <c r="W25" i="4"/>
  <c r="W26" i="4"/>
  <c r="W27" i="4"/>
  <c r="W28" i="4"/>
  <c r="W29" i="4"/>
  <c r="W30" i="4"/>
  <c r="W31" i="4"/>
  <c r="W32" i="4"/>
  <c r="W33" i="4"/>
  <c r="W34" i="4"/>
  <c r="W35" i="4"/>
  <c r="W36" i="4"/>
  <c r="W37" i="4"/>
  <c r="W38" i="4"/>
  <c r="W39" i="4"/>
  <c r="W40" i="4"/>
  <c r="W41" i="4"/>
  <c r="W42" i="4"/>
  <c r="W43" i="4"/>
  <c r="W44" i="4"/>
  <c r="W45" i="4"/>
  <c r="W46" i="4"/>
  <c r="W5" i="4"/>
  <c r="S6" i="4"/>
  <c r="S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S44" i="4"/>
  <c r="S45" i="4"/>
  <c r="S46" i="4"/>
  <c r="S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5"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6" i="4"/>
  <c r="O7" i="4"/>
  <c r="O8" i="4"/>
  <c r="O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5" i="4"/>
  <c r="AA6" i="4"/>
  <c r="AA7" i="4"/>
  <c r="AA8" i="4"/>
  <c r="AA9" i="4"/>
  <c r="AA10" i="4"/>
  <c r="AA11" i="4"/>
  <c r="AA12" i="4"/>
  <c r="AA13" i="4"/>
  <c r="AA14" i="4"/>
  <c r="AA15" i="4"/>
  <c r="AA16" i="4"/>
  <c r="AA17" i="4"/>
  <c r="AA18" i="4"/>
  <c r="AA19" i="4"/>
  <c r="AA20" i="4"/>
  <c r="AA21" i="4"/>
  <c r="AA22" i="4"/>
  <c r="AA23" i="4"/>
  <c r="AA24" i="4"/>
  <c r="AA25" i="4"/>
  <c r="AA26" i="4"/>
  <c r="AA27" i="4"/>
  <c r="AA28" i="4"/>
  <c r="AA29" i="4"/>
  <c r="AA30" i="4"/>
  <c r="AA31" i="4"/>
  <c r="AA32" i="4"/>
  <c r="AA33" i="4"/>
  <c r="AA34" i="4"/>
  <c r="AA35" i="4"/>
  <c r="AA36" i="4"/>
  <c r="AA37" i="4"/>
  <c r="AA38" i="4"/>
  <c r="AA39" i="4"/>
  <c r="AA40" i="4"/>
  <c r="AA41" i="4"/>
  <c r="AA42" i="4"/>
  <c r="AA43" i="4"/>
  <c r="AA44" i="4"/>
  <c r="AA45" i="4"/>
  <c r="AA46" i="4"/>
  <c r="AA5" i="4"/>
  <c r="Z4" i="4"/>
  <c r="W6" i="3"/>
  <c r="W7" i="3"/>
  <c r="W8" i="3"/>
  <c r="W9" i="3"/>
  <c r="W10" i="3"/>
  <c r="W11" i="3"/>
  <c r="W12" i="3"/>
  <c r="W13" i="3"/>
  <c r="W14" i="3"/>
  <c r="W15" i="3"/>
  <c r="W16" i="3"/>
  <c r="W17" i="3"/>
  <c r="W18" i="3"/>
  <c r="W19" i="3"/>
  <c r="W20" i="3"/>
  <c r="W21" i="3"/>
  <c r="W22" i="3"/>
  <c r="W23" i="3"/>
  <c r="W24" i="3"/>
  <c r="W25" i="3"/>
  <c r="W26" i="3"/>
  <c r="W27" i="3"/>
  <c r="W28" i="3"/>
  <c r="W29" i="3"/>
  <c r="W30" i="3"/>
  <c r="W31" i="3"/>
  <c r="W32" i="3"/>
  <c r="W33" i="3"/>
  <c r="W34" i="3"/>
  <c r="W35" i="3"/>
  <c r="W36" i="3"/>
  <c r="W37" i="3"/>
  <c r="W38" i="3"/>
  <c r="W39" i="3"/>
  <c r="W40" i="3"/>
  <c r="W41" i="3"/>
  <c r="W42" i="3"/>
  <c r="W43" i="3"/>
  <c r="W44" i="3"/>
  <c r="W45" i="3"/>
  <c r="W46" i="3"/>
  <c r="W5" i="3"/>
  <c r="S46"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S42" i="3"/>
  <c r="S43" i="3"/>
  <c r="S44" i="3"/>
  <c r="S45" i="3"/>
  <c r="S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<sst xmlns="http://schemas.openxmlformats.org/spreadsheetml/2006/main" count="1830" uniqueCount="304">
  <si>
    <t>2011/12</t>
  </si>
  <si>
    <t>2012/13</t>
  </si>
  <si>
    <t>2013/14</t>
  </si>
  <si>
    <t>2014/15</t>
  </si>
  <si>
    <t>2015/16</t>
  </si>
  <si>
    <t>2016/17</t>
  </si>
  <si>
    <t>2017/18</t>
  </si>
  <si>
    <t>West Midlands</t>
  </si>
  <si>
    <t>Avon and Somerset</t>
  </si>
  <si>
    <t>Bedfordshire</t>
  </si>
  <si>
    <t>British Transport Police</t>
  </si>
  <si>
    <t>Cambridgeshire</t>
  </si>
  <si>
    <t>Cheshire</t>
  </si>
  <si>
    <t>Cleveland</t>
  </si>
  <si>
    <t>Cumbria</t>
  </si>
  <si>
    <t>Derbyshire</t>
  </si>
  <si>
    <t>Devon and Cornwall</t>
  </si>
  <si>
    <t>Dorset</t>
  </si>
  <si>
    <t>Durham</t>
  </si>
  <si>
    <t>Dyfed-Powys</t>
  </si>
  <si>
    <t>Essex</t>
  </si>
  <si>
    <t>Gloucestershire</t>
  </si>
  <si>
    <t>Greater Manchester</t>
  </si>
  <si>
    <t>Gwent</t>
  </si>
  <si>
    <t>Hampshire</t>
  </si>
  <si>
    <t>Hertfordshire</t>
  </si>
  <si>
    <t>Humberside</t>
  </si>
  <si>
    <t>Kent</t>
  </si>
  <si>
    <t>Lancashire</t>
  </si>
  <si>
    <t>Leicestershire</t>
  </si>
  <si>
    <t>Lincolnshire</t>
  </si>
  <si>
    <t>London, City of</t>
  </si>
  <si>
    <t>Merseyside</t>
  </si>
  <si>
    <t>Metropolitan Police</t>
  </si>
  <si>
    <t>Norfolk</t>
  </si>
  <si>
    <t>North Wales</t>
  </si>
  <si>
    <t>North Yorkshire</t>
  </si>
  <si>
    <t>Northamptonshire</t>
  </si>
  <si>
    <t>Northumbria</t>
  </si>
  <si>
    <t>Nottinghamshire</t>
  </si>
  <si>
    <t>South Wales</t>
  </si>
  <si>
    <t>South Yorkshire</t>
  </si>
  <si>
    <t>Staffordshire</t>
  </si>
  <si>
    <t>Suffolk</t>
  </si>
  <si>
    <t>Surrey</t>
  </si>
  <si>
    <t>Sussex</t>
  </si>
  <si>
    <t>Thames Valley</t>
  </si>
  <si>
    <t>Warwickshire</t>
  </si>
  <si>
    <t>West Mercia</t>
  </si>
  <si>
    <t>West Yorkshire</t>
  </si>
  <si>
    <t>Wiltshire</t>
  </si>
  <si>
    <t>Police Force Area</t>
  </si>
  <si>
    <t>England</t>
  </si>
  <si>
    <t>Wales</t>
  </si>
  <si>
    <t>Devon &amp; Cornwall</t>
  </si>
  <si>
    <t>Race</t>
  </si>
  <si>
    <t>Number of Offences</t>
  </si>
  <si>
    <t>Religion</t>
  </si>
  <si>
    <t>Sexual Orientation</t>
  </si>
  <si>
    <t>Disabilty</t>
  </si>
  <si>
    <t>Transgender</t>
  </si>
  <si>
    <t>Disability</t>
  </si>
  <si>
    <t>Total Offences</t>
  </si>
  <si>
    <t>Column1</t>
  </si>
  <si>
    <t>N/A</t>
  </si>
  <si>
    <t>Rank of Rate out of 42</t>
  </si>
  <si>
    <t>Rank  of Rate out of 42</t>
  </si>
  <si>
    <t xml:space="preserve">Rank of Rate </t>
  </si>
  <si>
    <t>Select Hate Crime Strand</t>
  </si>
  <si>
    <t>Notes:</t>
  </si>
  <si>
    <t>Sources:</t>
  </si>
  <si>
    <t>Rate per 100,000 population</t>
  </si>
  <si>
    <t>ONS: Mid-year population Estimates 2017</t>
  </si>
  <si>
    <t>ONS: Mid-year population Estimates 2011</t>
  </si>
  <si>
    <r>
      <rPr>
        <sz val="8"/>
        <color theme="1"/>
        <rFont val="Open Sans"/>
        <family val="2"/>
      </rPr>
      <t>Home Office</t>
    </r>
    <r>
      <rPr>
        <sz val="8"/>
        <color theme="10"/>
        <rFont val="Open Sans"/>
        <family val="2"/>
      </rPr>
      <t>, Hate Crime Open Data</t>
    </r>
  </si>
  <si>
    <r>
      <rPr>
        <sz val="8"/>
        <color theme="1"/>
        <rFont val="Open Sans"/>
        <family val="2"/>
      </rPr>
      <t>ONS</t>
    </r>
    <r>
      <rPr>
        <sz val="8"/>
        <color theme="10"/>
        <rFont val="Open Sans"/>
        <family val="2"/>
      </rPr>
      <t>, Local Authority District to Community Safety Partnerships to Police Force Areas (December 2016) Lookup in England and Wales</t>
    </r>
  </si>
  <si>
    <t>ONS: Mid-year population Estimates 2012</t>
  </si>
  <si>
    <t>ONS: Mid-year population Estimates 2013</t>
  </si>
  <si>
    <t>ONS: Mid-year population Estimates 2014</t>
  </si>
  <si>
    <t>ONS: Mid-year population Estimates 2015</t>
  </si>
  <si>
    <t>ONS: Mid-year population Estimates 2016</t>
  </si>
  <si>
    <t>Count</t>
  </si>
  <si>
    <t>Month</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</si>
  <si>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</si>
  <si>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</si>
  <si>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</si>
  <si>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</si>
  <si>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</si>
  <si>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</si>
  <si>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</si>
  <si>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</si>
  <si>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</si>
  <si>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</si>
  <si>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</si>
  <si>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</si>
  <si>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</si>
  <si>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</si>
  <si>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</si>
  <si>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</si>
  <si>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</si>
  <si>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</si>
  <si>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</si>
  <si>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</si>
  <si>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</si>
  <si>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</si>
  <si>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</si>
  <si>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</si>
  <si>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</si>
  <si>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</si>
  <si>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</si>
  <si>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</si>
  <si>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</si>
  <si>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</si>
  <si>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</si>
  <si>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</si>
  <si>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Count of offences</t>
  </si>
  <si>
    <t>Rate per 10,000 population</t>
  </si>
  <si>
    <t>Rank of Count out of 32</t>
  </si>
  <si>
    <t>Rank of Rate out of 32</t>
  </si>
  <si>
    <t>Count of Offences</t>
  </si>
  <si>
    <t xml:space="preserve">London Borough </t>
  </si>
  <si>
    <t>% change in count 2016/17 to 2017/18</t>
  </si>
  <si>
    <t>Rates per 10,000 population</t>
  </si>
  <si>
    <t>Rank of % change out of 32</t>
  </si>
  <si>
    <t>Borough Name</t>
  </si>
  <si>
    <t>Rank of count out of 32</t>
  </si>
  <si>
    <t>Rank of count out of 31</t>
  </si>
  <si>
    <t>% Change on previous month</t>
  </si>
  <si>
    <r>
      <t>Population Estimate 2017</t>
    </r>
    <r>
      <rPr>
        <vertAlign val="superscript"/>
        <sz val="10"/>
        <color theme="1"/>
        <rFont val="Open Sans"/>
        <family val="2"/>
      </rPr>
      <t>1</t>
    </r>
  </si>
  <si>
    <t>Note:</t>
  </si>
  <si>
    <t xml:space="preserve">Borough </t>
  </si>
  <si>
    <r>
      <rPr>
        <b/>
        <sz val="8"/>
        <color theme="10"/>
        <rFont val="Open Sans"/>
        <family val="2"/>
      </rPr>
      <t>London Data Store</t>
    </r>
    <r>
      <rPr>
        <sz val="8"/>
        <color theme="10"/>
        <rFont val="Open Sans"/>
        <family val="2"/>
      </rPr>
      <t>:</t>
    </r>
    <r>
      <rPr>
        <sz val="8"/>
        <color theme="1"/>
        <rFont val="Open Sans"/>
        <family val="2"/>
      </rPr>
      <t xml:space="preserve"> Annual Population Survey, various years </t>
    </r>
  </si>
  <si>
    <t>B2: RACIALLY AND RELIGOUSLY AGGRAVATED OFFENCES BY LONDON BOROUGH</t>
  </si>
  <si>
    <t>Category</t>
  </si>
  <si>
    <t>Extreme Violence</t>
  </si>
  <si>
    <t>Assault</t>
  </si>
  <si>
    <t>Damage and Desecration</t>
  </si>
  <si>
    <t>Threats</t>
  </si>
  <si>
    <t>Abusive Behaviour</t>
  </si>
  <si>
    <t>Literature</t>
  </si>
  <si>
    <t>Total</t>
  </si>
  <si>
    <t>Percentage</t>
  </si>
  <si>
    <r>
      <rPr>
        <sz val="8"/>
        <color theme="1"/>
        <rFont val="Open Sans"/>
        <family val="2"/>
      </rPr>
      <t>MPS</t>
    </r>
    <r>
      <rPr>
        <sz val="8"/>
        <color theme="10"/>
        <rFont val="Open Sans"/>
        <family val="2"/>
      </rPr>
      <t xml:space="preserve">, </t>
    </r>
    <r>
      <rPr>
        <i/>
        <sz val="8"/>
        <color theme="10"/>
        <rFont val="Open Sans"/>
        <family val="2"/>
      </rPr>
      <t>Hate Crime or Special Crime Dashboard</t>
    </r>
    <r>
      <rPr>
        <sz val="8"/>
        <color theme="1"/>
        <rFont val="Open Sans"/>
        <family val="2"/>
      </rPr>
      <t xml:space="preserve"> Accessed 13 December 2018</t>
    </r>
  </si>
  <si>
    <r>
      <t>A1: HATE CRIME RATES IN POLICE FORCE AREAS</t>
    </r>
    <r>
      <rPr>
        <b/>
        <vertAlign val="superscript"/>
        <sz val="14"/>
        <color theme="0"/>
        <rFont val="Open Sans"/>
        <family val="2"/>
      </rPr>
      <t>a</t>
    </r>
    <r>
      <rPr>
        <b/>
        <sz val="14"/>
        <color theme="0"/>
        <rFont val="Open Sans"/>
        <family val="2"/>
      </rPr>
      <t xml:space="preserve"> BY STRAND PER 100,000 POPULATION IN 2011/12</t>
    </r>
  </si>
  <si>
    <r>
      <t xml:space="preserve"> 2011 Population estimate</t>
    </r>
    <r>
      <rPr>
        <vertAlign val="superscript"/>
        <sz val="10"/>
        <color theme="1"/>
        <rFont val="Open Sans"/>
        <family val="2"/>
      </rPr>
      <t>b</t>
    </r>
  </si>
  <si>
    <r>
      <t>Transgender</t>
    </r>
    <r>
      <rPr>
        <vertAlign val="superscript"/>
        <sz val="10"/>
        <color theme="1"/>
        <rFont val="Open Sans"/>
        <family val="2"/>
      </rPr>
      <t>c</t>
    </r>
  </si>
  <si>
    <r>
      <t>England and Wales Total</t>
    </r>
    <r>
      <rPr>
        <b/>
        <vertAlign val="superscript"/>
        <sz val="10"/>
        <color theme="1"/>
        <rFont val="Open Sans"/>
        <family val="2"/>
      </rPr>
      <t>d</t>
    </r>
  </si>
  <si>
    <t>a) City of London and Metropolitan population and offence figures have been merged. British Transport police figures have been excluded.</t>
  </si>
  <si>
    <t>b) Population figure estimates have been rounded to the nearest 100 and as a result the total for individual Police force areas may not tally with the England and Wales Total.</t>
  </si>
  <si>
    <t>c) Due to a number of Police force areas reporting no Transgender hate crime offences a rank out of 42 is not possible.</t>
  </si>
  <si>
    <t>d) The England and Wales total includes figures from the British Transport police.</t>
  </si>
  <si>
    <r>
      <t>A2: HATE CRIME RATES IN POLICE FORCE AREAS</t>
    </r>
    <r>
      <rPr>
        <b/>
        <vertAlign val="superscript"/>
        <sz val="14"/>
        <color theme="0"/>
        <rFont val="Open Sans"/>
        <family val="2"/>
      </rPr>
      <t>a</t>
    </r>
    <r>
      <rPr>
        <b/>
        <sz val="14"/>
        <color theme="0"/>
        <rFont val="Open Sans"/>
        <family val="2"/>
      </rPr>
      <t xml:space="preserve"> BY STRAND PER 100,000 POPULATION IN 2012/13</t>
    </r>
  </si>
  <si>
    <r>
      <t xml:space="preserve"> 2012 Population estimate</t>
    </r>
    <r>
      <rPr>
        <vertAlign val="superscript"/>
        <sz val="10"/>
        <color theme="1"/>
        <rFont val="Open Sans"/>
        <family val="2"/>
      </rPr>
      <t>b</t>
    </r>
  </si>
  <si>
    <r>
      <t>A3: HATE CRIME RATES IN POLICE FORCE AREAS</t>
    </r>
    <r>
      <rPr>
        <b/>
        <vertAlign val="superscript"/>
        <sz val="14"/>
        <color theme="0"/>
        <rFont val="Open Sans"/>
        <family val="2"/>
      </rPr>
      <t>a</t>
    </r>
    <r>
      <rPr>
        <b/>
        <sz val="14"/>
        <color theme="0"/>
        <rFont val="Open Sans"/>
        <family val="2"/>
      </rPr>
      <t xml:space="preserve"> BY STRAND PER 100,000 POPULATION IN 2013/14</t>
    </r>
  </si>
  <si>
    <r>
      <t xml:space="preserve"> 2013 Population estimate</t>
    </r>
    <r>
      <rPr>
        <vertAlign val="superscript"/>
        <sz val="10"/>
        <color theme="1"/>
        <rFont val="Open Sans"/>
        <family val="2"/>
      </rPr>
      <t>b</t>
    </r>
  </si>
  <si>
    <r>
      <t>A4: HATE CRIME RATES IN POLICE FORCE AREAS</t>
    </r>
    <r>
      <rPr>
        <b/>
        <vertAlign val="superscript"/>
        <sz val="14"/>
        <color theme="0"/>
        <rFont val="Open Sans"/>
        <family val="2"/>
      </rPr>
      <t>a</t>
    </r>
    <r>
      <rPr>
        <b/>
        <sz val="14"/>
        <color theme="0"/>
        <rFont val="Open Sans"/>
        <family val="2"/>
      </rPr>
      <t xml:space="preserve"> BY STRAND  PER 100,000 POPULATION IN 2014/15</t>
    </r>
  </si>
  <si>
    <r>
      <t xml:space="preserve"> 2014 Population estimate</t>
    </r>
    <r>
      <rPr>
        <vertAlign val="superscript"/>
        <sz val="10"/>
        <color theme="1"/>
        <rFont val="Open Sans"/>
        <family val="2"/>
      </rPr>
      <t>b</t>
    </r>
  </si>
  <si>
    <r>
      <t>A5: HATE CRIME RATES IN POLICE FORCE AREAS</t>
    </r>
    <r>
      <rPr>
        <b/>
        <vertAlign val="superscript"/>
        <sz val="14"/>
        <color theme="0"/>
        <rFont val="Open Sans"/>
        <family val="2"/>
      </rPr>
      <t>a</t>
    </r>
    <r>
      <rPr>
        <b/>
        <sz val="14"/>
        <color theme="0"/>
        <rFont val="Open Sans"/>
        <family val="2"/>
      </rPr>
      <t xml:space="preserve"> BY STRAND PER 100,000 POPULATION IN 2015/16</t>
    </r>
  </si>
  <si>
    <r>
      <t xml:space="preserve"> 2015 Population estimate</t>
    </r>
    <r>
      <rPr>
        <vertAlign val="superscript"/>
        <sz val="10"/>
        <color theme="1"/>
        <rFont val="Open Sans"/>
        <family val="2"/>
      </rPr>
      <t>b</t>
    </r>
  </si>
  <si>
    <r>
      <t>A6: HATE CRIME RATES IN POLICE FORCE AREAS</t>
    </r>
    <r>
      <rPr>
        <b/>
        <vertAlign val="superscript"/>
        <sz val="14"/>
        <color theme="0"/>
        <rFont val="Open Sans"/>
        <family val="2"/>
      </rPr>
      <t>a</t>
    </r>
    <r>
      <rPr>
        <b/>
        <sz val="14"/>
        <color theme="0"/>
        <rFont val="Open Sans"/>
        <family val="2"/>
      </rPr>
      <t xml:space="preserve"> BY STRAND PER 100,000 POPULATION IN 2016/17</t>
    </r>
  </si>
  <si>
    <r>
      <t xml:space="preserve"> 2016 Population estimate</t>
    </r>
    <r>
      <rPr>
        <vertAlign val="superscript"/>
        <sz val="10"/>
        <color theme="1"/>
        <rFont val="Open Sans"/>
        <family val="2"/>
      </rPr>
      <t>b</t>
    </r>
  </si>
  <si>
    <r>
      <t>England and Wales Total</t>
    </r>
    <r>
      <rPr>
        <b/>
        <vertAlign val="superscript"/>
        <sz val="10"/>
        <color theme="1"/>
        <rFont val="Open Sans"/>
        <family val="2"/>
      </rPr>
      <t>c</t>
    </r>
  </si>
  <si>
    <t>c) The England and Wales total includes figures from the British Transport police.</t>
  </si>
  <si>
    <r>
      <t xml:space="preserve"> 2017 Population estimate</t>
    </r>
    <r>
      <rPr>
        <vertAlign val="superscript"/>
        <sz val="10"/>
        <color theme="1"/>
        <rFont val="Open Sans"/>
        <family val="2"/>
      </rPr>
      <t>b</t>
    </r>
  </si>
  <si>
    <t>a) Population figure estimates have been rounded to the nearest 100</t>
  </si>
  <si>
    <r>
      <t>Population Estimate 2016</t>
    </r>
    <r>
      <rPr>
        <vertAlign val="superscript"/>
        <sz val="10"/>
        <color theme="1"/>
        <rFont val="Open Sans"/>
        <family val="2"/>
      </rPr>
      <t>a</t>
    </r>
  </si>
  <si>
    <t>ONS: Mid-year population Estimates various years</t>
  </si>
  <si>
    <t>c) Due to a number of Police force areas reporting no Transgender hate crime offences in some years a rank out of 42 is not possible.</t>
  </si>
  <si>
    <t xml:space="preserve">Source: </t>
  </si>
  <si>
    <t>a) Increases in Police recorded hate crime figures are partly attributable to better recording methods used by the Police. These figures therefore are not suitable for observing long-term trends and should therefore be treated with caution when doing so  but do allow for a comparison between different geographical areas.</t>
  </si>
  <si>
    <t>Increases in Police recorded hate crime figures are partly attributable to better recording methods used by the Police. These figures therefore are not suitable for observing long-term trends and should be treated with caution but do allow  for a comparison between different geographical areas.</t>
  </si>
  <si>
    <r>
      <t>A1: HATE CRIME RATES IN POLICE FORCE AREAS</t>
    </r>
    <r>
      <rPr>
        <b/>
        <vertAlign val="superscript"/>
        <sz val="14"/>
        <color theme="0"/>
        <rFont val="Open Sans"/>
        <family val="2"/>
      </rPr>
      <t>a</t>
    </r>
    <r>
      <rPr>
        <b/>
        <sz val="14"/>
        <color theme="0"/>
        <rFont val="Open Sans"/>
        <family val="2"/>
      </rPr>
      <t xml:space="preserve"> BY STRAND PER 100,000 POPULATION IN 2017/18</t>
    </r>
  </si>
  <si>
    <t>b) Population figure estimates have been rounded to the nearest 100 and as a result the total for individual Police force areas may not tally with the England and Wales total.</t>
  </si>
  <si>
    <t>2018/19</t>
  </si>
  <si>
    <t>All</t>
  </si>
  <si>
    <t>Number Convicted</t>
  </si>
  <si>
    <t>Number Prosecuted</t>
  </si>
  <si>
    <t>Conviction Rate</t>
  </si>
  <si>
    <t>Avon &amp; Somerset</t>
  </si>
  <si>
    <t xml:space="preserve">Metropolitan Police </t>
  </si>
  <si>
    <r>
      <t>A1: HATE CRIME RATES IN POLICE FORCE AREAS</t>
    </r>
    <r>
      <rPr>
        <b/>
        <vertAlign val="superscript"/>
        <sz val="14"/>
        <color theme="0"/>
        <rFont val="Open Sans"/>
        <family val="2"/>
      </rPr>
      <t>a</t>
    </r>
    <r>
      <rPr>
        <b/>
        <sz val="14"/>
        <color theme="0"/>
        <rFont val="Open Sans"/>
        <family val="2"/>
      </rPr>
      <t xml:space="preserve"> BY STRAND PER 100,000 POPULATION IN 2018/19</t>
    </r>
  </si>
  <si>
    <r>
      <t xml:space="preserve"> 2018 Population estimate</t>
    </r>
    <r>
      <rPr>
        <vertAlign val="superscript"/>
        <sz val="10"/>
        <color theme="1"/>
        <rFont val="Open Sans"/>
        <family val="2"/>
      </rPr>
      <t>b</t>
    </r>
  </si>
  <si>
    <t>ONS: Mid-year population Estimates 2018</t>
  </si>
  <si>
    <t>2019/20</t>
  </si>
  <si>
    <r>
      <t xml:space="preserve">Source: Home Office, </t>
    </r>
    <r>
      <rPr>
        <sz val="8"/>
        <color rgb="FF0070C0"/>
        <rFont val="Open Sans"/>
        <family val="2"/>
      </rPr>
      <t xml:space="preserve">Hate Crime Open Data </t>
    </r>
  </si>
  <si>
    <r>
      <t>2011 Mid-year Population Estimate</t>
    </r>
    <r>
      <rPr>
        <vertAlign val="superscript"/>
        <sz val="9"/>
        <color theme="1"/>
        <rFont val="Open Sans"/>
        <family val="2"/>
      </rPr>
      <t>b</t>
    </r>
  </si>
  <si>
    <r>
      <t>Rank of Rate out of 42</t>
    </r>
    <r>
      <rPr>
        <vertAlign val="superscript"/>
        <sz val="9"/>
        <color theme="1"/>
        <rFont val="Open Sans"/>
        <family val="2"/>
      </rPr>
      <t>c</t>
    </r>
  </si>
  <si>
    <r>
      <t>2012  Mid-year Population Estimate</t>
    </r>
    <r>
      <rPr>
        <vertAlign val="superscript"/>
        <sz val="9"/>
        <color theme="1"/>
        <rFont val="Open Sans"/>
        <family val="2"/>
      </rPr>
      <t>b</t>
    </r>
  </si>
  <si>
    <r>
      <t>2013 Mid-year Population Estimate</t>
    </r>
    <r>
      <rPr>
        <vertAlign val="superscript"/>
        <sz val="9"/>
        <color theme="1"/>
        <rFont val="Open Sans"/>
        <family val="2"/>
      </rPr>
      <t>b</t>
    </r>
  </si>
  <si>
    <r>
      <t>2014 Mid-year Population Estimate</t>
    </r>
    <r>
      <rPr>
        <vertAlign val="superscript"/>
        <sz val="9"/>
        <color theme="1"/>
        <rFont val="Open Sans"/>
        <family val="2"/>
      </rPr>
      <t>b</t>
    </r>
  </si>
  <si>
    <r>
      <t>2015 Mid-year Population Estimate</t>
    </r>
    <r>
      <rPr>
        <vertAlign val="superscript"/>
        <sz val="9"/>
        <color theme="1"/>
        <rFont val="Open Sans"/>
        <family val="2"/>
      </rPr>
      <t>b</t>
    </r>
  </si>
  <si>
    <r>
      <t>2016 Mid-year Population Estimate</t>
    </r>
    <r>
      <rPr>
        <vertAlign val="superscript"/>
        <sz val="9"/>
        <color theme="1"/>
        <rFont val="Open Sans"/>
        <family val="2"/>
      </rPr>
      <t>b</t>
    </r>
  </si>
  <si>
    <r>
      <t>2017 Mid-year Population Estimate</t>
    </r>
    <r>
      <rPr>
        <vertAlign val="superscript"/>
        <sz val="9"/>
        <color theme="1"/>
        <rFont val="Open Sans"/>
        <family val="2"/>
      </rPr>
      <t>b</t>
    </r>
  </si>
  <si>
    <r>
      <t>2018 Mid-year Population Estimate</t>
    </r>
    <r>
      <rPr>
        <vertAlign val="superscript"/>
        <sz val="9"/>
        <color theme="1"/>
        <rFont val="Open Sans"/>
        <family val="2"/>
      </rPr>
      <t>b</t>
    </r>
  </si>
  <si>
    <r>
      <t>Notes:</t>
    </r>
    <r>
      <rPr>
        <b/>
        <sz val="8"/>
        <color theme="1"/>
        <rFont val="Open Sans"/>
        <family val="2"/>
      </rPr>
      <t xml:space="preserve"> </t>
    </r>
    <r>
      <rPr>
        <sz val="8"/>
        <color theme="1"/>
        <rFont val="Open Sans"/>
        <family val="2"/>
      </rPr>
      <t>Total Offence figures for 2011/12 are not available</t>
    </r>
  </si>
  <si>
    <t>Notes: Total Offence figures for 2011/12 are not available</t>
  </si>
  <si>
    <r>
      <t>Home Office,</t>
    </r>
    <r>
      <rPr>
        <sz val="8"/>
        <color rgb="FF0070C0"/>
        <rFont val="Open Sans"/>
        <family val="2"/>
      </rPr>
      <t xml:space="preserve"> Hate Crime Open Data</t>
    </r>
  </si>
  <si>
    <r>
      <t>2019 Mid-year Population Estimate</t>
    </r>
    <r>
      <rPr>
        <vertAlign val="superscript"/>
        <sz val="9"/>
        <color theme="1"/>
        <rFont val="Open Sans"/>
        <family val="2"/>
      </rPr>
      <t>b</t>
    </r>
  </si>
  <si>
    <t>-</t>
  </si>
  <si>
    <t>Source:</t>
  </si>
  <si>
    <r>
      <t xml:space="preserve">2019/20 </t>
    </r>
    <r>
      <rPr>
        <vertAlign val="superscript"/>
        <sz val="9"/>
        <color theme="1"/>
        <rFont val="Open Sans"/>
        <family val="2"/>
      </rPr>
      <t>b,c</t>
    </r>
  </si>
  <si>
    <t>b) Data for Greater Manchester Police (GMP) has not been provided in 2019/20 because of issues with their data supply following the implementation of new force IT systems.</t>
  </si>
  <si>
    <t>c) Gloucestershire police recorded no offences in 2019/20 for the sexual orientation hate crime strand</t>
  </si>
  <si>
    <r>
      <t>England and Wales Total</t>
    </r>
    <r>
      <rPr>
        <b/>
        <vertAlign val="superscript"/>
        <sz val="9"/>
        <color theme="1"/>
        <rFont val="Open Sans"/>
        <family val="2"/>
      </rPr>
      <t>f</t>
    </r>
  </si>
  <si>
    <r>
      <t>2019/20</t>
    </r>
    <r>
      <rPr>
        <vertAlign val="superscript"/>
        <sz val="9"/>
        <color theme="1"/>
        <rFont val="Open Sans"/>
        <family val="2"/>
      </rPr>
      <t>d,e</t>
    </r>
  </si>
  <si>
    <t>d) Data for Greater Manchester Police (GMP) has not been provided in 2019/20 because of issues with their data supply following the implementation of new force IT systems.</t>
  </si>
  <si>
    <t>e) Gloucestershire police recorded no offences in 2019/20 for the sexual orientation hate crime strand</t>
  </si>
  <si>
    <t>No change</t>
  </si>
  <si>
    <t>% change on same  month  in  previous year</t>
  </si>
  <si>
    <t>Homophobic</t>
  </si>
  <si>
    <t>Transphobic</t>
  </si>
  <si>
    <t>Total Prosecutions</t>
  </si>
  <si>
    <t>Convictions</t>
  </si>
  <si>
    <t>London Police</t>
  </si>
  <si>
    <r>
      <t>1.Police recorded hate crime figures</t>
    </r>
    <r>
      <rPr>
        <vertAlign val="superscript"/>
        <sz val="14"/>
        <color theme="0"/>
        <rFont val="National-LFSN Semibd"/>
        <family val="2"/>
      </rPr>
      <t>a</t>
    </r>
    <r>
      <rPr>
        <sz val="14"/>
        <color theme="0"/>
        <rFont val="National-LFSN Semibd"/>
        <family val="2"/>
      </rPr>
      <t xml:space="preserve"> by strand for all police force areas</t>
    </r>
  </si>
  <si>
    <t>2.Hate crime rates in police force areasa by strand per 100,000 population</t>
  </si>
  <si>
    <t>3.Monthly count of racially and religously aggravated offences in England &amp; Wales</t>
  </si>
  <si>
    <r>
      <t>4.Number of Islamophobic Offences</t>
    </r>
    <r>
      <rPr>
        <b/>
        <vertAlign val="superscript"/>
        <sz val="14"/>
        <color theme="0"/>
        <rFont val="Open Sans"/>
        <family val="2"/>
      </rPr>
      <t xml:space="preserve"> </t>
    </r>
    <r>
      <rPr>
        <b/>
        <sz val="14"/>
        <color theme="0"/>
        <rFont val="Open Sans"/>
        <family val="2"/>
      </rPr>
      <t>by London Borough</t>
    </r>
  </si>
  <si>
    <t>5.Number of Anti-Semitic offences by London borough</t>
  </si>
  <si>
    <t>6.Annual anti-Semitic incident figures by type of offence</t>
  </si>
  <si>
    <t>Incidents</t>
  </si>
  <si>
    <t>2010/11</t>
  </si>
  <si>
    <t>Crimes</t>
  </si>
  <si>
    <t>Racist</t>
  </si>
  <si>
    <t>Sectarian</t>
  </si>
  <si>
    <t>Faith/ Religion</t>
  </si>
  <si>
    <t>Local Authority</t>
  </si>
  <si>
    <t>Number</t>
  </si>
  <si>
    <t>Scotland</t>
  </si>
  <si>
    <t>Aberdeen City</t>
  </si>
  <si>
    <t>Aberdeenshire</t>
  </si>
  <si>
    <t>Angus</t>
  </si>
  <si>
    <t>Argyll and Bute</t>
  </si>
  <si>
    <t>City of Edinburgh</t>
  </si>
  <si>
    <t>Clackmannanshire</t>
  </si>
  <si>
    <t>Dumfries and Galloway</t>
  </si>
  <si>
    <t>Dundee City</t>
  </si>
  <si>
    <t>East Ayrshire</t>
  </si>
  <si>
    <t>East Dunbartonshire</t>
  </si>
  <si>
    <t>East Lothian</t>
  </si>
  <si>
    <t>East Renfrewshire</t>
  </si>
  <si>
    <t>Na h-Eileanan Siar</t>
  </si>
  <si>
    <t>Falkirk</t>
  </si>
  <si>
    <t>Fife</t>
  </si>
  <si>
    <t>Glasgow City</t>
  </si>
  <si>
    <t>Highland</t>
  </si>
  <si>
    <t>Inverclyde</t>
  </si>
  <si>
    <t>Midlothian</t>
  </si>
  <si>
    <t>Moray</t>
  </si>
  <si>
    <t>North Ayrshire</t>
  </si>
  <si>
    <t>North Lanarkshire</t>
  </si>
  <si>
    <t>Orkney Islands</t>
  </si>
  <si>
    <t>Perth and Kinross</t>
  </si>
  <si>
    <t>Renfrewshire</t>
  </si>
  <si>
    <t>Scottish Borders</t>
  </si>
  <si>
    <t>Shetland Islands</t>
  </si>
  <si>
    <t>South Ayrshire</t>
  </si>
  <si>
    <t>South Lanarkshire</t>
  </si>
  <si>
    <t>Stirling</t>
  </si>
  <si>
    <t>West Dunbartonshire</t>
  </si>
  <si>
    <t>West Lothian</t>
  </si>
  <si>
    <t>Prosecution Numbers</t>
  </si>
  <si>
    <t>Prosecution percentages</t>
  </si>
  <si>
    <t>Unsuccessful</t>
  </si>
  <si>
    <t>Unsuccesful</t>
  </si>
  <si>
    <t>Annual % change in Total prosecutions</t>
  </si>
  <si>
    <t>..</t>
  </si>
  <si>
    <t>Homophobic &amp; Transphobic</t>
  </si>
  <si>
    <t>All Hate Crime Offences</t>
  </si>
  <si>
    <t>7. Completed prosecutions for offences by hate crime strand</t>
  </si>
  <si>
    <t xml:space="preserve">8.Crown prosecution service hate crime conviction rates by police force area </t>
  </si>
  <si>
    <t>10. Number of crimes and incidents in Northern Ireland by strand</t>
  </si>
  <si>
    <r>
      <t xml:space="preserve">Source: </t>
    </r>
    <r>
      <rPr>
        <sz val="8"/>
        <color rgb="FF0070C0"/>
        <rFont val="Open Sans"/>
        <family val="2"/>
      </rPr>
      <t>Community Security Trust, Anti-Semitic Incidents Report 2020</t>
    </r>
  </si>
  <si>
    <t>2020/21</t>
  </si>
  <si>
    <t>2011/12 to 2020/21</t>
  </si>
  <si>
    <t>% change 19/20 to 20/21</t>
  </si>
  <si>
    <t>% change 10/11 to 20/21</t>
  </si>
  <si>
    <t>2010/11 to 2020/21</t>
  </si>
  <si>
    <t>Note: Figures are subject to change</t>
  </si>
  <si>
    <t>Change in the number of offences since 2019/20</t>
  </si>
  <si>
    <r>
      <t xml:space="preserve">MPS, </t>
    </r>
    <r>
      <rPr>
        <sz val="8"/>
        <color rgb="FF0070C0"/>
        <rFont val="Open Sans"/>
        <family val="2"/>
      </rPr>
      <t>Hate Crime or Special Crime Dashboard</t>
    </r>
    <r>
      <rPr>
        <sz val="8"/>
        <color theme="1"/>
        <rFont val="Open Sans"/>
        <family val="2"/>
      </rPr>
      <t xml:space="preserve"> Accessed 3 November 2021</t>
    </r>
  </si>
  <si>
    <t>Note: figures are subject to change</t>
  </si>
  <si>
    <t>n/a</t>
  </si>
  <si>
    <t>Transphobia</t>
  </si>
  <si>
    <t>City of London and Metropolitan Police service have been combined</t>
  </si>
  <si>
    <t>9. Hate crimes recorded by the police, by local authority, 2014/15 to 2019/20</t>
  </si>
  <si>
    <r>
      <rPr>
        <sz val="8"/>
        <color theme="1"/>
        <rFont val="Open Sans"/>
        <family val="2"/>
      </rPr>
      <t>Source: The Scottish Government,</t>
    </r>
    <r>
      <rPr>
        <sz val="8"/>
        <color rgb="FF0070C0"/>
        <rFont val="Open Sans"/>
        <family val="2"/>
      </rPr>
      <t>Characteristics of police recorded hate crime in Scotland: study</t>
    </r>
    <r>
      <rPr>
        <sz val="8"/>
        <color theme="1"/>
        <rFont val="Open Sans"/>
        <family val="2"/>
      </rPr>
      <t>, Tables 4 &amp; 5</t>
    </r>
  </si>
  <si>
    <r>
      <t>2020 Mid-year Population Estimate</t>
    </r>
    <r>
      <rPr>
        <vertAlign val="superscript"/>
        <sz val="9"/>
        <color theme="1"/>
        <rFont val="Open Sans"/>
        <family val="2"/>
      </rPr>
      <t>b</t>
    </r>
  </si>
  <si>
    <t>% change 2019/20  to 2020/21</t>
  </si>
  <si>
    <t>England &amp; Wales, 2011/12 to 2020/21</t>
  </si>
  <si>
    <r>
      <t>England</t>
    </r>
    <r>
      <rPr>
        <b/>
        <vertAlign val="superscript"/>
        <sz val="9"/>
        <color theme="1"/>
        <rFont val="Open Sans"/>
        <family val="2"/>
      </rPr>
      <t>d</t>
    </r>
  </si>
  <si>
    <r>
      <t>E &amp; W 43 Forces Total</t>
    </r>
    <r>
      <rPr>
        <b/>
        <vertAlign val="superscript"/>
        <sz val="9"/>
        <color theme="1"/>
        <rFont val="Open Sans"/>
        <family val="2"/>
      </rPr>
      <t xml:space="preserve">d </t>
    </r>
  </si>
  <si>
    <r>
      <t>England and Wales Total</t>
    </r>
    <r>
      <rPr>
        <b/>
        <vertAlign val="superscript"/>
        <sz val="9"/>
        <color theme="1"/>
        <rFont val="Open Sans"/>
        <family val="2"/>
      </rPr>
      <t>d</t>
    </r>
  </si>
  <si>
    <t>% change 2015/16  to 2020/21</t>
  </si>
  <si>
    <t>d) Includes the GMP</t>
  </si>
  <si>
    <t>f) The England and Wales total includes figures from the British Transport police and GMP.</t>
  </si>
  <si>
    <r>
      <rPr>
        <sz val="8"/>
        <color theme="1"/>
        <rFont val="Open Sans"/>
        <family val="2"/>
      </rPr>
      <t xml:space="preserve">Source:Crown Prosecution Service, </t>
    </r>
    <r>
      <rPr>
        <sz val="8"/>
        <color rgb="FF0070C0"/>
        <rFont val="Open Sans"/>
        <family val="2"/>
      </rPr>
      <t>Hate Crime Annual Data Tables Year Ending March 202</t>
    </r>
    <r>
      <rPr>
        <sz val="8"/>
        <color theme="1"/>
        <rFont val="Open Sans"/>
        <family val="2"/>
      </rPr>
      <t xml:space="preserve">1
</t>
    </r>
  </si>
  <si>
    <t>Home Office: Hate Crime, England and Wales, 2020 to 2021: Appendix tables, Table 6</t>
  </si>
  <si>
    <t>(-) The percentage change is not calculable due to the absence of data from the GMP. Percentage changes regarding the Transgender strand should be treated with caution given the small numbers involved for many Police Force Areas.</t>
  </si>
  <si>
    <t>ONS, Local Authority District to Community Safety Partnerships to Police Force Areas Lookup in England and Wales</t>
  </si>
  <si>
    <t>England and Wales, 2011/12 to 2020/21</t>
  </si>
  <si>
    <t>April 2015 to March 2021</t>
  </si>
  <si>
    <r>
      <rPr>
        <sz val="8"/>
        <color theme="1"/>
        <rFont val="Open Sans"/>
        <family val="2"/>
      </rPr>
      <t>MPS,</t>
    </r>
    <r>
      <rPr>
        <sz val="8"/>
        <color theme="10"/>
        <rFont val="Open Sans"/>
        <family val="2"/>
      </rPr>
      <t xml:space="preserve"> Hate Crime or Special Crime Dashboard</t>
    </r>
    <r>
      <rPr>
        <i/>
        <sz val="8"/>
        <color theme="10"/>
        <rFont val="Open Sans"/>
        <family val="2"/>
      </rPr>
      <t xml:space="preserve"> </t>
    </r>
    <r>
      <rPr>
        <sz val="8"/>
        <color theme="1"/>
        <rFont val="Open Sans"/>
        <family val="2"/>
      </rPr>
      <t>Accessed 3 November 2021</t>
    </r>
  </si>
  <si>
    <r>
      <t xml:space="preserve">Source: Police Service of Northern Ireland, </t>
    </r>
    <r>
      <rPr>
        <sz val="8"/>
        <color rgb="FF0070C0"/>
        <rFont val="Open Sans"/>
        <family val="2"/>
      </rPr>
      <t>Hate Motivation Statistics</t>
    </r>
    <r>
      <rPr>
        <sz val="8"/>
        <color theme="1"/>
        <rFont val="Open Sans"/>
        <family val="2"/>
      </rPr>
      <t>, Accessed 10 September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</si>
</sst>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3" formatCode="_-* #,##0.00_-;\-* #,##0.00_-;_-* &quot;-&quot;??_-;_-@_-"/>
    <numFmt numFmtId="164" formatCode="0.0%"/>
    <numFmt numFmtId="165" formatCode="0.0"/>
    <numFmt numFmtId="166" formatCode="\+0%;[Red]\-0%"/>
    <numFmt numFmtId="167" formatCode="&quot; &quot;#,##0.00&quot; &quot;;&quot;-&quot;#,##0.00&quot; &quot;;&quot; -&quot;00&quot; &quot;;&quot; &quot;@&quot; &quot;"/>
    <numFmt numFmtId="168" formatCode="\+0%;[Red]\-0%;0%"/>
    <numFmt numFmtId="169" formatCode="\+0;\-0;"/>
    <numFmt numFmtId="170" formatCode="&quot; &quot;#,##0&quot; &quot;;&quot;-&quot;#,##0&quot; &quot;;&quot; -&quot;00&quot; &quot;;&quot; &quot;@&quot; &quot;"/>
    <numFmt numFmtId="171" formatCode="\+0%;\ \-0%"/>
    <numFmt numFmtId="172" formatCode="\+0.0%"/>
  </numFmts>
  <fonts count="46" x14ac:knownFonts="1">
    <font>
      <sz val="10"/>
      <color theme="1"/>
      <name val="Open Sans"/>
      <family val="2"/>
    </font>
    <font>
      <sz val="11"/>
      <color theme="1"/>
      <name val="Calibri"/>
      <family val="2"/>
      <scheme val="minor"/>
    </font>
    <font>
      <b/>
      <sz val="10"/>
      <color theme="1"/>
      <name val="Open Sans"/>
      <family val="2"/>
    </font>
    <font>
      <b/>
      <sz val="9"/>
      <color theme="1"/>
      <name val="Open Sans"/>
      <family val="2"/>
    </font>
    <font>
      <sz val="10"/>
      <color theme="0"/>
      <name val="Open Sans"/>
      <family val="2"/>
    </font>
    <font>
      <b/>
      <sz val="12"/>
      <color theme="0"/>
      <name val="Open Sans"/>
      <family val="2"/>
    </font>
    <font>
      <b/>
      <vertAlign val="superscript"/>
      <sz val="10"/>
      <color theme="1"/>
      <name val="Open Sans"/>
      <family val="2"/>
    </font>
    <font>
      <vertAlign val="superscript"/>
      <sz val="10"/>
      <color theme="1"/>
      <name val="Open Sans"/>
      <family val="2"/>
    </font>
    <font>
      <b/>
      <sz val="9"/>
      <color rgb="FF000000"/>
      <name val="Open Sans"/>
      <family val="2"/>
    </font>
    <font>
      <b/>
      <sz val="8"/>
      <color theme="1"/>
      <name val="Open Sans"/>
      <family val="2"/>
    </font>
    <font>
      <b/>
      <sz val="10"/>
      <color rgb="FF000000"/>
      <name val="Open Sans"/>
      <family val="2"/>
    </font>
    <font>
      <sz val="8"/>
      <color theme="1"/>
      <name val="Open Sans"/>
      <family val="2"/>
    </font>
    <font>
      <u/>
      <sz val="10"/>
      <color theme="10"/>
      <name val="Open Sans"/>
      <family val="2"/>
    </font>
    <font>
      <i/>
      <sz val="8"/>
      <color theme="10"/>
      <name val="Open Sans"/>
      <family val="2"/>
    </font>
    <font>
      <sz val="8"/>
      <color theme="10"/>
      <name val="Open Sans"/>
      <family val="2"/>
    </font>
    <font>
      <b/>
      <sz val="8"/>
      <color theme="10"/>
      <name val="Open Sans"/>
      <family val="2"/>
    </font>
    <font>
      <sz val="9"/>
      <color theme="0"/>
      <name val="Open Sans"/>
      <family val="2"/>
    </font>
    <font>
      <b/>
      <sz val="14"/>
      <color theme="0"/>
      <name val="Open Sans"/>
      <family val="2"/>
    </font>
    <font>
      <b/>
      <vertAlign val="superscript"/>
      <sz val="14"/>
      <color theme="0"/>
      <name val="Open Sans"/>
      <family val="2"/>
    </font>
    <font>
      <sz val="14"/>
      <color theme="1"/>
      <name val="Open Sans"/>
      <family val="2"/>
    </font>
    <font>
      <sz val="14"/>
      <color theme="0"/>
      <name val="Open Sans"/>
      <family val="2"/>
    </font>
    <font>
      <sz val="12"/>
      <color rgb="FF000000"/>
      <name val="Arial"/>
      <family val="2"/>
    </font>
    <font>
      <sz val="8"/>
      <name val="Open Sans"/>
      <family val="2"/>
    </font>
    <font>
      <sz val="14"/>
      <color theme="0"/>
      <name val="National-LFSN Semibd"/>
      <family val="2"/>
    </font>
    <font>
      <vertAlign val="superscript"/>
      <sz val="14"/>
      <color theme="0"/>
      <name val="National-LFSN Semibd"/>
      <family val="2"/>
    </font>
    <font>
      <sz val="9"/>
      <color theme="1"/>
      <name val="Open Sans"/>
      <family val="2"/>
    </font>
    <font>
      <sz val="8"/>
      <color rgb="FF0070C0"/>
      <name val="Open Sans"/>
      <family val="2"/>
    </font>
    <font>
      <vertAlign val="superscript"/>
      <sz val="9"/>
      <color theme="1"/>
      <name val="Open Sans"/>
      <family val="2"/>
    </font>
    <font>
      <b/>
      <vertAlign val="superscript"/>
      <sz val="9"/>
      <color theme="1"/>
      <name val="Open Sans"/>
      <family val="2"/>
    </font>
    <font>
      <sz val="11"/>
      <color theme="4"/>
      <name val="National-LFSN Book"/>
      <family val="2"/>
    </font>
    <font>
      <sz val="11"/>
      <color rgb="FF000000"/>
      <name val="Calibri"/>
      <family val="2"/>
    </font>
    <font>
      <sz val="9"/>
      <color rgb="FF000000"/>
      <name val="Arial"/>
      <family val="2"/>
    </font>
    <font>
      <u/>
      <sz val="12"/>
      <color rgb="FF0000FF"/>
      <name val="Arial"/>
      <family val="2"/>
    </font>
    <font>
      <u/>
      <sz val="11"/>
      <color rgb="FF0000FF"/>
      <name val="Calibri"/>
      <family val="2"/>
    </font>
    <font>
      <sz val="10"/>
      <color rgb="FF000000"/>
      <name val="Arial"/>
      <family val="2"/>
    </font>
    <font>
      <sz val="11"/>
      <color rgb="FF9C5700"/>
      <name val="Calibri"/>
      <family val="2"/>
    </font>
    <font>
      <u/>
      <sz val="11"/>
      <color rgb="FF0563C1"/>
      <name val="Calibri"/>
      <family val="2"/>
    </font>
    <font>
      <u/>
      <sz val="10"/>
      <color rgb="FF0000FF"/>
      <name val="Arial"/>
      <family val="2"/>
    </font>
    <font>
      <u/>
      <sz val="11"/>
      <color theme="10"/>
      <name val="Calibri"/>
      <family val="2"/>
    </font>
    <font>
      <u/>
      <sz val="11"/>
      <color theme="10"/>
      <name val="Calibri"/>
      <family val="2"/>
      <scheme val="minor"/>
    </font>
    <font>
      <sz val="9"/>
      <color rgb="FFFF0000"/>
      <name val="Open Sans"/>
      <family val="2"/>
    </font>
    <font>
      <sz val="11"/>
      <color theme="0"/>
      <name val="National-LFSN Book"/>
      <family val="2"/>
    </font>
    <font>
      <sz val="10"/>
      <color theme="1"/>
      <name val="Open Sans"/>
      <family val="2"/>
    </font>
    <font>
      <u/>
      <sz val="8"/>
      <color theme="1"/>
      <name val="Open Sans"/>
      <family val="2"/>
    </font>
    <font>
      <b/>
      <sz val="11"/>
      <color theme="4"/>
      <name val="National-LFSN Book"/>
      <family val="2"/>
    </font>
    <font>
      <sz val="10"/>
      <color rgb="FF000000"/>
      <name val="Arial"/>
      <family val="2"/>
    </font>
  </fonts>
  <fills count="9">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7"/>
        <bgColor indexed="64"/>
      </patternFill>
    </fill>
    <fill>
      <patternFill patternType="solid">
        <fgColor theme="5" tint="0.79998168889431442"/>
        <bgColor theme="4" tint="0.79998168889431442"/>
      </patternFill>
    </fill>
    <fill>
      <patternFill patternType="solid">
        <fgColor theme="2"/>
        <bgColor indexed="64"/>
      </patternFill>
    </fill>
    <fill>
      <patternFill patternType="solid">
        <fgColor rgb="FFFFEB9C"/>
        <bgColor rgb="FFFFEB9C"/>
      </patternFill>
    </fill>
    <fill>
      <patternFill patternType="solid">
        <fgColor theme="0" tint="-0.14999847407452621"/>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top/>
      <bottom style="medium">
        <color theme="4"/>
      </bottom>
      <diagonal/>
    </border>
    <border>
      <left/>
      <right/>
      <top/>
      <bottom style="thin">
        <color theme="4"/>
      </bottom>
      <diagonal/>
    </border>
  </borders>
  <cellStyleXfs count="51">
    <xf numFmtId="0" fontId="0" fillId="0" borderId="0"/>
    <xf numFmtId="0" fontId="12" fillId="0" borderId="0" applyNumberFormat="0" applyFill="0" applyBorder="0" applyAlignment="0" applyProtection="0"/>
    <xf numFmtId="0" fontId="21" fillId="0" borderId="0" applyNumberFormat="0" applyFont="0" applyBorder="0" applyProtection="0"/>
    <xf numFmtId="167" fontId="21" fillId="0" borderId="0" applyFont="0" applyFill="0" applyBorder="0" applyAlignment="0" applyProtection="0"/>
    <xf numFmtId="0" fontId="30" fillId="0" borderId="0"/>
    <xf numFmtId="0" fontId="21" fillId="0" borderId="0" applyNumberFormat="0" applyBorder="0" applyProtection="0"/>
    <xf numFmtId="0" fontId="30" fillId="0" borderId="0" applyNumberFormat="0" applyFont="0" applyBorder="0" applyProtection="0"/>
    <xf numFmtId="167" fontId="30" fillId="0" borderId="0" applyFont="0" applyFill="0" applyBorder="0" applyAlignment="0" applyProtection="0"/>
    <xf numFmtId="167" fontId="30" fillId="0" borderId="0" applyFon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0" applyNumberFormat="0" applyBorder="0" applyProtection="0"/>
    <xf numFmtId="9" fontId="30" fillId="0" borderId="0" applyFont="0" applyFill="0" applyBorder="0" applyAlignment="0" applyProtection="0"/>
    <xf numFmtId="0" fontId="30" fillId="0" borderId="0" applyNumberFormat="0" applyFont="0" applyBorder="0" applyProtection="0"/>
    <xf numFmtId="0" fontId="34" fillId="0" borderId="0" applyNumberFormat="0" applyBorder="0" applyProtection="0"/>
    <xf numFmtId="9" fontId="30" fillId="0" borderId="0" applyFont="0" applyFill="0" applyBorder="0" applyAlignment="0" applyProtection="0"/>
    <xf numFmtId="9" fontId="30" fillId="0" borderId="0" applyFont="0" applyFill="0" applyBorder="0" applyAlignment="0" applyProtection="0"/>
    <xf numFmtId="0" fontId="30" fillId="0" borderId="0" applyNumberFormat="0" applyFont="0" applyBorder="0" applyProtection="0"/>
    <xf numFmtId="0" fontId="35" fillId="7" borderId="0" applyNumberFormat="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2" fillId="0" borderId="0" applyNumberFormat="0" applyFill="0" applyBorder="0" applyAlignment="0" applyProtection="0"/>
    <xf numFmtId="0" fontId="34" fillId="0" borderId="0" applyNumberFormat="0" applyBorder="0" applyProtection="0"/>
    <xf numFmtId="0" fontId="21" fillId="0" borderId="0" applyNumberFormat="0" applyBorder="0" applyProtection="0"/>
    <xf numFmtId="0" fontId="34" fillId="0" borderId="0" applyNumberFormat="0" applyBorder="0" applyProtection="0"/>
    <xf numFmtId="0" fontId="21" fillId="0" borderId="0" applyNumberFormat="0" applyBorder="0" applyProtection="0"/>
    <xf numFmtId="0" fontId="30" fillId="0" borderId="0" applyNumberFormat="0" applyFont="0" applyBorder="0" applyProtection="0"/>
    <xf numFmtId="0" fontId="30" fillId="0" borderId="0" applyNumberFormat="0" applyFont="0" applyBorder="0" applyProtection="0"/>
    <xf numFmtId="0" fontId="30" fillId="0" borderId="0" applyNumberFormat="0" applyFont="0" applyBorder="0" applyProtection="0"/>
    <xf numFmtId="0" fontId="30" fillId="0" borderId="0" applyNumberFormat="0" applyFont="0" applyBorder="0" applyProtection="0"/>
    <xf numFmtId="0" fontId="30" fillId="0" borderId="0" applyNumberFormat="0" applyFont="0" applyBorder="0" applyProtection="0"/>
    <xf numFmtId="0" fontId="21" fillId="0" borderId="0" applyNumberFormat="0" applyBorder="0" applyProtection="0"/>
    <xf numFmtId="0" fontId="30" fillId="0" borderId="0" applyNumberFormat="0" applyFont="0" applyBorder="0" applyProtection="0"/>
    <xf numFmtId="0" fontId="21" fillId="0" borderId="0" applyNumberFormat="0" applyBorder="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8" fillId="0" borderId="0" applyNumberFormat="0" applyFill="0" applyBorder="0" applyAlignment="0" applyProtection="0"/>
    <xf numFmtId="0" fontId="1" fillId="0" borderId="0"/>
    <xf numFmtId="0" fontId="1" fillId="0" borderId="0"/>
    <xf numFmtId="0" fontId="39" fillId="0" borderId="0" applyNumberFormat="0" applyFill="0" applyBorder="0" applyAlignment="0" applyProtection="0"/>
    <xf numFmtId="43" fontId="1" fillId="0" borderId="0" applyFont="0" applyFill="0" applyBorder="0" applyAlignment="0" applyProtection="0"/>
    <xf numFmtId="9" fontId="30" fillId="0" borderId="0" applyFont="0" applyFill="0" applyBorder="0" applyAlignment="0" applyProtection="0"/>
    <xf numFmtId="0" fontId="21" fillId="0" borderId="0"/>
    <xf numFmtId="0" fontId="21" fillId="0" borderId="0" applyNumberFormat="0" applyFont="0" applyBorder="0" applyProtection="0"/>
    <xf numFmtId="167" fontId="21" fillId="0" borderId="0" applyFont="0" applyFill="0" applyBorder="0" applyAlignment="0" applyProtection="0"/>
    <xf numFmtId="0" fontId="34" fillId="0" borderId="0"/>
    <xf numFmtId="0" fontId="45" fillId="0" borderId="0"/>
  </cellStyleXfs>
  <cellXfs count="167">
    <xf numFmtId="0" fontId="0" fillId="0" borderId="0" xfId="0"/>
    <xf numFmtId="0" fontId="0" fillId="0" borderId="0" xfId="0" applyAlignment="1">
      <alignment horizontal="right"/>
    </xf>
    <xf numFmtId="3" fontId="0" fillId="0" borderId="0" xfId="0" applyNumberFormat="1"/>
    <xf numFmtId="0" fontId="0" fillId="0" borderId="0" xfId="0" applyAlignment="1">
      <alignment horizontal="right" wrapText="1"/>
    </xf>
    <xf numFmtId="0" fontId="2" fillId="0" borderId="0" xfId="0" applyFont="1"/>
    <xf numFmtId="165" fontId="0" fillId="0" borderId="0" xfId="0" applyNumberFormat="1"/>
    <xf numFmtId="1" fontId="0" fillId="0" borderId="0" xfId="0" applyNumberFormat="1"/>
    <xf numFmtId="3" fontId="0" fillId="0" borderId="0" xfId="0" applyNumberFormat="1" applyAlignment="1">
      <alignment horizontal="right"/>
    </xf>
    <xf numFmtId="0" fontId="0" fillId="0" borderId="1" xfId="0" applyBorder="1"/>
    <xf numFmtId="9" fontId="0" fillId="0" borderId="0" xfId="0" applyNumberFormat="1"/>
    <xf numFmtId="0" fontId="4" fillId="2" borderId="0" xfId="0" applyFont="1" applyFill="1"/>
    <xf numFmtId="0" fontId="5" fillId="2" borderId="0" xfId="0" applyFont="1" applyFill="1"/>
    <xf numFmtId="0" fontId="0" fillId="3" borderId="0" xfId="0" applyFill="1"/>
    <xf numFmtId="0" fontId="2" fillId="3" borderId="0" xfId="0" applyFont="1" applyFill="1"/>
    <xf numFmtId="0" fontId="0" fillId="4" borderId="0" xfId="0" applyFill="1"/>
    <xf numFmtId="0" fontId="0" fillId="4" borderId="0" xfId="0" applyFill="1" applyAlignment="1">
      <alignment horizontal="right" wrapText="1"/>
    </xf>
    <xf numFmtId="0" fontId="0" fillId="2" borderId="0" xfId="0" applyFill="1"/>
    <xf numFmtId="3" fontId="3" fillId="3" borderId="0" xfId="0" applyNumberFormat="1" applyFont="1" applyFill="1"/>
    <xf numFmtId="3" fontId="3" fillId="5" borderId="0" xfId="0" applyNumberFormat="1" applyFont="1" applyFill="1"/>
    <xf numFmtId="3" fontId="2" fillId="3" borderId="0" xfId="0" applyNumberFormat="1" applyFont="1" applyFill="1"/>
    <xf numFmtId="165" fontId="2" fillId="3" borderId="0" xfId="0" applyNumberFormat="1" applyFont="1" applyFill="1"/>
    <xf numFmtId="3" fontId="0" fillId="3" borderId="0" xfId="0" applyNumberFormat="1" applyFill="1"/>
    <xf numFmtId="165" fontId="0" fillId="3" borderId="0" xfId="0" applyNumberFormat="1" applyFill="1"/>
    <xf numFmtId="1" fontId="0" fillId="3" borderId="0" xfId="0" applyNumberFormat="1" applyFill="1"/>
    <xf numFmtId="0" fontId="2" fillId="4" borderId="0" xfId="0" applyFont="1" applyFill="1" applyAlignment="1">
      <alignment horizontal="right" wrapText="1"/>
    </xf>
    <xf numFmtId="165" fontId="0" fillId="4" borderId="0" xfId="0" applyNumberFormat="1" applyFill="1"/>
    <xf numFmtId="3" fontId="10" fillId="3" borderId="0" xfId="0" applyNumberFormat="1" applyFont="1" applyFill="1" applyAlignment="1">
      <alignment horizontal="right"/>
    </xf>
    <xf numFmtId="3" fontId="10" fillId="3" borderId="0" xfId="0" applyNumberFormat="1" applyFont="1" applyFill="1"/>
    <xf numFmtId="3" fontId="8" fillId="3" borderId="0" xfId="0" applyNumberFormat="1" applyFont="1" applyFill="1" applyAlignment="1">
      <alignment horizontal="right"/>
    </xf>
    <xf numFmtId="0" fontId="11" fillId="0" borderId="0" xfId="0" applyFont="1"/>
    <xf numFmtId="0" fontId="14" fillId="0" borderId="0" xfId="1" applyFont="1"/>
    <xf numFmtId="0" fontId="9" fillId="0" borderId="0" xfId="0" applyFont="1"/>
    <xf numFmtId="164" fontId="0" fillId="3" borderId="0" xfId="0" applyNumberFormat="1" applyFill="1"/>
    <xf numFmtId="0" fontId="16" fillId="2" borderId="0" xfId="0" applyFont="1" applyFill="1"/>
    <xf numFmtId="0" fontId="17" fillId="2" borderId="0" xfId="0" applyFont="1" applyFill="1"/>
    <xf numFmtId="0" fontId="19" fillId="2" borderId="0" xfId="0" applyFont="1" applyFill="1"/>
    <xf numFmtId="0" fontId="20" fillId="2" borderId="0" xfId="0" applyFont="1" applyFill="1"/>
    <xf numFmtId="1" fontId="2" fillId="3" borderId="0" xfId="0" applyNumberFormat="1" applyFont="1" applyFill="1"/>
    <xf numFmtId="0" fontId="0" fillId="0" borderId="0" xfId="0" applyAlignment="1">
      <alignment wrapText="1"/>
    </xf>
    <xf numFmtId="0" fontId="17" fillId="2" borderId="0" xfId="0" applyFont="1" applyFill="1" applyAlignment="1">
      <alignment horizontal="left" wrapText="1"/>
    </xf>
    <xf numFmtId="0" fontId="11" fillId="0" borderId="0" xfId="0" applyFont="1" applyAlignment="1">
      <alignment horizontal="left" wrapText="1"/>
    </xf>
    <xf numFmtId="0" fontId="0" fillId="0" borderId="0" xfId="0" applyFill="1"/>
    <xf numFmtId="3" fontId="0" fillId="0" borderId="0" xfId="0" applyNumberFormat="1" applyFill="1"/>
    <xf numFmtId="17" fontId="0" fillId="0" borderId="0" xfId="0" applyNumberFormat="1" applyFill="1"/>
    <xf numFmtId="0" fontId="0" fillId="0" borderId="0" xfId="0" applyFill="1" applyAlignment="1">
      <alignment wrapText="1"/>
    </xf>
    <xf numFmtId="10" fontId="0" fillId="0" borderId="0" xfId="0" applyNumberFormat="1"/>
    <xf numFmtId="1" fontId="0" fillId="3" borderId="0" xfId="0" applyNumberFormat="1" applyFont="1" applyFill="1"/>
    <xf numFmtId="165" fontId="0" fillId="3" borderId="0" xfId="0" applyNumberFormat="1" applyFont="1" applyFill="1"/>
    <xf numFmtId="0" fontId="16" fillId="2" borderId="0" xfId="0" applyFont="1" applyFill="1" applyAlignment="1">
      <alignment horizontal="left" vertical="top"/>
    </xf>
    <xf numFmtId="0" fontId="23" fillId="2" borderId="0" xfId="0" applyFont="1" applyFill="1"/>
    <xf numFmtId="0" fontId="0" fillId="6" borderId="0" xfId="0" applyFill="1"/>
    <xf numFmtId="0" fontId="0" fillId="6" borderId="0" xfId="0" applyFill="1" applyAlignment="1">
      <alignment horizontal="right" wrapText="1"/>
    </xf>
    <xf numFmtId="0" fontId="11" fillId="6" borderId="0" xfId="0" applyFont="1" applyFill="1"/>
    <xf numFmtId="0" fontId="25" fillId="6" borderId="3" xfId="0" applyFont="1" applyFill="1" applyBorder="1"/>
    <xf numFmtId="0" fontId="25" fillId="6" borderId="3" xfId="0" applyFont="1" applyFill="1" applyBorder="1" applyAlignment="1">
      <alignment horizontal="right"/>
    </xf>
    <xf numFmtId="0" fontId="25" fillId="6" borderId="3" xfId="0" applyFont="1" applyFill="1" applyBorder="1" applyAlignment="1">
      <alignment horizontal="right" wrapText="1"/>
    </xf>
    <xf numFmtId="0" fontId="25" fillId="6" borderId="0" xfId="0" applyFont="1" applyFill="1"/>
    <xf numFmtId="3" fontId="25" fillId="6" borderId="0" xfId="0" applyNumberFormat="1" applyFont="1" applyFill="1" applyAlignment="1">
      <alignment horizontal="right"/>
    </xf>
    <xf numFmtId="168" fontId="25" fillId="6" borderId="0" xfId="0" applyNumberFormat="1" applyFont="1" applyFill="1"/>
    <xf numFmtId="168" fontId="25" fillId="6" borderId="0" xfId="0" applyNumberFormat="1" applyFont="1" applyFill="1" applyAlignment="1">
      <alignment horizontal="right"/>
    </xf>
    <xf numFmtId="9" fontId="25" fillId="6" borderId="0" xfId="0" applyNumberFormat="1" applyFont="1" applyFill="1"/>
    <xf numFmtId="0" fontId="3" fillId="6" borderId="0" xfId="0" applyFont="1" applyFill="1"/>
    <xf numFmtId="3" fontId="3" fillId="6" borderId="0" xfId="0" applyNumberFormat="1" applyFont="1" applyFill="1" applyAlignment="1">
      <alignment horizontal="right"/>
    </xf>
    <xf numFmtId="0" fontId="11" fillId="0" borderId="0" xfId="0" applyFont="1" applyAlignment="1">
      <alignment wrapText="1"/>
    </xf>
    <xf numFmtId="0" fontId="11" fillId="0" borderId="0" xfId="1" applyFont="1"/>
    <xf numFmtId="0" fontId="25" fillId="0" borderId="1" xfId="0" applyFont="1" applyBorder="1"/>
    <xf numFmtId="0" fontId="25" fillId="2" borderId="0" xfId="0" applyFont="1" applyFill="1" applyBorder="1"/>
    <xf numFmtId="3" fontId="3" fillId="6" borderId="0" xfId="0" applyNumberFormat="1" applyFont="1" applyFill="1"/>
    <xf numFmtId="0" fontId="25" fillId="6" borderId="0" xfId="0" applyFont="1" applyFill="1" applyAlignment="1">
      <alignment horizontal="right" wrapText="1"/>
    </xf>
    <xf numFmtId="1" fontId="3" fillId="6" borderId="0" xfId="0" applyNumberFormat="1" applyFont="1" applyFill="1" applyAlignment="1">
      <alignment horizontal="right"/>
    </xf>
    <xf numFmtId="1" fontId="3" fillId="6" borderId="0" xfId="0" applyNumberFormat="1" applyFont="1" applyFill="1"/>
    <xf numFmtId="3" fontId="25" fillId="6" borderId="0" xfId="0" applyNumberFormat="1" applyFont="1" applyFill="1"/>
    <xf numFmtId="1" fontId="25" fillId="6" borderId="0" xfId="0" applyNumberFormat="1" applyFont="1" applyFill="1" applyAlignment="1">
      <alignment horizontal="right"/>
    </xf>
    <xf numFmtId="0" fontId="25" fillId="6" borderId="0" xfId="0" applyFont="1" applyFill="1" applyAlignment="1">
      <alignment horizontal="right"/>
    </xf>
    <xf numFmtId="1" fontId="25" fillId="6" borderId="0" xfId="0" applyNumberFormat="1" applyFont="1" applyFill="1"/>
    <xf numFmtId="0" fontId="11" fillId="0" borderId="0" xfId="0" applyFont="1" applyFill="1"/>
    <xf numFmtId="0" fontId="25" fillId="6" borderId="0" xfId="0" applyFont="1" applyFill="1" applyBorder="1" applyAlignment="1">
      <alignment horizontal="center"/>
    </xf>
    <xf numFmtId="0" fontId="9" fillId="6" borderId="0" xfId="0" applyFont="1" applyFill="1"/>
    <xf numFmtId="0" fontId="11" fillId="6" borderId="0" xfId="0" applyFont="1" applyFill="1" applyAlignment="1">
      <alignment horizontal="left" wrapText="1"/>
    </xf>
    <xf numFmtId="17" fontId="25" fillId="6" borderId="0" xfId="0" applyNumberFormat="1" applyFont="1" applyFill="1"/>
    <xf numFmtId="166" fontId="25" fillId="6" borderId="0" xfId="0" applyNumberFormat="1" applyFont="1" applyFill="1"/>
    <xf numFmtId="3" fontId="11" fillId="0" borderId="0" xfId="0" applyNumberFormat="1" applyFont="1" applyFill="1"/>
    <xf numFmtId="17" fontId="11" fillId="0" borderId="0" xfId="0" applyNumberFormat="1" applyFont="1" applyFill="1"/>
    <xf numFmtId="0" fontId="25" fillId="6" borderId="0" xfId="0" applyFont="1" applyFill="1" applyAlignment="1">
      <alignment horizontal="left"/>
    </xf>
    <xf numFmtId="0" fontId="25" fillId="6" borderId="3" xfId="0" applyFont="1" applyFill="1" applyBorder="1" applyAlignment="1">
      <alignment horizontal="left"/>
    </xf>
    <xf numFmtId="164" fontId="25" fillId="6" borderId="0" xfId="0" applyNumberFormat="1" applyFont="1" applyFill="1"/>
    <xf numFmtId="0" fontId="29" fillId="6" borderId="0" xfId="0" applyFont="1" applyFill="1"/>
    <xf numFmtId="164" fontId="3" fillId="6" borderId="0" xfId="0" applyNumberFormat="1" applyFont="1" applyFill="1"/>
    <xf numFmtId="0" fontId="11" fillId="0" borderId="0" xfId="0" applyFont="1" applyAlignment="1">
      <alignment horizontal="left" wrapText="1"/>
    </xf>
    <xf numFmtId="0" fontId="23" fillId="2" borderId="0" xfId="0" applyFont="1" applyFill="1" applyAlignment="1">
      <alignment horizontal="left" wrapText="1"/>
    </xf>
    <xf numFmtId="0" fontId="25" fillId="6" borderId="3" xfId="0" applyFont="1" applyFill="1" applyBorder="1" applyAlignment="1">
      <alignment horizontal="right" wrapText="1"/>
    </xf>
    <xf numFmtId="0" fontId="4" fillId="0" borderId="0" xfId="0" applyFont="1" applyFill="1" applyBorder="1"/>
    <xf numFmtId="0" fontId="25" fillId="0" borderId="0" xfId="0" applyFont="1" applyFill="1" applyBorder="1" applyAlignment="1">
      <alignment horizontal="center"/>
    </xf>
    <xf numFmtId="0" fontId="0" fillId="0" borderId="0" xfId="0" applyFill="1" applyBorder="1"/>
    <xf numFmtId="9" fontId="0" fillId="6" borderId="0" xfId="0" applyNumberFormat="1" applyFill="1"/>
    <xf numFmtId="169" fontId="0" fillId="6" borderId="0" xfId="0" applyNumberFormat="1" applyFill="1"/>
    <xf numFmtId="0" fontId="4" fillId="0" borderId="0" xfId="0" applyFont="1" applyFill="1"/>
    <xf numFmtId="0" fontId="0" fillId="6" borderId="3" xfId="0" applyFill="1" applyBorder="1"/>
    <xf numFmtId="169" fontId="25" fillId="6" borderId="0" xfId="0" applyNumberFormat="1" applyFont="1" applyFill="1"/>
    <xf numFmtId="0" fontId="25" fillId="6" borderId="3" xfId="0" applyFont="1" applyFill="1" applyBorder="1" applyAlignment="1">
      <alignment horizontal="right" wrapText="1"/>
    </xf>
    <xf numFmtId="164" fontId="40" fillId="6" borderId="0" xfId="0" applyNumberFormat="1" applyFont="1" applyFill="1"/>
    <xf numFmtId="170" fontId="31" fillId="6" borderId="0" xfId="48" applyNumberFormat="1" applyFont="1" applyFill="1"/>
    <xf numFmtId="170" fontId="25" fillId="6" borderId="0" xfId="48" applyNumberFormat="1" applyFont="1" applyFill="1"/>
    <xf numFmtId="0" fontId="3" fillId="6" borderId="3" xfId="0" applyFont="1" applyFill="1" applyBorder="1" applyAlignment="1">
      <alignment horizontal="right" wrapText="1"/>
    </xf>
    <xf numFmtId="164" fontId="25" fillId="6" borderId="0" xfId="0" applyNumberFormat="1" applyFont="1" applyFill="1" applyAlignment="1">
      <alignment horizontal="right"/>
    </xf>
    <xf numFmtId="0" fontId="25" fillId="6" borderId="0" xfId="31" applyFont="1" applyFill="1" applyAlignment="1">
      <alignment horizontal="left" wrapText="1"/>
    </xf>
    <xf numFmtId="0" fontId="25" fillId="6" borderId="0" xfId="25" applyFont="1" applyFill="1" applyAlignment="1">
      <alignment horizontal="right" vertical="center" wrapText="1"/>
    </xf>
    <xf numFmtId="3" fontId="25" fillId="6" borderId="0" xfId="25" applyNumberFormat="1" applyFont="1" applyFill="1" applyAlignment="1">
      <alignment horizontal="right" vertical="center" wrapText="1"/>
    </xf>
    <xf numFmtId="3" fontId="25" fillId="6" borderId="0" xfId="31" applyNumberFormat="1" applyFont="1" applyFill="1" applyAlignment="1">
      <alignment wrapText="1"/>
    </xf>
    <xf numFmtId="0" fontId="25" fillId="6" borderId="0" xfId="31" applyFont="1" applyFill="1" applyAlignment="1">
      <alignment horizontal="right" wrapText="1"/>
    </xf>
    <xf numFmtId="0" fontId="3" fillId="8" borderId="0" xfId="31" applyFont="1" applyFill="1" applyAlignment="1">
      <alignment horizontal="left" wrapText="1"/>
    </xf>
    <xf numFmtId="0" fontId="3" fillId="6" borderId="0" xfId="31" applyFont="1" applyFill="1" applyAlignment="1">
      <alignment horizontal="left" wrapText="1"/>
    </xf>
    <xf numFmtId="0" fontId="3" fillId="8" borderId="0" xfId="31" applyFont="1" applyFill="1" applyBorder="1" applyAlignment="1">
      <alignment horizontal="left" wrapText="1"/>
    </xf>
    <xf numFmtId="0" fontId="25" fillId="6" borderId="0" xfId="0" applyFont="1" applyFill="1" applyAlignment="1">
      <alignment horizontal="right" vertical="center" wrapText="1"/>
    </xf>
    <xf numFmtId="3" fontId="25" fillId="6" borderId="0" xfId="0" applyNumberFormat="1" applyFont="1" applyFill="1" applyAlignment="1">
      <alignment horizontal="right" vertical="center" wrapText="1"/>
    </xf>
    <xf numFmtId="171" fontId="3" fillId="6" borderId="0" xfId="0" applyNumberFormat="1" applyFont="1" applyFill="1" applyAlignment="1">
      <alignment vertical="center"/>
    </xf>
    <xf numFmtId="171" fontId="3" fillId="6" borderId="0" xfId="0" applyNumberFormat="1" applyFont="1" applyFill="1" applyAlignment="1">
      <alignment horizontal="right"/>
    </xf>
    <xf numFmtId="0" fontId="25" fillId="6" borderId="3" xfId="0" applyFont="1" applyFill="1" applyBorder="1" applyAlignment="1">
      <alignment horizontal="right" wrapText="1"/>
    </xf>
    <xf numFmtId="0" fontId="41" fillId="2" borderId="0" xfId="0" applyFont="1" applyFill="1"/>
    <xf numFmtId="0" fontId="12" fillId="0" borderId="0" xfId="1"/>
    <xf numFmtId="0" fontId="25" fillId="6" borderId="3" xfId="31" applyFont="1" applyFill="1" applyBorder="1" applyAlignment="1">
      <alignment horizontal="right" wrapText="1"/>
    </xf>
    <xf numFmtId="0" fontId="25" fillId="6" borderId="3" xfId="31" applyFont="1" applyFill="1" applyBorder="1" applyAlignment="1">
      <alignment horizontal="right"/>
    </xf>
    <xf numFmtId="0" fontId="25" fillId="6" borderId="0" xfId="31" applyFont="1" applyFill="1" applyAlignment="1">
      <alignment wrapText="1"/>
    </xf>
    <xf numFmtId="0" fontId="25" fillId="6" borderId="0" xfId="31" applyFont="1" applyFill="1" applyAlignment="1">
      <alignment horizontal="right"/>
    </xf>
    <xf numFmtId="9" fontId="25" fillId="6" borderId="0" xfId="31" applyNumberFormat="1" applyFont="1" applyFill="1" applyAlignment="1">
      <alignment wrapText="1"/>
    </xf>
    <xf numFmtId="0" fontId="42" fillId="6" borderId="0" xfId="0" applyFont="1" applyFill="1"/>
    <xf numFmtId="0" fontId="3" fillId="6" borderId="0" xfId="0" applyFont="1" applyFill="1" applyAlignment="1">
      <alignment horizontal="right"/>
    </xf>
    <xf numFmtId="164" fontId="3" fillId="6" borderId="0" xfId="0" applyNumberFormat="1" applyFont="1" applyFill="1" applyAlignment="1">
      <alignment horizontal="right"/>
    </xf>
    <xf numFmtId="0" fontId="44" fillId="6" borderId="0" xfId="0" applyFont="1" applyFill="1"/>
    <xf numFmtId="0" fontId="2" fillId="6" borderId="0" xfId="0" applyFont="1" applyFill="1"/>
    <xf numFmtId="3" fontId="2" fillId="6" borderId="0" xfId="0" applyNumberFormat="1" applyFont="1" applyFill="1"/>
    <xf numFmtId="164" fontId="2" fillId="6" borderId="0" xfId="0" applyNumberFormat="1" applyFont="1" applyFill="1"/>
    <xf numFmtId="0" fontId="42" fillId="0" borderId="0" xfId="0" applyFont="1" applyFill="1"/>
    <xf numFmtId="0" fontId="2" fillId="0" borderId="0" xfId="0" applyFont="1" applyFill="1"/>
    <xf numFmtId="3" fontId="2" fillId="0" borderId="0" xfId="0" applyNumberFormat="1" applyFont="1" applyFill="1"/>
    <xf numFmtId="164" fontId="2" fillId="0" borderId="0" xfId="0" applyNumberFormat="1" applyFont="1" applyFill="1"/>
    <xf numFmtId="0" fontId="11" fillId="0" borderId="0" xfId="1" applyFont="1" applyFill="1"/>
    <xf numFmtId="0" fontId="41" fillId="2" borderId="0" xfId="0" applyFont="1" applyFill="1" applyAlignment="1">
      <alignment horizontal="left" vertical="top"/>
    </xf>
    <xf numFmtId="0" fontId="25" fillId="6" borderId="0" xfId="0" applyFont="1" applyFill="1" applyBorder="1" applyAlignment="1">
      <alignment horizontal="right" wrapText="1"/>
    </xf>
    <xf numFmtId="0" fontId="25" fillId="6" borderId="3" xfId="0" applyFont="1" applyFill="1" applyBorder="1" applyAlignment="1">
      <alignment horizontal="right" wrapText="1"/>
    </xf>
    <xf numFmtId="0" fontId="3" fillId="6" borderId="3" xfId="31" applyFont="1" applyFill="1" applyBorder="1" applyAlignment="1">
      <alignment horizontal="right" wrapText="1"/>
    </xf>
    <xf numFmtId="0" fontId="3" fillId="6" borderId="0" xfId="31" applyFont="1" applyFill="1" applyAlignment="1">
      <alignment wrapText="1"/>
    </xf>
    <xf numFmtId="3" fontId="3" fillId="6" borderId="0" xfId="31" applyNumberFormat="1" applyFont="1" applyFill="1" applyAlignment="1">
      <alignment wrapText="1"/>
    </xf>
    <xf numFmtId="168" fontId="3" fillId="8" borderId="0" xfId="31" applyNumberFormat="1" applyFont="1" applyFill="1" applyAlignment="1">
      <alignment wrapText="1"/>
    </xf>
    <xf numFmtId="168" fontId="3" fillId="8" borderId="0" xfId="31" applyNumberFormat="1" applyFont="1" applyFill="1" applyBorder="1" applyAlignment="1">
      <alignment wrapText="1"/>
    </xf>
    <xf numFmtId="168" fontId="3" fillId="8" borderId="0" xfId="0" applyNumberFormat="1" applyFont="1" applyFill="1"/>
    <xf numFmtId="166" fontId="3" fillId="8" borderId="0" xfId="0" applyNumberFormat="1" applyFont="1" applyFill="1"/>
    <xf numFmtId="0" fontId="11" fillId="0" borderId="0" xfId="0" applyFont="1" applyAlignment="1">
      <alignment horizontal="left" wrapText="1"/>
    </xf>
    <xf numFmtId="0" fontId="25" fillId="6" borderId="0" xfId="0" applyFont="1" applyFill="1" applyBorder="1" applyAlignment="1">
      <alignment horizontal="right" wrapText="1"/>
    </xf>
    <xf numFmtId="0" fontId="25" fillId="6" borderId="3" xfId="0" applyFont="1" applyFill="1" applyBorder="1" applyAlignment="1">
      <alignment horizontal="right" wrapText="1"/>
    </xf>
    <xf numFmtId="169" fontId="25" fillId="6" borderId="0" xfId="0" applyNumberFormat="1" applyFont="1" applyFill="1" applyAlignment="1">
      <alignment horizontal="right"/>
    </xf>
    <xf numFmtId="9" fontId="25" fillId="6" borderId="0" xfId="0" applyNumberFormat="1" applyFont="1" applyFill="1" applyAlignment="1">
      <alignment horizontal="right"/>
    </xf>
    <xf numFmtId="168" fontId="3" fillId="6" borderId="0" xfId="0" applyNumberFormat="1" applyFont="1" applyFill="1"/>
    <xf numFmtId="0" fontId="25" fillId="6" borderId="3" xfId="0" applyFont="1" applyFill="1" applyBorder="1" applyAlignment="1">
      <alignment horizontal="right" wrapText="1"/>
    </xf>
    <xf numFmtId="0" fontId="11" fillId="0" borderId="0" xfId="0" applyFont="1" applyAlignment="1">
      <alignment horizontal="left" vertical="center" wrapText="1"/>
    </xf>
    <xf numFmtId="0" fontId="11" fillId="0" borderId="0" xfId="0" applyFont="1" applyAlignment="1">
      <alignment horizontal="left" wrapText="1"/>
    </xf>
    <xf numFmtId="0" fontId="25" fillId="6" borderId="3" xfId="0" applyFont="1" applyFill="1" applyBorder="1" applyAlignment="1">
      <alignment horizontal="center"/>
    </xf>
    <xf numFmtId="0" fontId="0" fillId="4" borderId="2" xfId="0" applyFill="1" applyBorder="1" applyAlignment="1">
      <alignment horizontal="center"/>
    </xf>
    <xf numFmtId="0" fontId="2" fillId="4" borderId="2" xfId="0" applyFont="1" applyFill="1" applyBorder="1" applyAlignment="1">
      <alignment horizontal="center"/>
    </xf>
    <xf numFmtId="0" fontId="23" fillId="2" borderId="0" xfId="0" applyFont="1" applyFill="1" applyAlignment="1">
      <alignment horizontal="left" wrapText="1"/>
    </xf>
    <xf numFmtId="17" fontId="11" fillId="0" borderId="0" xfId="0" applyNumberFormat="1" applyFont="1" applyFill="1" applyAlignment="1">
      <alignment horizontal="left" wrapText="1"/>
    </xf>
    <xf numFmtId="0" fontId="25" fillId="6" borderId="0" xfId="0" applyFont="1" applyFill="1" applyBorder="1" applyAlignment="1">
      <alignment horizontal="right" wrapText="1"/>
    </xf>
    <xf numFmtId="0" fontId="25" fillId="6" borderId="3" xfId="0" applyFont="1" applyFill="1" applyBorder="1" applyAlignment="1">
      <alignment horizontal="right" wrapText="1"/>
    </xf>
    <xf numFmtId="0" fontId="3" fillId="6" borderId="3" xfId="0" applyFont="1" applyFill="1" applyBorder="1" applyAlignment="1">
      <alignment horizontal="center"/>
    </xf>
    <xf numFmtId="0" fontId="11" fillId="0" borderId="0" xfId="1" applyFont="1" applyAlignment="1">
      <alignment horizontal="left" wrapText="1"/>
    </xf>
    <xf numFmtId="0" fontId="43" fillId="0" borderId="0" xfId="1" applyFont="1" applyAlignment="1">
      <alignment horizontal="left" wrapText="1"/>
    </xf>
    <xf numFmtId="172" fontId="25" fillId="6" borderId="0" xfId="0" applyNumberFormat="1" applyFont="1" applyFill="1"/>
  </cellXfs>
  <cellStyles count="51">
    <cellStyle name="Comma 2" xfId="21" xr:uid="{00388907-0349-49BF-BE95-D4B52688D280}"/>
    <cellStyle name="Comma 2 2" xfId="3" xr:uid="{EDC81BD6-1147-415E-8323-CF447E44DB40}"/>
    <cellStyle name="Comma 2 2 2" xfId="48" xr:uid="{206EDBDB-E42B-44D8-B096-C5651E0192A1}"/>
    <cellStyle name="Comma 2 2 3" xfId="8" xr:uid="{7B44BDA3-B675-4ECB-8F2C-647C56E89715}"/>
    <cellStyle name="Comma 3" xfId="22" xr:uid="{99CC8CB5-2AE0-4D20-85C7-44275882B3A1}"/>
    <cellStyle name="Comma 4" xfId="7" xr:uid="{8ED631F8-081B-4B84-BE52-2AA03392616E}"/>
    <cellStyle name="Comma 4 3" xfId="23" xr:uid="{38A16E66-2290-4B6B-A536-06A9E0F84864}"/>
    <cellStyle name="Comma 5" xfId="44" xr:uid="{B4F64F7E-CCA4-4EC0-A5EC-B1EDE72B5379}"/>
    <cellStyle name="Hyperlink" xfId="1" builtinId="8"/>
    <cellStyle name="Hyperlink 10" xfId="43" xr:uid="{74A2A225-38F8-489D-8960-15D084262EC8}"/>
    <cellStyle name="Hyperlink 2" xfId="10" xr:uid="{E1E61A62-3AC8-4E6D-9F25-7FE4C4645ED7}"/>
    <cellStyle name="Hyperlink 2 2" xfId="9" xr:uid="{6770C507-1B7E-4EE3-95E8-2A7C324D32C3}"/>
    <cellStyle name="Hyperlink 3" xfId="19" xr:uid="{100BACAF-875F-4102-A5DB-FBB41D8DAD60}"/>
    <cellStyle name="Hyperlink 3 2" xfId="24" xr:uid="{B324163E-46E5-481C-9A42-83A5DF9DBF1D}"/>
    <cellStyle name="Hyperlink 4" xfId="20" xr:uid="{82F17A08-1A9C-4BDE-9EC5-D49C7292CE73}"/>
    <cellStyle name="Hyperlink 5" xfId="40" xr:uid="{9FAA58FC-7C4F-421A-A5B7-288F07D1F996}"/>
    <cellStyle name="Neutral 2" xfId="18" xr:uid="{CA202A52-5383-49D5-BA02-7A388ED2F176}"/>
    <cellStyle name="Normal" xfId="0" builtinId="0"/>
    <cellStyle name="Normal 10" xfId="11" xr:uid="{E0170C9D-9B2A-41A3-BE78-23450A38409A}"/>
    <cellStyle name="Normal 11" xfId="4" xr:uid="{B089B5C3-A13E-4580-8ECD-32B57B365BF4}"/>
    <cellStyle name="Normal 12" xfId="49" xr:uid="{B39823C4-F340-44B2-AA05-2AD3E9FE293E}"/>
    <cellStyle name="Normal 12 3 2 2" xfId="41" xr:uid="{B07F9275-82A6-42D6-8B21-059D87A36C2D}"/>
    <cellStyle name="Normal 13" xfId="25" xr:uid="{E2171818-49A3-470A-80D0-DE40AA6B8EC8}"/>
    <cellStyle name="Normal 14" xfId="50" xr:uid="{15F68B7A-A0EA-4148-8AFE-82204FB7CCBA}"/>
    <cellStyle name="Normal 2" xfId="26" xr:uid="{24A6BCC3-1A85-44D5-9D8B-014B35AD7EB0}"/>
    <cellStyle name="Normal 2 2" xfId="5" xr:uid="{8F80BC7A-5A5B-428B-9F7F-A30B32D9CD99}"/>
    <cellStyle name="Normal 2 2 2" xfId="27" xr:uid="{E0D18361-EB12-486E-BD1B-7F4F7802DC2E}"/>
    <cellStyle name="Normal 3" xfId="6" xr:uid="{832330CD-218C-4F92-B07D-0280C1EC4AE3}"/>
    <cellStyle name="Normal 3 2" xfId="29" xr:uid="{3B43167E-DEA9-4645-8C61-798316D6B14B}"/>
    <cellStyle name="Normal 3 3" xfId="30" xr:uid="{556670A4-F525-4649-BA47-FB02526FB2CB}"/>
    <cellStyle name="Normal 3 4" xfId="28" xr:uid="{4D723227-7A14-4F76-B919-604F9DFC8A6A}"/>
    <cellStyle name="Normal 4" xfId="31" xr:uid="{7D0205D0-F6D0-4CBC-8DB0-0D22E46E74EF}"/>
    <cellStyle name="Normal 4 2" xfId="14" xr:uid="{42EE68CF-BD07-487A-B330-E1E1A7E924CF}"/>
    <cellStyle name="Normal 4 3" xfId="32" xr:uid="{B8458678-46AA-4E15-A6D0-943144ABEC1F}"/>
    <cellStyle name="Normal 5" xfId="33" xr:uid="{B313A5D3-93EE-46FC-AE52-68CA5572B500}"/>
    <cellStyle name="Normal 6" xfId="2" xr:uid="{7999E02A-3253-43BA-B942-F00B67D5D833}"/>
    <cellStyle name="Normal 6 2" xfId="47" xr:uid="{F317F730-FC14-4280-9180-B786AAAB0E01}"/>
    <cellStyle name="Normal 6 3" xfId="34" xr:uid="{BBFBF892-9665-4C93-BFF0-9ACA473A50F9}"/>
    <cellStyle name="Normal 7" xfId="13" xr:uid="{A126B84D-2024-47B1-9F2C-1DAD9F2F27C8}"/>
    <cellStyle name="Normal 7 2" xfId="17" xr:uid="{D00F2968-29D3-40DB-98DC-FEE3611C056E}"/>
    <cellStyle name="Normal 7 2 2" xfId="35" xr:uid="{00422B1A-C4EB-481F-8E54-90DC6E3EB14A}"/>
    <cellStyle name="Normal 8" xfId="36" xr:uid="{F40965BE-72E8-42A8-B538-243C12721956}"/>
    <cellStyle name="Normal 9" xfId="46" xr:uid="{AF447FD6-2696-4397-BCF4-2FFBF2C3D05C}"/>
    <cellStyle name="Normal 9 3" xfId="42" xr:uid="{1A4DDE3E-3716-4FD2-911F-B2A1DEF105FC}"/>
    <cellStyle name="Percent 2" xfId="37" xr:uid="{2FD565A8-C3D5-47B7-8E79-4EBF6C854BFF}"/>
    <cellStyle name="Percent 3" xfId="16" xr:uid="{EEA1E6C3-589E-4B8A-89A7-BCF3E569D92F}"/>
    <cellStyle name="Percent 4" xfId="45" xr:uid="{F420182C-9C3E-4914-802F-F5657E4E569F}"/>
    <cellStyle name="Percent 5" xfId="15" xr:uid="{ED63B760-CF42-4B1B-A9C9-D5E70C1A0290}"/>
    <cellStyle name="Percent 5 3" xfId="38" xr:uid="{757A5048-F4DF-4A2C-B1AF-02CCF8D76BF4}"/>
    <cellStyle name="Percent 6" xfId="39" xr:uid="{B0297FDB-F9A2-4398-8AD5-F2E9D3911688}"/>
    <cellStyle name="Percent 8" xfId="12" xr:uid="{EA40A342-6BE5-4227-9AAE-090BBC143981}"/>
  </cellStyles>
  <dxfs count="87">
    <dxf>
      <font>
        <color rgb="FF9C0006"/>
      </font>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alignment horizontal="right" vertical="bottom" textRotation="0" wrapText="0"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color rgb="FF9C0006"/>
      </font>
    </dxf>
  </dxfs>
  <tableStyles count="1" defaultTableStyle="TableStyleMedium2" defaultPivotStyle="PivotStyleLight16">
    <tableStyle name="Invisible" pivot="0" table="0" count="0" xr9:uid="{7E6645F9-E90A-45E9-9D35-0BDA2E9D96F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3:L48" totalsRowShown="0" headerRowDxfId="85" dataDxfId="84">
  <autoFilter ref="B3:L48" xr:uid="{00000000-0009-0000-0100-000001000000}"/>
  <tableColumns count="11">
    <tableColumn id="1" xr3:uid="{00000000-0010-0000-0000-000001000000}" name="Police Force Area"/>
    <tableColumn id="2" xr3:uid="{00000000-0010-0000-0000-000002000000}" name="2011/12" dataDxfId="83"/>
    <tableColumn id="3" xr3:uid="{00000000-0010-0000-0000-000003000000}" name="2012/13" dataDxfId="82"/>
    <tableColumn id="4" xr3:uid="{00000000-0010-0000-0000-000004000000}" name="2013/14" dataDxfId="81"/>
    <tableColumn id="5" xr3:uid="{00000000-0010-0000-0000-000005000000}" name="2014/15" dataDxfId="80"/>
    <tableColumn id="6" xr3:uid="{00000000-0010-0000-0000-000006000000}" name="2015/16" dataDxfId="79"/>
    <tableColumn id="7" xr3:uid="{00000000-0010-0000-0000-000007000000}" name="2016/17" dataDxfId="78"/>
    <tableColumn id="8" xr3:uid="{00000000-0010-0000-0000-000008000000}" name="2017/18" dataDxfId="77"/>
    <tableColumn id="9" xr3:uid="{64F3F88E-4AA9-47A6-9386-87731EDE8933}" name="2018/19" dataDxfId="76"/>
    <tableColumn id="10" xr3:uid="{1DC90C5B-BF78-48A3-A578-68F4F0A75DE7}" name="2019/20" dataDxfId="75"/>
    <tableColumn id="11" xr3:uid="{AD2E4453-A6AF-41A1-B7A3-7CD4A4D18A8C}" name="2020/21" dataDxfId="7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N3:X47" totalsRowShown="0">
  <autoFilter ref="N3:X47" xr:uid="{00000000-0009-0000-0100-000002000000}"/>
  <tableColumns count="11">
    <tableColumn id="1" xr3:uid="{00000000-0010-0000-0100-000001000000}" name="Police Force Area"/>
    <tableColumn id="2" xr3:uid="{00000000-0010-0000-0100-000002000000}" name="2011/12" dataDxfId="73"/>
    <tableColumn id="3" xr3:uid="{00000000-0010-0000-0100-000003000000}" name="2012/13" dataDxfId="72"/>
    <tableColumn id="4" xr3:uid="{00000000-0010-0000-0100-000004000000}" name="2013/14" dataDxfId="71"/>
    <tableColumn id="5" xr3:uid="{00000000-0010-0000-0100-000005000000}" name="2014/15" dataDxfId="70"/>
    <tableColumn id="6" xr3:uid="{00000000-0010-0000-0100-000006000000}" name="2015/16" dataDxfId="69"/>
    <tableColumn id="7" xr3:uid="{00000000-0010-0000-0100-000007000000}" name="2016/17" dataDxfId="68"/>
    <tableColumn id="8" xr3:uid="{00000000-0010-0000-0100-000008000000}" name="2017/18" dataDxfId="67"/>
    <tableColumn id="9" xr3:uid="{53304637-7945-49D2-B6F4-9E9328734B3B}" name="2018/19" dataDxfId="66"/>
    <tableColumn id="10" xr3:uid="{1CC785D0-91DD-458A-A7C9-6C888E15E46B}" name="2019/20" dataDxfId="65"/>
    <tableColumn id="11" xr3:uid="{0EAE68A2-DA47-4B94-A65C-544F3D5C9EB7}" name="2020/21" dataDxfId="6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Z3:AJ47" totalsRowShown="0">
  <autoFilter ref="Z3:AJ47" xr:uid="{00000000-0009-0000-0100-000003000000}"/>
  <tableColumns count="11">
    <tableColumn id="1" xr3:uid="{00000000-0010-0000-0200-000001000000}" name="Police Force Area"/>
    <tableColumn id="2" xr3:uid="{00000000-0010-0000-0200-000002000000}" name="2011/12" dataDxfId="63"/>
    <tableColumn id="3" xr3:uid="{00000000-0010-0000-0200-000003000000}" name="2012/13" dataDxfId="62"/>
    <tableColumn id="4" xr3:uid="{00000000-0010-0000-0200-000004000000}" name="2013/14" dataDxfId="61"/>
    <tableColumn id="5" xr3:uid="{00000000-0010-0000-0200-000005000000}" name="2014/15" dataDxfId="60"/>
    <tableColumn id="6" xr3:uid="{00000000-0010-0000-0200-000006000000}" name="2015/16" dataDxfId="59"/>
    <tableColumn id="7" xr3:uid="{00000000-0010-0000-0200-000007000000}" name="2016/17" dataDxfId="58"/>
    <tableColumn id="8" xr3:uid="{00000000-0010-0000-0200-000008000000}" name="2017/18" dataDxfId="57"/>
    <tableColumn id="9" xr3:uid="{8BE2E7BB-A189-4697-8B20-B3C5204EB5D0}" name="2018/19" dataDxfId="56"/>
    <tableColumn id="10" xr3:uid="{CDB0FF07-D6E2-4C04-928F-15BE277C34D8}" name="2019/20" dataDxfId="55"/>
    <tableColumn id="11" xr3:uid="{B31B5C99-64EE-4AE6-A648-5F1FE63ABE8A}" name="2020/21" dataDxfId="5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L3:AV47" totalsRowShown="0">
  <autoFilter ref="AL3:AV47" xr:uid="{00000000-0009-0000-0100-000004000000}"/>
  <tableColumns count="11">
    <tableColumn id="1" xr3:uid="{00000000-0010-0000-0300-000001000000}" name="Police Force Area"/>
    <tableColumn id="2" xr3:uid="{00000000-0010-0000-0300-000002000000}" name="2011/12"/>
    <tableColumn id="3" xr3:uid="{00000000-0010-0000-0300-000003000000}" name="2012/13"/>
    <tableColumn id="4" xr3:uid="{00000000-0010-0000-0300-000004000000}" name="2013/14"/>
    <tableColumn id="5" xr3:uid="{00000000-0010-0000-0300-000005000000}" name="2014/15"/>
    <tableColumn id="6" xr3:uid="{00000000-0010-0000-0300-000006000000}" name="2015/16"/>
    <tableColumn id="7" xr3:uid="{00000000-0010-0000-0300-000007000000}" name="2016/17"/>
    <tableColumn id="8" xr3:uid="{00000000-0010-0000-0300-000008000000}" name="2017/18"/>
    <tableColumn id="9" xr3:uid="{79B64573-2856-48FD-B4ED-98FA3F5FBFDA}" name="2018/19"/>
    <tableColumn id="10" xr3:uid="{76FAC077-334B-42AB-BC5A-A0ED3566645B}" name="2019/20"/>
    <tableColumn id="11" xr3:uid="{9FB87707-7611-4B14-AA26-FE46B69DA17B}" name="2020/2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X3:BH47" totalsRowShown="0">
  <autoFilter ref="AX3:BH47" xr:uid="{00000000-0009-0000-0100-000005000000}"/>
  <tableColumns count="11">
    <tableColumn id="1" xr3:uid="{00000000-0010-0000-0400-000001000000}" name="Police Force Area"/>
    <tableColumn id="2" xr3:uid="{00000000-0010-0000-0400-000002000000}" name="2011/12"/>
    <tableColumn id="3" xr3:uid="{00000000-0010-0000-0400-000003000000}" name="2012/13"/>
    <tableColumn id="4" xr3:uid="{00000000-0010-0000-0400-000004000000}" name="2013/14"/>
    <tableColumn id="5" xr3:uid="{00000000-0010-0000-0400-000005000000}" name="2014/15"/>
    <tableColumn id="6" xr3:uid="{00000000-0010-0000-0400-000006000000}" name="2015/16"/>
    <tableColumn id="7" xr3:uid="{00000000-0010-0000-0400-000007000000}" name="2016/17"/>
    <tableColumn id="8" xr3:uid="{00000000-0010-0000-0400-000008000000}" name="2017/18"/>
    <tableColumn id="9" xr3:uid="{8FC3C1DC-2554-43DE-ADB7-E696F1D10297}" name="2018/19"/>
    <tableColumn id="10" xr3:uid="{57F8C7E7-2BD6-4544-9E67-A47BFA2AC38D}" name="2019/20"/>
    <tableColumn id="11" xr3:uid="{A85C3DA5-7894-4A66-A15F-12668FA772E6}" name="2020/2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BJ3:BT47" totalsRowShown="0" headerRowDxfId="53" dataDxfId="52">
  <autoFilter ref="BJ3:BT47" xr:uid="{00000000-0009-0000-0100-000006000000}"/>
  <tableColumns count="11">
    <tableColumn id="1" xr3:uid="{00000000-0010-0000-0500-000001000000}" name="Police Force Area" dataDxfId="51"/>
    <tableColumn id="8" xr3:uid="{00000000-0010-0000-0500-000008000000}" name="2011/12" dataDxfId="50"/>
    <tableColumn id="2" xr3:uid="{00000000-0010-0000-0500-000002000000}" name="2012/13" dataDxfId="49"/>
    <tableColumn id="3" xr3:uid="{00000000-0010-0000-0500-000003000000}" name="2013/14" dataDxfId="48"/>
    <tableColumn id="4" xr3:uid="{00000000-0010-0000-0500-000004000000}" name="2014/15" dataDxfId="47"/>
    <tableColumn id="5" xr3:uid="{00000000-0010-0000-0500-000005000000}" name="2015/16" dataDxfId="46"/>
    <tableColumn id="6" xr3:uid="{00000000-0010-0000-0500-000006000000}" name="2016/17" dataDxfId="45"/>
    <tableColumn id="7" xr3:uid="{00000000-0010-0000-0500-000007000000}" name="2017/18" dataDxfId="44"/>
    <tableColumn id="9" xr3:uid="{2B441F01-7EBA-40B8-937E-DECDB1D848DC}" name="2018/19" dataDxfId="43"/>
    <tableColumn id="10" xr3:uid="{2A0955C1-BDAB-4789-A5F2-EAE92BBF82F1}" name="2019/20" dataDxfId="42"/>
    <tableColumn id="11" xr3:uid="{98DEB2D6-4B1A-4F06-A06F-2504EEA016FB}" name="2020/21" dataDxfId="4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BV3:BV48" totalsRowShown="0">
  <autoFilter ref="BV3:BV48" xr:uid="{00000000-0009-0000-0100-000007000000}"/>
  <tableColumns count="1">
    <tableColumn id="1" xr3:uid="{00000000-0010-0000-0600-000001000000}" name="Column1"/>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1D4D3C2-C31F-42B3-86AE-1803C1EE3161}" name="Table8" displayName="Table8" ref="B49:L55" totalsRowShown="0">
  <autoFilter ref="B49:L55" xr:uid="{A4D01022-4E24-4FB0-86D6-B5753D3704E3}"/>
  <tableColumns count="11">
    <tableColumn id="1" xr3:uid="{38897947-85E7-4875-B38C-2C45B1A46608}" name="England"/>
    <tableColumn id="2" xr3:uid="{80BB13A6-5EDA-4942-81BE-F742F3CC9D5E}" name="2011/12" dataDxfId="40"/>
    <tableColumn id="3" xr3:uid="{3BD8AF95-8C5F-4DF6-AD9D-8171EC897334}" name="2012/13" dataDxfId="39"/>
    <tableColumn id="4" xr3:uid="{38081ED1-C0BF-4024-ADB8-F2F5A938BB89}" name="2013/14" dataDxfId="38"/>
    <tableColumn id="5" xr3:uid="{32732F78-9652-4CC3-9858-EDA7072E3DC2}" name="2014/15" dataDxfId="37"/>
    <tableColumn id="6" xr3:uid="{48DBD1E8-E9B3-474D-B624-CC28250D5030}" name="2015/16" dataDxfId="36"/>
    <tableColumn id="7" xr3:uid="{BFF74F23-399E-4BA4-9CBB-A33F40B719AD}" name="2016/17" dataDxfId="35"/>
    <tableColumn id="8" xr3:uid="{04CE7E6A-662B-456C-A4A6-3CEE9EBA055D}" name="2017/18" dataDxfId="34"/>
    <tableColumn id="9" xr3:uid="{104C6459-6231-452C-A83B-AE9B5D32183C}" name="2018/19" dataDxfId="33"/>
    <tableColumn id="10" xr3:uid="{F1931351-FDAB-482B-BB2B-0579A12A9AA3}" name="2019/20" dataDxfId="32"/>
    <tableColumn id="11" xr3:uid="{630491F3-5246-4C05-BE38-3C8B860CF1B9}" name="2020/21" dataDxfId="3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8F6814-3237-4B44-A735-9B37944C8D77}" name="Table9" displayName="Table9" ref="B59:L65" totalsRowShown="0" headerRowDxfId="30">
  <autoFilter ref="B59:L65" xr:uid="{61485AFE-6746-4B60-A31E-6067E8512FA0}"/>
  <tableColumns count="11">
    <tableColumn id="1" xr3:uid="{4FA13BB2-7E51-44FE-85FD-DA97120475E7}" name="Metropolitan Police "/>
    <tableColumn id="2" xr3:uid="{4D40F02F-1D2B-4855-954F-F113A211B3B3}" name="2011/12" dataDxfId="29"/>
    <tableColumn id="3" xr3:uid="{6828A4FA-8863-4D00-9627-CDF3AA06E7B1}" name="2012/13" dataDxfId="28"/>
    <tableColumn id="4" xr3:uid="{0DAF6CDD-0A18-4499-B143-B018A07C90BA}" name="2013/14" dataDxfId="27"/>
    <tableColumn id="5" xr3:uid="{4972F714-4F76-4568-A838-EECF82B8B8C5}" name="2014/15" dataDxfId="26"/>
    <tableColumn id="6" xr3:uid="{DBBCB250-FF1D-46B5-BB38-D8D096C6AB24}" name="2015/16" dataDxfId="25"/>
    <tableColumn id="7" xr3:uid="{32CFDB3E-2827-4C04-B345-6A28220664E4}" name="2016/17" dataDxfId="24"/>
    <tableColumn id="8" xr3:uid="{B67B1FAF-6E9B-4F3D-8E3F-788291F36478}" name="2017/18" dataDxfId="23"/>
    <tableColumn id="9" xr3:uid="{2E76C64A-14D8-4FBA-8F38-C3EE8C9ECB2E}" name="2018/19" dataDxfId="22"/>
    <tableColumn id="10" xr3:uid="{8926E629-11B8-4F45-BC2E-31E6ABDF6469}" name="2019/20" dataDxfId="21"/>
    <tableColumn id="11" xr3:uid="{9404A3A0-1180-4A36-811A-49CBB6D10A69}" name="2020/21" dataDxfId="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Stats 2020">
      <a:dk1>
        <a:sysClr val="windowText" lastClr="000000"/>
      </a:dk1>
      <a:lt1>
        <a:sysClr val="window" lastClr="FFFFFF"/>
      </a:lt1>
      <a:dk2>
        <a:srgbClr val="6E6E6E"/>
      </a:dk2>
      <a:lt2>
        <a:srgbClr val="F0EEED"/>
      </a:lt2>
      <a:accent1>
        <a:srgbClr val="006548"/>
      </a:accent1>
      <a:accent2>
        <a:srgbClr val="3F9D8A"/>
      </a:accent2>
      <a:accent3>
        <a:srgbClr val="682F7F"/>
      </a:accent3>
      <a:accent4>
        <a:srgbClr val="A37EC8"/>
      </a:accent4>
      <a:accent5>
        <a:srgbClr val="003F2B"/>
      </a:accent5>
      <a:accent6>
        <a:srgbClr val="E09F00"/>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ssets.publishing.service.gov.uk/government/uploads/system/uploads/attachment_data/file/749319/prc-hate-crime-open-data.ods"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eoportal.statistics.gov.uk/search?collection=Dataset&amp;sort=name&amp;tags=all(BDY_PFA)" TargetMode="External"/><Relationship Id="rId1" Type="http://schemas.openxmlformats.org/officeDocument/2006/relationships/hyperlink" Target="https://assets.publishing.service.gov.uk/government/uploads/system/uploads/attachment_data/file/749319/prc-hate-crime-open-data.od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geoportal.statistics.gov.uk/datasets?q=LAD%20to%20CSP%20to%20PFA&amp;sort=name" TargetMode="External"/><Relationship Id="rId1" Type="http://schemas.openxmlformats.org/officeDocument/2006/relationships/hyperlink" Target="https://assets.publishing.service.gov.uk/government/uploads/system/uploads/attachment_data/file/749319/prc-hate-crime-open-data.od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geoportal.statistics.gov.uk/datasets?q=LAD%20to%20CSP%20to%20PFA&amp;sort=name" TargetMode="External"/><Relationship Id="rId1" Type="http://schemas.openxmlformats.org/officeDocument/2006/relationships/hyperlink" Target="https://assets.publishing.service.gov.uk/government/uploads/system/uploads/attachment_data/file/749319/prc-hate-crime-open-data.od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geoportal.statistics.gov.uk/datasets?q=LAD%20to%20CSP%20to%20PFA&amp;sort=name" TargetMode="External"/><Relationship Id="rId1" Type="http://schemas.openxmlformats.org/officeDocument/2006/relationships/hyperlink" Target="https://assets.publishing.service.gov.uk/government/uploads/system/uploads/attachment_data/file/749319/prc-hate-crime-open-data.od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eoportal.statistics.gov.uk/datasets?q=LAD%20to%20CSP%20to%20PFA&amp;sort=name" TargetMode="External"/><Relationship Id="rId1" Type="http://schemas.openxmlformats.org/officeDocument/2006/relationships/hyperlink" Target="https://assets.publishing.service.gov.uk/government/uploads/system/uploads/attachment_data/file/749319/prc-hate-crime-open-data.od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geoportal.statistics.gov.uk/datasets?q=LAD%20to%20CSP%20to%20PFA&amp;sort=name" TargetMode="External"/><Relationship Id="rId1" Type="http://schemas.openxmlformats.org/officeDocument/2006/relationships/hyperlink" Target="https://assets.publishing.service.gov.uk/government/uploads/system/uploads/attachment_data/file/749319/prc-hate-crime-open-data.od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geoportal.statistics.gov.uk/datasets?q=LAD%20to%20CSP%20to%20PFA&amp;sort=name" TargetMode="External"/><Relationship Id="rId1" Type="http://schemas.openxmlformats.org/officeDocument/2006/relationships/hyperlink" Target="https://assets.publishing.service.gov.uk/government/uploads/system/uploads/attachment_data/file/749319/prc-hate-crime-open-data.od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geoportal.statistics.gov.uk/datasets?q=LAD%20to%20CSP%20to%20PFA&amp;sort=name" TargetMode="External"/><Relationship Id="rId1" Type="http://schemas.openxmlformats.org/officeDocument/2006/relationships/hyperlink" Target="https://assets.publishing.service.gov.uk/government/uploads/system/uploads/attachment_data/file/749319/prc-hate-crime-open-data.od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geoportal.statistics.gov.uk/datasets?q=LAD%20to%20CSP%20to%20PFA&amp;sort=name" TargetMode="External"/><Relationship Id="rId1" Type="http://schemas.openxmlformats.org/officeDocument/2006/relationships/hyperlink" Target="https://assets.publishing.service.gov.uk/government/uploads/system/uploads/attachment_data/file/749319/prc-hate-crime-open-data.od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met.police.uk/sd/stats-and-data/met/hate-crime-dashboard/"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www.met.police.uk/sd/stats-and-data/met/hate-crime-dashboard/" TargetMode="External"/><Relationship Id="rId1" Type="http://schemas.openxmlformats.org/officeDocument/2006/relationships/hyperlink" Target="https://data.london.gov.uk/dataset/percentage-population-religion-borough"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www.met.police.uk/sd/stats-and-data/met/hate-crime-dashboard/"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cst.org.uk/data/file/7/2/Incidents%20Report%202020.1615559608.pd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www.cps.gov.uk/sites/default/files/documents/publications/Hate-Crime-Annual-Data-Tables-Year-Ending-March-2020.xlsx"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www.cps.gov.uk/sites/default/files/documents/publications/Hate-Crime-Annual-Data-Tables-Year-Ending-March-2021.xlsx"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s://www.gov.scot/binaries/content/documents/govscot/publications/research-and-analysis/2021/02/study-characteristics-police-recorded-hate-crime-scotland/documents/tables/tables/govscot%3Adocument/tables.xlsx" TargetMode="External"/><Relationship Id="rId1" Type="http://schemas.openxmlformats.org/officeDocument/2006/relationships/hyperlink" Target="https://www.gov.scot/binaries/content/documents/govscot/publications/research-and-analysis/2019/02/developing-information-hate-crime-recorded-police-scotland/documents/tables/tables/govscot%3Adocument/tables.xlsx"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www.psni.police.uk/inside-psni/Statistics/hate-motivation-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V64"/>
  <sheetViews>
    <sheetView showGridLines="0" tabSelected="1" workbookViewId="0">
      <pane xSplit="1" ySplit="7" topLeftCell="B8" activePane="bottomRight" state="frozen"/>
      <selection pane="topRight" activeCell="B1" sqref="B1"/>
      <selection pane="bottomLeft" activeCell="A6" sqref="A6"/>
      <selection pane="bottomRight" activeCell="D9" sqref="D9"/>
    </sheetView>
  </sheetViews>
  <sheetFormatPr defaultRowHeight="15" x14ac:dyDescent="0.35"/>
  <cols>
    <col min="1" max="1" width="1.3984375" customWidth="1"/>
    <col min="2" max="2" width="24.09765625" bestFit="1" customWidth="1"/>
    <col min="13" max="14" width="12.296875" customWidth="1"/>
    <col min="15" max="15" width="1.3984375" customWidth="1"/>
    <col min="22" max="22" width="17" hidden="1" customWidth="1"/>
    <col min="25" max="30" width="0" hidden="1" customWidth="1"/>
  </cols>
  <sheetData>
    <row r="1" spans="1:22" ht="19.5" customHeight="1" thickBot="1" x14ac:dyDescent="0.4">
      <c r="B1" s="48" t="s">
        <v>68</v>
      </c>
    </row>
    <row r="2" spans="1:22" ht="15.6" thickBot="1" x14ac:dyDescent="0.4">
      <c r="B2" s="65" t="s">
        <v>62</v>
      </c>
    </row>
    <row r="3" spans="1:22" ht="6" customHeight="1" x14ac:dyDescent="0.35">
      <c r="A3" s="16"/>
      <c r="B3" s="66"/>
      <c r="C3" s="16"/>
      <c r="D3" s="16"/>
      <c r="E3" s="16"/>
      <c r="F3" s="16"/>
      <c r="G3" s="16"/>
      <c r="H3" s="16"/>
      <c r="I3" s="16"/>
      <c r="J3" s="16"/>
      <c r="K3" s="16"/>
      <c r="L3" s="16"/>
      <c r="M3" s="16"/>
      <c r="N3" s="16"/>
      <c r="O3" s="16"/>
    </row>
    <row r="4" spans="1:22" ht="19.5" customHeight="1" x14ac:dyDescent="0.4">
      <c r="A4" s="10"/>
      <c r="B4" s="49" t="s">
        <v>214</v>
      </c>
      <c r="C4" s="10"/>
      <c r="D4" s="10"/>
      <c r="E4" s="10"/>
      <c r="F4" s="10"/>
      <c r="G4" s="10"/>
      <c r="H4" s="10"/>
      <c r="I4" s="10"/>
      <c r="J4" s="10"/>
      <c r="K4" s="10"/>
      <c r="L4" s="10"/>
      <c r="M4" s="10"/>
      <c r="N4" s="10"/>
      <c r="O4" s="10"/>
    </row>
    <row r="5" spans="1:22" ht="15" customHeight="1" x14ac:dyDescent="0.35">
      <c r="A5" s="10"/>
      <c r="B5" s="137" t="s">
        <v>289</v>
      </c>
      <c r="C5" s="10"/>
      <c r="D5" s="10"/>
      <c r="E5" s="10"/>
      <c r="F5" s="10"/>
      <c r="G5" s="10"/>
      <c r="H5" s="10"/>
      <c r="I5" s="10"/>
      <c r="J5" s="10"/>
      <c r="K5" s="10"/>
      <c r="L5" s="10"/>
      <c r="M5" s="10"/>
      <c r="N5" s="10"/>
      <c r="O5" s="10"/>
    </row>
    <row r="6" spans="1:22" ht="6" customHeight="1" x14ac:dyDescent="0.35">
      <c r="A6" s="10"/>
      <c r="B6" s="137"/>
      <c r="C6" s="10"/>
      <c r="D6" s="10"/>
      <c r="E6" s="10"/>
      <c r="F6" s="10"/>
      <c r="G6" s="10"/>
      <c r="H6" s="10"/>
      <c r="I6" s="10"/>
      <c r="J6" s="10"/>
      <c r="K6" s="10"/>
      <c r="L6" s="10"/>
      <c r="M6" s="10"/>
      <c r="N6" s="10"/>
      <c r="O6" s="10"/>
    </row>
    <row r="7" spans="1:22" ht="40.200000000000003" x14ac:dyDescent="0.35">
      <c r="A7" s="50"/>
      <c r="B7" s="53" t="s">
        <v>51</v>
      </c>
      <c r="C7" s="54" t="s">
        <v>0</v>
      </c>
      <c r="D7" s="54" t="s">
        <v>1</v>
      </c>
      <c r="E7" s="54" t="s">
        <v>2</v>
      </c>
      <c r="F7" s="54" t="s">
        <v>3</v>
      </c>
      <c r="G7" s="54" t="s">
        <v>4</v>
      </c>
      <c r="H7" s="54" t="s">
        <v>5</v>
      </c>
      <c r="I7" s="54" t="s">
        <v>6</v>
      </c>
      <c r="J7" s="54" t="s">
        <v>173</v>
      </c>
      <c r="K7" s="54" t="s">
        <v>200</v>
      </c>
      <c r="L7" s="54" t="s">
        <v>273</v>
      </c>
      <c r="M7" s="55" t="s">
        <v>288</v>
      </c>
      <c r="N7" s="55" t="s">
        <v>293</v>
      </c>
      <c r="O7" s="51"/>
    </row>
    <row r="8" spans="1:22" ht="17.399999999999999" customHeight="1" x14ac:dyDescent="0.35">
      <c r="A8" s="50"/>
      <c r="B8" s="56" t="s">
        <v>8</v>
      </c>
      <c r="C8" s="57" t="str">
        <f>IF($B$2="Race",VLOOKUP(B8,Table1[],2,FALSE),IF($B$2="Religion",VLOOKUP(B8,Table3[],2,FALSE),IF($B$2="Sexual Orientation",VLOOKUP(B8,Table2[],2,FALSE),IF($B$2="Disability",VLOOKUP(B8,Table4[],2,FALSE),IF($B$2="Transgender",VLOOKUP(B8,Table5[],2,FALSE),IF($B$2="Total Offences",VLOOKUP(B8,Table6[],2,FALSE),""))))))</f>
        <v>N/A</v>
      </c>
      <c r="D8" s="57">
        <f>IF($B$2="Race",VLOOKUP(B8,Table1[],3,FALSE),IF($B$2="Religion",VLOOKUP(B8,Table3[],3,FALSE),IF($B$2="Sexual Orientation",VLOOKUP(B8,Table2[],3,FALSE),IF($B$2="Disability",VLOOKUP(B8,Table4[],3,FALSE),IF($B$2="Transgender",VLOOKUP(B8,Table5[],3,FALSE),IF($B$2="Total Offences",VLOOKUP(B8,Table6[],3,FALSE),""))))))</f>
        <v>1211</v>
      </c>
      <c r="E8" s="57">
        <f>IF($B$2="Race",VLOOKUP(B8,Table1[],4,FALSE),IF($B$2="Religion",VLOOKUP(B8,Table3[],4,FALSE),IF($B$2="Sexual Orientation",VLOOKUP(B8,Table2[],4,FALSE),IF($B$2="Disability",VLOOKUP(B8,Table4[],4,FALSE),IF($B$2="Transgender",VLOOKUP(B8,Table5[],4,FALSE),IF($B$2="Total Offences",VLOOKUP(B8,Table6[],4,FALSE),""))))))</f>
        <v>1432</v>
      </c>
      <c r="F8" s="57">
        <f>IF($B$2="Race",VLOOKUP(B8,Table1[],5,FALSE),IF($B$2="Religion",VLOOKUP(B8,Table3[],5,FALSE),IF($B$2="Sexual Orientation",VLOOKUP(B8,Table2[],5,FALSE),IF($B$2="Disability",VLOOKUP(B8,Table4[],5,FALSE),IF($B$2="Transgender",VLOOKUP(B8,Table5[],5,FALSE),IF($B$2="Total Offences",VLOOKUP(B8,Table6[],5,FALSE),""))))))</f>
        <v>1841</v>
      </c>
      <c r="G8" s="57">
        <f>IF($B$2="Race",VLOOKUP(B8,Table1[],6,FALSE),IF($B$2="Religion",VLOOKUP(B8,Table3[],6,FALSE),IF($B$2="Sexual Orientation",VLOOKUP(B8,Table2[],6,FALSE),IF($B$2="Disability",VLOOKUP(B8,Table4[],6,FALSE),IF($B$2="Transgender",VLOOKUP(B8,Table5[],6,FALSE),IF($B$2="Total Offences",VLOOKUP(B8,Table6[],6,FALSE),""))))))</f>
        <v>1966</v>
      </c>
      <c r="H8" s="57">
        <f>IF($B$2="Race",VLOOKUP(B8,Table1[],7,FALSE),IF($B$2="Religion",VLOOKUP(B8,Table3[],7,FALSE),IF($B$2="Sexual Orientation",VLOOKUP(B8,Table2[],7,FALSE),IF($B$2="Disability",VLOOKUP(B8,Table4[],7,FALSE),IF($B$2="Transgender",VLOOKUP(B8,Table5[],7,FALSE),IF($B$2="Total Offences",VLOOKUP(B8,Table6[],7,FALSE),""))))))</f>
        <v>2877</v>
      </c>
      <c r="I8" s="57">
        <f>IF($B$2="Race",VLOOKUP(B8,Table1[],8,FALSE),IF($B$2="Religion",VLOOKUP(B8,Table3[],8,FALSE),IF($B$2="Sexual Orientation",VLOOKUP(B8,Table2[],8,FALSE),IF($B$2="Disability",VLOOKUP(B8,Table4[],8,FALSE),IF($B$2="Transgender",VLOOKUP(B8,Table5[],8,FALSE),IF($B$2="Total Offences",VLOOKUP(B8,Table6[],8,FALSE),""))))))</f>
        <v>3138</v>
      </c>
      <c r="J8" s="57">
        <f>IF($B$2="Race",VLOOKUP(B8,Table1[],9,FALSE),IF($B$2="Religion",VLOOKUP(B8,Table3[],9,FALSE),IF($B$2="Sexual Orientation",VLOOKUP(B8,Table2[],9,FALSE),IF($B$2="Disability",VLOOKUP(B8,Table4[],9,FALSE),IF($B$2="Transgender",VLOOKUP(B8,Table5[],9,FALSE),IF($B$2="Total Offences",VLOOKUP(B8,Table6[],9,FALSE),""))))))</f>
        <v>2961</v>
      </c>
      <c r="K8" s="57">
        <f>IF($B$2="Race",VLOOKUP(B8,Table1[],10,FALSE),IF($B$2="Religion",VLOOKUP(B8,Table3[],10,FALSE),IF($B$2="Sexual Orientation",VLOOKUP(B8,Table2[],10,FALSE),IF($B$2="Disability",VLOOKUP(B8,Table4[],10,FALSE),IF($B$2="Transgender",VLOOKUP(B8,Table5[],10,FALSE),IF($B$2="Total Offences",VLOOKUP(B8,Table6[],10,FALSE),""))))))</f>
        <v>3134</v>
      </c>
      <c r="L8" s="57">
        <f>IF($B$2="Race",VLOOKUP(B8,Table1[],11,FALSE),IF($B$2="Religion",VLOOKUP(B8,Table3[],11,FALSE),IF($B$2="Sexual Orientation",VLOOKUP(B8,Table2[],11,FALSE),IF($B$2="Disability",VLOOKUP(B8,Table4[],10,FALSE),IF($B$2="Transgender",VLOOKUP(B8,Table5[],11,FALSE),IF($B$2="Total Offences",VLOOKUP(B8,Table6[],11,FALSE),""))))))</f>
        <v>3351</v>
      </c>
      <c r="M8" s="58">
        <f>L8/K8-1</f>
        <v>6.9240587109125729E-2</v>
      </c>
      <c r="N8" s="58">
        <f>IFERROR(L8/G8-1,"-")</f>
        <v>0.7044760935910479</v>
      </c>
      <c r="O8" s="50"/>
      <c r="P8" s="6"/>
      <c r="Q8" s="9"/>
      <c r="V8" t="s">
        <v>55</v>
      </c>
    </row>
    <row r="9" spans="1:22" x14ac:dyDescent="0.35">
      <c r="A9" s="50"/>
      <c r="B9" s="56" t="s">
        <v>9</v>
      </c>
      <c r="C9" s="57" t="str">
        <f>IF($B$2="Race",VLOOKUP(B9,Table1[],2,FALSE),IF($B$2="Religion",VLOOKUP(B9,Table3[],2,FALSE),IF($B$2="Sexual Orientation",VLOOKUP(B9,Table2[],2,FALSE),IF($B$2="Disability",VLOOKUP(B9,Table4[],2,FALSE),IF($B$2="Transgender",VLOOKUP(B9,Table5[],2,FALSE),IF($B$2="Total Offences",VLOOKUP(B9,Table6[],2,FALSE),""))))))</f>
        <v>N/A</v>
      </c>
      <c r="D9" s="57">
        <f>IF($B$2="Race",VLOOKUP(B9,Table1[],3,FALSE),IF($B$2="Religion",VLOOKUP(B9,Table3[],3,FALSE),IF($B$2="Sexual Orientation",VLOOKUP(B9,Table2[],3,FALSE),IF($B$2="Disability",VLOOKUP(B9,Table4[],3,FALSE),IF($B$2="Transgender",VLOOKUP(B9,Table5[],3,FALSE),IF($B$2="Total Offences",VLOOKUP(B9,Table6[],3,FALSE),""))))))</f>
        <v>295</v>
      </c>
      <c r="E9" s="57">
        <f>IF($B$2="Race",VLOOKUP(B9,Table1[],4,FALSE),IF($B$2="Religion",VLOOKUP(B9,Table3[],4,FALSE),IF($B$2="Sexual Orientation",VLOOKUP(B9,Table2[],4,FALSE),IF($B$2="Disability",VLOOKUP(B9,Table4[],4,FALSE),IF($B$2="Transgender",VLOOKUP(B9,Table5[],4,FALSE),IF($B$2="Total Offences",VLOOKUP(B9,Table6[],4,FALSE),""))))))</f>
        <v>300</v>
      </c>
      <c r="F9" s="57">
        <f>IF($B$2="Race",VLOOKUP(B9,Table1[],5,FALSE),IF($B$2="Religion",VLOOKUP(B9,Table3[],5,FALSE),IF($B$2="Sexual Orientation",VLOOKUP(B9,Table2[],5,FALSE),IF($B$2="Disability",VLOOKUP(B9,Table4[],5,FALSE),IF($B$2="Transgender",VLOOKUP(B9,Table5[],5,FALSE),IF($B$2="Total Offences",VLOOKUP(B9,Table6[],5,FALSE),""))))))</f>
        <v>496</v>
      </c>
      <c r="G9" s="57">
        <f>IF($B$2="Race",VLOOKUP(B9,Table1[],6,FALSE),IF($B$2="Religion",VLOOKUP(B9,Table3[],6,FALSE),IF($B$2="Sexual Orientation",VLOOKUP(B9,Table2[],6,FALSE),IF($B$2="Disability",VLOOKUP(B9,Table4[],6,FALSE),IF($B$2="Transgender",VLOOKUP(B9,Table5[],6,FALSE),IF($B$2="Total Offences",VLOOKUP(B9,Table6[],6,FALSE),""))))))</f>
        <v>580</v>
      </c>
      <c r="H9" s="57">
        <f>IF($B$2="Race",VLOOKUP(B9,Table1[],7,FALSE),IF($B$2="Religion",VLOOKUP(B9,Table3[],7,FALSE),IF($B$2="Sexual Orientation",VLOOKUP(B9,Table2[],7,FALSE),IF($B$2="Disability",VLOOKUP(B9,Table4[],7,FALSE),IF($B$2="Transgender",VLOOKUP(B9,Table5[],7,FALSE),IF($B$2="Total Offences",VLOOKUP(B9,Table6[],7,FALSE),""))))))</f>
        <v>609</v>
      </c>
      <c r="I9" s="57">
        <f>IF($B$2="Race",VLOOKUP(B9,Table1[],8,FALSE),IF($B$2="Religion",VLOOKUP(B9,Table3[],8,FALSE),IF($B$2="Sexual Orientation",VLOOKUP(B9,Table2[],8,FALSE),IF($B$2="Disability",VLOOKUP(B9,Table4[],8,FALSE),IF($B$2="Transgender",VLOOKUP(B9,Table5[],8,FALSE),IF($B$2="Total Offences",VLOOKUP(B9,Table6[],8,FALSE),""))))))</f>
        <v>913</v>
      </c>
      <c r="J9" s="57">
        <f>IF($B$2="Race",VLOOKUP(B9,Table1[],9,FALSE),IF($B$2="Religion",VLOOKUP(B9,Table3[],9,FALSE),IF($B$2="Sexual Orientation",VLOOKUP(B9,Table2[],9,FALSE),IF($B$2="Disability",VLOOKUP(B9,Table4[],9,FALSE),IF($B$2="Transgender",VLOOKUP(B9,Table5[],9,FALSE),IF($B$2="Total Offences",VLOOKUP(B9,Table6[],9,FALSE),""))))))</f>
        <v>1033</v>
      </c>
      <c r="K9" s="57">
        <f>IF($B$2="Race",VLOOKUP(B9,Table1[],10,FALSE),IF($B$2="Religion",VLOOKUP(B9,Table3[],10,FALSE),IF($B$2="Sexual Orientation",VLOOKUP(B9,Table2[],10,FALSE),IF($B$2="Disability",VLOOKUP(B9,Table4[],10,FALSE),IF($B$2="Transgender",VLOOKUP(B9,Table5[],10,FALSE),IF($B$2="Total Offences",VLOOKUP(B9,Table6[],10,FALSE),""))))))</f>
        <v>1244</v>
      </c>
      <c r="L9" s="57">
        <f>IF($B$2="Race",VLOOKUP(B9,Table1[],11,FALSE),IF($B$2="Religion",VLOOKUP(B9,Table3[],11,FALSE),IF($B$2="Sexual Orientation",VLOOKUP(B9,Table2[],11,FALSE),IF($B$2="Disability",VLOOKUP(B9,Table4[],10,FALSE),IF($B$2="Transgender",VLOOKUP(B9,Table5[],11,FALSE),IF($B$2="Total Offences",VLOOKUP(B9,Table6[],11,FALSE),""))))))</f>
        <v>1179</v>
      </c>
      <c r="M9" s="58">
        <f t="shared" ref="M9:M54" si="0">L9/K9-1</f>
        <v>-5.2250803858520878E-2</v>
      </c>
      <c r="N9" s="58">
        <f t="shared" ref="N9:N55" si="1">IFERROR(L9/G9-1,"-")</f>
        <v>1.0327586206896551</v>
      </c>
      <c r="O9" s="50"/>
      <c r="P9" s="6"/>
      <c r="V9" t="s">
        <v>57</v>
      </c>
    </row>
    <row r="10" spans="1:22" x14ac:dyDescent="0.35">
      <c r="A10" s="50"/>
      <c r="B10" s="56" t="s">
        <v>11</v>
      </c>
      <c r="C10" s="57" t="str">
        <f>IF($B$2="Race",VLOOKUP(B10,Table1[],2,FALSE),IF($B$2="Religion",VLOOKUP(B10,Table3[],2,FALSE),IF($B$2="Sexual Orientation",VLOOKUP(B10,Table2[],2,FALSE),IF($B$2="Disability",VLOOKUP(B10,Table4[],2,FALSE),IF($B$2="Transgender",VLOOKUP(B10,Table5[],2,FALSE),IF($B$2="Total Offences",VLOOKUP(B10,Table6[],2,FALSE),""))))))</f>
        <v>N/A</v>
      </c>
      <c r="D10" s="57">
        <f>IF($B$2="Race",VLOOKUP(B10,Table1[],3,FALSE),IF($B$2="Religion",VLOOKUP(B10,Table3[],3,FALSE),IF($B$2="Sexual Orientation",VLOOKUP(B10,Table2[],3,FALSE),IF($B$2="Disability",VLOOKUP(B10,Table4[],3,FALSE),IF($B$2="Transgender",VLOOKUP(B10,Table5[],3,FALSE),IF($B$2="Total Offences",VLOOKUP(B10,Table6[],3,FALSE),""))))))</f>
        <v>245</v>
      </c>
      <c r="E10" s="57">
        <f>IF($B$2="Race",VLOOKUP(B10,Table1[],4,FALSE),IF($B$2="Religion",VLOOKUP(B10,Table3[],4,FALSE),IF($B$2="Sexual Orientation",VLOOKUP(B10,Table2[],4,FALSE),IF($B$2="Disability",VLOOKUP(B10,Table4[],4,FALSE),IF($B$2="Transgender",VLOOKUP(B10,Table5[],4,FALSE),IF($B$2="Total Offences",VLOOKUP(B10,Table6[],4,FALSE),""))))))</f>
        <v>317</v>
      </c>
      <c r="F10" s="57">
        <f>IF($B$2="Race",VLOOKUP(B10,Table1[],5,FALSE),IF($B$2="Religion",VLOOKUP(B10,Table3[],5,FALSE),IF($B$2="Sexual Orientation",VLOOKUP(B10,Table2[],5,FALSE),IF($B$2="Disability",VLOOKUP(B10,Table4[],5,FALSE),IF($B$2="Transgender",VLOOKUP(B10,Table5[],5,FALSE),IF($B$2="Total Offences",VLOOKUP(B10,Table6[],5,FALSE),""))))))</f>
        <v>459</v>
      </c>
      <c r="G10" s="57">
        <f>IF($B$2="Race",VLOOKUP(B10,Table1[],6,FALSE),IF($B$2="Religion",VLOOKUP(B10,Table3[],6,FALSE),IF($B$2="Sexual Orientation",VLOOKUP(B10,Table2[],6,FALSE),IF($B$2="Disability",VLOOKUP(B10,Table4[],6,FALSE),IF($B$2="Transgender",VLOOKUP(B10,Table5[],6,FALSE),IF($B$2="Total Offences",VLOOKUP(B10,Table6[],6,FALSE),""))))))</f>
        <v>546</v>
      </c>
      <c r="H10" s="57">
        <f>IF($B$2="Race",VLOOKUP(B10,Table1[],7,FALSE),IF($B$2="Religion",VLOOKUP(B10,Table3[],7,FALSE),IF($B$2="Sexual Orientation",VLOOKUP(B10,Table2[],7,FALSE),IF($B$2="Disability",VLOOKUP(B10,Table4[],7,FALSE),IF($B$2="Transgender",VLOOKUP(B10,Table5[],7,FALSE),IF($B$2="Total Offences",VLOOKUP(B10,Table6[],7,FALSE),""))))))</f>
        <v>962</v>
      </c>
      <c r="I10" s="57">
        <f>IF($B$2="Race",VLOOKUP(B10,Table1[],8,FALSE),IF($B$2="Religion",VLOOKUP(B10,Table3[],8,FALSE),IF($B$2="Sexual Orientation",VLOOKUP(B10,Table2[],8,FALSE),IF($B$2="Disability",VLOOKUP(B10,Table4[],8,FALSE),IF($B$2="Transgender",VLOOKUP(B10,Table5[],8,FALSE),IF($B$2="Total Offences",VLOOKUP(B10,Table6[],8,FALSE),""))))))</f>
        <v>1095</v>
      </c>
      <c r="J10" s="57">
        <f>IF($B$2="Race",VLOOKUP(B10,Table1[],9,FALSE),IF($B$2="Religion",VLOOKUP(B10,Table3[],9,FALSE),IF($B$2="Sexual Orientation",VLOOKUP(B10,Table2[],9,FALSE),IF($B$2="Disability",VLOOKUP(B10,Table4[],9,FALSE),IF($B$2="Transgender",VLOOKUP(B10,Table5[],9,FALSE),IF($B$2="Total Offences",VLOOKUP(B10,Table6[],9,FALSE),""))))))</f>
        <v>980</v>
      </c>
      <c r="K10" s="57">
        <f>IF($B$2="Race",VLOOKUP(B10,Table1[],10,FALSE),IF($B$2="Religion",VLOOKUP(B10,Table3[],10,FALSE),IF($B$2="Sexual Orientation",VLOOKUP(B10,Table2[],10,FALSE),IF($B$2="Disability",VLOOKUP(B10,Table4[],10,FALSE),IF($B$2="Transgender",VLOOKUP(B10,Table5[],10,FALSE),IF($B$2="Total Offences",VLOOKUP(B10,Table6[],10,FALSE),""))))))</f>
        <v>1322</v>
      </c>
      <c r="L10" s="57">
        <f>IF($B$2="Race",VLOOKUP(B10,Table1[],11,FALSE),IF($B$2="Religion",VLOOKUP(B10,Table3[],11,FALSE),IF($B$2="Sexual Orientation",VLOOKUP(B10,Table2[],11,FALSE),IF($B$2="Disability",VLOOKUP(B10,Table4[],10,FALSE),IF($B$2="Transgender",VLOOKUP(B10,Table5[],11,FALSE),IF($B$2="Total Offences",VLOOKUP(B10,Table6[],11,FALSE),""))))))</f>
        <v>1371</v>
      </c>
      <c r="M10" s="58">
        <f t="shared" si="0"/>
        <v>3.7065052950075561E-2</v>
      </c>
      <c r="N10" s="58">
        <f t="shared" si="1"/>
        <v>1.5109890109890109</v>
      </c>
      <c r="O10" s="50"/>
      <c r="P10" s="6"/>
      <c r="V10" t="s">
        <v>58</v>
      </c>
    </row>
    <row r="11" spans="1:22" x14ac:dyDescent="0.35">
      <c r="A11" s="50"/>
      <c r="B11" s="56" t="s">
        <v>12</v>
      </c>
      <c r="C11" s="57" t="str">
        <f>IF($B$2="Race",VLOOKUP(B11,Table1[],2,FALSE),IF($B$2="Religion",VLOOKUP(B11,Table3[],2,FALSE),IF($B$2="Sexual Orientation",VLOOKUP(B11,Table2[],2,FALSE),IF($B$2="Disability",VLOOKUP(B11,Table4[],2,FALSE),IF($B$2="Transgender",VLOOKUP(B11,Table5[],2,FALSE),IF($B$2="Total Offences",VLOOKUP(B11,Table6[],2,FALSE),""))))))</f>
        <v>N/A</v>
      </c>
      <c r="D11" s="57">
        <f>IF($B$2="Race",VLOOKUP(B11,Table1[],3,FALSE),IF($B$2="Religion",VLOOKUP(B11,Table3[],3,FALSE),IF($B$2="Sexual Orientation",VLOOKUP(B11,Table2[],3,FALSE),IF($B$2="Disability",VLOOKUP(B11,Table4[],3,FALSE),IF($B$2="Transgender",VLOOKUP(B11,Table5[],3,FALSE),IF($B$2="Total Offences",VLOOKUP(B11,Table6[],3,FALSE),""))))))</f>
        <v>539</v>
      </c>
      <c r="E11" s="57">
        <f>IF($B$2="Race",VLOOKUP(B11,Table1[],4,FALSE),IF($B$2="Religion",VLOOKUP(B11,Table3[],4,FALSE),IF($B$2="Sexual Orientation",VLOOKUP(B11,Table2[],4,FALSE),IF($B$2="Disability",VLOOKUP(B11,Table4[],4,FALSE),IF($B$2="Transgender",VLOOKUP(B11,Table5[],4,FALSE),IF($B$2="Total Offences",VLOOKUP(B11,Table6[],4,FALSE),""))))))</f>
        <v>670</v>
      </c>
      <c r="F11" s="57">
        <f>IF($B$2="Race",VLOOKUP(B11,Table1[],5,FALSE),IF($B$2="Religion",VLOOKUP(B11,Table3[],5,FALSE),IF($B$2="Sexual Orientation",VLOOKUP(B11,Table2[],5,FALSE),IF($B$2="Disability",VLOOKUP(B11,Table4[],5,FALSE),IF($B$2="Transgender",VLOOKUP(B11,Table5[],5,FALSE),IF($B$2="Total Offences",VLOOKUP(B11,Table6[],5,FALSE),""))))))</f>
        <v>675</v>
      </c>
      <c r="G11" s="57">
        <f>IF($B$2="Race",VLOOKUP(B11,Table1[],6,FALSE),IF($B$2="Religion",VLOOKUP(B11,Table3[],6,FALSE),IF($B$2="Sexual Orientation",VLOOKUP(B11,Table2[],6,FALSE),IF($B$2="Disability",VLOOKUP(B11,Table4[],6,FALSE),IF($B$2="Transgender",VLOOKUP(B11,Table5[],6,FALSE),IF($B$2="Total Offences",VLOOKUP(B11,Table6[],6,FALSE),""))))))</f>
        <v>784</v>
      </c>
      <c r="H11" s="57">
        <f>IF($B$2="Race",VLOOKUP(B11,Table1[],7,FALSE),IF($B$2="Religion",VLOOKUP(B11,Table3[],7,FALSE),IF($B$2="Sexual Orientation",VLOOKUP(B11,Table2[],7,FALSE),IF($B$2="Disability",VLOOKUP(B11,Table4[],7,FALSE),IF($B$2="Transgender",VLOOKUP(B11,Table5[],7,FALSE),IF($B$2="Total Offences",VLOOKUP(B11,Table6[],7,FALSE),""))))))</f>
        <v>1131</v>
      </c>
      <c r="I11" s="57">
        <f>IF($B$2="Race",VLOOKUP(B11,Table1[],8,FALSE),IF($B$2="Religion",VLOOKUP(B11,Table3[],8,FALSE),IF($B$2="Sexual Orientation",VLOOKUP(B11,Table2[],8,FALSE),IF($B$2="Disability",VLOOKUP(B11,Table4[],8,FALSE),IF($B$2="Transgender",VLOOKUP(B11,Table5[],8,FALSE),IF($B$2="Total Offences",VLOOKUP(B11,Table6[],8,FALSE),""))))))</f>
        <v>1466</v>
      </c>
      <c r="J11" s="57">
        <f>IF($B$2="Race",VLOOKUP(B11,Table1[],9,FALSE),IF($B$2="Religion",VLOOKUP(B11,Table3[],9,FALSE),IF($B$2="Sexual Orientation",VLOOKUP(B11,Table2[],9,FALSE),IF($B$2="Disability",VLOOKUP(B11,Table4[],9,FALSE),IF($B$2="Transgender",VLOOKUP(B11,Table5[],9,FALSE),IF($B$2="Total Offences",VLOOKUP(B11,Table6[],9,FALSE),""))))))</f>
        <v>1657</v>
      </c>
      <c r="K11" s="57">
        <f>IF($B$2="Race",VLOOKUP(B11,Table1[],10,FALSE),IF($B$2="Religion",VLOOKUP(B11,Table3[],10,FALSE),IF($B$2="Sexual Orientation",VLOOKUP(B11,Table2[],10,FALSE),IF($B$2="Disability",VLOOKUP(B11,Table4[],10,FALSE),IF($B$2="Transgender",VLOOKUP(B11,Table5[],10,FALSE),IF($B$2="Total Offences",VLOOKUP(B11,Table6[],10,FALSE),""))))))</f>
        <v>2015</v>
      </c>
      <c r="L11" s="57">
        <f>IF($B$2="Race",VLOOKUP(B11,Table1[],11,FALSE),IF($B$2="Religion",VLOOKUP(B11,Table3[],11,FALSE),IF($B$2="Sexual Orientation",VLOOKUP(B11,Table2[],11,FALSE),IF($B$2="Disability",VLOOKUP(B11,Table4[],10,FALSE),IF($B$2="Transgender",VLOOKUP(B11,Table5[],11,FALSE),IF($B$2="Total Offences",VLOOKUP(B11,Table6[],11,FALSE),""))))))</f>
        <v>2052</v>
      </c>
      <c r="M11" s="58">
        <f t="shared" si="0"/>
        <v>1.8362282878412017E-2</v>
      </c>
      <c r="N11" s="58">
        <f t="shared" si="1"/>
        <v>1.6173469387755102</v>
      </c>
      <c r="O11" s="50"/>
      <c r="P11" s="6"/>
      <c r="V11" t="s">
        <v>61</v>
      </c>
    </row>
    <row r="12" spans="1:22" x14ac:dyDescent="0.35">
      <c r="A12" s="50"/>
      <c r="B12" s="56" t="s">
        <v>13</v>
      </c>
      <c r="C12" s="57" t="str">
        <f>IF($B$2="Race",VLOOKUP(B12,Table1[],2,FALSE),IF($B$2="Religion",VLOOKUP(B12,Table3[],2,FALSE),IF($B$2="Sexual Orientation",VLOOKUP(B12,Table2[],2,FALSE),IF($B$2="Disability",VLOOKUP(B12,Table4[],2,FALSE),IF($B$2="Transgender",VLOOKUP(B12,Table5[],2,FALSE),IF($B$2="Total Offences",VLOOKUP(B12,Table6[],2,FALSE),""))))))</f>
        <v>N/A</v>
      </c>
      <c r="D12" s="57">
        <f>IF($B$2="Race",VLOOKUP(B12,Table1[],3,FALSE),IF($B$2="Religion",VLOOKUP(B12,Table3[],3,FALSE),IF($B$2="Sexual Orientation",VLOOKUP(B12,Table2[],3,FALSE),IF($B$2="Disability",VLOOKUP(B12,Table4[],3,FALSE),IF($B$2="Transgender",VLOOKUP(B12,Table5[],3,FALSE),IF($B$2="Total Offences",VLOOKUP(B12,Table6[],3,FALSE),""))))))</f>
        <v>359</v>
      </c>
      <c r="E12" s="57">
        <f>IF($B$2="Race",VLOOKUP(B12,Table1[],4,FALSE),IF($B$2="Religion",VLOOKUP(B12,Table3[],4,FALSE),IF($B$2="Sexual Orientation",VLOOKUP(B12,Table2[],4,FALSE),IF($B$2="Disability",VLOOKUP(B12,Table4[],4,FALSE),IF($B$2="Transgender",VLOOKUP(B12,Table5[],4,FALSE),IF($B$2="Total Offences",VLOOKUP(B12,Table6[],4,FALSE),""))))))</f>
        <v>353</v>
      </c>
      <c r="F12" s="57">
        <f>IF($B$2="Race",VLOOKUP(B12,Table1[],5,FALSE),IF($B$2="Religion",VLOOKUP(B12,Table3[],5,FALSE),IF($B$2="Sexual Orientation",VLOOKUP(B12,Table2[],5,FALSE),IF($B$2="Disability",VLOOKUP(B12,Table4[],5,FALSE),IF($B$2="Transgender",VLOOKUP(B12,Table5[],5,FALSE),IF($B$2="Total Offences",VLOOKUP(B12,Table6[],5,FALSE),""))))))</f>
        <v>481</v>
      </c>
      <c r="G12" s="57">
        <f>IF($B$2="Race",VLOOKUP(B12,Table1[],6,FALSE),IF($B$2="Religion",VLOOKUP(B12,Table3[],6,FALSE),IF($B$2="Sexual Orientation",VLOOKUP(B12,Table2[],6,FALSE),IF($B$2="Disability",VLOOKUP(B12,Table4[],6,FALSE),IF($B$2="Transgender",VLOOKUP(B12,Table5[],6,FALSE),IF($B$2="Total Offences",VLOOKUP(B12,Table6[],6,FALSE),""))))))</f>
        <v>566</v>
      </c>
      <c r="H12" s="57">
        <f>IF($B$2="Race",VLOOKUP(B12,Table1[],7,FALSE),IF($B$2="Religion",VLOOKUP(B12,Table3[],7,FALSE),IF($B$2="Sexual Orientation",VLOOKUP(B12,Table2[],7,FALSE),IF($B$2="Disability",VLOOKUP(B12,Table4[],7,FALSE),IF($B$2="Transgender",VLOOKUP(B12,Table5[],7,FALSE),IF($B$2="Total Offences",VLOOKUP(B12,Table6[],7,FALSE),""))))))</f>
        <v>754</v>
      </c>
      <c r="I12" s="57">
        <f>IF($B$2="Race",VLOOKUP(B12,Table1[],8,FALSE),IF($B$2="Religion",VLOOKUP(B12,Table3[],8,FALSE),IF($B$2="Sexual Orientation",VLOOKUP(B12,Table2[],8,FALSE),IF($B$2="Disability",VLOOKUP(B12,Table4[],8,FALSE),IF($B$2="Transgender",VLOOKUP(B12,Table5[],8,FALSE),IF($B$2="Total Offences",VLOOKUP(B12,Table6[],8,FALSE),""))))))</f>
        <v>878</v>
      </c>
      <c r="J12" s="57">
        <f>IF($B$2="Race",VLOOKUP(B12,Table1[],9,FALSE),IF($B$2="Religion",VLOOKUP(B12,Table3[],9,FALSE),IF($B$2="Sexual Orientation",VLOOKUP(B12,Table2[],9,FALSE),IF($B$2="Disability",VLOOKUP(B12,Table4[],9,FALSE),IF($B$2="Transgender",VLOOKUP(B12,Table5[],9,FALSE),IF($B$2="Total Offences",VLOOKUP(B12,Table6[],9,FALSE),""))))))</f>
        <v>894</v>
      </c>
      <c r="K12" s="57">
        <f>IF($B$2="Race",VLOOKUP(B12,Table1[],10,FALSE),IF($B$2="Religion",VLOOKUP(B12,Table3[],10,FALSE),IF($B$2="Sexual Orientation",VLOOKUP(B12,Table2[],10,FALSE),IF($B$2="Disability",VLOOKUP(B12,Table4[],10,FALSE),IF($B$2="Transgender",VLOOKUP(B12,Table5[],10,FALSE),IF($B$2="Total Offences",VLOOKUP(B12,Table6[],10,FALSE),""))))))</f>
        <v>933</v>
      </c>
      <c r="L12" s="57">
        <f>IF($B$2="Race",VLOOKUP(B12,Table1[],11,FALSE),IF($B$2="Religion",VLOOKUP(B12,Table3[],11,FALSE),IF($B$2="Sexual Orientation",VLOOKUP(B12,Table2[],11,FALSE),IF($B$2="Disability",VLOOKUP(B12,Table4[],10,FALSE),IF($B$2="Transgender",VLOOKUP(B12,Table5[],11,FALSE),IF($B$2="Total Offences",VLOOKUP(B12,Table6[],11,FALSE),""))))))</f>
        <v>1047</v>
      </c>
      <c r="M12" s="58">
        <f t="shared" si="0"/>
        <v>0.12218649517684876</v>
      </c>
      <c r="N12" s="58">
        <f t="shared" si="1"/>
        <v>0.84982332155477036</v>
      </c>
      <c r="O12" s="50"/>
      <c r="P12" s="6"/>
      <c r="V12" t="s">
        <v>60</v>
      </c>
    </row>
    <row r="13" spans="1:22" x14ac:dyDescent="0.35">
      <c r="A13" s="50"/>
      <c r="B13" s="56" t="s">
        <v>14</v>
      </c>
      <c r="C13" s="57" t="str">
        <f>IF($B$2="Race",VLOOKUP(B13,Table1[],2,FALSE),IF($B$2="Religion",VLOOKUP(B13,Table3[],2,FALSE),IF($B$2="Sexual Orientation",VLOOKUP(B13,Table2[],2,FALSE),IF($B$2="Disability",VLOOKUP(B13,Table4[],2,FALSE),IF($B$2="Transgender",VLOOKUP(B13,Table5[],2,FALSE),IF($B$2="Total Offences",VLOOKUP(B13,Table6[],2,FALSE),""))))))</f>
        <v>N/A</v>
      </c>
      <c r="D13" s="57">
        <f>IF($B$2="Race",VLOOKUP(B13,Table1[],3,FALSE),IF($B$2="Religion",VLOOKUP(B13,Table3[],3,FALSE),IF($B$2="Sexual Orientation",VLOOKUP(B13,Table2[],3,FALSE),IF($B$2="Disability",VLOOKUP(B13,Table4[],3,FALSE),IF($B$2="Transgender",VLOOKUP(B13,Table5[],3,FALSE),IF($B$2="Total Offences",VLOOKUP(B13,Table6[],3,FALSE),""))))))</f>
        <v>206</v>
      </c>
      <c r="E13" s="57">
        <f>IF($B$2="Race",VLOOKUP(B13,Table1[],4,FALSE),IF($B$2="Religion",VLOOKUP(B13,Table3[],4,FALSE),IF($B$2="Sexual Orientation",VLOOKUP(B13,Table2[],4,FALSE),IF($B$2="Disability",VLOOKUP(B13,Table4[],4,FALSE),IF($B$2="Transgender",VLOOKUP(B13,Table5[],4,FALSE),IF($B$2="Total Offences",VLOOKUP(B13,Table6[],4,FALSE),""))))))</f>
        <v>236</v>
      </c>
      <c r="F13" s="57">
        <f>IF($B$2="Race",VLOOKUP(B13,Table1[],5,FALSE),IF($B$2="Religion",VLOOKUP(B13,Table3[],5,FALSE),IF($B$2="Sexual Orientation",VLOOKUP(B13,Table2[],5,FALSE),IF($B$2="Disability",VLOOKUP(B13,Table4[],5,FALSE),IF($B$2="Transgender",VLOOKUP(B13,Table5[],5,FALSE),IF($B$2="Total Offences",VLOOKUP(B13,Table6[],5,FALSE),""))))))</f>
        <v>319</v>
      </c>
      <c r="G13" s="57">
        <f>IF($B$2="Race",VLOOKUP(B13,Table1[],6,FALSE),IF($B$2="Religion",VLOOKUP(B13,Table3[],6,FALSE),IF($B$2="Sexual Orientation",VLOOKUP(B13,Table2[],6,FALSE),IF($B$2="Disability",VLOOKUP(B13,Table4[],6,FALSE),IF($B$2="Transgender",VLOOKUP(B13,Table5[],6,FALSE),IF($B$2="Total Offences",VLOOKUP(B13,Table6[],6,FALSE),""))))))</f>
        <v>363</v>
      </c>
      <c r="H13" s="57">
        <f>IF($B$2="Race",VLOOKUP(B13,Table1[],7,FALSE),IF($B$2="Religion",VLOOKUP(B13,Table3[],7,FALSE),IF($B$2="Sexual Orientation",VLOOKUP(B13,Table2[],7,FALSE),IF($B$2="Disability",VLOOKUP(B13,Table4[],7,FALSE),IF($B$2="Transgender",VLOOKUP(B13,Table5[],7,FALSE),IF($B$2="Total Offences",VLOOKUP(B13,Table6[],7,FALSE),""))))))</f>
        <v>315</v>
      </c>
      <c r="I13" s="57">
        <f>IF($B$2="Race",VLOOKUP(B13,Table1[],8,FALSE),IF($B$2="Religion",VLOOKUP(B13,Table3[],8,FALSE),IF($B$2="Sexual Orientation",VLOOKUP(B13,Table2[],8,FALSE),IF($B$2="Disability",VLOOKUP(B13,Table4[],8,FALSE),IF($B$2="Transgender",VLOOKUP(B13,Table5[],8,FALSE),IF($B$2="Total Offences",VLOOKUP(B13,Table6[],8,FALSE),""))))))</f>
        <v>426</v>
      </c>
      <c r="J13" s="57">
        <f>IF($B$2="Race",VLOOKUP(B13,Table1[],9,FALSE),IF($B$2="Religion",VLOOKUP(B13,Table3[],9,FALSE),IF($B$2="Sexual Orientation",VLOOKUP(B13,Table2[],9,FALSE),IF($B$2="Disability",VLOOKUP(B13,Table4[],9,FALSE),IF($B$2="Transgender",VLOOKUP(B13,Table5[],9,FALSE),IF($B$2="Total Offences",VLOOKUP(B13,Table6[],9,FALSE),""))))))</f>
        <v>524</v>
      </c>
      <c r="K13" s="57">
        <f>IF($B$2="Race",VLOOKUP(B13,Table1[],10,FALSE),IF($B$2="Religion",VLOOKUP(B13,Table3[],10,FALSE),IF($B$2="Sexual Orientation",VLOOKUP(B13,Table2[],10,FALSE),IF($B$2="Disability",VLOOKUP(B13,Table4[],10,FALSE),IF($B$2="Transgender",VLOOKUP(B13,Table5[],10,FALSE),IF($B$2="Total Offences",VLOOKUP(B13,Table6[],10,FALSE),""))))))</f>
        <v>674</v>
      </c>
      <c r="L13" s="57">
        <f>IF($B$2="Race",VLOOKUP(B13,Table1[],11,FALSE),IF($B$2="Religion",VLOOKUP(B13,Table3[],11,FALSE),IF($B$2="Sexual Orientation",VLOOKUP(B13,Table2[],11,FALSE),IF($B$2="Disability",VLOOKUP(B13,Table4[],10,FALSE),IF($B$2="Transgender",VLOOKUP(B13,Table5[],11,FALSE),IF($B$2="Total Offences",VLOOKUP(B13,Table6[],11,FALSE),""))))))</f>
        <v>681</v>
      </c>
      <c r="M13" s="58">
        <f t="shared" si="0"/>
        <v>1.0385756676557945E-2</v>
      </c>
      <c r="N13" s="58">
        <f t="shared" si="1"/>
        <v>0.87603305785123964</v>
      </c>
      <c r="O13" s="50"/>
      <c r="P13" s="6"/>
      <c r="V13" t="s">
        <v>62</v>
      </c>
    </row>
    <row r="14" spans="1:22" x14ac:dyDescent="0.35">
      <c r="A14" s="50"/>
      <c r="B14" s="56" t="s">
        <v>15</v>
      </c>
      <c r="C14" s="57" t="str">
        <f>IF($B$2="Race",VLOOKUP(B14,Table1[],2,FALSE),IF($B$2="Religion",VLOOKUP(B14,Table3[],2,FALSE),IF($B$2="Sexual Orientation",VLOOKUP(B14,Table2[],2,FALSE),IF($B$2="Disability",VLOOKUP(B14,Table4[],2,FALSE),IF($B$2="Transgender",VLOOKUP(B14,Table5[],2,FALSE),IF($B$2="Total Offences",VLOOKUP(B14,Table6[],2,FALSE),""))))))</f>
        <v>N/A</v>
      </c>
      <c r="D14" s="57">
        <f>IF($B$2="Race",VLOOKUP(B14,Table1[],3,FALSE),IF($B$2="Religion",VLOOKUP(B14,Table3[],3,FALSE),IF($B$2="Sexual Orientation",VLOOKUP(B14,Table2[],3,FALSE),IF($B$2="Disability",VLOOKUP(B14,Table4[],3,FALSE),IF($B$2="Transgender",VLOOKUP(B14,Table5[],3,FALSE),IF($B$2="Total Offences",VLOOKUP(B14,Table6[],3,FALSE),""))))))</f>
        <v>511</v>
      </c>
      <c r="E14" s="57">
        <f>IF($B$2="Race",VLOOKUP(B14,Table1[],4,FALSE),IF($B$2="Religion",VLOOKUP(B14,Table3[],4,FALSE),IF($B$2="Sexual Orientation",VLOOKUP(B14,Table2[],4,FALSE),IF($B$2="Disability",VLOOKUP(B14,Table4[],4,FALSE),IF($B$2="Transgender",VLOOKUP(B14,Table5[],4,FALSE),IF($B$2="Total Offences",VLOOKUP(B14,Table6[],4,FALSE),""))))))</f>
        <v>419</v>
      </c>
      <c r="F14" s="57">
        <f>IF($B$2="Race",VLOOKUP(B14,Table1[],5,FALSE),IF($B$2="Religion",VLOOKUP(B14,Table3[],5,FALSE),IF($B$2="Sexual Orientation",VLOOKUP(B14,Table2[],5,FALSE),IF($B$2="Disability",VLOOKUP(B14,Table4[],5,FALSE),IF($B$2="Transgender",VLOOKUP(B14,Table5[],5,FALSE),IF($B$2="Total Offences",VLOOKUP(B14,Table6[],5,FALSE),""))))))</f>
        <v>469</v>
      </c>
      <c r="G14" s="57">
        <f>IF($B$2="Race",VLOOKUP(B14,Table1[],6,FALSE),IF($B$2="Religion",VLOOKUP(B14,Table3[],6,FALSE),IF($B$2="Sexual Orientation",VLOOKUP(B14,Table2[],6,FALSE),IF($B$2="Disability",VLOOKUP(B14,Table4[],6,FALSE),IF($B$2="Transgender",VLOOKUP(B14,Table5[],6,FALSE),IF($B$2="Total Offences",VLOOKUP(B14,Table6[],6,FALSE),""))))))</f>
        <v>537</v>
      </c>
      <c r="H14" s="57">
        <f>IF($B$2="Race",VLOOKUP(B14,Table1[],7,FALSE),IF($B$2="Religion",VLOOKUP(B14,Table3[],7,FALSE),IF($B$2="Sexual Orientation",VLOOKUP(B14,Table2[],7,FALSE),IF($B$2="Disability",VLOOKUP(B14,Table4[],7,FALSE),IF($B$2="Transgender",VLOOKUP(B14,Table5[],7,FALSE),IF($B$2="Total Offences",VLOOKUP(B14,Table6[],7,FALSE),""))))))</f>
        <v>599</v>
      </c>
      <c r="I14" s="57">
        <f>IF($B$2="Race",VLOOKUP(B14,Table1[],8,FALSE),IF($B$2="Religion",VLOOKUP(B14,Table3[],8,FALSE),IF($B$2="Sexual Orientation",VLOOKUP(B14,Table2[],8,FALSE),IF($B$2="Disability",VLOOKUP(B14,Table4[],8,FALSE),IF($B$2="Transgender",VLOOKUP(B14,Table5[],8,FALSE),IF($B$2="Total Offences",VLOOKUP(B14,Table6[],8,FALSE),""))))))</f>
        <v>673</v>
      </c>
      <c r="J14" s="57">
        <f>IF($B$2="Race",VLOOKUP(B14,Table1[],9,FALSE),IF($B$2="Religion",VLOOKUP(B14,Table3[],9,FALSE),IF($B$2="Sexual Orientation",VLOOKUP(B14,Table2[],9,FALSE),IF($B$2="Disability",VLOOKUP(B14,Table4[],9,FALSE),IF($B$2="Transgender",VLOOKUP(B14,Table5[],9,FALSE),IF($B$2="Total Offences",VLOOKUP(B14,Table6[],9,FALSE),""))))))</f>
        <v>960</v>
      </c>
      <c r="K14" s="57">
        <f>IF($B$2="Race",VLOOKUP(B14,Table1[],10,FALSE),IF($B$2="Religion",VLOOKUP(B14,Table3[],10,FALSE),IF($B$2="Sexual Orientation",VLOOKUP(B14,Table2[],10,FALSE),IF($B$2="Disability",VLOOKUP(B14,Table4[],10,FALSE),IF($B$2="Transgender",VLOOKUP(B14,Table5[],10,FALSE),IF($B$2="Total Offences",VLOOKUP(B14,Table6[],10,FALSE),""))))))</f>
        <v>1359</v>
      </c>
      <c r="L14" s="57">
        <f>IF($B$2="Race",VLOOKUP(B14,Table1[],11,FALSE),IF($B$2="Religion",VLOOKUP(B14,Table3[],11,FALSE),IF($B$2="Sexual Orientation",VLOOKUP(B14,Table2[],11,FALSE),IF($B$2="Disability",VLOOKUP(B14,Table4[],10,FALSE),IF($B$2="Transgender",VLOOKUP(B14,Table5[],11,FALSE),IF($B$2="Total Offences",VLOOKUP(B14,Table6[],11,FALSE),""))))))</f>
        <v>1700</v>
      </c>
      <c r="M14" s="58">
        <f t="shared" si="0"/>
        <v>0.25091979396615161</v>
      </c>
      <c r="N14" s="58">
        <f t="shared" si="1"/>
        <v>2.1657355679702048</v>
      </c>
      <c r="O14" s="50"/>
      <c r="P14" s="6"/>
    </row>
    <row r="15" spans="1:22" x14ac:dyDescent="0.35">
      <c r="A15" s="50"/>
      <c r="B15" s="56" t="s">
        <v>16</v>
      </c>
      <c r="C15" s="57" t="str">
        <f>IF($B$2="Race",VLOOKUP(B15,Table1[],2,FALSE),IF($B$2="Religion",VLOOKUP(B15,Table3[],2,FALSE),IF($B$2="Sexual Orientation",VLOOKUP(B15,Table2[],2,FALSE),IF($B$2="Disability",VLOOKUP(B15,Table4[],2,FALSE),IF($B$2="Transgender",VLOOKUP(B15,Table5[],2,FALSE),IF($B$2="Total Offences",VLOOKUP(B15,Table6[],2,FALSE),""))))))</f>
        <v>N/A</v>
      </c>
      <c r="D15" s="57">
        <f>IF($B$2="Race",VLOOKUP(B15,Table1[],3,FALSE),IF($B$2="Religion",VLOOKUP(B15,Table3[],3,FALSE),IF($B$2="Sexual Orientation",VLOOKUP(B15,Table2[],3,FALSE),IF($B$2="Disability",VLOOKUP(B15,Table4[],3,FALSE),IF($B$2="Transgender",VLOOKUP(B15,Table5[],3,FALSE),IF($B$2="Total Offences",VLOOKUP(B15,Table6[],3,FALSE),""))))))</f>
        <v>961</v>
      </c>
      <c r="E15" s="57">
        <f>IF($B$2="Race",VLOOKUP(B15,Table1[],4,FALSE),IF($B$2="Religion",VLOOKUP(B15,Table3[],4,FALSE),IF($B$2="Sexual Orientation",VLOOKUP(B15,Table2[],4,FALSE),IF($B$2="Disability",VLOOKUP(B15,Table4[],4,FALSE),IF($B$2="Transgender",VLOOKUP(B15,Table5[],4,FALSE),IF($B$2="Total Offences",VLOOKUP(B15,Table6[],4,FALSE),""))))))</f>
        <v>1037</v>
      </c>
      <c r="F15" s="57">
        <f>IF($B$2="Race",VLOOKUP(B15,Table1[],5,FALSE),IF($B$2="Religion",VLOOKUP(B15,Table3[],5,FALSE),IF($B$2="Sexual Orientation",VLOOKUP(B15,Table2[],5,FALSE),IF($B$2="Disability",VLOOKUP(B15,Table4[],5,FALSE),IF($B$2="Transgender",VLOOKUP(B15,Table5[],5,FALSE),IF($B$2="Total Offences",VLOOKUP(B15,Table6[],5,FALSE),""))))))</f>
        <v>853</v>
      </c>
      <c r="G15" s="57">
        <f>IF($B$2="Race",VLOOKUP(B15,Table1[],6,FALSE),IF($B$2="Religion",VLOOKUP(B15,Table3[],6,FALSE),IF($B$2="Sexual Orientation",VLOOKUP(B15,Table2[],6,FALSE),IF($B$2="Disability",VLOOKUP(B15,Table4[],6,FALSE),IF($B$2="Transgender",VLOOKUP(B15,Table5[],6,FALSE),IF($B$2="Total Offences",VLOOKUP(B15,Table6[],6,FALSE),""))))))</f>
        <v>808</v>
      </c>
      <c r="H15" s="57">
        <f>IF($B$2="Race",VLOOKUP(B15,Table1[],7,FALSE),IF($B$2="Religion",VLOOKUP(B15,Table3[],7,FALSE),IF($B$2="Sexual Orientation",VLOOKUP(B15,Table2[],7,FALSE),IF($B$2="Disability",VLOOKUP(B15,Table4[],7,FALSE),IF($B$2="Transgender",VLOOKUP(B15,Table5[],7,FALSE),IF($B$2="Total Offences",VLOOKUP(B15,Table6[],7,FALSE),""))))))</f>
        <v>1031</v>
      </c>
      <c r="I15" s="57">
        <f>IF($B$2="Race",VLOOKUP(B15,Table1[],8,FALSE),IF($B$2="Religion",VLOOKUP(B15,Table3[],8,FALSE),IF($B$2="Sexual Orientation",VLOOKUP(B15,Table2[],8,FALSE),IF($B$2="Disability",VLOOKUP(B15,Table4[],8,FALSE),IF($B$2="Transgender",VLOOKUP(B15,Table5[],8,FALSE),IF($B$2="Total Offences",VLOOKUP(B15,Table6[],8,FALSE),""))))))</f>
        <v>1467</v>
      </c>
      <c r="J15" s="57">
        <f>IF($B$2="Race",VLOOKUP(B15,Table1[],9,FALSE),IF($B$2="Religion",VLOOKUP(B15,Table3[],9,FALSE),IF($B$2="Sexual Orientation",VLOOKUP(B15,Table2[],9,FALSE),IF($B$2="Disability",VLOOKUP(B15,Table4[],9,FALSE),IF($B$2="Transgender",VLOOKUP(B15,Table5[],9,FALSE),IF($B$2="Total Offences",VLOOKUP(B15,Table6[],9,FALSE),""))))))</f>
        <v>1693</v>
      </c>
      <c r="K15" s="57">
        <f>IF($B$2="Race",VLOOKUP(B15,Table1[],10,FALSE),IF($B$2="Religion",VLOOKUP(B15,Table3[],10,FALSE),IF($B$2="Sexual Orientation",VLOOKUP(B15,Table2[],10,FALSE),IF($B$2="Disability",VLOOKUP(B15,Table4[],10,FALSE),IF($B$2="Transgender",VLOOKUP(B15,Table5[],10,FALSE),IF($B$2="Total Offences",VLOOKUP(B15,Table6[],10,FALSE),""))))))</f>
        <v>1788</v>
      </c>
      <c r="L15" s="57">
        <f>IF($B$2="Race",VLOOKUP(B15,Table1[],11,FALSE),IF($B$2="Religion",VLOOKUP(B15,Table3[],11,FALSE),IF($B$2="Sexual Orientation",VLOOKUP(B15,Table2[],11,FALSE),IF($B$2="Disability",VLOOKUP(B15,Table4[],10,FALSE),IF($B$2="Transgender",VLOOKUP(B15,Table5[],11,FALSE),IF($B$2="Total Offences",VLOOKUP(B15,Table6[],11,FALSE),""))))))</f>
        <v>1848</v>
      </c>
      <c r="M15" s="58">
        <f t="shared" si="0"/>
        <v>3.3557046979865834E-2</v>
      </c>
      <c r="N15" s="58">
        <f t="shared" si="1"/>
        <v>1.2871287128712869</v>
      </c>
      <c r="O15" s="50"/>
      <c r="P15" s="6"/>
    </row>
    <row r="16" spans="1:22" x14ac:dyDescent="0.35">
      <c r="A16" s="50"/>
      <c r="B16" s="56" t="s">
        <v>17</v>
      </c>
      <c r="C16" s="57" t="str">
        <f>IF($B$2="Race",VLOOKUP(B16,Table1[],2,FALSE),IF($B$2="Religion",VLOOKUP(B16,Table3[],2,FALSE),IF($B$2="Sexual Orientation",VLOOKUP(B16,Table2[],2,FALSE),IF($B$2="Disability",VLOOKUP(B16,Table4[],2,FALSE),IF($B$2="Transgender",VLOOKUP(B16,Table5[],2,FALSE),IF($B$2="Total Offences",VLOOKUP(B16,Table6[],2,FALSE),""))))))</f>
        <v>N/A</v>
      </c>
      <c r="D16" s="57">
        <f>IF($B$2="Race",VLOOKUP(B16,Table1[],3,FALSE),IF($B$2="Religion",VLOOKUP(B16,Table3[],3,FALSE),IF($B$2="Sexual Orientation",VLOOKUP(B16,Table2[],3,FALSE),IF($B$2="Disability",VLOOKUP(B16,Table4[],3,FALSE),IF($B$2="Transgender",VLOOKUP(B16,Table5[],3,FALSE),IF($B$2="Total Offences",VLOOKUP(B16,Table6[],3,FALSE),""))))))</f>
        <v>181</v>
      </c>
      <c r="E16" s="57">
        <f>IF($B$2="Race",VLOOKUP(B16,Table1[],4,FALSE),IF($B$2="Religion",VLOOKUP(B16,Table3[],4,FALSE),IF($B$2="Sexual Orientation",VLOOKUP(B16,Table2[],4,FALSE),IF($B$2="Disability",VLOOKUP(B16,Table4[],4,FALSE),IF($B$2="Transgender",VLOOKUP(B16,Table5[],4,FALSE),IF($B$2="Total Offences",VLOOKUP(B16,Table6[],4,FALSE),""))))))</f>
        <v>198</v>
      </c>
      <c r="F16" s="57">
        <f>IF($B$2="Race",VLOOKUP(B16,Table1[],5,FALSE),IF($B$2="Religion",VLOOKUP(B16,Table3[],5,FALSE),IF($B$2="Sexual Orientation",VLOOKUP(B16,Table2[],5,FALSE),IF($B$2="Disability",VLOOKUP(B16,Table4[],5,FALSE),IF($B$2="Transgender",VLOOKUP(B16,Table5[],5,FALSE),IF($B$2="Total Offences",VLOOKUP(B16,Table6[],5,FALSE),""))))))</f>
        <v>279</v>
      </c>
      <c r="G16" s="57">
        <f>IF($B$2="Race",VLOOKUP(B16,Table1[],6,FALSE),IF($B$2="Religion",VLOOKUP(B16,Table3[],6,FALSE),IF($B$2="Sexual Orientation",VLOOKUP(B16,Table2[],6,FALSE),IF($B$2="Disability",VLOOKUP(B16,Table4[],6,FALSE),IF($B$2="Transgender",VLOOKUP(B16,Table5[],6,FALSE),IF($B$2="Total Offences",VLOOKUP(B16,Table6[],6,FALSE),""))))))</f>
        <v>434</v>
      </c>
      <c r="H16" s="57">
        <f>IF($B$2="Race",VLOOKUP(B16,Table1[],7,FALSE),IF($B$2="Religion",VLOOKUP(B16,Table3[],7,FALSE),IF($B$2="Sexual Orientation",VLOOKUP(B16,Table2[],7,FALSE),IF($B$2="Disability",VLOOKUP(B16,Table4[],7,FALSE),IF($B$2="Transgender",VLOOKUP(B16,Table5[],7,FALSE),IF($B$2="Total Offences",VLOOKUP(B16,Table6[],7,FALSE),""))))))</f>
        <v>443</v>
      </c>
      <c r="I16" s="57">
        <f>IF($B$2="Race",VLOOKUP(B16,Table1[],8,FALSE),IF($B$2="Religion",VLOOKUP(B16,Table3[],8,FALSE),IF($B$2="Sexual Orientation",VLOOKUP(B16,Table2[],8,FALSE),IF($B$2="Disability",VLOOKUP(B16,Table4[],8,FALSE),IF($B$2="Transgender",VLOOKUP(B16,Table5[],8,FALSE),IF($B$2="Total Offences",VLOOKUP(B16,Table6[],8,FALSE),""))))))</f>
        <v>564</v>
      </c>
      <c r="J16" s="57">
        <f>IF($B$2="Race",VLOOKUP(B16,Table1[],9,FALSE),IF($B$2="Religion",VLOOKUP(B16,Table3[],9,FALSE),IF($B$2="Sexual Orientation",VLOOKUP(B16,Table2[],9,FALSE),IF($B$2="Disability",VLOOKUP(B16,Table4[],9,FALSE),IF($B$2="Transgender",VLOOKUP(B16,Table5[],9,FALSE),IF($B$2="Total Offences",VLOOKUP(B16,Table6[],9,FALSE),""))))))</f>
        <v>726</v>
      </c>
      <c r="K16" s="57">
        <f>IF($B$2="Race",VLOOKUP(B16,Table1[],10,FALSE),IF($B$2="Religion",VLOOKUP(B16,Table3[],10,FALSE),IF($B$2="Sexual Orientation",VLOOKUP(B16,Table2[],10,FALSE),IF($B$2="Disability",VLOOKUP(B16,Table4[],10,FALSE),IF($B$2="Transgender",VLOOKUP(B16,Table5[],10,FALSE),IF($B$2="Total Offences",VLOOKUP(B16,Table6[],10,FALSE),""))))))</f>
        <v>747</v>
      </c>
      <c r="L16" s="57">
        <f>IF($B$2="Race",VLOOKUP(B16,Table1[],11,FALSE),IF($B$2="Religion",VLOOKUP(B16,Table3[],11,FALSE),IF($B$2="Sexual Orientation",VLOOKUP(B16,Table2[],11,FALSE),IF($B$2="Disability",VLOOKUP(B16,Table4[],10,FALSE),IF($B$2="Transgender",VLOOKUP(B16,Table5[],11,FALSE),IF($B$2="Total Offences",VLOOKUP(B16,Table6[],11,FALSE),""))))))</f>
        <v>1023</v>
      </c>
      <c r="M16" s="58">
        <f t="shared" si="0"/>
        <v>0.36947791164658628</v>
      </c>
      <c r="N16" s="58">
        <f t="shared" si="1"/>
        <v>1.3571428571428572</v>
      </c>
      <c r="O16" s="50"/>
      <c r="P16" s="6"/>
    </row>
    <row r="17" spans="1:17" x14ac:dyDescent="0.35">
      <c r="A17" s="50"/>
      <c r="B17" s="56" t="s">
        <v>18</v>
      </c>
      <c r="C17" s="57" t="str">
        <f>IF($B$2="Race",VLOOKUP(B17,Table1[],2,FALSE),IF($B$2="Religion",VLOOKUP(B17,Table3[],2,FALSE),IF($B$2="Sexual Orientation",VLOOKUP(B17,Table2[],2,FALSE),IF($B$2="Disability",VLOOKUP(B17,Table4[],2,FALSE),IF($B$2="Transgender",VLOOKUP(B17,Table5[],2,FALSE),IF($B$2="Total Offences",VLOOKUP(B17,Table6[],2,FALSE),""))))))</f>
        <v>N/A</v>
      </c>
      <c r="D17" s="57">
        <f>IF($B$2="Race",VLOOKUP(B17,Table1[],3,FALSE),IF($B$2="Religion",VLOOKUP(B17,Table3[],3,FALSE),IF($B$2="Sexual Orientation",VLOOKUP(B17,Table2[],3,FALSE),IF($B$2="Disability",VLOOKUP(B17,Table4[],3,FALSE),IF($B$2="Transgender",VLOOKUP(B17,Table5[],3,FALSE),IF($B$2="Total Offences",VLOOKUP(B17,Table6[],3,FALSE),""))))))</f>
        <v>249</v>
      </c>
      <c r="E17" s="57">
        <f>IF($B$2="Race",VLOOKUP(B17,Table1[],4,FALSE),IF($B$2="Religion",VLOOKUP(B17,Table3[],4,FALSE),IF($B$2="Sexual Orientation",VLOOKUP(B17,Table2[],4,FALSE),IF($B$2="Disability",VLOOKUP(B17,Table4[],4,FALSE),IF($B$2="Transgender",VLOOKUP(B17,Table5[],4,FALSE),IF($B$2="Total Offences",VLOOKUP(B17,Table6[],4,FALSE),""))))))</f>
        <v>214</v>
      </c>
      <c r="F17" s="57">
        <f>IF($B$2="Race",VLOOKUP(B17,Table1[],5,FALSE),IF($B$2="Religion",VLOOKUP(B17,Table3[],5,FALSE),IF($B$2="Sexual Orientation",VLOOKUP(B17,Table2[],5,FALSE),IF($B$2="Disability",VLOOKUP(B17,Table4[],5,FALSE),IF($B$2="Transgender",VLOOKUP(B17,Table5[],5,FALSE),IF($B$2="Total Offences",VLOOKUP(B17,Table6[],5,FALSE),""))))))</f>
        <v>275</v>
      </c>
      <c r="G17" s="57">
        <f>IF($B$2="Race",VLOOKUP(B17,Table1[],6,FALSE),IF($B$2="Religion",VLOOKUP(B17,Table3[],6,FALSE),IF($B$2="Sexual Orientation",VLOOKUP(B17,Table2[],6,FALSE),IF($B$2="Disability",VLOOKUP(B17,Table4[],6,FALSE),IF($B$2="Transgender",VLOOKUP(B17,Table5[],6,FALSE),IF($B$2="Total Offences",VLOOKUP(B17,Table6[],6,FALSE),""))))))</f>
        <v>330</v>
      </c>
      <c r="H17" s="57">
        <f>IF($B$2="Race",VLOOKUP(B17,Table1[],7,FALSE),IF($B$2="Religion",VLOOKUP(B17,Table3[],7,FALSE),IF($B$2="Sexual Orientation",VLOOKUP(B17,Table2[],7,FALSE),IF($B$2="Disability",VLOOKUP(B17,Table4[],7,FALSE),IF($B$2="Transgender",VLOOKUP(B17,Table5[],7,FALSE),IF($B$2="Total Offences",VLOOKUP(B17,Table6[],7,FALSE),""))))))</f>
        <v>509</v>
      </c>
      <c r="I17" s="57">
        <f>IF($B$2="Race",VLOOKUP(B17,Table1[],8,FALSE),IF($B$2="Religion",VLOOKUP(B17,Table3[],8,FALSE),IF($B$2="Sexual Orientation",VLOOKUP(B17,Table2[],8,FALSE),IF($B$2="Disability",VLOOKUP(B17,Table4[],8,FALSE),IF($B$2="Transgender",VLOOKUP(B17,Table5[],8,FALSE),IF($B$2="Total Offences",VLOOKUP(B17,Table6[],8,FALSE),""))))))</f>
        <v>711</v>
      </c>
      <c r="J17" s="57">
        <f>IF($B$2="Race",VLOOKUP(B17,Table1[],9,FALSE),IF($B$2="Religion",VLOOKUP(B17,Table3[],9,FALSE),IF($B$2="Sexual Orientation",VLOOKUP(B17,Table2[],9,FALSE),IF($B$2="Disability",VLOOKUP(B17,Table4[],9,FALSE),IF($B$2="Transgender",VLOOKUP(B17,Table5[],9,FALSE),IF($B$2="Total Offences",VLOOKUP(B17,Table6[],9,FALSE),""))))))</f>
        <v>793</v>
      </c>
      <c r="K17" s="57">
        <f>IF($B$2="Race",VLOOKUP(B17,Table1[],10,FALSE),IF($B$2="Religion",VLOOKUP(B17,Table3[],10,FALSE),IF($B$2="Sexual Orientation",VLOOKUP(B17,Table2[],10,FALSE),IF($B$2="Disability",VLOOKUP(B17,Table4[],10,FALSE),IF($B$2="Transgender",VLOOKUP(B17,Table5[],10,FALSE),IF($B$2="Total Offences",VLOOKUP(B17,Table6[],10,FALSE),""))))))</f>
        <v>746</v>
      </c>
      <c r="L17" s="57">
        <f>IF($B$2="Race",VLOOKUP(B17,Table1[],11,FALSE),IF($B$2="Religion",VLOOKUP(B17,Table3[],11,FALSE),IF($B$2="Sexual Orientation",VLOOKUP(B17,Table2[],11,FALSE),IF($B$2="Disability",VLOOKUP(B17,Table4[],10,FALSE),IF($B$2="Transgender",VLOOKUP(B17,Table5[],11,FALSE),IF($B$2="Total Offences",VLOOKUP(B17,Table6[],11,FALSE),""))))))</f>
        <v>729</v>
      </c>
      <c r="M17" s="58">
        <f t="shared" si="0"/>
        <v>-2.2788203753351222E-2</v>
      </c>
      <c r="N17" s="58">
        <f t="shared" si="1"/>
        <v>1.209090909090909</v>
      </c>
      <c r="O17" s="50"/>
      <c r="P17" s="6"/>
    </row>
    <row r="18" spans="1:17" x14ac:dyDescent="0.35">
      <c r="A18" s="50"/>
      <c r="B18" s="56" t="s">
        <v>20</v>
      </c>
      <c r="C18" s="57" t="str">
        <f>IF($B$2="Race",VLOOKUP(B18,Table1[],2,FALSE),IF($B$2="Religion",VLOOKUP(B18,Table3[],2,FALSE),IF($B$2="Sexual Orientation",VLOOKUP(B18,Table2[],2,FALSE),IF($B$2="Disability",VLOOKUP(B18,Table4[],2,FALSE),IF($B$2="Transgender",VLOOKUP(B18,Table5[],2,FALSE),IF($B$2="Total Offences",VLOOKUP(B18,Table6[],2,FALSE),""))))))</f>
        <v>N/A</v>
      </c>
      <c r="D18" s="57">
        <f>IF($B$2="Race",VLOOKUP(B18,Table1[],3,FALSE),IF($B$2="Religion",VLOOKUP(B18,Table3[],3,FALSE),IF($B$2="Sexual Orientation",VLOOKUP(B18,Table2[],3,FALSE),IF($B$2="Disability",VLOOKUP(B18,Table4[],3,FALSE),IF($B$2="Transgender",VLOOKUP(B18,Table5[],3,FALSE),IF($B$2="Total Offences",VLOOKUP(B18,Table6[],3,FALSE),""))))))</f>
        <v>1068</v>
      </c>
      <c r="E18" s="57">
        <f>IF($B$2="Race",VLOOKUP(B18,Table1[],4,FALSE),IF($B$2="Religion",VLOOKUP(B18,Table3[],4,FALSE),IF($B$2="Sexual Orientation",VLOOKUP(B18,Table2[],4,FALSE),IF($B$2="Disability",VLOOKUP(B18,Table4[],4,FALSE),IF($B$2="Transgender",VLOOKUP(B18,Table5[],4,FALSE),IF($B$2="Total Offences",VLOOKUP(B18,Table6[],4,FALSE),""))))))</f>
        <v>1052</v>
      </c>
      <c r="F18" s="57">
        <f>IF($B$2="Race",VLOOKUP(B18,Table1[],5,FALSE),IF($B$2="Religion",VLOOKUP(B18,Table3[],5,FALSE),IF($B$2="Sexual Orientation",VLOOKUP(B18,Table2[],5,FALSE),IF($B$2="Disability",VLOOKUP(B18,Table4[],5,FALSE),IF($B$2="Transgender",VLOOKUP(B18,Table5[],5,FALSE),IF($B$2="Total Offences",VLOOKUP(B18,Table6[],5,FALSE),""))))))</f>
        <v>1173</v>
      </c>
      <c r="G18" s="57">
        <f>IF($B$2="Race",VLOOKUP(B18,Table1[],6,FALSE),IF($B$2="Religion",VLOOKUP(B18,Table3[],6,FALSE),IF($B$2="Sexual Orientation",VLOOKUP(B18,Table2[],6,FALSE),IF($B$2="Disability",VLOOKUP(B18,Table4[],6,FALSE),IF($B$2="Transgender",VLOOKUP(B18,Table5[],6,FALSE),IF($B$2="Total Offences",VLOOKUP(B18,Table6[],6,FALSE),""))))))</f>
        <v>1163</v>
      </c>
      <c r="H18" s="57">
        <f>IF($B$2="Race",VLOOKUP(B18,Table1[],7,FALSE),IF($B$2="Religion",VLOOKUP(B18,Table3[],7,FALSE),IF($B$2="Sexual Orientation",VLOOKUP(B18,Table2[],7,FALSE),IF($B$2="Disability",VLOOKUP(B18,Table4[],7,FALSE),IF($B$2="Transgender",VLOOKUP(B18,Table5[],7,FALSE),IF($B$2="Total Offences",VLOOKUP(B18,Table6[],7,FALSE),""))))))</f>
        <v>1928</v>
      </c>
      <c r="I18" s="57">
        <f>IF($B$2="Race",VLOOKUP(B18,Table1[],8,FALSE),IF($B$2="Religion",VLOOKUP(B18,Table3[],8,FALSE),IF($B$2="Sexual Orientation",VLOOKUP(B18,Table2[],8,FALSE),IF($B$2="Disability",VLOOKUP(B18,Table4[],8,FALSE),IF($B$2="Transgender",VLOOKUP(B18,Table5[],8,FALSE),IF($B$2="Total Offences",VLOOKUP(B18,Table6[],8,FALSE),""))))))</f>
        <v>2197</v>
      </c>
      <c r="J18" s="57">
        <f>IF($B$2="Race",VLOOKUP(B18,Table1[],9,FALSE),IF($B$2="Religion",VLOOKUP(B18,Table3[],9,FALSE),IF($B$2="Sexual Orientation",VLOOKUP(B18,Table2[],9,FALSE),IF($B$2="Disability",VLOOKUP(B18,Table4[],9,FALSE),IF($B$2="Transgender",VLOOKUP(B18,Table5[],9,FALSE),IF($B$2="Total Offences",VLOOKUP(B18,Table6[],9,FALSE),""))))))</f>
        <v>3055</v>
      </c>
      <c r="K18" s="57">
        <f>IF($B$2="Race",VLOOKUP(B18,Table1[],10,FALSE),IF($B$2="Religion",VLOOKUP(B18,Table3[],10,FALSE),IF($B$2="Sexual Orientation",VLOOKUP(B18,Table2[],10,FALSE),IF($B$2="Disability",VLOOKUP(B18,Table4[],10,FALSE),IF($B$2="Transgender",VLOOKUP(B18,Table5[],10,FALSE),IF($B$2="Total Offences",VLOOKUP(B18,Table6[],10,FALSE),""))))))</f>
        <v>3413</v>
      </c>
      <c r="L18" s="57">
        <f>IF($B$2="Race",VLOOKUP(B18,Table1[],11,FALSE),IF($B$2="Religion",VLOOKUP(B18,Table3[],11,FALSE),IF($B$2="Sexual Orientation",VLOOKUP(B18,Table2[],11,FALSE),IF($B$2="Disability",VLOOKUP(B18,Table4[],10,FALSE),IF($B$2="Transgender",VLOOKUP(B18,Table5[],11,FALSE),IF($B$2="Total Offences",VLOOKUP(B18,Table6[],11,FALSE),""))))))</f>
        <v>3845</v>
      </c>
      <c r="M18" s="58">
        <f t="shared" si="0"/>
        <v>0.12657486082625247</v>
      </c>
      <c r="N18" s="58">
        <f t="shared" si="1"/>
        <v>2.306104901117799</v>
      </c>
      <c r="O18" s="50"/>
      <c r="P18" s="6"/>
    </row>
    <row r="19" spans="1:17" x14ac:dyDescent="0.35">
      <c r="A19" s="50"/>
      <c r="B19" s="56" t="s">
        <v>21</v>
      </c>
      <c r="C19" s="57" t="str">
        <f>IF($B$2="Race",VLOOKUP(B19,Table1[],2,FALSE),IF($B$2="Religion",VLOOKUP(B19,Table3[],2,FALSE),IF($B$2="Sexual Orientation",VLOOKUP(B19,Table2[],2,FALSE),IF($B$2="Disability",VLOOKUP(B19,Table4[],2,FALSE),IF($B$2="Transgender",VLOOKUP(B19,Table5[],2,FALSE),IF($B$2="Total Offences",VLOOKUP(B19,Table6[],2,FALSE),""))))))</f>
        <v>N/A</v>
      </c>
      <c r="D19" s="57">
        <f>IF($B$2="Race",VLOOKUP(B19,Table1[],3,FALSE),IF($B$2="Religion",VLOOKUP(B19,Table3[],3,FALSE),IF($B$2="Sexual Orientation",VLOOKUP(B19,Table2[],3,FALSE),IF($B$2="Disability",VLOOKUP(B19,Table4[],3,FALSE),IF($B$2="Transgender",VLOOKUP(B19,Table5[],3,FALSE),IF($B$2="Total Offences",VLOOKUP(B19,Table6[],3,FALSE),""))))))</f>
        <v>201</v>
      </c>
      <c r="E19" s="57">
        <f>IF($B$2="Race",VLOOKUP(B19,Table1[],4,FALSE),IF($B$2="Religion",VLOOKUP(B19,Table3[],4,FALSE),IF($B$2="Sexual Orientation",VLOOKUP(B19,Table2[],4,FALSE),IF($B$2="Disability",VLOOKUP(B19,Table4[],4,FALSE),IF($B$2="Transgender",VLOOKUP(B19,Table5[],4,FALSE),IF($B$2="Total Offences",VLOOKUP(B19,Table6[],4,FALSE),""))))))</f>
        <v>180</v>
      </c>
      <c r="F19" s="57">
        <f>IF($B$2="Race",VLOOKUP(B19,Table1[],5,FALSE),IF($B$2="Religion",VLOOKUP(B19,Table3[],5,FALSE),IF($B$2="Sexual Orientation",VLOOKUP(B19,Table2[],5,FALSE),IF($B$2="Disability",VLOOKUP(B19,Table4[],5,FALSE),IF($B$2="Transgender",VLOOKUP(B19,Table5[],5,FALSE),IF($B$2="Total Offences",VLOOKUP(B19,Table6[],5,FALSE),""))))))</f>
        <v>217</v>
      </c>
      <c r="G19" s="57">
        <f>IF($B$2="Race",VLOOKUP(B19,Table1[],6,FALSE),IF($B$2="Religion",VLOOKUP(B19,Table3[],6,FALSE),IF($B$2="Sexual Orientation",VLOOKUP(B19,Table2[],6,FALSE),IF($B$2="Disability",VLOOKUP(B19,Table4[],6,FALSE),IF($B$2="Transgender",VLOOKUP(B19,Table5[],6,FALSE),IF($B$2="Total Offences",VLOOKUP(B19,Table6[],6,FALSE),""))))))</f>
        <v>281</v>
      </c>
      <c r="H19" s="57">
        <f>IF($B$2="Race",VLOOKUP(B19,Table1[],7,FALSE),IF($B$2="Religion",VLOOKUP(B19,Table3[],7,FALSE),IF($B$2="Sexual Orientation",VLOOKUP(B19,Table2[],7,FALSE),IF($B$2="Disability",VLOOKUP(B19,Table4[],7,FALSE),IF($B$2="Transgender",VLOOKUP(B19,Table5[],7,FALSE),IF($B$2="Total Offences",VLOOKUP(B19,Table6[],7,FALSE),""))))))</f>
        <v>343</v>
      </c>
      <c r="I19" s="57">
        <f>IF($B$2="Race",VLOOKUP(B19,Table1[],8,FALSE),IF($B$2="Religion",VLOOKUP(B19,Table3[],8,FALSE),IF($B$2="Sexual Orientation",VLOOKUP(B19,Table2[],8,FALSE),IF($B$2="Disability",VLOOKUP(B19,Table4[],8,FALSE),IF($B$2="Transgender",VLOOKUP(B19,Table5[],8,FALSE),IF($B$2="Total Offences",VLOOKUP(B19,Table6[],8,FALSE),""))))))</f>
        <v>498</v>
      </c>
      <c r="J19" s="57">
        <f>IF($B$2="Race",VLOOKUP(B19,Table1[],9,FALSE),IF($B$2="Religion",VLOOKUP(B19,Table3[],9,FALSE),IF($B$2="Sexual Orientation",VLOOKUP(B19,Table2[],9,FALSE),IF($B$2="Disability",VLOOKUP(B19,Table4[],9,FALSE),IF($B$2="Transgender",VLOOKUP(B19,Table5[],9,FALSE),IF($B$2="Total Offences",VLOOKUP(B19,Table6[],9,FALSE),""))))))</f>
        <v>519</v>
      </c>
      <c r="K19" s="57">
        <f>IF($B$2="Race",VLOOKUP(B19,Table1[],10,FALSE),IF($B$2="Religion",VLOOKUP(B19,Table3[],10,FALSE),IF($B$2="Sexual Orientation",VLOOKUP(B19,Table2[],10,FALSE),IF($B$2="Disability",VLOOKUP(B19,Table4[],10,FALSE),IF($B$2="Transgender",VLOOKUP(B19,Table5[],10,FALSE),IF($B$2="Total Offences",VLOOKUP(B19,Table6[],10,FALSE),""))))))</f>
        <v>795</v>
      </c>
      <c r="L19" s="57">
        <f>IF($B$2="Race",VLOOKUP(B19,Table1[],11,FALSE),IF($B$2="Religion",VLOOKUP(B19,Table3[],11,FALSE),IF($B$2="Sexual Orientation",VLOOKUP(B19,Table2[],11,FALSE),IF($B$2="Disability",VLOOKUP(B19,Table4[],10,FALSE),IF($B$2="Transgender",VLOOKUP(B19,Table5[],11,FALSE),IF($B$2="Total Offences",VLOOKUP(B19,Table6[],11,FALSE),""))))))</f>
        <v>777</v>
      </c>
      <c r="M19" s="58">
        <f t="shared" si="0"/>
        <v>-2.2641509433962259E-2</v>
      </c>
      <c r="N19" s="58">
        <f t="shared" si="1"/>
        <v>1.7651245551601424</v>
      </c>
      <c r="O19" s="50"/>
      <c r="P19" s="6"/>
    </row>
    <row r="20" spans="1:17" x14ac:dyDescent="0.35">
      <c r="A20" s="50"/>
      <c r="B20" s="56" t="s">
        <v>22</v>
      </c>
      <c r="C20" s="57" t="str">
        <f>IF($B$2="Race",VLOOKUP(B20,Table1[],2,FALSE),IF($B$2="Religion",VLOOKUP(B20,Table3[],2,FALSE),IF($B$2="Sexual Orientation",VLOOKUP(B20,Table2[],2,FALSE),IF($B$2="Disability",VLOOKUP(B20,Table4[],2,FALSE),IF($B$2="Transgender",VLOOKUP(B20,Table5[],2,FALSE),IF($B$2="Total Offences",VLOOKUP(B20,Table6[],2,FALSE),""))))))</f>
        <v>N/A</v>
      </c>
      <c r="D20" s="57">
        <f>IF($B$2="Race",VLOOKUP(B20,Table1[],3,FALSE),IF($B$2="Religion",VLOOKUP(B20,Table3[],3,FALSE),IF($B$2="Sexual Orientation",VLOOKUP(B20,Table2[],3,FALSE),IF($B$2="Disability",VLOOKUP(B20,Table4[],3,FALSE),IF($B$2="Transgender",VLOOKUP(B20,Table5[],3,FALSE),IF($B$2="Total Offences",VLOOKUP(B20,Table6[],3,FALSE),""))))))</f>
        <v>3125</v>
      </c>
      <c r="E20" s="57">
        <f>IF($B$2="Race",VLOOKUP(B20,Table1[],4,FALSE),IF($B$2="Religion",VLOOKUP(B20,Table3[],4,FALSE),IF($B$2="Sexual Orientation",VLOOKUP(B20,Table2[],4,FALSE),IF($B$2="Disability",VLOOKUP(B20,Table4[],4,FALSE),IF($B$2="Transgender",VLOOKUP(B20,Table5[],4,FALSE),IF($B$2="Total Offences",VLOOKUP(B20,Table6[],4,FALSE),""))))))</f>
        <v>3171</v>
      </c>
      <c r="F20" s="57">
        <f>IF($B$2="Race",VLOOKUP(B20,Table1[],5,FALSE),IF($B$2="Religion",VLOOKUP(B20,Table3[],5,FALSE),IF($B$2="Sexual Orientation",VLOOKUP(B20,Table2[],5,FALSE),IF($B$2="Disability",VLOOKUP(B20,Table4[],5,FALSE),IF($B$2="Transgender",VLOOKUP(B20,Table5[],5,FALSE),IF($B$2="Total Offences",VLOOKUP(B20,Table6[],5,FALSE),""))))))</f>
        <v>3898</v>
      </c>
      <c r="G20" s="57">
        <f>IF($B$2="Race",VLOOKUP(B20,Table1[],6,FALSE),IF($B$2="Religion",VLOOKUP(B20,Table3[],6,FALSE),IF($B$2="Sexual Orientation",VLOOKUP(B20,Table2[],6,FALSE),IF($B$2="Disability",VLOOKUP(B20,Table4[],6,FALSE),IF($B$2="Transgender",VLOOKUP(B20,Table5[],6,FALSE),IF($B$2="Total Offences",VLOOKUP(B20,Table6[],6,FALSE),""))))))</f>
        <v>4842</v>
      </c>
      <c r="H20" s="57">
        <f>IF($B$2="Race",VLOOKUP(B20,Table1[],7,FALSE),IF($B$2="Religion",VLOOKUP(B20,Table3[],7,FALSE),IF($B$2="Sexual Orientation",VLOOKUP(B20,Table2[],7,FALSE),IF($B$2="Disability",VLOOKUP(B20,Table4[],7,FALSE),IF($B$2="Transgender",VLOOKUP(B20,Table5[],7,FALSE),IF($B$2="Total Offences",VLOOKUP(B20,Table6[],7,FALSE),""))))))</f>
        <v>5496</v>
      </c>
      <c r="I20" s="57">
        <f>IF($B$2="Race",VLOOKUP(B20,Table1[],8,FALSE),IF($B$2="Religion",VLOOKUP(B20,Table3[],8,FALSE),IF($B$2="Sexual Orientation",VLOOKUP(B20,Table2[],8,FALSE),IF($B$2="Disability",VLOOKUP(B20,Table4[],8,FALSE),IF($B$2="Transgender",VLOOKUP(B20,Table5[],8,FALSE),IF($B$2="Total Offences",VLOOKUP(B20,Table6[],8,FALSE),""))))))</f>
        <v>7861</v>
      </c>
      <c r="J20" s="57">
        <f>IF($B$2="Race",VLOOKUP(B20,Table1[],9,FALSE),IF($B$2="Religion",VLOOKUP(B20,Table3[],9,FALSE),IF($B$2="Sexual Orientation",VLOOKUP(B20,Table2[],9,FALSE),IF($B$2="Disability",VLOOKUP(B20,Table4[],9,FALSE),IF($B$2="Transgender",VLOOKUP(B20,Table5[],9,FALSE),IF($B$2="Total Offences",VLOOKUP(B20,Table6[],9,FALSE),""))))))</f>
        <v>8984</v>
      </c>
      <c r="K20" s="57" t="str">
        <f>IF($B$2="Race",VLOOKUP(B20,Table1[],10,FALSE),IF($B$2="Religion",VLOOKUP(B20,Table3[],10,FALSE),IF($B$2="Sexual Orientation",VLOOKUP(B20,Table2[],10,FALSE),IF($B$2="Disability",VLOOKUP(B20,Table4[],10,FALSE),IF($B$2="Transgender",VLOOKUP(B20,Table5[],10,FALSE),IF($B$2="Total Offences",VLOOKUP(B20,Table6[],10,FALSE),""))))))</f>
        <v>N/A</v>
      </c>
      <c r="L20" s="57">
        <f>IF($B$2="Race",VLOOKUP(B20,Table1[],11,FALSE),IF($B$2="Religion",VLOOKUP(B20,Table3[],11,FALSE),IF($B$2="Sexual Orientation",VLOOKUP(B20,Table2[],11,FALSE),IF($B$2="Disability",VLOOKUP(B20,Table4[],10,FALSE),IF($B$2="Transgender",VLOOKUP(B20,Table5[],11,FALSE),IF($B$2="Total Offences",VLOOKUP(B20,Table6[],11,FALSE),""))))))</f>
        <v>9133</v>
      </c>
      <c r="M20" s="59" t="s">
        <v>198</v>
      </c>
      <c r="N20" s="58">
        <f t="shared" si="1"/>
        <v>0.88620404791408514</v>
      </c>
      <c r="O20" s="50"/>
      <c r="P20" s="6"/>
    </row>
    <row r="21" spans="1:17" x14ac:dyDescent="0.35">
      <c r="A21" s="50"/>
      <c r="B21" s="56" t="s">
        <v>24</v>
      </c>
      <c r="C21" s="57" t="str">
        <f>IF($B$2="Race",VLOOKUP(B21,Table1[],2,FALSE),IF($B$2="Religion",VLOOKUP(B21,Table3[],2,FALSE),IF($B$2="Sexual Orientation",VLOOKUP(B21,Table2[],2,FALSE),IF($B$2="Disability",VLOOKUP(B21,Table4[],2,FALSE),IF($B$2="Transgender",VLOOKUP(B21,Table5[],2,FALSE),IF($B$2="Total Offences",VLOOKUP(B21,Table6[],2,FALSE),""))))))</f>
        <v>N/A</v>
      </c>
      <c r="D21" s="57">
        <f>IF($B$2="Race",VLOOKUP(B21,Table1[],3,FALSE),IF($B$2="Religion",VLOOKUP(B21,Table3[],3,FALSE),IF($B$2="Sexual Orientation",VLOOKUP(B21,Table2[],3,FALSE),IF($B$2="Disability",VLOOKUP(B21,Table4[],3,FALSE),IF($B$2="Transgender",VLOOKUP(B21,Table5[],3,FALSE),IF($B$2="Total Offences",VLOOKUP(B21,Table6[],3,FALSE),""))))))</f>
        <v>1121</v>
      </c>
      <c r="E21" s="57">
        <f>IF($B$2="Race",VLOOKUP(B21,Table1[],4,FALSE),IF($B$2="Religion",VLOOKUP(B21,Table3[],4,FALSE),IF($B$2="Sexual Orientation",VLOOKUP(B21,Table2[],4,FALSE),IF($B$2="Disability",VLOOKUP(B21,Table4[],4,FALSE),IF($B$2="Transgender",VLOOKUP(B21,Table5[],4,FALSE),IF($B$2="Total Offences",VLOOKUP(B21,Table6[],4,FALSE),""))))))</f>
        <v>1064</v>
      </c>
      <c r="F21" s="57">
        <f>IF($B$2="Race",VLOOKUP(B21,Table1[],5,FALSE),IF($B$2="Religion",VLOOKUP(B21,Table3[],5,FALSE),IF($B$2="Sexual Orientation",VLOOKUP(B21,Table2[],5,FALSE),IF($B$2="Disability",VLOOKUP(B21,Table4[],5,FALSE),IF($B$2="Transgender",VLOOKUP(B21,Table5[],5,FALSE),IF($B$2="Total Offences",VLOOKUP(B21,Table6[],5,FALSE),""))))))</f>
        <v>1547</v>
      </c>
      <c r="G21" s="57">
        <f>IF($B$2="Race",VLOOKUP(B21,Table1[],6,FALSE),IF($B$2="Religion",VLOOKUP(B21,Table3[],6,FALSE),IF($B$2="Sexual Orientation",VLOOKUP(B21,Table2[],6,FALSE),IF($B$2="Disability",VLOOKUP(B21,Table4[],6,FALSE),IF($B$2="Transgender",VLOOKUP(B21,Table5[],6,FALSE),IF($B$2="Total Offences",VLOOKUP(B21,Table6[],6,FALSE),""))))))</f>
        <v>1814</v>
      </c>
      <c r="H21" s="57">
        <f>IF($B$2="Race",VLOOKUP(B21,Table1[],7,FALSE),IF($B$2="Religion",VLOOKUP(B21,Table3[],7,FALSE),IF($B$2="Sexual Orientation",VLOOKUP(B21,Table2[],7,FALSE),IF($B$2="Disability",VLOOKUP(B21,Table4[],7,FALSE),IF($B$2="Transgender",VLOOKUP(B21,Table5[],7,FALSE),IF($B$2="Total Offences",VLOOKUP(B21,Table6[],7,FALSE),""))))))</f>
        <v>2231</v>
      </c>
      <c r="I21" s="57">
        <f>IF($B$2="Race",VLOOKUP(B21,Table1[],8,FALSE),IF($B$2="Religion",VLOOKUP(B21,Table3[],8,FALSE),IF($B$2="Sexual Orientation",VLOOKUP(B21,Table2[],8,FALSE),IF($B$2="Disability",VLOOKUP(B21,Table4[],8,FALSE),IF($B$2="Transgender",VLOOKUP(B21,Table5[],8,FALSE),IF($B$2="Total Offences",VLOOKUP(B21,Table6[],8,FALSE),""))))))</f>
        <v>2701</v>
      </c>
      <c r="J21" s="57">
        <f>IF($B$2="Race",VLOOKUP(B21,Table1[],9,FALSE),IF($B$2="Religion",VLOOKUP(B21,Table3[],9,FALSE),IF($B$2="Sexual Orientation",VLOOKUP(B21,Table2[],9,FALSE),IF($B$2="Disability",VLOOKUP(B21,Table4[],9,FALSE),IF($B$2="Transgender",VLOOKUP(B21,Table5[],9,FALSE),IF($B$2="Total Offences",VLOOKUP(B21,Table6[],9,FALSE),""))))))</f>
        <v>2726</v>
      </c>
      <c r="K21" s="57">
        <f>IF($B$2="Race",VLOOKUP(B21,Table1[],10,FALSE),IF($B$2="Religion",VLOOKUP(B21,Table3[],10,FALSE),IF($B$2="Sexual Orientation",VLOOKUP(B21,Table2[],10,FALSE),IF($B$2="Disability",VLOOKUP(B21,Table4[],10,FALSE),IF($B$2="Transgender",VLOOKUP(B21,Table5[],10,FALSE),IF($B$2="Total Offences",VLOOKUP(B21,Table6[],10,FALSE),""))))))</f>
        <v>2969</v>
      </c>
      <c r="L21" s="57">
        <f>IF($B$2="Race",VLOOKUP(B21,Table1[],11,FALSE),IF($B$2="Religion",VLOOKUP(B21,Table3[],11,FALSE),IF($B$2="Sexual Orientation",VLOOKUP(B21,Table2[],11,FALSE),IF($B$2="Disability",VLOOKUP(B21,Table4[],10,FALSE),IF($B$2="Transgender",VLOOKUP(B21,Table5[],11,FALSE),IF($B$2="Total Offences",VLOOKUP(B21,Table6[],11,FALSE),""))))))</f>
        <v>3528</v>
      </c>
      <c r="M21" s="58">
        <f t="shared" si="0"/>
        <v>0.18827888177837648</v>
      </c>
      <c r="N21" s="58">
        <f t="shared" si="1"/>
        <v>0.94487320837927236</v>
      </c>
      <c r="O21" s="50"/>
      <c r="P21" s="6"/>
    </row>
    <row r="22" spans="1:17" x14ac:dyDescent="0.35">
      <c r="A22" s="50"/>
      <c r="B22" s="56" t="s">
        <v>25</v>
      </c>
      <c r="C22" s="57" t="str">
        <f>IF($B$2="Race",VLOOKUP(B22,Table1[],2,FALSE),IF($B$2="Religion",VLOOKUP(B22,Table3[],2,FALSE),IF($B$2="Sexual Orientation",VLOOKUP(B22,Table2[],2,FALSE),IF($B$2="Disability",VLOOKUP(B22,Table4[],2,FALSE),IF($B$2="Transgender",VLOOKUP(B22,Table5[],2,FALSE),IF($B$2="Total Offences",VLOOKUP(B22,Table6[],2,FALSE),""))))))</f>
        <v>N/A</v>
      </c>
      <c r="D22" s="57">
        <f>IF($B$2="Race",VLOOKUP(B22,Table1[],3,FALSE),IF($B$2="Religion",VLOOKUP(B22,Table3[],3,FALSE),IF($B$2="Sexual Orientation",VLOOKUP(B22,Table2[],3,FALSE),IF($B$2="Disability",VLOOKUP(B22,Table4[],3,FALSE),IF($B$2="Transgender",VLOOKUP(B22,Table5[],3,FALSE),IF($B$2="Total Offences",VLOOKUP(B22,Table6[],3,FALSE),""))))))</f>
        <v>796</v>
      </c>
      <c r="E22" s="57">
        <f>IF($B$2="Race",VLOOKUP(B22,Table1[],4,FALSE),IF($B$2="Religion",VLOOKUP(B22,Table3[],4,FALSE),IF($B$2="Sexual Orientation",VLOOKUP(B22,Table2[],4,FALSE),IF($B$2="Disability",VLOOKUP(B22,Table4[],4,FALSE),IF($B$2="Transgender",VLOOKUP(B22,Table5[],4,FALSE),IF($B$2="Total Offences",VLOOKUP(B22,Table6[],4,FALSE),""))))))</f>
        <v>626</v>
      </c>
      <c r="F22" s="57">
        <f>IF($B$2="Race",VLOOKUP(B22,Table1[],5,FALSE),IF($B$2="Religion",VLOOKUP(B22,Table3[],5,FALSE),IF($B$2="Sexual Orientation",VLOOKUP(B22,Table2[],5,FALSE),IF($B$2="Disability",VLOOKUP(B22,Table4[],5,FALSE),IF($B$2="Transgender",VLOOKUP(B22,Table5[],5,FALSE),IF($B$2="Total Offences",VLOOKUP(B22,Table6[],5,FALSE),""))))))</f>
        <v>838</v>
      </c>
      <c r="G22" s="57">
        <f>IF($B$2="Race",VLOOKUP(B22,Table1[],6,FALSE),IF($B$2="Religion",VLOOKUP(B22,Table3[],6,FALSE),IF($B$2="Sexual Orientation",VLOOKUP(B22,Table2[],6,FALSE),IF($B$2="Disability",VLOOKUP(B22,Table4[],6,FALSE),IF($B$2="Transgender",VLOOKUP(B22,Table5[],6,FALSE),IF($B$2="Total Offences",VLOOKUP(B22,Table6[],6,FALSE),""))))))</f>
        <v>948</v>
      </c>
      <c r="H22" s="57">
        <f>IF($B$2="Race",VLOOKUP(B22,Table1[],7,FALSE),IF($B$2="Religion",VLOOKUP(B22,Table3[],7,FALSE),IF($B$2="Sexual Orientation",VLOOKUP(B22,Table2[],7,FALSE),IF($B$2="Disability",VLOOKUP(B22,Table4[],7,FALSE),IF($B$2="Transgender",VLOOKUP(B22,Table5[],7,FALSE),IF($B$2="Total Offences",VLOOKUP(B22,Table6[],7,FALSE),""))))))</f>
        <v>1376</v>
      </c>
      <c r="I22" s="57">
        <f>IF($B$2="Race",VLOOKUP(B22,Table1[],8,FALSE),IF($B$2="Religion",VLOOKUP(B22,Table3[],8,FALSE),IF($B$2="Sexual Orientation",VLOOKUP(B22,Table2[],8,FALSE),IF($B$2="Disability",VLOOKUP(B22,Table4[],8,FALSE),IF($B$2="Transgender",VLOOKUP(B22,Table5[],8,FALSE),IF($B$2="Total Offences",VLOOKUP(B22,Table6[],8,FALSE),""))))))</f>
        <v>1468</v>
      </c>
      <c r="J22" s="57">
        <f>IF($B$2="Race",VLOOKUP(B22,Table1[],9,FALSE),IF($B$2="Religion",VLOOKUP(B22,Table3[],9,FALSE),IF($B$2="Sexual Orientation",VLOOKUP(B22,Table2[],9,FALSE),IF($B$2="Disability",VLOOKUP(B22,Table4[],9,FALSE),IF($B$2="Transgender",VLOOKUP(B22,Table5[],9,FALSE),IF($B$2="Total Offences",VLOOKUP(B22,Table6[],9,FALSE),""))))))</f>
        <v>1600</v>
      </c>
      <c r="K22" s="57">
        <f>IF($B$2="Race",VLOOKUP(B22,Table1[],10,FALSE),IF($B$2="Religion",VLOOKUP(B22,Table3[],10,FALSE),IF($B$2="Sexual Orientation",VLOOKUP(B22,Table2[],10,FALSE),IF($B$2="Disability",VLOOKUP(B22,Table4[],10,FALSE),IF($B$2="Transgender",VLOOKUP(B22,Table5[],10,FALSE),IF($B$2="Total Offences",VLOOKUP(B22,Table6[],10,FALSE),""))))))</f>
        <v>1587</v>
      </c>
      <c r="L22" s="57">
        <f>IF($B$2="Race",VLOOKUP(B22,Table1[],11,FALSE),IF($B$2="Religion",VLOOKUP(B22,Table3[],11,FALSE),IF($B$2="Sexual Orientation",VLOOKUP(B22,Table2[],11,FALSE),IF($B$2="Disability",VLOOKUP(B22,Table4[],10,FALSE),IF($B$2="Transgender",VLOOKUP(B22,Table5[],11,FALSE),IF($B$2="Total Offences",VLOOKUP(B22,Table6[],11,FALSE),""))))))</f>
        <v>1627</v>
      </c>
      <c r="M22" s="58">
        <f t="shared" si="0"/>
        <v>2.5204788909892972E-2</v>
      </c>
      <c r="N22" s="58">
        <f t="shared" si="1"/>
        <v>0.71624472573839659</v>
      </c>
      <c r="O22" s="50"/>
      <c r="P22" s="6"/>
    </row>
    <row r="23" spans="1:17" x14ac:dyDescent="0.35">
      <c r="A23" s="50"/>
      <c r="B23" s="56" t="s">
        <v>26</v>
      </c>
      <c r="C23" s="57" t="str">
        <f>IF($B$2="Race",VLOOKUP(B23,Table1[],2,FALSE),IF($B$2="Religion",VLOOKUP(B23,Table3[],2,FALSE),IF($B$2="Sexual Orientation",VLOOKUP(B23,Table2[],2,FALSE),IF($B$2="Disability",VLOOKUP(B23,Table4[],2,FALSE),IF($B$2="Transgender",VLOOKUP(B23,Table5[],2,FALSE),IF($B$2="Total Offences",VLOOKUP(B23,Table6[],2,FALSE),""))))))</f>
        <v>N/A</v>
      </c>
      <c r="D23" s="57">
        <f>IF($B$2="Race",VLOOKUP(B23,Table1[],3,FALSE),IF($B$2="Religion",VLOOKUP(B23,Table3[],3,FALSE),IF($B$2="Sexual Orientation",VLOOKUP(B23,Table2[],3,FALSE),IF($B$2="Disability",VLOOKUP(B23,Table4[],3,FALSE),IF($B$2="Transgender",VLOOKUP(B23,Table5[],3,FALSE),IF($B$2="Total Offences",VLOOKUP(B23,Table6[],3,FALSE),""))))))</f>
        <v>523</v>
      </c>
      <c r="E23" s="57">
        <f>IF($B$2="Race",VLOOKUP(B23,Table1[],4,FALSE),IF($B$2="Religion",VLOOKUP(B23,Table3[],4,FALSE),IF($B$2="Sexual Orientation",VLOOKUP(B23,Table2[],4,FALSE),IF($B$2="Disability",VLOOKUP(B23,Table4[],4,FALSE),IF($B$2="Transgender",VLOOKUP(B23,Table5[],4,FALSE),IF($B$2="Total Offences",VLOOKUP(B23,Table6[],4,FALSE),""))))))</f>
        <v>548</v>
      </c>
      <c r="F23" s="57">
        <f>IF($B$2="Race",VLOOKUP(B23,Table1[],5,FALSE),IF($B$2="Religion",VLOOKUP(B23,Table3[],5,FALSE),IF($B$2="Sexual Orientation",VLOOKUP(B23,Table2[],5,FALSE),IF($B$2="Disability",VLOOKUP(B23,Table4[],5,FALSE),IF($B$2="Transgender",VLOOKUP(B23,Table5[],5,FALSE),IF($B$2="Total Offences",VLOOKUP(B23,Table6[],5,FALSE),""))))))</f>
        <v>521</v>
      </c>
      <c r="G23" s="57">
        <f>IF($B$2="Race",VLOOKUP(B23,Table1[],6,FALSE),IF($B$2="Religion",VLOOKUP(B23,Table3[],6,FALSE),IF($B$2="Sexual Orientation",VLOOKUP(B23,Table2[],6,FALSE),IF($B$2="Disability",VLOOKUP(B23,Table4[],6,FALSE),IF($B$2="Transgender",VLOOKUP(B23,Table5[],6,FALSE),IF($B$2="Total Offences",VLOOKUP(B23,Table6[],6,FALSE),""))))))</f>
        <v>527</v>
      </c>
      <c r="H23" s="57">
        <f>IF($B$2="Race",VLOOKUP(B23,Table1[],7,FALSE),IF($B$2="Religion",VLOOKUP(B23,Table3[],7,FALSE),IF($B$2="Sexual Orientation",VLOOKUP(B23,Table2[],7,FALSE),IF($B$2="Disability",VLOOKUP(B23,Table4[],7,FALSE),IF($B$2="Transgender",VLOOKUP(B23,Table5[],7,FALSE),IF($B$2="Total Offences",VLOOKUP(B23,Table6[],7,FALSE),""))))))</f>
        <v>852</v>
      </c>
      <c r="I23" s="57">
        <f>IF($B$2="Race",VLOOKUP(B23,Table1[],8,FALSE),IF($B$2="Religion",VLOOKUP(B23,Table3[],8,FALSE),IF($B$2="Sexual Orientation",VLOOKUP(B23,Table2[],8,FALSE),IF($B$2="Disability",VLOOKUP(B23,Table4[],8,FALSE),IF($B$2="Transgender",VLOOKUP(B23,Table5[],8,FALSE),IF($B$2="Total Offences",VLOOKUP(B23,Table6[],8,FALSE),""))))))</f>
        <v>1060</v>
      </c>
      <c r="J23" s="57">
        <f>IF($B$2="Race",VLOOKUP(B23,Table1[],9,FALSE),IF($B$2="Religion",VLOOKUP(B23,Table3[],9,FALSE),IF($B$2="Sexual Orientation",VLOOKUP(B23,Table2[],9,FALSE),IF($B$2="Disability",VLOOKUP(B23,Table4[],9,FALSE),IF($B$2="Transgender",VLOOKUP(B23,Table5[],9,FALSE),IF($B$2="Total Offences",VLOOKUP(B23,Table6[],9,FALSE),""))))))</f>
        <v>1357</v>
      </c>
      <c r="K23" s="57">
        <f>IF($B$2="Race",VLOOKUP(B23,Table1[],10,FALSE),IF($B$2="Religion",VLOOKUP(B23,Table3[],10,FALSE),IF($B$2="Sexual Orientation",VLOOKUP(B23,Table2[],10,FALSE),IF($B$2="Disability",VLOOKUP(B23,Table4[],10,FALSE),IF($B$2="Transgender",VLOOKUP(B23,Table5[],10,FALSE),IF($B$2="Total Offences",VLOOKUP(B23,Table6[],10,FALSE),""))))))</f>
        <v>1341</v>
      </c>
      <c r="L23" s="57">
        <f>IF($B$2="Race",VLOOKUP(B23,Table1[],11,FALSE),IF($B$2="Religion",VLOOKUP(B23,Table3[],11,FALSE),IF($B$2="Sexual Orientation",VLOOKUP(B23,Table2[],11,FALSE),IF($B$2="Disability",VLOOKUP(B23,Table4[],10,FALSE),IF($B$2="Transgender",VLOOKUP(B23,Table5[],11,FALSE),IF($B$2="Total Offences",VLOOKUP(B23,Table6[],11,FALSE),""))))))</f>
        <v>1699</v>
      </c>
      <c r="M23" s="58">
        <f t="shared" si="0"/>
        <v>0.26696495152871003</v>
      </c>
      <c r="N23" s="58">
        <f t="shared" si="1"/>
        <v>2.2239089184060723</v>
      </c>
      <c r="O23" s="50"/>
      <c r="P23" s="6"/>
    </row>
    <row r="24" spans="1:17" x14ac:dyDescent="0.35">
      <c r="A24" s="50"/>
      <c r="B24" s="56" t="s">
        <v>27</v>
      </c>
      <c r="C24" s="57" t="str">
        <f>IF($B$2="Race",VLOOKUP(B24,Table1[],2,FALSE),IF($B$2="Religion",VLOOKUP(B24,Table3[],2,FALSE),IF($B$2="Sexual Orientation",VLOOKUP(B24,Table2[],2,FALSE),IF($B$2="Disability",VLOOKUP(B24,Table4[],2,FALSE),IF($B$2="Transgender",VLOOKUP(B24,Table5[],2,FALSE),IF($B$2="Total Offences",VLOOKUP(B24,Table6[],2,FALSE),""))))))</f>
        <v>N/A</v>
      </c>
      <c r="D24" s="57">
        <f>IF($B$2="Race",VLOOKUP(B24,Table1[],3,FALSE),IF($B$2="Religion",VLOOKUP(B24,Table3[],3,FALSE),IF($B$2="Sexual Orientation",VLOOKUP(B24,Table2[],3,FALSE),IF($B$2="Disability",VLOOKUP(B24,Table4[],3,FALSE),IF($B$2="Transgender",VLOOKUP(B24,Table5[],3,FALSE),IF($B$2="Total Offences",VLOOKUP(B24,Table6[],3,FALSE),""))))))</f>
        <v>810</v>
      </c>
      <c r="E24" s="57">
        <f>IF($B$2="Race",VLOOKUP(B24,Table1[],4,FALSE),IF($B$2="Religion",VLOOKUP(B24,Table3[],4,FALSE),IF($B$2="Sexual Orientation",VLOOKUP(B24,Table2[],4,FALSE),IF($B$2="Disability",VLOOKUP(B24,Table4[],4,FALSE),IF($B$2="Transgender",VLOOKUP(B24,Table5[],4,FALSE),IF($B$2="Total Offences",VLOOKUP(B24,Table6[],4,FALSE),""))))))</f>
        <v>1067</v>
      </c>
      <c r="F24" s="57">
        <f>IF($B$2="Race",VLOOKUP(B24,Table1[],5,FALSE),IF($B$2="Religion",VLOOKUP(B24,Table3[],5,FALSE),IF($B$2="Sexual Orientation",VLOOKUP(B24,Table2[],5,FALSE),IF($B$2="Disability",VLOOKUP(B24,Table4[],5,FALSE),IF($B$2="Transgender",VLOOKUP(B24,Table5[],5,FALSE),IF($B$2="Total Offences",VLOOKUP(B24,Table6[],5,FALSE),""))))))</f>
        <v>966</v>
      </c>
      <c r="G24" s="57">
        <f>IF($B$2="Race",VLOOKUP(B24,Table1[],6,FALSE),IF($B$2="Religion",VLOOKUP(B24,Table3[],6,FALSE),IF($B$2="Sexual Orientation",VLOOKUP(B24,Table2[],6,FALSE),IF($B$2="Disability",VLOOKUP(B24,Table4[],6,FALSE),IF($B$2="Transgender",VLOOKUP(B24,Table5[],6,FALSE),IF($B$2="Total Offences",VLOOKUP(B24,Table6[],6,FALSE),""))))))</f>
        <v>1193</v>
      </c>
      <c r="H24" s="57">
        <f>IF($B$2="Race",VLOOKUP(B24,Table1[],7,FALSE),IF($B$2="Religion",VLOOKUP(B24,Table3[],7,FALSE),IF($B$2="Sexual Orientation",VLOOKUP(B24,Table2[],7,FALSE),IF($B$2="Disability",VLOOKUP(B24,Table4[],7,FALSE),IF($B$2="Transgender",VLOOKUP(B24,Table5[],7,FALSE),IF($B$2="Total Offences",VLOOKUP(B24,Table6[],7,FALSE),""))))))</f>
        <v>1927</v>
      </c>
      <c r="I24" s="57">
        <f>IF($B$2="Race",VLOOKUP(B24,Table1[],8,FALSE),IF($B$2="Religion",VLOOKUP(B24,Table3[],8,FALSE),IF($B$2="Sexual Orientation",VLOOKUP(B24,Table2[],8,FALSE),IF($B$2="Disability",VLOOKUP(B24,Table4[],8,FALSE),IF($B$2="Transgender",VLOOKUP(B24,Table5[],8,FALSE),IF($B$2="Total Offences",VLOOKUP(B24,Table6[],8,FALSE),""))))))</f>
        <v>3359</v>
      </c>
      <c r="J24" s="57">
        <f>IF($B$2="Race",VLOOKUP(B24,Table1[],9,FALSE),IF($B$2="Religion",VLOOKUP(B24,Table3[],9,FALSE),IF($B$2="Sexual Orientation",VLOOKUP(B24,Table2[],9,FALSE),IF($B$2="Disability",VLOOKUP(B24,Table4[],9,FALSE),IF($B$2="Transgender",VLOOKUP(B24,Table5[],9,FALSE),IF($B$2="Total Offences",VLOOKUP(B24,Table6[],9,FALSE),""))))))</f>
        <v>4395</v>
      </c>
      <c r="K24" s="57">
        <f>IF($B$2="Race",VLOOKUP(B24,Table1[],10,FALSE),IF($B$2="Religion",VLOOKUP(B24,Table3[],10,FALSE),IF($B$2="Sexual Orientation",VLOOKUP(B24,Table2[],10,FALSE),IF($B$2="Disability",VLOOKUP(B24,Table4[],10,FALSE),IF($B$2="Transgender",VLOOKUP(B24,Table5[],10,FALSE),IF($B$2="Total Offences",VLOOKUP(B24,Table6[],10,FALSE),""))))))</f>
        <v>4075</v>
      </c>
      <c r="L24" s="57">
        <f>IF($B$2="Race",VLOOKUP(B24,Table1[],11,FALSE),IF($B$2="Religion",VLOOKUP(B24,Table3[],11,FALSE),IF($B$2="Sexual Orientation",VLOOKUP(B24,Table2[],11,FALSE),IF($B$2="Disability",VLOOKUP(B24,Table4[],10,FALSE),IF($B$2="Transgender",VLOOKUP(B24,Table5[],11,FALSE),IF($B$2="Total Offences",VLOOKUP(B24,Table6[],11,FALSE),""))))))</f>
        <v>3756</v>
      </c>
      <c r="M24" s="58">
        <f t="shared" si="0"/>
        <v>-7.828220858895707E-2</v>
      </c>
      <c r="N24" s="58">
        <f t="shared" si="1"/>
        <v>2.1483654652137467</v>
      </c>
      <c r="O24" s="50"/>
      <c r="P24" s="6"/>
    </row>
    <row r="25" spans="1:17" x14ac:dyDescent="0.35">
      <c r="A25" s="50"/>
      <c r="B25" s="56" t="s">
        <v>28</v>
      </c>
      <c r="C25" s="57" t="str">
        <f>IF($B$2="Race",VLOOKUP(B25,Table1[],2,FALSE),IF($B$2="Religion",VLOOKUP(B25,Table3[],2,FALSE),IF($B$2="Sexual Orientation",VLOOKUP(B25,Table2[],2,FALSE),IF($B$2="Disability",VLOOKUP(B25,Table4[],2,FALSE),IF($B$2="Transgender",VLOOKUP(B25,Table5[],2,FALSE),IF($B$2="Total Offences",VLOOKUP(B25,Table6[],2,FALSE),""))))))</f>
        <v>N/A</v>
      </c>
      <c r="D25" s="57">
        <f>IF($B$2="Race",VLOOKUP(B25,Table1[],3,FALSE),IF($B$2="Religion",VLOOKUP(B25,Table3[],3,FALSE),IF($B$2="Sexual Orientation",VLOOKUP(B25,Table2[],3,FALSE),IF($B$2="Disability",VLOOKUP(B25,Table4[],3,FALSE),IF($B$2="Transgender",VLOOKUP(B25,Table5[],3,FALSE),IF($B$2="Total Offences",VLOOKUP(B25,Table6[],3,FALSE),""))))))</f>
        <v>777</v>
      </c>
      <c r="E25" s="57">
        <f>IF($B$2="Race",VLOOKUP(B25,Table1[],4,FALSE),IF($B$2="Religion",VLOOKUP(B25,Table3[],4,FALSE),IF($B$2="Sexual Orientation",VLOOKUP(B25,Table2[],4,FALSE),IF($B$2="Disability",VLOOKUP(B25,Table4[],4,FALSE),IF($B$2="Transgender",VLOOKUP(B25,Table5[],4,FALSE),IF($B$2="Total Offences",VLOOKUP(B25,Table6[],4,FALSE),""))))))</f>
        <v>1027</v>
      </c>
      <c r="F25" s="57">
        <f>IF($B$2="Race",VLOOKUP(B25,Table1[],5,FALSE),IF($B$2="Religion",VLOOKUP(B25,Table3[],5,FALSE),IF($B$2="Sexual Orientation",VLOOKUP(B25,Table2[],5,FALSE),IF($B$2="Disability",VLOOKUP(B25,Table4[],5,FALSE),IF($B$2="Transgender",VLOOKUP(B25,Table5[],5,FALSE),IF($B$2="Total Offences",VLOOKUP(B25,Table6[],5,FALSE),""))))))</f>
        <v>881</v>
      </c>
      <c r="G25" s="57">
        <f>IF($B$2="Race",VLOOKUP(B25,Table1[],6,FALSE),IF($B$2="Religion",VLOOKUP(B25,Table3[],6,FALSE),IF($B$2="Sexual Orientation",VLOOKUP(B25,Table2[],6,FALSE),IF($B$2="Disability",VLOOKUP(B25,Table4[],6,FALSE),IF($B$2="Transgender",VLOOKUP(B25,Table5[],6,FALSE),IF($B$2="Total Offences",VLOOKUP(B25,Table6[],6,FALSE),""))))))</f>
        <v>826</v>
      </c>
      <c r="H25" s="57">
        <f>IF($B$2="Race",VLOOKUP(B25,Table1[],7,FALSE),IF($B$2="Religion",VLOOKUP(B25,Table3[],7,FALSE),IF($B$2="Sexual Orientation",VLOOKUP(B25,Table2[],7,FALSE),IF($B$2="Disability",VLOOKUP(B25,Table4[],7,FALSE),IF($B$2="Transgender",VLOOKUP(B25,Table5[],7,FALSE),IF($B$2="Total Offences",VLOOKUP(B25,Table6[],7,FALSE),""))))))</f>
        <v>1076</v>
      </c>
      <c r="I25" s="57">
        <f>IF($B$2="Race",VLOOKUP(B25,Table1[],8,FALSE),IF($B$2="Religion",VLOOKUP(B25,Table3[],8,FALSE),IF($B$2="Sexual Orientation",VLOOKUP(B25,Table2[],8,FALSE),IF($B$2="Disability",VLOOKUP(B25,Table4[],8,FALSE),IF($B$2="Transgender",VLOOKUP(B25,Table5[],8,FALSE),IF($B$2="Total Offences",VLOOKUP(B25,Table6[],8,FALSE),""))))))</f>
        <v>2105</v>
      </c>
      <c r="J25" s="57">
        <f>IF($B$2="Race",VLOOKUP(B25,Table1[],9,FALSE),IF($B$2="Religion",VLOOKUP(B25,Table3[],9,FALSE),IF($B$2="Sexual Orientation",VLOOKUP(B25,Table2[],9,FALSE),IF($B$2="Disability",VLOOKUP(B25,Table4[],9,FALSE),IF($B$2="Transgender",VLOOKUP(B25,Table5[],9,FALSE),IF($B$2="Total Offences",VLOOKUP(B25,Table6[],9,FALSE),""))))))</f>
        <v>2836</v>
      </c>
      <c r="K25" s="57">
        <f>IF($B$2="Race",VLOOKUP(B25,Table1[],10,FALSE),IF($B$2="Religion",VLOOKUP(B25,Table3[],10,FALSE),IF($B$2="Sexual Orientation",VLOOKUP(B25,Table2[],10,FALSE),IF($B$2="Disability",VLOOKUP(B25,Table4[],10,FALSE),IF($B$2="Transgender",VLOOKUP(B25,Table5[],10,FALSE),IF($B$2="Total Offences",VLOOKUP(B25,Table6[],10,FALSE),""))))))</f>
        <v>2395</v>
      </c>
      <c r="L25" s="57">
        <f>IF($B$2="Race",VLOOKUP(B25,Table1[],11,FALSE),IF($B$2="Religion",VLOOKUP(B25,Table3[],11,FALSE),IF($B$2="Sexual Orientation",VLOOKUP(B25,Table2[],11,FALSE),IF($B$2="Disability",VLOOKUP(B25,Table4[],10,FALSE),IF($B$2="Transgender",VLOOKUP(B25,Table5[],11,FALSE),IF($B$2="Total Offences",VLOOKUP(B25,Table6[],11,FALSE),""))))))</f>
        <v>2578</v>
      </c>
      <c r="M25" s="58">
        <f t="shared" si="0"/>
        <v>7.6409185803757884E-2</v>
      </c>
      <c r="N25" s="58">
        <f t="shared" si="1"/>
        <v>2.1210653753026634</v>
      </c>
      <c r="O25" s="50"/>
      <c r="P25" s="6"/>
    </row>
    <row r="26" spans="1:17" x14ac:dyDescent="0.35">
      <c r="A26" s="50"/>
      <c r="B26" s="56" t="s">
        <v>29</v>
      </c>
      <c r="C26" s="57" t="str">
        <f>IF($B$2="Race",VLOOKUP(B26,Table1[],2,FALSE),IF($B$2="Religion",VLOOKUP(B26,Table3[],2,FALSE),IF($B$2="Sexual Orientation",VLOOKUP(B26,Table2[],2,FALSE),IF($B$2="Disability",VLOOKUP(B26,Table4[],2,FALSE),IF($B$2="Transgender",VLOOKUP(B26,Table5[],2,FALSE),IF($B$2="Total Offences",VLOOKUP(B26,Table6[],2,FALSE),""))))))</f>
        <v>N/A</v>
      </c>
      <c r="D26" s="57">
        <f>IF($B$2="Race",VLOOKUP(B26,Table1[],3,FALSE),IF($B$2="Religion",VLOOKUP(B26,Table3[],3,FALSE),IF($B$2="Sexual Orientation",VLOOKUP(B26,Table2[],3,FALSE),IF($B$2="Disability",VLOOKUP(B26,Table4[],3,FALSE),IF($B$2="Transgender",VLOOKUP(B26,Table5[],3,FALSE),IF($B$2="Total Offences",VLOOKUP(B26,Table6[],3,FALSE),""))))))</f>
        <v>918</v>
      </c>
      <c r="E26" s="57">
        <f>IF($B$2="Race",VLOOKUP(B26,Table1[],4,FALSE),IF($B$2="Religion",VLOOKUP(B26,Table3[],4,FALSE),IF($B$2="Sexual Orientation",VLOOKUP(B26,Table2[],4,FALSE),IF($B$2="Disability",VLOOKUP(B26,Table4[],4,FALSE),IF($B$2="Transgender",VLOOKUP(B26,Table5[],4,FALSE),IF($B$2="Total Offences",VLOOKUP(B26,Table6[],4,FALSE),""))))))</f>
        <v>871</v>
      </c>
      <c r="F26" s="57">
        <f>IF($B$2="Race",VLOOKUP(B26,Table1[],5,FALSE),IF($B$2="Religion",VLOOKUP(B26,Table3[],5,FALSE),IF($B$2="Sexual Orientation",VLOOKUP(B26,Table2[],5,FALSE),IF($B$2="Disability",VLOOKUP(B26,Table4[],5,FALSE),IF($B$2="Transgender",VLOOKUP(B26,Table5[],5,FALSE),IF($B$2="Total Offences",VLOOKUP(B26,Table6[],5,FALSE),""))))))</f>
        <v>982</v>
      </c>
      <c r="G26" s="57">
        <f>IF($B$2="Race",VLOOKUP(B26,Table1[],6,FALSE),IF($B$2="Religion",VLOOKUP(B26,Table3[],6,FALSE),IF($B$2="Sexual Orientation",VLOOKUP(B26,Table2[],6,FALSE),IF($B$2="Disability",VLOOKUP(B26,Table4[],6,FALSE),IF($B$2="Transgender",VLOOKUP(B26,Table5[],6,FALSE),IF($B$2="Total Offences",VLOOKUP(B26,Table6[],6,FALSE),""))))))</f>
        <v>772</v>
      </c>
      <c r="H26" s="57">
        <f>IF($B$2="Race",VLOOKUP(B26,Table1[],7,FALSE),IF($B$2="Religion",VLOOKUP(B26,Table3[],7,FALSE),IF($B$2="Sexual Orientation",VLOOKUP(B26,Table2[],7,FALSE),IF($B$2="Disability",VLOOKUP(B26,Table4[],7,FALSE),IF($B$2="Transgender",VLOOKUP(B26,Table5[],7,FALSE),IF($B$2="Total Offences",VLOOKUP(B26,Table6[],7,FALSE),""))))))</f>
        <v>1136</v>
      </c>
      <c r="I26" s="57">
        <f>IF($B$2="Race",VLOOKUP(B26,Table1[],8,FALSE),IF($B$2="Religion",VLOOKUP(B26,Table3[],8,FALSE),IF($B$2="Sexual Orientation",VLOOKUP(B26,Table2[],8,FALSE),IF($B$2="Disability",VLOOKUP(B26,Table4[],8,FALSE),IF($B$2="Transgender",VLOOKUP(B26,Table5[],8,FALSE),IF($B$2="Total Offences",VLOOKUP(B26,Table6[],8,FALSE),""))))))</f>
        <v>1437</v>
      </c>
      <c r="J26" s="57">
        <f>IF($B$2="Race",VLOOKUP(B26,Table1[],9,FALSE),IF($B$2="Religion",VLOOKUP(B26,Table3[],9,FALSE),IF($B$2="Sexual Orientation",VLOOKUP(B26,Table2[],9,FALSE),IF($B$2="Disability",VLOOKUP(B26,Table4[],9,FALSE),IF($B$2="Transgender",VLOOKUP(B26,Table5[],9,FALSE),IF($B$2="Total Offences",VLOOKUP(B26,Table6[],9,FALSE),""))))))</f>
        <v>1628</v>
      </c>
      <c r="K26" s="57">
        <f>IF($B$2="Race",VLOOKUP(B26,Table1[],10,FALSE),IF($B$2="Religion",VLOOKUP(B26,Table3[],10,FALSE),IF($B$2="Sexual Orientation",VLOOKUP(B26,Table2[],10,FALSE),IF($B$2="Disability",VLOOKUP(B26,Table4[],10,FALSE),IF($B$2="Transgender",VLOOKUP(B26,Table5[],10,FALSE),IF($B$2="Total Offences",VLOOKUP(B26,Table6[],10,FALSE),""))))))</f>
        <v>1980</v>
      </c>
      <c r="L26" s="57">
        <f>IF($B$2="Race",VLOOKUP(B26,Table1[],11,FALSE),IF($B$2="Religion",VLOOKUP(B26,Table3[],11,FALSE),IF($B$2="Sexual Orientation",VLOOKUP(B26,Table2[],11,FALSE),IF($B$2="Disability",VLOOKUP(B26,Table4[],10,FALSE),IF($B$2="Transgender",VLOOKUP(B26,Table5[],11,FALSE),IF($B$2="Total Offences",VLOOKUP(B26,Table6[],11,FALSE),""))))))</f>
        <v>2892</v>
      </c>
      <c r="M26" s="58">
        <f t="shared" si="0"/>
        <v>0.46060606060606069</v>
      </c>
      <c r="N26" s="58">
        <f t="shared" si="1"/>
        <v>2.7461139896373057</v>
      </c>
      <c r="O26" s="50"/>
      <c r="P26" s="6"/>
    </row>
    <row r="27" spans="1:17" x14ac:dyDescent="0.35">
      <c r="A27" s="50"/>
      <c r="B27" s="56" t="s">
        <v>30</v>
      </c>
      <c r="C27" s="57" t="str">
        <f>IF($B$2="Race",VLOOKUP(B27,Table1[],2,FALSE),IF($B$2="Religion",VLOOKUP(B27,Table3[],2,FALSE),IF($B$2="Sexual Orientation",VLOOKUP(B27,Table2[],2,FALSE),IF($B$2="Disability",VLOOKUP(B27,Table4[],2,FALSE),IF($B$2="Transgender",VLOOKUP(B27,Table5[],2,FALSE),IF($B$2="Total Offences",VLOOKUP(B27,Table6[],2,FALSE),""))))))</f>
        <v>N/A</v>
      </c>
      <c r="D27" s="57">
        <f>IF($B$2="Race",VLOOKUP(B27,Table1[],3,FALSE),IF($B$2="Religion",VLOOKUP(B27,Table3[],3,FALSE),IF($B$2="Sexual Orientation",VLOOKUP(B27,Table2[],3,FALSE),IF($B$2="Disability",VLOOKUP(B27,Table4[],3,FALSE),IF($B$2="Transgender",VLOOKUP(B27,Table5[],3,FALSE),IF($B$2="Total Offences",VLOOKUP(B27,Table6[],3,FALSE),""))))))</f>
        <v>249</v>
      </c>
      <c r="E27" s="57">
        <f>IF($B$2="Race",VLOOKUP(B27,Table1[],4,FALSE),IF($B$2="Religion",VLOOKUP(B27,Table3[],4,FALSE),IF($B$2="Sexual Orientation",VLOOKUP(B27,Table2[],4,FALSE),IF($B$2="Disability",VLOOKUP(B27,Table4[],4,FALSE),IF($B$2="Transgender",VLOOKUP(B27,Table5[],4,FALSE),IF($B$2="Total Offences",VLOOKUP(B27,Table6[],4,FALSE),""))))))</f>
        <v>256</v>
      </c>
      <c r="F27" s="57">
        <f>IF($B$2="Race",VLOOKUP(B27,Table1[],5,FALSE),IF($B$2="Religion",VLOOKUP(B27,Table3[],5,FALSE),IF($B$2="Sexual Orientation",VLOOKUP(B27,Table2[],5,FALSE),IF($B$2="Disability",VLOOKUP(B27,Table4[],5,FALSE),IF($B$2="Transgender",VLOOKUP(B27,Table5[],5,FALSE),IF($B$2="Total Offences",VLOOKUP(B27,Table6[],5,FALSE),""))))))</f>
        <v>217</v>
      </c>
      <c r="G27" s="57">
        <f>IF($B$2="Race",VLOOKUP(B27,Table1[],6,FALSE),IF($B$2="Religion",VLOOKUP(B27,Table3[],6,FALSE),IF($B$2="Sexual Orientation",VLOOKUP(B27,Table2[],6,FALSE),IF($B$2="Disability",VLOOKUP(B27,Table4[],6,FALSE),IF($B$2="Transgender",VLOOKUP(B27,Table5[],6,FALSE),IF($B$2="Total Offences",VLOOKUP(B27,Table6[],6,FALSE),""))))))</f>
        <v>299</v>
      </c>
      <c r="H27" s="57">
        <f>IF($B$2="Race",VLOOKUP(B27,Table1[],7,FALSE),IF($B$2="Religion",VLOOKUP(B27,Table3[],7,FALSE),IF($B$2="Sexual Orientation",VLOOKUP(B27,Table2[],7,FALSE),IF($B$2="Disability",VLOOKUP(B27,Table4[],7,FALSE),IF($B$2="Transgender",VLOOKUP(B27,Table5[],7,FALSE),IF($B$2="Total Offences",VLOOKUP(B27,Table6[],7,FALSE),""))))))</f>
        <v>376</v>
      </c>
      <c r="I27" s="57">
        <f>IF($B$2="Race",VLOOKUP(B27,Table1[],8,FALSE),IF($B$2="Religion",VLOOKUP(B27,Table3[],8,FALSE),IF($B$2="Sexual Orientation",VLOOKUP(B27,Table2[],8,FALSE),IF($B$2="Disability",VLOOKUP(B27,Table4[],8,FALSE),IF($B$2="Transgender",VLOOKUP(B27,Table5[],8,FALSE),IF($B$2="Total Offences",VLOOKUP(B27,Table6[],8,FALSE),""))))))</f>
        <v>416</v>
      </c>
      <c r="J27" s="57">
        <f>IF($B$2="Race",VLOOKUP(B27,Table1[],9,FALSE),IF($B$2="Religion",VLOOKUP(B27,Table3[],9,FALSE),IF($B$2="Sexual Orientation",VLOOKUP(B27,Table2[],9,FALSE),IF($B$2="Disability",VLOOKUP(B27,Table4[],9,FALSE),IF($B$2="Transgender",VLOOKUP(B27,Table5[],9,FALSE),IF($B$2="Total Offences",VLOOKUP(B27,Table6[],9,FALSE),""))))))</f>
        <v>643</v>
      </c>
      <c r="K27" s="57">
        <f>IF($B$2="Race",VLOOKUP(B27,Table1[],10,FALSE),IF($B$2="Religion",VLOOKUP(B27,Table3[],10,FALSE),IF($B$2="Sexual Orientation",VLOOKUP(B27,Table2[],10,FALSE),IF($B$2="Disability",VLOOKUP(B27,Table4[],10,FALSE),IF($B$2="Transgender",VLOOKUP(B27,Table5[],10,FALSE),IF($B$2="Total Offences",VLOOKUP(B27,Table6[],10,FALSE),""))))))</f>
        <v>759</v>
      </c>
      <c r="L27" s="57">
        <f>IF($B$2="Race",VLOOKUP(B27,Table1[],11,FALSE),IF($B$2="Religion",VLOOKUP(B27,Table3[],11,FALSE),IF($B$2="Sexual Orientation",VLOOKUP(B27,Table2[],11,FALSE),IF($B$2="Disability",VLOOKUP(B27,Table4[],10,FALSE),IF($B$2="Transgender",VLOOKUP(B27,Table5[],11,FALSE),IF($B$2="Total Offences",VLOOKUP(B27,Table6[],11,FALSE),""))))))</f>
        <v>664</v>
      </c>
      <c r="M27" s="58">
        <f t="shared" si="0"/>
        <v>-0.12516469038208167</v>
      </c>
      <c r="N27" s="58">
        <f t="shared" si="1"/>
        <v>1.2207357859531771</v>
      </c>
      <c r="O27" s="50"/>
      <c r="P27" s="6"/>
    </row>
    <row r="28" spans="1:17" x14ac:dyDescent="0.35">
      <c r="A28" s="50"/>
      <c r="B28" s="56" t="s">
        <v>31</v>
      </c>
      <c r="C28" s="57" t="str">
        <f>IF($B$2="Race",VLOOKUP(B28,Table1[],2,FALSE),IF($B$2="Religion",VLOOKUP(B28,Table3[],2,FALSE),IF($B$2="Sexual Orientation",VLOOKUP(B28,Table2[],2,FALSE),IF($B$2="Disability",VLOOKUP(B28,Table4[],2,FALSE),IF($B$2="Transgender",VLOOKUP(B28,Table5[],2,FALSE),IF($B$2="Total Offences",VLOOKUP(B28,Table6[],2,FALSE),""))))))</f>
        <v>N/A</v>
      </c>
      <c r="D28" s="57">
        <f>IF($B$2="Race",VLOOKUP(B28,Table1[],3,FALSE),IF($B$2="Religion",VLOOKUP(B28,Table3[],3,FALSE),IF($B$2="Sexual Orientation",VLOOKUP(B28,Table2[],3,FALSE),IF($B$2="Disability",VLOOKUP(B28,Table4[],3,FALSE),IF($B$2="Transgender",VLOOKUP(B28,Table5[],3,FALSE),IF($B$2="Total Offences",VLOOKUP(B28,Table6[],3,FALSE),""))))))</f>
        <v>78</v>
      </c>
      <c r="E28" s="57">
        <f>IF($B$2="Race",VLOOKUP(B28,Table1[],4,FALSE),IF($B$2="Religion",VLOOKUP(B28,Table3[],4,FALSE),IF($B$2="Sexual Orientation",VLOOKUP(B28,Table2[],4,FALSE),IF($B$2="Disability",VLOOKUP(B28,Table4[],4,FALSE),IF($B$2="Transgender",VLOOKUP(B28,Table5[],4,FALSE),IF($B$2="Total Offences",VLOOKUP(B28,Table6[],4,FALSE),""))))))</f>
        <v>73</v>
      </c>
      <c r="F28" s="57">
        <f>IF($B$2="Race",VLOOKUP(B28,Table1[],5,FALSE),IF($B$2="Religion",VLOOKUP(B28,Table3[],5,FALSE),IF($B$2="Sexual Orientation",VLOOKUP(B28,Table2[],5,FALSE),IF($B$2="Disability",VLOOKUP(B28,Table4[],5,FALSE),IF($B$2="Transgender",VLOOKUP(B28,Table5[],5,FALSE),IF($B$2="Total Offences",VLOOKUP(B28,Table6[],5,FALSE),""))))))</f>
        <v>65</v>
      </c>
      <c r="G28" s="57">
        <f>IF($B$2="Race",VLOOKUP(B28,Table1[],6,FALSE),IF($B$2="Religion",VLOOKUP(B28,Table3[],6,FALSE),IF($B$2="Sexual Orientation",VLOOKUP(B28,Table2[],6,FALSE),IF($B$2="Disability",VLOOKUP(B28,Table4[],6,FALSE),IF($B$2="Transgender",VLOOKUP(B28,Table5[],6,FALSE),IF($B$2="Total Offences",VLOOKUP(B28,Table6[],6,FALSE),""))))))</f>
        <v>119</v>
      </c>
      <c r="H28" s="57">
        <f>IF($B$2="Race",VLOOKUP(B28,Table1[],7,FALSE),IF($B$2="Religion",VLOOKUP(B28,Table3[],7,FALSE),IF($B$2="Sexual Orientation",VLOOKUP(B28,Table2[],7,FALSE),IF($B$2="Disability",VLOOKUP(B28,Table4[],7,FALSE),IF($B$2="Transgender",VLOOKUP(B28,Table5[],7,FALSE),IF($B$2="Total Offences",VLOOKUP(B28,Table6[],7,FALSE),""))))))</f>
        <v>101</v>
      </c>
      <c r="I28" s="57">
        <f>IF($B$2="Race",VLOOKUP(B28,Table1[],8,FALSE),IF($B$2="Religion",VLOOKUP(B28,Table3[],8,FALSE),IF($B$2="Sexual Orientation",VLOOKUP(B28,Table2[],8,FALSE),IF($B$2="Disability",VLOOKUP(B28,Table4[],8,FALSE),IF($B$2="Transgender",VLOOKUP(B28,Table5[],8,FALSE),IF($B$2="Total Offences",VLOOKUP(B28,Table6[],8,FALSE),""))))))</f>
        <v>79</v>
      </c>
      <c r="J28" s="57">
        <f>IF($B$2="Race",VLOOKUP(B28,Table1[],9,FALSE),IF($B$2="Religion",VLOOKUP(B28,Table3[],9,FALSE),IF($B$2="Sexual Orientation",VLOOKUP(B28,Table2[],9,FALSE),IF($B$2="Disability",VLOOKUP(B28,Table4[],9,FALSE),IF($B$2="Transgender",VLOOKUP(B28,Table5[],9,FALSE),IF($B$2="Total Offences",VLOOKUP(B28,Table6[],9,FALSE),""))))))</f>
        <v>141</v>
      </c>
      <c r="K28" s="57">
        <f>IF($B$2="Race",VLOOKUP(B28,Table1[],10,FALSE),IF($B$2="Religion",VLOOKUP(B28,Table3[],10,FALSE),IF($B$2="Sexual Orientation",VLOOKUP(B28,Table2[],10,FALSE),IF($B$2="Disability",VLOOKUP(B28,Table4[],10,FALSE),IF($B$2="Transgender",VLOOKUP(B28,Table5[],10,FALSE),IF($B$2="Total Offences",VLOOKUP(B28,Table6[],10,FALSE),""))))))</f>
        <v>161</v>
      </c>
      <c r="L28" s="57">
        <f>IF($B$2="Race",VLOOKUP(B28,Table1[],11,FALSE),IF($B$2="Religion",VLOOKUP(B28,Table3[],11,FALSE),IF($B$2="Sexual Orientation",VLOOKUP(B28,Table2[],11,FALSE),IF($B$2="Disability",VLOOKUP(B28,Table4[],10,FALSE),IF($B$2="Transgender",VLOOKUP(B28,Table5[],11,FALSE),IF($B$2="Total Offences",VLOOKUP(B28,Table6[],11,FALSE),""))))))</f>
        <v>81</v>
      </c>
      <c r="M28" s="58">
        <f t="shared" si="0"/>
        <v>-0.49689440993788825</v>
      </c>
      <c r="N28" s="58">
        <f t="shared" si="1"/>
        <v>-0.31932773109243695</v>
      </c>
      <c r="O28" s="50"/>
      <c r="P28" s="6"/>
    </row>
    <row r="29" spans="1:17" x14ac:dyDescent="0.35">
      <c r="A29" s="50"/>
      <c r="B29" s="56" t="s">
        <v>32</v>
      </c>
      <c r="C29" s="57" t="str">
        <f>IF($B$2="Race",VLOOKUP(B29,Table1[],2,FALSE),IF($B$2="Religion",VLOOKUP(B29,Table3[],2,FALSE),IF($B$2="Sexual Orientation",VLOOKUP(B29,Table2[],2,FALSE),IF($B$2="Disability",VLOOKUP(B29,Table4[],2,FALSE),IF($B$2="Transgender",VLOOKUP(B29,Table5[],2,FALSE),IF($B$2="Total Offences",VLOOKUP(B29,Table6[],2,FALSE),""))))))</f>
        <v>N/A</v>
      </c>
      <c r="D29" s="57">
        <f>IF($B$2="Race",VLOOKUP(B29,Table1[],3,FALSE),IF($B$2="Religion",VLOOKUP(B29,Table3[],3,FALSE),IF($B$2="Sexual Orientation",VLOOKUP(B29,Table2[],3,FALSE),IF($B$2="Disability",VLOOKUP(B29,Table4[],3,FALSE),IF($B$2="Transgender",VLOOKUP(B29,Table5[],3,FALSE),IF($B$2="Total Offences",VLOOKUP(B29,Table6[],3,FALSE),""))))))</f>
        <v>1318</v>
      </c>
      <c r="E29" s="57">
        <f>IF($B$2="Race",VLOOKUP(B29,Table1[],4,FALSE),IF($B$2="Religion",VLOOKUP(B29,Table3[],4,FALSE),IF($B$2="Sexual Orientation",VLOOKUP(B29,Table2[],4,FALSE),IF($B$2="Disability",VLOOKUP(B29,Table4[],4,FALSE),IF($B$2="Transgender",VLOOKUP(B29,Table5[],4,FALSE),IF($B$2="Total Offences",VLOOKUP(B29,Table6[],4,FALSE),""))))))</f>
        <v>1679</v>
      </c>
      <c r="F29" s="57">
        <f>IF($B$2="Race",VLOOKUP(B29,Table1[],5,FALSE),IF($B$2="Religion",VLOOKUP(B29,Table3[],5,FALSE),IF($B$2="Sexual Orientation",VLOOKUP(B29,Table2[],5,FALSE),IF($B$2="Disability",VLOOKUP(B29,Table4[],5,FALSE),IF($B$2="Transgender",VLOOKUP(B29,Table5[],5,FALSE),IF($B$2="Total Offences",VLOOKUP(B29,Table6[],5,FALSE),""))))))</f>
        <v>1914</v>
      </c>
      <c r="G29" s="57">
        <f>IF($B$2="Race",VLOOKUP(B29,Table1[],6,FALSE),IF($B$2="Religion",VLOOKUP(B29,Table3[],6,FALSE),IF($B$2="Sexual Orientation",VLOOKUP(B29,Table2[],6,FALSE),IF($B$2="Disability",VLOOKUP(B29,Table4[],6,FALSE),IF($B$2="Transgender",VLOOKUP(B29,Table5[],6,FALSE),IF($B$2="Total Offences",VLOOKUP(B29,Table6[],6,FALSE),""))))))</f>
        <v>2245</v>
      </c>
      <c r="H29" s="57">
        <f>IF($B$2="Race",VLOOKUP(B29,Table1[],7,FALSE),IF($B$2="Religion",VLOOKUP(B29,Table3[],7,FALSE),IF($B$2="Sexual Orientation",VLOOKUP(B29,Table2[],7,FALSE),IF($B$2="Disability",VLOOKUP(B29,Table4[],7,FALSE),IF($B$2="Transgender",VLOOKUP(B29,Table5[],7,FALSE),IF($B$2="Total Offences",VLOOKUP(B29,Table6[],7,FALSE),""))))))</f>
        <v>2871</v>
      </c>
      <c r="I29" s="57">
        <f>IF($B$2="Race",VLOOKUP(B29,Table1[],8,FALSE),IF($B$2="Religion",VLOOKUP(B29,Table3[],8,FALSE),IF($B$2="Sexual Orientation",VLOOKUP(B29,Table2[],8,FALSE),IF($B$2="Disability",VLOOKUP(B29,Table4[],8,FALSE),IF($B$2="Transgender",VLOOKUP(B29,Table5[],8,FALSE),IF($B$2="Total Offences",VLOOKUP(B29,Table6[],8,FALSE),""))))))</f>
        <v>2656</v>
      </c>
      <c r="J29" s="57">
        <f>IF($B$2="Race",VLOOKUP(B29,Table1[],9,FALSE),IF($B$2="Religion",VLOOKUP(B29,Table3[],9,FALSE),IF($B$2="Sexual Orientation",VLOOKUP(B29,Table2[],9,FALSE),IF($B$2="Disability",VLOOKUP(B29,Table4[],9,FALSE),IF($B$2="Transgender",VLOOKUP(B29,Table5[],9,FALSE),IF($B$2="Total Offences",VLOOKUP(B29,Table6[],9,FALSE),""))))))</f>
        <v>2944</v>
      </c>
      <c r="K29" s="57">
        <f>IF($B$2="Race",VLOOKUP(B29,Table1[],10,FALSE),IF($B$2="Religion",VLOOKUP(B29,Table3[],10,FALSE),IF($B$2="Sexual Orientation",VLOOKUP(B29,Table2[],10,FALSE),IF($B$2="Disability",VLOOKUP(B29,Table4[],10,FALSE),IF($B$2="Transgender",VLOOKUP(B29,Table5[],10,FALSE),IF($B$2="Total Offences",VLOOKUP(B29,Table6[],10,FALSE),""))))))</f>
        <v>3140</v>
      </c>
      <c r="L29" s="57">
        <f>IF($B$2="Race",VLOOKUP(B29,Table1[],11,FALSE),IF($B$2="Religion",VLOOKUP(B29,Table3[],11,FALSE),IF($B$2="Sexual Orientation",VLOOKUP(B29,Table2[],11,FALSE),IF($B$2="Disability",VLOOKUP(B29,Table4[],10,FALSE),IF($B$2="Transgender",VLOOKUP(B29,Table5[],11,FALSE),IF($B$2="Total Offences",VLOOKUP(B29,Table6[],11,FALSE),""))))))</f>
        <v>3630</v>
      </c>
      <c r="M29" s="58">
        <f t="shared" si="0"/>
        <v>0.15605095541401282</v>
      </c>
      <c r="N29" s="58">
        <f t="shared" si="1"/>
        <v>0.61692650334075716</v>
      </c>
      <c r="O29" s="50"/>
      <c r="P29" s="6"/>
    </row>
    <row r="30" spans="1:17" x14ac:dyDescent="0.35">
      <c r="A30" s="50"/>
      <c r="B30" s="56" t="s">
        <v>33</v>
      </c>
      <c r="C30" s="57" t="str">
        <f>IF($B$2="Race",VLOOKUP(B30,Table1[],2,FALSE),IF($B$2="Religion",VLOOKUP(B30,Table3[],2,FALSE),IF($B$2="Sexual Orientation",VLOOKUP(B30,Table2[],2,FALSE),IF($B$2="Disability",VLOOKUP(B30,Table4[],2,FALSE),IF($B$2="Transgender",VLOOKUP(B30,Table5[],2,FALSE),IF($B$2="Total Offences",VLOOKUP(B30,Table6[],2,FALSE),""))))))</f>
        <v>N/A</v>
      </c>
      <c r="D30" s="57">
        <f>IF($B$2="Race",VLOOKUP(B30,Table1[],3,FALSE),IF($B$2="Religion",VLOOKUP(B30,Table3[],3,FALSE),IF($B$2="Sexual Orientation",VLOOKUP(B30,Table2[],3,FALSE),IF($B$2="Disability",VLOOKUP(B30,Table4[],3,FALSE),IF($B$2="Transgender",VLOOKUP(B30,Table5[],3,FALSE),IF($B$2="Total Offences",VLOOKUP(B30,Table6[],3,FALSE),""))))))</f>
        <v>10371</v>
      </c>
      <c r="E30" s="57">
        <f>IF($B$2="Race",VLOOKUP(B30,Table1[],4,FALSE),IF($B$2="Religion",VLOOKUP(B30,Table3[],4,FALSE),IF($B$2="Sexual Orientation",VLOOKUP(B30,Table2[],4,FALSE),IF($B$2="Disability",VLOOKUP(B30,Table4[],4,FALSE),IF($B$2="Transgender",VLOOKUP(B30,Table5[],4,FALSE),IF($B$2="Total Offences",VLOOKUP(B30,Table6[],4,FALSE),""))))))</f>
        <v>10748</v>
      </c>
      <c r="F30" s="57">
        <f>IF($B$2="Race",VLOOKUP(B30,Table1[],5,FALSE),IF($B$2="Religion",VLOOKUP(B30,Table3[],5,FALSE),IF($B$2="Sexual Orientation",VLOOKUP(B30,Table2[],5,FALSE),IF($B$2="Disability",VLOOKUP(B30,Table4[],5,FALSE),IF($B$2="Transgender",VLOOKUP(B30,Table5[],5,FALSE),IF($B$2="Total Offences",VLOOKUP(B30,Table6[],5,FALSE),""))))))</f>
        <v>13889</v>
      </c>
      <c r="G30" s="57">
        <f>IF($B$2="Race",VLOOKUP(B30,Table1[],6,FALSE),IF($B$2="Religion",VLOOKUP(B30,Table3[],6,FALSE),IF($B$2="Sexual Orientation",VLOOKUP(B30,Table2[],6,FALSE),IF($B$2="Disability",VLOOKUP(B30,Table4[],6,FALSE),IF($B$2="Transgender",VLOOKUP(B30,Table5[],6,FALSE),IF($B$2="Total Offences",VLOOKUP(B30,Table6[],6,FALSE),""))))))</f>
        <v>16447</v>
      </c>
      <c r="H30" s="57">
        <f>IF($B$2="Race",VLOOKUP(B30,Table1[],7,FALSE),IF($B$2="Religion",VLOOKUP(B30,Table3[],7,FALSE),IF($B$2="Sexual Orientation",VLOOKUP(B30,Table2[],7,FALSE),IF($B$2="Disability",VLOOKUP(B30,Table4[],7,FALSE),IF($B$2="Transgender",VLOOKUP(B30,Table5[],7,FALSE),IF($B$2="Total Offences",VLOOKUP(B30,Table6[],7,FALSE),""))))))</f>
        <v>19813</v>
      </c>
      <c r="I30" s="57">
        <f>IF($B$2="Race",VLOOKUP(B30,Table1[],8,FALSE),IF($B$2="Religion",VLOOKUP(B30,Table3[],8,FALSE),IF($B$2="Sexual Orientation",VLOOKUP(B30,Table2[],8,FALSE),IF($B$2="Disability",VLOOKUP(B30,Table4[],8,FALSE),IF($B$2="Transgender",VLOOKUP(B30,Table5[],8,FALSE),IF($B$2="Total Offences",VLOOKUP(B30,Table6[],8,FALSE),""))))))</f>
        <v>19441</v>
      </c>
      <c r="J30" s="57">
        <f>IF($B$2="Race",VLOOKUP(B30,Table1[],9,FALSE),IF($B$2="Religion",VLOOKUP(B30,Table3[],9,FALSE),IF($B$2="Sexual Orientation",VLOOKUP(B30,Table2[],9,FALSE),IF($B$2="Disability",VLOOKUP(B30,Table4[],9,FALSE),IF($B$2="Transgender",VLOOKUP(B30,Table5[],9,FALSE),IF($B$2="Total Offences",VLOOKUP(B30,Table6[],9,FALSE),""))))))</f>
        <v>19865</v>
      </c>
      <c r="K30" s="57">
        <f>IF($B$2="Race",VLOOKUP(B30,Table1[],10,FALSE),IF($B$2="Religion",VLOOKUP(B30,Table3[],10,FALSE),IF($B$2="Sexual Orientation",VLOOKUP(B30,Table2[],10,FALSE),IF($B$2="Disability",VLOOKUP(B30,Table4[],10,FALSE),IF($B$2="Transgender",VLOOKUP(B30,Table5[],10,FALSE),IF($B$2="Total Offences",VLOOKUP(B30,Table6[],10,FALSE),""))))))</f>
        <v>22111</v>
      </c>
      <c r="L30" s="57">
        <f>IF($B$2="Race",VLOOKUP(B30,Table1[],11,FALSE),IF($B$2="Religion",VLOOKUP(B30,Table3[],11,FALSE),IF($B$2="Sexual Orientation",VLOOKUP(B30,Table2[],11,FALSE),IF($B$2="Disability",VLOOKUP(B30,Table4[],10,FALSE),IF($B$2="Transgender",VLOOKUP(B30,Table5[],11,FALSE),IF($B$2="Total Offences",VLOOKUP(B30,Table6[],11,FALSE),""))))))</f>
        <v>24291</v>
      </c>
      <c r="M30" s="58">
        <f t="shared" si="0"/>
        <v>9.8593460268644462E-2</v>
      </c>
      <c r="N30" s="58">
        <f t="shared" si="1"/>
        <v>0.47692588313978224</v>
      </c>
      <c r="O30" s="50"/>
      <c r="P30" s="6"/>
      <c r="Q30" s="2"/>
    </row>
    <row r="31" spans="1:17" x14ac:dyDescent="0.35">
      <c r="A31" s="50"/>
      <c r="B31" s="56" t="s">
        <v>34</v>
      </c>
      <c r="C31" s="57" t="str">
        <f>IF($B$2="Race",VLOOKUP(B31,Table1[],2,FALSE),IF($B$2="Religion",VLOOKUP(B31,Table3[],2,FALSE),IF($B$2="Sexual Orientation",VLOOKUP(B31,Table2[],2,FALSE),IF($B$2="Disability",VLOOKUP(B31,Table4[],2,FALSE),IF($B$2="Transgender",VLOOKUP(B31,Table5[],2,FALSE),IF($B$2="Total Offences",VLOOKUP(B31,Table6[],2,FALSE),""))))))</f>
        <v>N/A</v>
      </c>
      <c r="D31" s="57">
        <f>IF($B$2="Race",VLOOKUP(B31,Table1[],3,FALSE),IF($B$2="Religion",VLOOKUP(B31,Table3[],3,FALSE),IF($B$2="Sexual Orientation",VLOOKUP(B31,Table2[],3,FALSE),IF($B$2="Disability",VLOOKUP(B31,Table4[],3,FALSE),IF($B$2="Transgender",VLOOKUP(B31,Table5[],3,FALSE),IF($B$2="Total Offences",VLOOKUP(B31,Table6[],3,FALSE),""))))))</f>
        <v>411</v>
      </c>
      <c r="E31" s="57">
        <f>IF($B$2="Race",VLOOKUP(B31,Table1[],4,FALSE),IF($B$2="Religion",VLOOKUP(B31,Table3[],4,FALSE),IF($B$2="Sexual Orientation",VLOOKUP(B31,Table2[],4,FALSE),IF($B$2="Disability",VLOOKUP(B31,Table4[],4,FALSE),IF($B$2="Transgender",VLOOKUP(B31,Table5[],4,FALSE),IF($B$2="Total Offences",VLOOKUP(B31,Table6[],4,FALSE),""))))))</f>
        <v>395</v>
      </c>
      <c r="F31" s="57">
        <f>IF($B$2="Race",VLOOKUP(B31,Table1[],5,FALSE),IF($B$2="Religion",VLOOKUP(B31,Table3[],5,FALSE),IF($B$2="Sexual Orientation",VLOOKUP(B31,Table2[],5,FALSE),IF($B$2="Disability",VLOOKUP(B31,Table4[],5,FALSE),IF($B$2="Transgender",VLOOKUP(B31,Table5[],5,FALSE),IF($B$2="Total Offences",VLOOKUP(B31,Table6[],5,FALSE),""))))))</f>
        <v>570</v>
      </c>
      <c r="G31" s="57">
        <f>IF($B$2="Race",VLOOKUP(B31,Table1[],6,FALSE),IF($B$2="Religion",VLOOKUP(B31,Table3[],6,FALSE),IF($B$2="Sexual Orientation",VLOOKUP(B31,Table2[],6,FALSE),IF($B$2="Disability",VLOOKUP(B31,Table4[],6,FALSE),IF($B$2="Transgender",VLOOKUP(B31,Table5[],6,FALSE),IF($B$2="Total Offences",VLOOKUP(B31,Table6[],6,FALSE),""))))))</f>
        <v>630</v>
      </c>
      <c r="H31" s="57">
        <f>IF($B$2="Race",VLOOKUP(B31,Table1[],7,FALSE),IF($B$2="Religion",VLOOKUP(B31,Table3[],7,FALSE),IF($B$2="Sexual Orientation",VLOOKUP(B31,Table2[],7,FALSE),IF($B$2="Disability",VLOOKUP(B31,Table4[],7,FALSE),IF($B$2="Transgender",VLOOKUP(B31,Table5[],7,FALSE),IF($B$2="Total Offences",VLOOKUP(B31,Table6[],7,FALSE),""))))))</f>
        <v>1081</v>
      </c>
      <c r="I31" s="57">
        <f>IF($B$2="Race",VLOOKUP(B31,Table1[],8,FALSE),IF($B$2="Religion",VLOOKUP(B31,Table3[],8,FALSE),IF($B$2="Sexual Orientation",VLOOKUP(B31,Table2[],8,FALSE),IF($B$2="Disability",VLOOKUP(B31,Table4[],8,FALSE),IF($B$2="Transgender",VLOOKUP(B31,Table5[],8,FALSE),IF($B$2="Total Offences",VLOOKUP(B31,Table6[],8,FALSE),""))))))</f>
        <v>1204</v>
      </c>
      <c r="J31" s="57">
        <f>IF($B$2="Race",VLOOKUP(B31,Table1[],9,FALSE),IF($B$2="Religion",VLOOKUP(B31,Table3[],9,FALSE),IF($B$2="Sexual Orientation",VLOOKUP(B31,Table2[],9,FALSE),IF($B$2="Disability",VLOOKUP(B31,Table4[],9,FALSE),IF($B$2="Transgender",VLOOKUP(B31,Table5[],9,FALSE),IF($B$2="Total Offences",VLOOKUP(B31,Table6[],9,FALSE),""))))))</f>
        <v>1022</v>
      </c>
      <c r="K31" s="57">
        <f>IF($B$2="Race",VLOOKUP(B31,Table1[],10,FALSE),IF($B$2="Religion",VLOOKUP(B31,Table3[],10,FALSE),IF($B$2="Sexual Orientation",VLOOKUP(B31,Table2[],10,FALSE),IF($B$2="Disability",VLOOKUP(B31,Table4[],10,FALSE),IF($B$2="Transgender",VLOOKUP(B31,Table5[],10,FALSE),IF($B$2="Total Offences",VLOOKUP(B31,Table6[],10,FALSE),""))))))</f>
        <v>1037</v>
      </c>
      <c r="L31" s="57">
        <f>IF($B$2="Race",VLOOKUP(B31,Table1[],11,FALSE),IF($B$2="Religion",VLOOKUP(B31,Table3[],11,FALSE),IF($B$2="Sexual Orientation",VLOOKUP(B31,Table2[],11,FALSE),IF($B$2="Disability",VLOOKUP(B31,Table4[],10,FALSE),IF($B$2="Transgender",VLOOKUP(B31,Table5[],11,FALSE),IF($B$2="Total Offences",VLOOKUP(B31,Table6[],11,FALSE),""))))))</f>
        <v>1297</v>
      </c>
      <c r="M31" s="58">
        <f t="shared" si="0"/>
        <v>0.25072324011571845</v>
      </c>
      <c r="N31" s="58">
        <f t="shared" si="1"/>
        <v>1.0587301587301585</v>
      </c>
      <c r="O31" s="50"/>
      <c r="P31" s="6"/>
      <c r="Q31" s="2"/>
    </row>
    <row r="32" spans="1:17" x14ac:dyDescent="0.35">
      <c r="A32" s="50"/>
      <c r="B32" s="56" t="s">
        <v>36</v>
      </c>
      <c r="C32" s="57" t="str">
        <f>IF($B$2="Race",VLOOKUP(B32,Table1[],2,FALSE),IF($B$2="Religion",VLOOKUP(B32,Table3[],2,FALSE),IF($B$2="Sexual Orientation",VLOOKUP(B32,Table2[],2,FALSE),IF($B$2="Disability",VLOOKUP(B32,Table4[],2,FALSE),IF($B$2="Transgender",VLOOKUP(B32,Table5[],2,FALSE),IF($B$2="Total Offences",VLOOKUP(B32,Table6[],2,FALSE),""))))))</f>
        <v>N/A</v>
      </c>
      <c r="D32" s="57">
        <f>IF($B$2="Race",VLOOKUP(B32,Table1[],3,FALSE),IF($B$2="Religion",VLOOKUP(B32,Table3[],3,FALSE),IF($B$2="Sexual Orientation",VLOOKUP(B32,Table2[],3,FALSE),IF($B$2="Disability",VLOOKUP(B32,Table4[],3,FALSE),IF($B$2="Transgender",VLOOKUP(B32,Table5[],3,FALSE),IF($B$2="Total Offences",VLOOKUP(B32,Table6[],3,FALSE),""))))))</f>
        <v>192</v>
      </c>
      <c r="E32" s="57">
        <f>IF($B$2="Race",VLOOKUP(B32,Table1[],4,FALSE),IF($B$2="Religion",VLOOKUP(B32,Table3[],4,FALSE),IF($B$2="Sexual Orientation",VLOOKUP(B32,Table2[],4,FALSE),IF($B$2="Disability",VLOOKUP(B32,Table4[],4,FALSE),IF($B$2="Transgender",VLOOKUP(B32,Table5[],4,FALSE),IF($B$2="Total Offences",VLOOKUP(B32,Table6[],4,FALSE),""))))))</f>
        <v>199</v>
      </c>
      <c r="F32" s="57">
        <f>IF($B$2="Race",VLOOKUP(B32,Table1[],5,FALSE),IF($B$2="Religion",VLOOKUP(B32,Table3[],5,FALSE),IF($B$2="Sexual Orientation",VLOOKUP(B32,Table2[],5,FALSE),IF($B$2="Disability",VLOOKUP(B32,Table4[],5,FALSE),IF($B$2="Transgender",VLOOKUP(B32,Table5[],5,FALSE),IF($B$2="Total Offences",VLOOKUP(B32,Table6[],5,FALSE),""))))))</f>
        <v>225</v>
      </c>
      <c r="G32" s="57">
        <f>IF($B$2="Race",VLOOKUP(B32,Table1[],6,FALSE),IF($B$2="Religion",VLOOKUP(B32,Table3[],6,FALSE),IF($B$2="Sexual Orientation",VLOOKUP(B32,Table2[],6,FALSE),IF($B$2="Disability",VLOOKUP(B32,Table4[],6,FALSE),IF($B$2="Transgender",VLOOKUP(B32,Table5[],6,FALSE),IF($B$2="Total Offences",VLOOKUP(B32,Table6[],6,FALSE),""))))))</f>
        <v>246</v>
      </c>
      <c r="H32" s="57">
        <f>IF($B$2="Race",VLOOKUP(B32,Table1[],7,FALSE),IF($B$2="Religion",VLOOKUP(B32,Table3[],7,FALSE),IF($B$2="Sexual Orientation",VLOOKUP(B32,Table2[],7,FALSE),IF($B$2="Disability",VLOOKUP(B32,Table4[],7,FALSE),IF($B$2="Transgender",VLOOKUP(B32,Table5[],7,FALSE),IF($B$2="Total Offences",VLOOKUP(B32,Table6[],7,FALSE),""))))))</f>
        <v>317</v>
      </c>
      <c r="I32" s="57">
        <f>IF($B$2="Race",VLOOKUP(B32,Table1[],8,FALSE),IF($B$2="Religion",VLOOKUP(B32,Table3[],8,FALSE),IF($B$2="Sexual Orientation",VLOOKUP(B32,Table2[],8,FALSE),IF($B$2="Disability",VLOOKUP(B32,Table4[],8,FALSE),IF($B$2="Transgender",VLOOKUP(B32,Table5[],8,FALSE),IF($B$2="Total Offences",VLOOKUP(B32,Table6[],8,FALSE),""))))))</f>
        <v>384</v>
      </c>
      <c r="J32" s="57">
        <f>IF($B$2="Race",VLOOKUP(B32,Table1[],9,FALSE),IF($B$2="Religion",VLOOKUP(B32,Table3[],9,FALSE),IF($B$2="Sexual Orientation",VLOOKUP(B32,Table2[],9,FALSE),IF($B$2="Disability",VLOOKUP(B32,Table4[],9,FALSE),IF($B$2="Transgender",VLOOKUP(B32,Table5[],9,FALSE),IF($B$2="Total Offences",VLOOKUP(B32,Table6[],9,FALSE),""))))))</f>
        <v>546</v>
      </c>
      <c r="K32" s="57">
        <f>IF($B$2="Race",VLOOKUP(B32,Table1[],10,FALSE),IF($B$2="Religion",VLOOKUP(B32,Table3[],10,FALSE),IF($B$2="Sexual Orientation",VLOOKUP(B32,Table2[],10,FALSE),IF($B$2="Disability",VLOOKUP(B32,Table4[],10,FALSE),IF($B$2="Transgender",VLOOKUP(B32,Table5[],10,FALSE),IF($B$2="Total Offences",VLOOKUP(B32,Table6[],10,FALSE),""))))))</f>
        <v>646</v>
      </c>
      <c r="L32" s="57">
        <f>IF($B$2="Race",VLOOKUP(B32,Table1[],11,FALSE),IF($B$2="Religion",VLOOKUP(B32,Table3[],11,FALSE),IF($B$2="Sexual Orientation",VLOOKUP(B32,Table2[],11,FALSE),IF($B$2="Disability",VLOOKUP(B32,Table4[],10,FALSE),IF($B$2="Transgender",VLOOKUP(B32,Table5[],11,FALSE),IF($B$2="Total Offences",VLOOKUP(B32,Table6[],11,FALSE),""))))))</f>
        <v>684</v>
      </c>
      <c r="M32" s="58">
        <f t="shared" si="0"/>
        <v>5.8823529411764719E-2</v>
      </c>
      <c r="N32" s="58">
        <f t="shared" si="1"/>
        <v>1.7804878048780486</v>
      </c>
      <c r="O32" s="50"/>
      <c r="P32" s="6"/>
    </row>
    <row r="33" spans="1:17" x14ac:dyDescent="0.35">
      <c r="A33" s="50"/>
      <c r="B33" s="56" t="s">
        <v>37</v>
      </c>
      <c r="C33" s="57" t="str">
        <f>IF($B$2="Race",VLOOKUP(B33,Table1[],2,FALSE),IF($B$2="Religion",VLOOKUP(B33,Table3[],2,FALSE),IF($B$2="Sexual Orientation",VLOOKUP(B33,Table2[],2,FALSE),IF($B$2="Disability",VLOOKUP(B33,Table4[],2,FALSE),IF($B$2="Transgender",VLOOKUP(B33,Table5[],2,FALSE),IF($B$2="Total Offences",VLOOKUP(B33,Table6[],2,FALSE),""))))))</f>
        <v>N/A</v>
      </c>
      <c r="D33" s="57">
        <f>IF($B$2="Race",VLOOKUP(B33,Table1[],3,FALSE),IF($B$2="Religion",VLOOKUP(B33,Table3[],3,FALSE),IF($B$2="Sexual Orientation",VLOOKUP(B33,Table2[],3,FALSE),IF($B$2="Disability",VLOOKUP(B33,Table4[],3,FALSE),IF($B$2="Transgender",VLOOKUP(B33,Table5[],3,FALSE),IF($B$2="Total Offences",VLOOKUP(B33,Table6[],3,FALSE),""))))))</f>
        <v>460</v>
      </c>
      <c r="E33" s="57">
        <f>IF($B$2="Race",VLOOKUP(B33,Table1[],4,FALSE),IF($B$2="Religion",VLOOKUP(B33,Table3[],4,FALSE),IF($B$2="Sexual Orientation",VLOOKUP(B33,Table2[],4,FALSE),IF($B$2="Disability",VLOOKUP(B33,Table4[],4,FALSE),IF($B$2="Transgender",VLOOKUP(B33,Table5[],4,FALSE),IF($B$2="Total Offences",VLOOKUP(B33,Table6[],4,FALSE),""))))))</f>
        <v>385</v>
      </c>
      <c r="F33" s="57">
        <f>IF($B$2="Race",VLOOKUP(B33,Table1[],5,FALSE),IF($B$2="Religion",VLOOKUP(B33,Table3[],5,FALSE),IF($B$2="Sexual Orientation",VLOOKUP(B33,Table2[],5,FALSE),IF($B$2="Disability",VLOOKUP(B33,Table4[],5,FALSE),IF($B$2="Transgender",VLOOKUP(B33,Table5[],5,FALSE),IF($B$2="Total Offences",VLOOKUP(B33,Table6[],5,FALSE),""))))))</f>
        <v>534</v>
      </c>
      <c r="G33" s="57">
        <f>IF($B$2="Race",VLOOKUP(B33,Table1[],6,FALSE),IF($B$2="Religion",VLOOKUP(B33,Table3[],6,FALSE),IF($B$2="Sexual Orientation",VLOOKUP(B33,Table2[],6,FALSE),IF($B$2="Disability",VLOOKUP(B33,Table4[],6,FALSE),IF($B$2="Transgender",VLOOKUP(B33,Table5[],6,FALSE),IF($B$2="Total Offences",VLOOKUP(B33,Table6[],6,FALSE),""))))))</f>
        <v>551</v>
      </c>
      <c r="H33" s="57">
        <f>IF($B$2="Race",VLOOKUP(B33,Table1[],7,FALSE),IF($B$2="Religion",VLOOKUP(B33,Table3[],7,FALSE),IF($B$2="Sexual Orientation",VLOOKUP(B33,Table2[],7,FALSE),IF($B$2="Disability",VLOOKUP(B33,Table4[],7,FALSE),IF($B$2="Transgender",VLOOKUP(B33,Table5[],7,FALSE),IF($B$2="Total Offences",VLOOKUP(B33,Table6[],7,FALSE),""))))))</f>
        <v>583</v>
      </c>
      <c r="I33" s="57">
        <f>IF($B$2="Race",VLOOKUP(B33,Table1[],8,FALSE),IF($B$2="Religion",VLOOKUP(B33,Table3[],8,FALSE),IF($B$2="Sexual Orientation",VLOOKUP(B33,Table2[],8,FALSE),IF($B$2="Disability",VLOOKUP(B33,Table4[],8,FALSE),IF($B$2="Transgender",VLOOKUP(B33,Table5[],8,FALSE),IF($B$2="Total Offences",VLOOKUP(B33,Table6[],8,FALSE),""))))))</f>
        <v>744</v>
      </c>
      <c r="J33" s="57">
        <f>IF($B$2="Race",VLOOKUP(B33,Table1[],9,FALSE),IF($B$2="Religion",VLOOKUP(B33,Table3[],9,FALSE),IF($B$2="Sexual Orientation",VLOOKUP(B33,Table2[],9,FALSE),IF($B$2="Disability",VLOOKUP(B33,Table4[],9,FALSE),IF($B$2="Transgender",VLOOKUP(B33,Table5[],9,FALSE),IF($B$2="Total Offences",VLOOKUP(B33,Table6[],9,FALSE),""))))))</f>
        <v>818</v>
      </c>
      <c r="K33" s="57">
        <f>IF($B$2="Race",VLOOKUP(B33,Table1[],10,FALSE),IF($B$2="Religion",VLOOKUP(B33,Table3[],10,FALSE),IF($B$2="Sexual Orientation",VLOOKUP(B33,Table2[],10,FALSE),IF($B$2="Disability",VLOOKUP(B33,Table4[],10,FALSE),IF($B$2="Transgender",VLOOKUP(B33,Table5[],10,FALSE),IF($B$2="Total Offences",VLOOKUP(B33,Table6[],10,FALSE),""))))))</f>
        <v>1162</v>
      </c>
      <c r="L33" s="57">
        <f>IF($B$2="Race",VLOOKUP(B33,Table1[],11,FALSE),IF($B$2="Religion",VLOOKUP(B33,Table3[],11,FALSE),IF($B$2="Sexual Orientation",VLOOKUP(B33,Table2[],11,FALSE),IF($B$2="Disability",VLOOKUP(B33,Table4[],10,FALSE),IF($B$2="Transgender",VLOOKUP(B33,Table5[],11,FALSE),IF($B$2="Total Offences",VLOOKUP(B33,Table6[],11,FALSE),""))))))</f>
        <v>1587</v>
      </c>
      <c r="M33" s="58">
        <f t="shared" si="0"/>
        <v>0.36574870912220314</v>
      </c>
      <c r="N33" s="58">
        <f t="shared" si="1"/>
        <v>1.8802177858439202</v>
      </c>
      <c r="O33" s="50"/>
      <c r="P33" s="6"/>
      <c r="Q33" s="2"/>
    </row>
    <row r="34" spans="1:17" x14ac:dyDescent="0.35">
      <c r="A34" s="50"/>
      <c r="B34" s="56" t="s">
        <v>38</v>
      </c>
      <c r="C34" s="57" t="str">
        <f>IF($B$2="Race",VLOOKUP(B34,Table1[],2,FALSE),IF($B$2="Religion",VLOOKUP(B34,Table3[],2,FALSE),IF($B$2="Sexual Orientation",VLOOKUP(B34,Table2[],2,FALSE),IF($B$2="Disability",VLOOKUP(B34,Table4[],2,FALSE),IF($B$2="Transgender",VLOOKUP(B34,Table5[],2,FALSE),IF($B$2="Total Offences",VLOOKUP(B34,Table6[],2,FALSE),""))))))</f>
        <v>N/A</v>
      </c>
      <c r="D34" s="57">
        <f>IF($B$2="Race",VLOOKUP(B34,Table1[],3,FALSE),IF($B$2="Religion",VLOOKUP(B34,Table3[],3,FALSE),IF($B$2="Sexual Orientation",VLOOKUP(B34,Table2[],3,FALSE),IF($B$2="Disability",VLOOKUP(B34,Table4[],3,FALSE),IF($B$2="Transgender",VLOOKUP(B34,Table5[],3,FALSE),IF($B$2="Total Offences",VLOOKUP(B34,Table6[],3,FALSE),""))))))</f>
        <v>573</v>
      </c>
      <c r="E34" s="57">
        <f>IF($B$2="Race",VLOOKUP(B34,Table1[],4,FALSE),IF($B$2="Religion",VLOOKUP(B34,Table3[],4,FALSE),IF($B$2="Sexual Orientation",VLOOKUP(B34,Table2[],4,FALSE),IF($B$2="Disability",VLOOKUP(B34,Table4[],4,FALSE),IF($B$2="Transgender",VLOOKUP(B34,Table5[],4,FALSE),IF($B$2="Total Offences",VLOOKUP(B34,Table6[],4,FALSE),""))))))</f>
        <v>674</v>
      </c>
      <c r="F34" s="57">
        <f>IF($B$2="Race",VLOOKUP(B34,Table1[],5,FALSE),IF($B$2="Religion",VLOOKUP(B34,Table3[],5,FALSE),IF($B$2="Sexual Orientation",VLOOKUP(B34,Table2[],5,FALSE),IF($B$2="Disability",VLOOKUP(B34,Table4[],5,FALSE),IF($B$2="Transgender",VLOOKUP(B34,Table5[],5,FALSE),IF($B$2="Total Offences",VLOOKUP(B34,Table6[],5,FALSE),""))))))</f>
        <v>912</v>
      </c>
      <c r="G34" s="57">
        <f>IF($B$2="Race",VLOOKUP(B34,Table1[],6,FALSE),IF($B$2="Religion",VLOOKUP(B34,Table3[],6,FALSE),IF($B$2="Sexual Orientation",VLOOKUP(B34,Table2[],6,FALSE),IF($B$2="Disability",VLOOKUP(B34,Table4[],6,FALSE),IF($B$2="Transgender",VLOOKUP(B34,Table5[],6,FALSE),IF($B$2="Total Offences",VLOOKUP(B34,Table6[],6,FALSE),""))))))</f>
        <v>1295</v>
      </c>
      <c r="H34" s="57">
        <f>IF($B$2="Race",VLOOKUP(B34,Table1[],7,FALSE),IF($B$2="Religion",VLOOKUP(B34,Table3[],7,FALSE),IF($B$2="Sexual Orientation",VLOOKUP(B34,Table2[],7,FALSE),IF($B$2="Disability",VLOOKUP(B34,Table4[],7,FALSE),IF($B$2="Transgender",VLOOKUP(B34,Table5[],7,FALSE),IF($B$2="Total Offences",VLOOKUP(B34,Table6[],7,FALSE),""))))))</f>
        <v>2187</v>
      </c>
      <c r="I34" s="57">
        <f>IF($B$2="Race",VLOOKUP(B34,Table1[],8,FALSE),IF($B$2="Religion",VLOOKUP(B34,Table3[],8,FALSE),IF($B$2="Sexual Orientation",VLOOKUP(B34,Table2[],8,FALSE),IF($B$2="Disability",VLOOKUP(B34,Table4[],8,FALSE),IF($B$2="Transgender",VLOOKUP(B34,Table5[],8,FALSE),IF($B$2="Total Offences",VLOOKUP(B34,Table6[],8,FALSE),""))))))</f>
        <v>2559</v>
      </c>
      <c r="J34" s="57">
        <f>IF($B$2="Race",VLOOKUP(B34,Table1[],9,FALSE),IF($B$2="Religion",VLOOKUP(B34,Table3[],9,FALSE),IF($B$2="Sexual Orientation",VLOOKUP(B34,Table2[],9,FALSE),IF($B$2="Disability",VLOOKUP(B34,Table4[],9,FALSE),IF($B$2="Transgender",VLOOKUP(B34,Table5[],9,FALSE),IF($B$2="Total Offences",VLOOKUP(B34,Table6[],9,FALSE),""))))))</f>
        <v>2703</v>
      </c>
      <c r="K34" s="57">
        <f>IF($B$2="Race",VLOOKUP(B34,Table1[],10,FALSE),IF($B$2="Religion",VLOOKUP(B34,Table3[],10,FALSE),IF($B$2="Sexual Orientation",VLOOKUP(B34,Table2[],10,FALSE),IF($B$2="Disability",VLOOKUP(B34,Table4[],10,FALSE),IF($B$2="Transgender",VLOOKUP(B34,Table5[],10,FALSE),IF($B$2="Total Offences",VLOOKUP(B34,Table6[],10,FALSE),""))))))</f>
        <v>2852</v>
      </c>
      <c r="L34" s="57">
        <f>IF($B$2="Race",VLOOKUP(B34,Table1[],11,FALSE),IF($B$2="Religion",VLOOKUP(B34,Table3[],11,FALSE),IF($B$2="Sexual Orientation",VLOOKUP(B34,Table2[],11,FALSE),IF($B$2="Disability",VLOOKUP(B34,Table4[],10,FALSE),IF($B$2="Transgender",VLOOKUP(B34,Table5[],11,FALSE),IF($B$2="Total Offences",VLOOKUP(B34,Table6[],11,FALSE),""))))))</f>
        <v>3076</v>
      </c>
      <c r="M34" s="58">
        <f t="shared" si="0"/>
        <v>7.8541374474053294E-2</v>
      </c>
      <c r="N34" s="58">
        <f t="shared" si="1"/>
        <v>1.3752895752895751</v>
      </c>
      <c r="O34" s="50"/>
      <c r="P34" s="6"/>
    </row>
    <row r="35" spans="1:17" x14ac:dyDescent="0.35">
      <c r="A35" s="50"/>
      <c r="B35" s="56" t="s">
        <v>39</v>
      </c>
      <c r="C35" s="57" t="str">
        <f>IF($B$2="Race",VLOOKUP(B35,Table1[],2,FALSE),IF($B$2="Religion",VLOOKUP(B35,Table3[],2,FALSE),IF($B$2="Sexual Orientation",VLOOKUP(B35,Table2[],2,FALSE),IF($B$2="Disability",VLOOKUP(B35,Table4[],2,FALSE),IF($B$2="Transgender",VLOOKUP(B35,Table5[],2,FALSE),IF($B$2="Total Offences",VLOOKUP(B35,Table6[],2,FALSE),""))))))</f>
        <v>N/A</v>
      </c>
      <c r="D35" s="57">
        <f>IF($B$2="Race",VLOOKUP(B35,Table1[],3,FALSE),IF($B$2="Religion",VLOOKUP(B35,Table3[],3,FALSE),IF($B$2="Sexual Orientation",VLOOKUP(B35,Table2[],3,FALSE),IF($B$2="Disability",VLOOKUP(B35,Table4[],3,FALSE),IF($B$2="Transgender",VLOOKUP(B35,Table5[],3,FALSE),IF($B$2="Total Offences",VLOOKUP(B35,Table6[],3,FALSE),""))))))</f>
        <v>594</v>
      </c>
      <c r="E35" s="57">
        <f>IF($B$2="Race",VLOOKUP(B35,Table1[],4,FALSE),IF($B$2="Religion",VLOOKUP(B35,Table3[],4,FALSE),IF($B$2="Sexual Orientation",VLOOKUP(B35,Table2[],4,FALSE),IF($B$2="Disability",VLOOKUP(B35,Table4[],4,FALSE),IF($B$2="Transgender",VLOOKUP(B35,Table5[],4,FALSE),IF($B$2="Total Offences",VLOOKUP(B35,Table6[],4,FALSE),""))))))</f>
        <v>828</v>
      </c>
      <c r="F35" s="57">
        <f>IF($B$2="Race",VLOOKUP(B35,Table1[],5,FALSE),IF($B$2="Religion",VLOOKUP(B35,Table3[],5,FALSE),IF($B$2="Sexual Orientation",VLOOKUP(B35,Table2[],5,FALSE),IF($B$2="Disability",VLOOKUP(B35,Table4[],5,FALSE),IF($B$2="Transgender",VLOOKUP(B35,Table5[],5,FALSE),IF($B$2="Total Offences",VLOOKUP(B35,Table6[],5,FALSE),""))))))</f>
        <v>796</v>
      </c>
      <c r="G35" s="57">
        <f>IF($B$2="Race",VLOOKUP(B35,Table1[],6,FALSE),IF($B$2="Religion",VLOOKUP(B35,Table3[],6,FALSE),IF($B$2="Sexual Orientation",VLOOKUP(B35,Table2[],6,FALSE),IF($B$2="Disability",VLOOKUP(B35,Table4[],6,FALSE),IF($B$2="Transgender",VLOOKUP(B35,Table5[],6,FALSE),IF($B$2="Total Offences",VLOOKUP(B35,Table6[],6,FALSE),""))))))</f>
        <v>911</v>
      </c>
      <c r="H35" s="57">
        <f>IF($B$2="Race",VLOOKUP(B35,Table1[],7,FALSE),IF($B$2="Religion",VLOOKUP(B35,Table3[],7,FALSE),IF($B$2="Sexual Orientation",VLOOKUP(B35,Table2[],7,FALSE),IF($B$2="Disability",VLOOKUP(B35,Table4[],7,FALSE),IF($B$2="Transgender",VLOOKUP(B35,Table5[],7,FALSE),IF($B$2="Total Offences",VLOOKUP(B35,Table6[],7,FALSE),""))))))</f>
        <v>1264</v>
      </c>
      <c r="I35" s="57">
        <f>IF($B$2="Race",VLOOKUP(B35,Table1[],8,FALSE),IF($B$2="Religion",VLOOKUP(B35,Table3[],8,FALSE),IF($B$2="Sexual Orientation",VLOOKUP(B35,Table2[],8,FALSE),IF($B$2="Disability",VLOOKUP(B35,Table4[],8,FALSE),IF($B$2="Transgender",VLOOKUP(B35,Table5[],8,FALSE),IF($B$2="Total Offences",VLOOKUP(B35,Table6[],8,FALSE),""))))))</f>
        <v>1509</v>
      </c>
      <c r="J35" s="57">
        <f>IF($B$2="Race",VLOOKUP(B35,Table1[],9,FALSE),IF($B$2="Religion",VLOOKUP(B35,Table3[],9,FALSE),IF($B$2="Sexual Orientation",VLOOKUP(B35,Table2[],9,FALSE),IF($B$2="Disability",VLOOKUP(B35,Table4[],9,FALSE),IF($B$2="Transgender",VLOOKUP(B35,Table5[],9,FALSE),IF($B$2="Total Offences",VLOOKUP(B35,Table6[],9,FALSE),""))))))</f>
        <v>1495</v>
      </c>
      <c r="K35" s="57">
        <f>IF($B$2="Race",VLOOKUP(B35,Table1[],10,FALSE),IF($B$2="Religion",VLOOKUP(B35,Table3[],10,FALSE),IF($B$2="Sexual Orientation",VLOOKUP(B35,Table2[],10,FALSE),IF($B$2="Disability",VLOOKUP(B35,Table4[],10,FALSE),IF($B$2="Transgender",VLOOKUP(B35,Table5[],10,FALSE),IF($B$2="Total Offences",VLOOKUP(B35,Table6[],10,FALSE),""))))))</f>
        <v>1683</v>
      </c>
      <c r="L35" s="57">
        <f>IF($B$2="Race",VLOOKUP(B35,Table1[],11,FALSE),IF($B$2="Religion",VLOOKUP(B35,Table3[],11,FALSE),IF($B$2="Sexual Orientation",VLOOKUP(B35,Table2[],11,FALSE),IF($B$2="Disability",VLOOKUP(B35,Table4[],10,FALSE),IF($B$2="Transgender",VLOOKUP(B35,Table5[],11,FALSE),IF($B$2="Total Offences",VLOOKUP(B35,Table6[],11,FALSE),""))))))</f>
        <v>1635</v>
      </c>
      <c r="M35" s="58">
        <f t="shared" si="0"/>
        <v>-2.8520499108734443E-2</v>
      </c>
      <c r="N35" s="58">
        <f t="shared" si="1"/>
        <v>0.79473106476399558</v>
      </c>
      <c r="O35" s="50"/>
      <c r="P35" s="6"/>
    </row>
    <row r="36" spans="1:17" x14ac:dyDescent="0.35">
      <c r="A36" s="50"/>
      <c r="B36" s="56" t="s">
        <v>41</v>
      </c>
      <c r="C36" s="57" t="str">
        <f>IF($B$2="Race",VLOOKUP(B36,Table1[],2,FALSE),IF($B$2="Religion",VLOOKUP(B36,Table3[],2,FALSE),IF($B$2="Sexual Orientation",VLOOKUP(B36,Table2[],2,FALSE),IF($B$2="Disability",VLOOKUP(B36,Table4[],2,FALSE),IF($B$2="Transgender",VLOOKUP(B36,Table5[],2,FALSE),IF($B$2="Total Offences",VLOOKUP(B36,Table6[],2,FALSE),""))))))</f>
        <v>N/A</v>
      </c>
      <c r="D36" s="57">
        <f>IF($B$2="Race",VLOOKUP(B36,Table1[],3,FALSE),IF($B$2="Religion",VLOOKUP(B36,Table3[],3,FALSE),IF($B$2="Sexual Orientation",VLOOKUP(B36,Table2[],3,FALSE),IF($B$2="Disability",VLOOKUP(B36,Table4[],3,FALSE),IF($B$2="Transgender",VLOOKUP(B36,Table5[],3,FALSE),IF($B$2="Total Offences",VLOOKUP(B36,Table6[],3,FALSE),""))))))</f>
        <v>575</v>
      </c>
      <c r="E36" s="57">
        <f>IF($B$2="Race",VLOOKUP(B36,Table1[],4,FALSE),IF($B$2="Religion",VLOOKUP(B36,Table3[],4,FALSE),IF($B$2="Sexual Orientation",VLOOKUP(B36,Table2[],4,FALSE),IF($B$2="Disability",VLOOKUP(B36,Table4[],4,FALSE),IF($B$2="Transgender",VLOOKUP(B36,Table5[],4,FALSE),IF($B$2="Total Offences",VLOOKUP(B36,Table6[],4,FALSE),""))))))</f>
        <v>663</v>
      </c>
      <c r="F36" s="57">
        <f>IF($B$2="Race",VLOOKUP(B36,Table1[],5,FALSE),IF($B$2="Religion",VLOOKUP(B36,Table3[],5,FALSE),IF($B$2="Sexual Orientation",VLOOKUP(B36,Table2[],5,FALSE),IF($B$2="Disability",VLOOKUP(B36,Table4[],5,FALSE),IF($B$2="Transgender",VLOOKUP(B36,Table5[],5,FALSE),IF($B$2="Total Offences",VLOOKUP(B36,Table6[],5,FALSE),""))))))</f>
        <v>757</v>
      </c>
      <c r="G36" s="57">
        <f>IF($B$2="Race",VLOOKUP(B36,Table1[],6,FALSE),IF($B$2="Religion",VLOOKUP(B36,Table3[],6,FALSE),IF($B$2="Sexual Orientation",VLOOKUP(B36,Table2[],6,FALSE),IF($B$2="Disability",VLOOKUP(B36,Table4[],6,FALSE),IF($B$2="Transgender",VLOOKUP(B36,Table5[],6,FALSE),IF($B$2="Total Offences",VLOOKUP(B36,Table6[],6,FALSE),""))))))</f>
        <v>974</v>
      </c>
      <c r="H36" s="57">
        <f>IF($B$2="Race",VLOOKUP(B36,Table1[],7,FALSE),IF($B$2="Religion",VLOOKUP(B36,Table3[],7,FALSE),IF($B$2="Sexual Orientation",VLOOKUP(B36,Table2[],7,FALSE),IF($B$2="Disability",VLOOKUP(B36,Table4[],7,FALSE),IF($B$2="Transgender",VLOOKUP(B36,Table5[],7,FALSE),IF($B$2="Total Offences",VLOOKUP(B36,Table6[],7,FALSE),""))))))</f>
        <v>1591</v>
      </c>
      <c r="I36" s="57">
        <f>IF($B$2="Race",VLOOKUP(B36,Table1[],8,FALSE),IF($B$2="Religion",VLOOKUP(B36,Table3[],8,FALSE),IF($B$2="Sexual Orientation",VLOOKUP(B36,Table2[],8,FALSE),IF($B$2="Disability",VLOOKUP(B36,Table4[],8,FALSE),IF($B$2="Transgender",VLOOKUP(B36,Table5[],8,FALSE),IF($B$2="Total Offences",VLOOKUP(B36,Table6[],8,FALSE),""))))))</f>
        <v>2219</v>
      </c>
      <c r="J36" s="57">
        <f>IF($B$2="Race",VLOOKUP(B36,Table1[],9,FALSE),IF($B$2="Religion",VLOOKUP(B36,Table3[],9,FALSE),IF($B$2="Sexual Orientation",VLOOKUP(B36,Table2[],9,FALSE),IF($B$2="Disability",VLOOKUP(B36,Table4[],9,FALSE),IF($B$2="Transgender",VLOOKUP(B36,Table5[],9,FALSE),IF($B$2="Total Offences",VLOOKUP(B36,Table6[],9,FALSE),""))))))</f>
        <v>2618</v>
      </c>
      <c r="K36" s="57">
        <f>IF($B$2="Race",VLOOKUP(B36,Table1[],10,FALSE),IF($B$2="Religion",VLOOKUP(B36,Table3[],10,FALSE),IF($B$2="Sexual Orientation",VLOOKUP(B36,Table2[],10,FALSE),IF($B$2="Disability",VLOOKUP(B36,Table4[],10,FALSE),IF($B$2="Transgender",VLOOKUP(B36,Table5[],10,FALSE),IF($B$2="Total Offences",VLOOKUP(B36,Table6[],10,FALSE),""))))))</f>
        <v>2931</v>
      </c>
      <c r="L36" s="57">
        <f>IF($B$2="Race",VLOOKUP(B36,Table1[],11,FALSE),IF($B$2="Religion",VLOOKUP(B36,Table3[],11,FALSE),IF($B$2="Sexual Orientation",VLOOKUP(B36,Table2[],11,FALSE),IF($B$2="Disability",VLOOKUP(B36,Table4[],10,FALSE),IF($B$2="Transgender",VLOOKUP(B36,Table5[],11,FALSE),IF($B$2="Total Offences",VLOOKUP(B36,Table6[],11,FALSE),""))))))</f>
        <v>3383</v>
      </c>
      <c r="M36" s="58">
        <f t="shared" si="0"/>
        <v>0.15421357898328214</v>
      </c>
      <c r="N36" s="58">
        <f t="shared" si="1"/>
        <v>2.4733059548254621</v>
      </c>
      <c r="O36" s="50"/>
      <c r="P36" s="6"/>
    </row>
    <row r="37" spans="1:17" x14ac:dyDescent="0.35">
      <c r="A37" s="50"/>
      <c r="B37" s="56" t="s">
        <v>42</v>
      </c>
      <c r="C37" s="57" t="str">
        <f>IF($B$2="Race",VLOOKUP(B37,Table1[],2,FALSE),IF($B$2="Religion",VLOOKUP(B37,Table3[],2,FALSE),IF($B$2="Sexual Orientation",VLOOKUP(B37,Table2[],2,FALSE),IF($B$2="Disability",VLOOKUP(B37,Table4[],2,FALSE),IF($B$2="Transgender",VLOOKUP(B37,Table5[],2,FALSE),IF($B$2="Total Offences",VLOOKUP(B37,Table6[],2,FALSE),""))))))</f>
        <v>N/A</v>
      </c>
      <c r="D37" s="57">
        <f>IF($B$2="Race",VLOOKUP(B37,Table1[],3,FALSE),IF($B$2="Religion",VLOOKUP(B37,Table3[],3,FALSE),IF($B$2="Sexual Orientation",VLOOKUP(B37,Table2[],3,FALSE),IF($B$2="Disability",VLOOKUP(B37,Table4[],3,FALSE),IF($B$2="Transgender",VLOOKUP(B37,Table5[],3,FALSE),IF($B$2="Total Offences",VLOOKUP(B37,Table6[],3,FALSE),""))))))</f>
        <v>793</v>
      </c>
      <c r="E37" s="57">
        <f>IF($B$2="Race",VLOOKUP(B37,Table1[],4,FALSE),IF($B$2="Religion",VLOOKUP(B37,Table3[],4,FALSE),IF($B$2="Sexual Orientation",VLOOKUP(B37,Table2[],4,FALSE),IF($B$2="Disability",VLOOKUP(B37,Table4[],4,FALSE),IF($B$2="Transgender",VLOOKUP(B37,Table5[],4,FALSE),IF($B$2="Total Offences",VLOOKUP(B37,Table6[],4,FALSE),""))))))</f>
        <v>832</v>
      </c>
      <c r="F37" s="57">
        <f>IF($B$2="Race",VLOOKUP(B37,Table1[],5,FALSE),IF($B$2="Religion",VLOOKUP(B37,Table3[],5,FALSE),IF($B$2="Sexual Orientation",VLOOKUP(B37,Table2[],5,FALSE),IF($B$2="Disability",VLOOKUP(B37,Table4[],5,FALSE),IF($B$2="Transgender",VLOOKUP(B37,Table5[],5,FALSE),IF($B$2="Total Offences",VLOOKUP(B37,Table6[],5,FALSE),""))))))</f>
        <v>845</v>
      </c>
      <c r="G37" s="57">
        <f>IF($B$2="Race",VLOOKUP(B37,Table1[],6,FALSE),IF($B$2="Religion",VLOOKUP(B37,Table3[],6,FALSE),IF($B$2="Sexual Orientation",VLOOKUP(B37,Table2[],6,FALSE),IF($B$2="Disability",VLOOKUP(B37,Table4[],6,FALSE),IF($B$2="Transgender",VLOOKUP(B37,Table5[],6,FALSE),IF($B$2="Total Offences",VLOOKUP(B37,Table6[],6,FALSE),""))))))</f>
        <v>1081</v>
      </c>
      <c r="H37" s="57">
        <f>IF($B$2="Race",VLOOKUP(B37,Table1[],7,FALSE),IF($B$2="Religion",VLOOKUP(B37,Table3[],7,FALSE),IF($B$2="Sexual Orientation",VLOOKUP(B37,Table2[],7,FALSE),IF($B$2="Disability",VLOOKUP(B37,Table4[],7,FALSE),IF($B$2="Transgender",VLOOKUP(B37,Table5[],7,FALSE),IF($B$2="Total Offences",VLOOKUP(B37,Table6[],7,FALSE),""))))))</f>
        <v>1412</v>
      </c>
      <c r="I37" s="57">
        <f>IF($B$2="Race",VLOOKUP(B37,Table1[],8,FALSE),IF($B$2="Religion",VLOOKUP(B37,Table3[],8,FALSE),IF($B$2="Sexual Orientation",VLOOKUP(B37,Table2[],8,FALSE),IF($B$2="Disability",VLOOKUP(B37,Table4[],8,FALSE),IF($B$2="Transgender",VLOOKUP(B37,Table5[],8,FALSE),IF($B$2="Total Offences",VLOOKUP(B37,Table6[],8,FALSE),""))))))</f>
        <v>1578</v>
      </c>
      <c r="J37" s="57">
        <f>IF($B$2="Race",VLOOKUP(B37,Table1[],9,FALSE),IF($B$2="Religion",VLOOKUP(B37,Table3[],9,FALSE),IF($B$2="Sexual Orientation",VLOOKUP(B37,Table2[],9,FALSE),IF($B$2="Disability",VLOOKUP(B37,Table4[],9,FALSE),IF($B$2="Transgender",VLOOKUP(B37,Table5[],9,FALSE),IF($B$2="Total Offences",VLOOKUP(B37,Table6[],9,FALSE),""))))))</f>
        <v>1570</v>
      </c>
      <c r="K37" s="57">
        <f>IF($B$2="Race",VLOOKUP(B37,Table1[],10,FALSE),IF($B$2="Religion",VLOOKUP(B37,Table3[],10,FALSE),IF($B$2="Sexual Orientation",VLOOKUP(B37,Table2[],10,FALSE),IF($B$2="Disability",VLOOKUP(B37,Table4[],10,FALSE),IF($B$2="Transgender",VLOOKUP(B37,Table5[],10,FALSE),IF($B$2="Total Offences",VLOOKUP(B37,Table6[],10,FALSE),""))))))</f>
        <v>1353</v>
      </c>
      <c r="L37" s="57">
        <f>IF($B$2="Race",VLOOKUP(B37,Table1[],11,FALSE),IF($B$2="Religion",VLOOKUP(B37,Table3[],11,FALSE),IF($B$2="Sexual Orientation",VLOOKUP(B37,Table2[],11,FALSE),IF($B$2="Disability",VLOOKUP(B37,Table4[],10,FALSE),IF($B$2="Transgender",VLOOKUP(B37,Table5[],11,FALSE),IF($B$2="Total Offences",VLOOKUP(B37,Table6[],11,FALSE),""))))))</f>
        <v>1367</v>
      </c>
      <c r="M37" s="58">
        <f t="shared" si="0"/>
        <v>1.0347376201034653E-2</v>
      </c>
      <c r="N37" s="58">
        <f t="shared" si="1"/>
        <v>0.26456984273820527</v>
      </c>
      <c r="O37" s="50"/>
      <c r="P37" s="6"/>
    </row>
    <row r="38" spans="1:17" x14ac:dyDescent="0.35">
      <c r="A38" s="50"/>
      <c r="B38" s="56" t="s">
        <v>43</v>
      </c>
      <c r="C38" s="57" t="str">
        <f>IF($B$2="Race",VLOOKUP(B38,Table1[],2,FALSE),IF($B$2="Religion",VLOOKUP(B38,Table3[],2,FALSE),IF($B$2="Sexual Orientation",VLOOKUP(B38,Table2[],2,FALSE),IF($B$2="Disability",VLOOKUP(B38,Table4[],2,FALSE),IF($B$2="Transgender",VLOOKUP(B38,Table5[],2,FALSE),IF($B$2="Total Offences",VLOOKUP(B38,Table6[],2,FALSE),""))))))</f>
        <v>N/A</v>
      </c>
      <c r="D38" s="57">
        <f>IF($B$2="Race",VLOOKUP(B38,Table1[],3,FALSE),IF($B$2="Religion",VLOOKUP(B38,Table3[],3,FALSE),IF($B$2="Sexual Orientation",VLOOKUP(B38,Table2[],3,FALSE),IF($B$2="Disability",VLOOKUP(B38,Table4[],3,FALSE),IF($B$2="Transgender",VLOOKUP(B38,Table5[],3,FALSE),IF($B$2="Total Offences",VLOOKUP(B38,Table6[],3,FALSE),""))))))</f>
        <v>604</v>
      </c>
      <c r="E38" s="57">
        <f>IF($B$2="Race",VLOOKUP(B38,Table1[],4,FALSE),IF($B$2="Religion",VLOOKUP(B38,Table3[],4,FALSE),IF($B$2="Sexual Orientation",VLOOKUP(B38,Table2[],4,FALSE),IF($B$2="Disability",VLOOKUP(B38,Table4[],4,FALSE),IF($B$2="Transgender",VLOOKUP(B38,Table5[],4,FALSE),IF($B$2="Total Offences",VLOOKUP(B38,Table6[],4,FALSE),""))))))</f>
        <v>571</v>
      </c>
      <c r="F38" s="57">
        <f>IF($B$2="Race",VLOOKUP(B38,Table1[],5,FALSE),IF($B$2="Religion",VLOOKUP(B38,Table3[],5,FALSE),IF($B$2="Sexual Orientation",VLOOKUP(B38,Table2[],5,FALSE),IF($B$2="Disability",VLOOKUP(B38,Table4[],5,FALSE),IF($B$2="Transgender",VLOOKUP(B38,Table5[],5,FALSE),IF($B$2="Total Offences",VLOOKUP(B38,Table6[],5,FALSE),""))))))</f>
        <v>440</v>
      </c>
      <c r="G38" s="57">
        <f>IF($B$2="Race",VLOOKUP(B38,Table1[],6,FALSE),IF($B$2="Religion",VLOOKUP(B38,Table3[],6,FALSE),IF($B$2="Sexual Orientation",VLOOKUP(B38,Table2[],6,FALSE),IF($B$2="Disability",VLOOKUP(B38,Table4[],6,FALSE),IF($B$2="Transgender",VLOOKUP(B38,Table5[],6,FALSE),IF($B$2="Total Offences",VLOOKUP(B38,Table6[],6,FALSE),""))))))</f>
        <v>463</v>
      </c>
      <c r="H38" s="57">
        <f>IF($B$2="Race",VLOOKUP(B38,Table1[],7,FALSE),IF($B$2="Religion",VLOOKUP(B38,Table3[],7,FALSE),IF($B$2="Sexual Orientation",VLOOKUP(B38,Table2[],7,FALSE),IF($B$2="Disability",VLOOKUP(B38,Table4[],7,FALSE),IF($B$2="Transgender",VLOOKUP(B38,Table5[],7,FALSE),IF($B$2="Total Offences",VLOOKUP(B38,Table6[],7,FALSE),""))))))</f>
        <v>796</v>
      </c>
      <c r="I38" s="57">
        <f>IF($B$2="Race",VLOOKUP(B38,Table1[],8,FALSE),IF($B$2="Religion",VLOOKUP(B38,Table3[],8,FALSE),IF($B$2="Sexual Orientation",VLOOKUP(B38,Table2[],8,FALSE),IF($B$2="Disability",VLOOKUP(B38,Table4[],8,FALSE),IF($B$2="Transgender",VLOOKUP(B38,Table5[],8,FALSE),IF($B$2="Total Offences",VLOOKUP(B38,Table6[],8,FALSE),""))))))</f>
        <v>1118</v>
      </c>
      <c r="J38" s="57">
        <f>IF($B$2="Race",VLOOKUP(B38,Table1[],9,FALSE),IF($B$2="Religion",VLOOKUP(B38,Table3[],9,FALSE),IF($B$2="Sexual Orientation",VLOOKUP(B38,Table2[],9,FALSE),IF($B$2="Disability",VLOOKUP(B38,Table4[],9,FALSE),IF($B$2="Transgender",VLOOKUP(B38,Table5[],9,FALSE),IF($B$2="Total Offences",VLOOKUP(B38,Table6[],9,FALSE),""))))))</f>
        <v>951</v>
      </c>
      <c r="K38" s="57">
        <f>IF($B$2="Race",VLOOKUP(B38,Table1[],10,FALSE),IF($B$2="Religion",VLOOKUP(B38,Table3[],10,FALSE),IF($B$2="Sexual Orientation",VLOOKUP(B38,Table2[],10,FALSE),IF($B$2="Disability",VLOOKUP(B38,Table4[],10,FALSE),IF($B$2="Transgender",VLOOKUP(B38,Table5[],10,FALSE),IF($B$2="Total Offences",VLOOKUP(B38,Table6[],10,FALSE),""))))))</f>
        <v>866</v>
      </c>
      <c r="L38" s="57">
        <f>IF($B$2="Race",VLOOKUP(B38,Table1[],11,FALSE),IF($B$2="Religion",VLOOKUP(B38,Table3[],11,FALSE),IF($B$2="Sexual Orientation",VLOOKUP(B38,Table2[],11,FALSE),IF($B$2="Disability",VLOOKUP(B38,Table4[],10,FALSE),IF($B$2="Transgender",VLOOKUP(B38,Table5[],11,FALSE),IF($B$2="Total Offences",VLOOKUP(B38,Table6[],11,FALSE),""))))))</f>
        <v>962</v>
      </c>
      <c r="M38" s="58">
        <f t="shared" si="0"/>
        <v>0.11085450346420322</v>
      </c>
      <c r="N38" s="58">
        <f t="shared" si="1"/>
        <v>1.0777537796976242</v>
      </c>
      <c r="O38" s="50"/>
      <c r="P38" s="6"/>
    </row>
    <row r="39" spans="1:17" x14ac:dyDescent="0.35">
      <c r="A39" s="50"/>
      <c r="B39" s="56" t="s">
        <v>44</v>
      </c>
      <c r="C39" s="57" t="str">
        <f>IF($B$2="Race",VLOOKUP(B39,Table1[],2,FALSE),IF($B$2="Religion",VLOOKUP(B39,Table3[],2,FALSE),IF($B$2="Sexual Orientation",VLOOKUP(B39,Table2[],2,FALSE),IF($B$2="Disability",VLOOKUP(B39,Table4[],2,FALSE),IF($B$2="Transgender",VLOOKUP(B39,Table5[],2,FALSE),IF($B$2="Total Offences",VLOOKUP(B39,Table6[],2,FALSE),""))))))</f>
        <v>N/A</v>
      </c>
      <c r="D39" s="57">
        <f>IF($B$2="Race",VLOOKUP(B39,Table1[],3,FALSE),IF($B$2="Religion",VLOOKUP(B39,Table3[],3,FALSE),IF($B$2="Sexual Orientation",VLOOKUP(B39,Table2[],3,FALSE),IF($B$2="Disability",VLOOKUP(B39,Table4[],3,FALSE),IF($B$2="Transgender",VLOOKUP(B39,Table5[],3,FALSE),IF($B$2="Total Offences",VLOOKUP(B39,Table6[],3,FALSE),""))))))</f>
        <v>566</v>
      </c>
      <c r="E39" s="57">
        <f>IF($B$2="Race",VLOOKUP(B39,Table1[],4,FALSE),IF($B$2="Religion",VLOOKUP(B39,Table3[],4,FALSE),IF($B$2="Sexual Orientation",VLOOKUP(B39,Table2[],4,FALSE),IF($B$2="Disability",VLOOKUP(B39,Table4[],4,FALSE),IF($B$2="Transgender",VLOOKUP(B39,Table5[],4,FALSE),IF($B$2="Total Offences",VLOOKUP(B39,Table6[],4,FALSE),""))))))</f>
        <v>449</v>
      </c>
      <c r="F39" s="57">
        <f>IF($B$2="Race",VLOOKUP(B39,Table1[],5,FALSE),IF($B$2="Religion",VLOOKUP(B39,Table3[],5,FALSE),IF($B$2="Sexual Orientation",VLOOKUP(B39,Table2[],5,FALSE),IF($B$2="Disability",VLOOKUP(B39,Table4[],5,FALSE),IF($B$2="Transgender",VLOOKUP(B39,Table5[],5,FALSE),IF($B$2="Total Offences",VLOOKUP(B39,Table6[],5,FALSE),""))))))</f>
        <v>684</v>
      </c>
      <c r="G39" s="57">
        <f>IF($B$2="Race",VLOOKUP(B39,Table1[],6,FALSE),IF($B$2="Religion",VLOOKUP(B39,Table3[],6,FALSE),IF($B$2="Sexual Orientation",VLOOKUP(B39,Table2[],6,FALSE),IF($B$2="Disability",VLOOKUP(B39,Table4[],6,FALSE),IF($B$2="Transgender",VLOOKUP(B39,Table5[],6,FALSE),IF($B$2="Total Offences",VLOOKUP(B39,Table6[],6,FALSE),""))))))</f>
        <v>979</v>
      </c>
      <c r="H39" s="57">
        <f>IF($B$2="Race",VLOOKUP(B39,Table1[],7,FALSE),IF($B$2="Religion",VLOOKUP(B39,Table3[],7,FALSE),IF($B$2="Sexual Orientation",VLOOKUP(B39,Table2[],7,FALSE),IF($B$2="Disability",VLOOKUP(B39,Table4[],7,FALSE),IF($B$2="Transgender",VLOOKUP(B39,Table5[],7,FALSE),IF($B$2="Total Offences",VLOOKUP(B39,Table6[],7,FALSE),""))))))</f>
        <v>1393</v>
      </c>
      <c r="I39" s="57">
        <f>IF($B$2="Race",VLOOKUP(B39,Table1[],8,FALSE),IF($B$2="Religion",VLOOKUP(B39,Table3[],8,FALSE),IF($B$2="Sexual Orientation",VLOOKUP(B39,Table2[],8,FALSE),IF($B$2="Disability",VLOOKUP(B39,Table4[],8,FALSE),IF($B$2="Transgender",VLOOKUP(B39,Table5[],8,FALSE),IF($B$2="Total Offences",VLOOKUP(B39,Table6[],8,FALSE),""))))))</f>
        <v>1631</v>
      </c>
      <c r="J39" s="57">
        <f>IF($B$2="Race",VLOOKUP(B39,Table1[],9,FALSE),IF($B$2="Religion",VLOOKUP(B39,Table3[],9,FALSE),IF($B$2="Sexual Orientation",VLOOKUP(B39,Table2[],9,FALSE),IF($B$2="Disability",VLOOKUP(B39,Table4[],9,FALSE),IF($B$2="Transgender",VLOOKUP(B39,Table5[],9,FALSE),IF($B$2="Total Offences",VLOOKUP(B39,Table6[],9,FALSE),""))))))</f>
        <v>1802</v>
      </c>
      <c r="K39" s="57">
        <f>IF($B$2="Race",VLOOKUP(B39,Table1[],10,FALSE),IF($B$2="Religion",VLOOKUP(B39,Table3[],10,FALSE),IF($B$2="Sexual Orientation",VLOOKUP(B39,Table2[],10,FALSE),IF($B$2="Disability",VLOOKUP(B39,Table4[],10,FALSE),IF($B$2="Transgender",VLOOKUP(B39,Table5[],10,FALSE),IF($B$2="Total Offences",VLOOKUP(B39,Table6[],10,FALSE),""))))))</f>
        <v>1931</v>
      </c>
      <c r="L39" s="57">
        <f>IF($B$2="Race",VLOOKUP(B39,Table1[],11,FALSE),IF($B$2="Religion",VLOOKUP(B39,Table3[],11,FALSE),IF($B$2="Sexual Orientation",VLOOKUP(B39,Table2[],11,FALSE),IF($B$2="Disability",VLOOKUP(B39,Table4[],10,FALSE),IF($B$2="Transgender",VLOOKUP(B39,Table5[],11,FALSE),IF($B$2="Total Offences",VLOOKUP(B39,Table6[],11,FALSE),""))))))</f>
        <v>2022</v>
      </c>
      <c r="M39" s="58">
        <f t="shared" si="0"/>
        <v>4.7125841532884571E-2</v>
      </c>
      <c r="N39" s="58">
        <f t="shared" si="1"/>
        <v>1.0653728294177731</v>
      </c>
      <c r="O39" s="50"/>
      <c r="P39" s="6"/>
    </row>
    <row r="40" spans="1:17" x14ac:dyDescent="0.35">
      <c r="A40" s="50"/>
      <c r="B40" s="56" t="s">
        <v>45</v>
      </c>
      <c r="C40" s="57" t="str">
        <f>IF($B$2="Race",VLOOKUP(B40,Table1[],2,FALSE),IF($B$2="Religion",VLOOKUP(B40,Table3[],2,FALSE),IF($B$2="Sexual Orientation",VLOOKUP(B40,Table2[],2,FALSE),IF($B$2="Disability",VLOOKUP(B40,Table4[],2,FALSE),IF($B$2="Transgender",VLOOKUP(B40,Table5[],2,FALSE),IF($B$2="Total Offences",VLOOKUP(B40,Table6[],2,FALSE),""))))))</f>
        <v>N/A</v>
      </c>
      <c r="D40" s="57">
        <f>IF($B$2="Race",VLOOKUP(B40,Table1[],3,FALSE),IF($B$2="Religion",VLOOKUP(B40,Table3[],3,FALSE),IF($B$2="Sexual Orientation",VLOOKUP(B40,Table2[],3,FALSE),IF($B$2="Disability",VLOOKUP(B40,Table4[],3,FALSE),IF($B$2="Transgender",VLOOKUP(B40,Table5[],3,FALSE),IF($B$2="Total Offences",VLOOKUP(B40,Table6[],3,FALSE),""))))))</f>
        <v>766</v>
      </c>
      <c r="E40" s="57">
        <f>IF($B$2="Race",VLOOKUP(B40,Table1[],4,FALSE),IF($B$2="Religion",VLOOKUP(B40,Table3[],4,FALSE),IF($B$2="Sexual Orientation",VLOOKUP(B40,Table2[],4,FALSE),IF($B$2="Disability",VLOOKUP(B40,Table4[],4,FALSE),IF($B$2="Transgender",VLOOKUP(B40,Table5[],4,FALSE),IF($B$2="Total Offences",VLOOKUP(B40,Table6[],4,FALSE),""))))))</f>
        <v>1031</v>
      </c>
      <c r="F40" s="57">
        <f>IF($B$2="Race",VLOOKUP(B40,Table1[],5,FALSE),IF($B$2="Religion",VLOOKUP(B40,Table3[],5,FALSE),IF($B$2="Sexual Orientation",VLOOKUP(B40,Table2[],5,FALSE),IF($B$2="Disability",VLOOKUP(B40,Table4[],5,FALSE),IF($B$2="Transgender",VLOOKUP(B40,Table5[],5,FALSE),IF($B$2="Total Offences",VLOOKUP(B40,Table6[],5,FALSE),""))))))</f>
        <v>1365</v>
      </c>
      <c r="G40" s="57">
        <f>IF($B$2="Race",VLOOKUP(B40,Table1[],6,FALSE),IF($B$2="Religion",VLOOKUP(B40,Table3[],6,FALSE),IF($B$2="Sexual Orientation",VLOOKUP(B40,Table2[],6,FALSE),IF($B$2="Disability",VLOOKUP(B40,Table4[],6,FALSE),IF($B$2="Transgender",VLOOKUP(B40,Table5[],6,FALSE),IF($B$2="Total Offences",VLOOKUP(B40,Table6[],6,FALSE),""))))))</f>
        <v>1740</v>
      </c>
      <c r="H40" s="57">
        <f>IF($B$2="Race",VLOOKUP(B40,Table1[],7,FALSE),IF($B$2="Religion",VLOOKUP(B40,Table3[],7,FALSE),IF($B$2="Sexual Orientation",VLOOKUP(B40,Table2[],7,FALSE),IF($B$2="Disability",VLOOKUP(B40,Table4[],7,FALSE),IF($B$2="Transgender",VLOOKUP(B40,Table5[],7,FALSE),IF($B$2="Total Offences",VLOOKUP(B40,Table6[],7,FALSE),""))))))</f>
        <v>2006</v>
      </c>
      <c r="I40" s="57">
        <f>IF($B$2="Race",VLOOKUP(B40,Table1[],8,FALSE),IF($B$2="Religion",VLOOKUP(B40,Table3[],8,FALSE),IF($B$2="Sexual Orientation",VLOOKUP(B40,Table2[],8,FALSE),IF($B$2="Disability",VLOOKUP(B40,Table4[],8,FALSE),IF($B$2="Transgender",VLOOKUP(B40,Table5[],8,FALSE),IF($B$2="Total Offences",VLOOKUP(B40,Table6[],8,FALSE),""))))))</f>
        <v>2187</v>
      </c>
      <c r="J40" s="57">
        <f>IF($B$2="Race",VLOOKUP(B40,Table1[],9,FALSE),IF($B$2="Religion",VLOOKUP(B40,Table3[],9,FALSE),IF($B$2="Sexual Orientation",VLOOKUP(B40,Table2[],9,FALSE),IF($B$2="Disability",VLOOKUP(B40,Table4[],9,FALSE),IF($B$2="Transgender",VLOOKUP(B40,Table5[],9,FALSE),IF($B$2="Total Offences",VLOOKUP(B40,Table6[],9,FALSE),""))))))</f>
        <v>2371</v>
      </c>
      <c r="K40" s="57">
        <f>IF($B$2="Race",VLOOKUP(B40,Table1[],10,FALSE),IF($B$2="Religion",VLOOKUP(B40,Table3[],10,FALSE),IF($B$2="Sexual Orientation",VLOOKUP(B40,Table2[],10,FALSE),IF($B$2="Disability",VLOOKUP(B40,Table4[],10,FALSE),IF($B$2="Transgender",VLOOKUP(B40,Table5[],10,FALSE),IF($B$2="Total Offences",VLOOKUP(B40,Table6[],10,FALSE),""))))))</f>
        <v>2872</v>
      </c>
      <c r="L40" s="57">
        <f>IF($B$2="Race",VLOOKUP(B40,Table1[],11,FALSE),IF($B$2="Religion",VLOOKUP(B40,Table3[],11,FALSE),IF($B$2="Sexual Orientation",VLOOKUP(B40,Table2[],11,FALSE),IF($B$2="Disability",VLOOKUP(B40,Table4[],10,FALSE),IF($B$2="Transgender",VLOOKUP(B40,Table5[],11,FALSE),IF($B$2="Total Offences",VLOOKUP(B40,Table6[],11,FALSE),""))))))</f>
        <v>2696</v>
      </c>
      <c r="M40" s="58">
        <f t="shared" si="0"/>
        <v>-6.1281337047353723E-2</v>
      </c>
      <c r="N40" s="58">
        <f t="shared" si="1"/>
        <v>0.5494252873563219</v>
      </c>
      <c r="O40" s="50"/>
      <c r="P40" s="6"/>
    </row>
    <row r="41" spans="1:17" x14ac:dyDescent="0.35">
      <c r="A41" s="50"/>
      <c r="B41" s="56" t="s">
        <v>46</v>
      </c>
      <c r="C41" s="57" t="str">
        <f>IF($B$2="Race",VLOOKUP(B41,Table1[],2,FALSE),IF($B$2="Religion",VLOOKUP(B41,Table3[],2,FALSE),IF($B$2="Sexual Orientation",VLOOKUP(B41,Table2[],2,FALSE),IF($B$2="Disability",VLOOKUP(B41,Table4[],2,FALSE),IF($B$2="Transgender",VLOOKUP(B41,Table5[],2,FALSE),IF($B$2="Total Offences",VLOOKUP(B41,Table6[],2,FALSE),""))))))</f>
        <v>N/A</v>
      </c>
      <c r="D41" s="57">
        <f>IF($B$2="Race",VLOOKUP(B41,Table1[],3,FALSE),IF($B$2="Religion",VLOOKUP(B41,Table3[],3,FALSE),IF($B$2="Sexual Orientation",VLOOKUP(B41,Table2[],3,FALSE),IF($B$2="Disability",VLOOKUP(B41,Table4[],3,FALSE),IF($B$2="Transgender",VLOOKUP(B41,Table5[],3,FALSE),IF($B$2="Total Offences",VLOOKUP(B41,Table6[],3,FALSE),""))))))</f>
        <v>1323</v>
      </c>
      <c r="E41" s="57">
        <f>IF($B$2="Race",VLOOKUP(B41,Table1[],4,FALSE),IF($B$2="Religion",VLOOKUP(B41,Table3[],4,FALSE),IF($B$2="Sexual Orientation",VLOOKUP(B41,Table2[],4,FALSE),IF($B$2="Disability",VLOOKUP(B41,Table4[],4,FALSE),IF($B$2="Transgender",VLOOKUP(B41,Table5[],4,FALSE),IF($B$2="Total Offences",VLOOKUP(B41,Table6[],4,FALSE),""))))))</f>
        <v>1309</v>
      </c>
      <c r="F41" s="57">
        <f>IF($B$2="Race",VLOOKUP(B41,Table1[],5,FALSE),IF($B$2="Religion",VLOOKUP(B41,Table3[],5,FALSE),IF($B$2="Sexual Orientation",VLOOKUP(B41,Table2[],5,FALSE),IF($B$2="Disability",VLOOKUP(B41,Table4[],5,FALSE),IF($B$2="Transgender",VLOOKUP(B41,Table5[],5,FALSE),IF($B$2="Total Offences",VLOOKUP(B41,Table6[],5,FALSE),""))))))</f>
        <v>1236</v>
      </c>
      <c r="G41" s="57">
        <f>IF($B$2="Race",VLOOKUP(B41,Table1[],6,FALSE),IF($B$2="Religion",VLOOKUP(B41,Table3[],6,FALSE),IF($B$2="Sexual Orientation",VLOOKUP(B41,Table2[],6,FALSE),IF($B$2="Disability",VLOOKUP(B41,Table4[],6,FALSE),IF($B$2="Transgender",VLOOKUP(B41,Table5[],6,FALSE),IF($B$2="Total Offences",VLOOKUP(B41,Table6[],6,FALSE),""))))))</f>
        <v>1616</v>
      </c>
      <c r="H41" s="57">
        <f>IF($B$2="Race",VLOOKUP(B41,Table1[],7,FALSE),IF($B$2="Religion",VLOOKUP(B41,Table3[],7,FALSE),IF($B$2="Sexual Orientation",VLOOKUP(B41,Table2[],7,FALSE),IF($B$2="Disability",VLOOKUP(B41,Table4[],7,FALSE),IF($B$2="Transgender",VLOOKUP(B41,Table5[],7,FALSE),IF($B$2="Total Offences",VLOOKUP(B41,Table6[],7,FALSE),""))))))</f>
        <v>1775</v>
      </c>
      <c r="I41" s="57">
        <f>IF($B$2="Race",VLOOKUP(B41,Table1[],8,FALSE),IF($B$2="Religion",VLOOKUP(B41,Table3[],8,FALSE),IF($B$2="Sexual Orientation",VLOOKUP(B41,Table2[],8,FALSE),IF($B$2="Disability",VLOOKUP(B41,Table4[],8,FALSE),IF($B$2="Transgender",VLOOKUP(B41,Table5[],8,FALSE),IF($B$2="Total Offences",VLOOKUP(B41,Table6[],8,FALSE),""))))))</f>
        <v>2396</v>
      </c>
      <c r="J41" s="57">
        <f>IF($B$2="Race",VLOOKUP(B41,Table1[],9,FALSE),IF($B$2="Religion",VLOOKUP(B41,Table3[],9,FALSE),IF($B$2="Sexual Orientation",VLOOKUP(B41,Table2[],9,FALSE),IF($B$2="Disability",VLOOKUP(B41,Table4[],9,FALSE),IF($B$2="Transgender",VLOOKUP(B41,Table5[],9,FALSE),IF($B$2="Total Offences",VLOOKUP(B41,Table6[],9,FALSE),""))))))</f>
        <v>3624</v>
      </c>
      <c r="K41" s="57">
        <f>IF($B$2="Race",VLOOKUP(B41,Table1[],10,FALSE),IF($B$2="Religion",VLOOKUP(B41,Table3[],10,FALSE),IF($B$2="Sexual Orientation",VLOOKUP(B41,Table2[],10,FALSE),IF($B$2="Disability",VLOOKUP(B41,Table4[],10,FALSE),IF($B$2="Transgender",VLOOKUP(B41,Table5[],10,FALSE),IF($B$2="Total Offences",VLOOKUP(B41,Table6[],10,FALSE),""))))))</f>
        <v>3799</v>
      </c>
      <c r="L41" s="57">
        <f>IF($B$2="Race",VLOOKUP(B41,Table1[],11,FALSE),IF($B$2="Religion",VLOOKUP(B41,Table3[],11,FALSE),IF($B$2="Sexual Orientation",VLOOKUP(B41,Table2[],11,FALSE),IF($B$2="Disability",VLOOKUP(B41,Table4[],10,FALSE),IF($B$2="Transgender",VLOOKUP(B41,Table5[],11,FALSE),IF($B$2="Total Offences",VLOOKUP(B41,Table6[],11,FALSE),""))))))</f>
        <v>4132</v>
      </c>
      <c r="M41" s="58">
        <f t="shared" si="0"/>
        <v>8.7654645959462929E-2</v>
      </c>
      <c r="N41" s="58">
        <f t="shared" si="1"/>
        <v>1.5569306930693068</v>
      </c>
      <c r="O41" s="50"/>
      <c r="P41" s="6"/>
    </row>
    <row r="42" spans="1:17" x14ac:dyDescent="0.35">
      <c r="A42" s="50"/>
      <c r="B42" s="56" t="s">
        <v>47</v>
      </c>
      <c r="C42" s="57" t="str">
        <f>IF($B$2="Race",VLOOKUP(B42,Table1[],2,FALSE),IF($B$2="Religion",VLOOKUP(B42,Table3[],2,FALSE),IF($B$2="Sexual Orientation",VLOOKUP(B42,Table2[],2,FALSE),IF($B$2="Disability",VLOOKUP(B42,Table4[],2,FALSE),IF($B$2="Transgender",VLOOKUP(B42,Table5[],2,FALSE),IF($B$2="Total Offences",VLOOKUP(B42,Table6[],2,FALSE),""))))))</f>
        <v>N/A</v>
      </c>
      <c r="D42" s="57">
        <f>IF($B$2="Race",VLOOKUP(B42,Table1[],3,FALSE),IF($B$2="Religion",VLOOKUP(B42,Table3[],3,FALSE),IF($B$2="Sexual Orientation",VLOOKUP(B42,Table2[],3,FALSE),IF($B$2="Disability",VLOOKUP(B42,Table4[],3,FALSE),IF($B$2="Transgender",VLOOKUP(B42,Table5[],3,FALSE),IF($B$2="Total Offences",VLOOKUP(B42,Table6[],3,FALSE),""))))))</f>
        <v>268</v>
      </c>
      <c r="E42" s="57">
        <f>IF($B$2="Race",VLOOKUP(B42,Table1[],4,FALSE),IF($B$2="Religion",VLOOKUP(B42,Table3[],4,FALSE),IF($B$2="Sexual Orientation",VLOOKUP(B42,Table2[],4,FALSE),IF($B$2="Disability",VLOOKUP(B42,Table4[],4,FALSE),IF($B$2="Transgender",VLOOKUP(B42,Table5[],4,FALSE),IF($B$2="Total Offences",VLOOKUP(B42,Table6[],4,FALSE),""))))))</f>
        <v>194</v>
      </c>
      <c r="F42" s="57">
        <f>IF($B$2="Race",VLOOKUP(B42,Table1[],5,FALSE),IF($B$2="Religion",VLOOKUP(B42,Table3[],5,FALSE),IF($B$2="Sexual Orientation",VLOOKUP(B42,Table2[],5,FALSE),IF($B$2="Disability",VLOOKUP(B42,Table4[],5,FALSE),IF($B$2="Transgender",VLOOKUP(B42,Table5[],5,FALSE),IF($B$2="Total Offences",VLOOKUP(B42,Table6[],5,FALSE),""))))))</f>
        <v>173</v>
      </c>
      <c r="G42" s="57">
        <f>IF($B$2="Race",VLOOKUP(B42,Table1[],6,FALSE),IF($B$2="Religion",VLOOKUP(B42,Table3[],6,FALSE),IF($B$2="Sexual Orientation",VLOOKUP(B42,Table2[],6,FALSE),IF($B$2="Disability",VLOOKUP(B42,Table4[],6,FALSE),IF($B$2="Transgender",VLOOKUP(B42,Table5[],6,FALSE),IF($B$2="Total Offences",VLOOKUP(B42,Table6[],6,FALSE),""))))))</f>
        <v>339</v>
      </c>
      <c r="H42" s="57">
        <f>IF($B$2="Race",VLOOKUP(B42,Table1[],7,FALSE),IF($B$2="Religion",VLOOKUP(B42,Table3[],7,FALSE),IF($B$2="Sexual Orientation",VLOOKUP(B42,Table2[],7,FALSE),IF($B$2="Disability",VLOOKUP(B42,Table4[],7,FALSE),IF($B$2="Transgender",VLOOKUP(B42,Table5[],7,FALSE),IF($B$2="Total Offences",VLOOKUP(B42,Table6[],7,FALSE),""))))))</f>
        <v>539</v>
      </c>
      <c r="I42" s="57">
        <f>IF($B$2="Race",VLOOKUP(B42,Table1[],8,FALSE),IF($B$2="Religion",VLOOKUP(B42,Table3[],8,FALSE),IF($B$2="Sexual Orientation",VLOOKUP(B42,Table2[],8,FALSE),IF($B$2="Disability",VLOOKUP(B42,Table4[],8,FALSE),IF($B$2="Transgender",VLOOKUP(B42,Table5[],8,FALSE),IF($B$2="Total Offences",VLOOKUP(B42,Table6[],8,FALSE),""))))))</f>
        <v>676</v>
      </c>
      <c r="J42" s="57">
        <f>IF($B$2="Race",VLOOKUP(B42,Table1[],9,FALSE),IF($B$2="Religion",VLOOKUP(B42,Table3[],9,FALSE),IF($B$2="Sexual Orientation",VLOOKUP(B42,Table2[],9,FALSE),IF($B$2="Disability",VLOOKUP(B42,Table4[],9,FALSE),IF($B$2="Transgender",VLOOKUP(B42,Table5[],9,FALSE),IF($B$2="Total Offences",VLOOKUP(B42,Table6[],9,FALSE),""))))))</f>
        <v>681</v>
      </c>
      <c r="K42" s="57">
        <f>IF($B$2="Race",VLOOKUP(B42,Table1[],10,FALSE),IF($B$2="Religion",VLOOKUP(B42,Table3[],10,FALSE),IF($B$2="Sexual Orientation",VLOOKUP(B42,Table2[],10,FALSE),IF($B$2="Disability",VLOOKUP(B42,Table4[],10,FALSE),IF($B$2="Transgender",VLOOKUP(B42,Table5[],10,FALSE),IF($B$2="Total Offences",VLOOKUP(B42,Table6[],10,FALSE),""))))))</f>
        <v>630</v>
      </c>
      <c r="L42" s="57">
        <f>IF($B$2="Race",VLOOKUP(B42,Table1[],11,FALSE),IF($B$2="Religion",VLOOKUP(B42,Table3[],11,FALSE),IF($B$2="Sexual Orientation",VLOOKUP(B42,Table2[],11,FALSE),IF($B$2="Disability",VLOOKUP(B42,Table4[],10,FALSE),IF($B$2="Transgender",VLOOKUP(B42,Table5[],11,FALSE),IF($B$2="Total Offences",VLOOKUP(B42,Table6[],11,FALSE),""))))))</f>
        <v>779</v>
      </c>
      <c r="M42" s="58">
        <f t="shared" si="0"/>
        <v>0.23650793650793656</v>
      </c>
      <c r="N42" s="58">
        <f t="shared" si="1"/>
        <v>1.2979351032448379</v>
      </c>
      <c r="O42" s="50"/>
      <c r="P42" s="6"/>
    </row>
    <row r="43" spans="1:17" x14ac:dyDescent="0.35">
      <c r="A43" s="50"/>
      <c r="B43" s="56" t="s">
        <v>48</v>
      </c>
      <c r="C43" s="57" t="str">
        <f>IF($B$2="Race",VLOOKUP(B43,Table1[],2,FALSE),IF($B$2="Religion",VLOOKUP(B43,Table3[],2,FALSE),IF($B$2="Sexual Orientation",VLOOKUP(B43,Table2[],2,FALSE),IF($B$2="Disability",VLOOKUP(B43,Table4[],2,FALSE),IF($B$2="Transgender",VLOOKUP(B43,Table5[],2,FALSE),IF($B$2="Total Offences",VLOOKUP(B43,Table6[],2,FALSE),""))))))</f>
        <v>N/A</v>
      </c>
      <c r="D43" s="57">
        <f>IF($B$2="Race",VLOOKUP(B43,Table1[],3,FALSE),IF($B$2="Religion",VLOOKUP(B43,Table3[],3,FALSE),IF($B$2="Sexual Orientation",VLOOKUP(B43,Table2[],3,FALSE),IF($B$2="Disability",VLOOKUP(B43,Table4[],3,FALSE),IF($B$2="Transgender",VLOOKUP(B43,Table5[],3,FALSE),IF($B$2="Total Offences",VLOOKUP(B43,Table6[],3,FALSE),""))))))</f>
        <v>608</v>
      </c>
      <c r="E43" s="57">
        <f>IF($B$2="Race",VLOOKUP(B43,Table1[],4,FALSE),IF($B$2="Religion",VLOOKUP(B43,Table3[],4,FALSE),IF($B$2="Sexual Orientation",VLOOKUP(B43,Table2[],4,FALSE),IF($B$2="Disability",VLOOKUP(B43,Table4[],4,FALSE),IF($B$2="Transgender",VLOOKUP(B43,Table5[],4,FALSE),IF($B$2="Total Offences",VLOOKUP(B43,Table6[],4,FALSE),""))))))</f>
        <v>544</v>
      </c>
      <c r="F43" s="57">
        <f>IF($B$2="Race",VLOOKUP(B43,Table1[],5,FALSE),IF($B$2="Religion",VLOOKUP(B43,Table3[],5,FALSE),IF($B$2="Sexual Orientation",VLOOKUP(B43,Table2[],5,FALSE),IF($B$2="Disability",VLOOKUP(B43,Table4[],5,FALSE),IF($B$2="Transgender",VLOOKUP(B43,Table5[],5,FALSE),IF($B$2="Total Offences",VLOOKUP(B43,Table6[],5,FALSE),""))))))</f>
        <v>588</v>
      </c>
      <c r="G43" s="57">
        <f>IF($B$2="Race",VLOOKUP(B43,Table1[],6,FALSE),IF($B$2="Religion",VLOOKUP(B43,Table3[],6,FALSE),IF($B$2="Sexual Orientation",VLOOKUP(B43,Table2[],6,FALSE),IF($B$2="Disability",VLOOKUP(B43,Table4[],6,FALSE),IF($B$2="Transgender",VLOOKUP(B43,Table5[],6,FALSE),IF($B$2="Total Offences",VLOOKUP(B43,Table6[],6,FALSE),""))))))</f>
        <v>797</v>
      </c>
      <c r="H43" s="57">
        <f>IF($B$2="Race",VLOOKUP(B43,Table1[],7,FALSE),IF($B$2="Religion",VLOOKUP(B43,Table3[],7,FALSE),IF($B$2="Sexual Orientation",VLOOKUP(B43,Table2[],7,FALSE),IF($B$2="Disability",VLOOKUP(B43,Table4[],7,FALSE),IF($B$2="Transgender",VLOOKUP(B43,Table5[],7,FALSE),IF($B$2="Total Offences",VLOOKUP(B43,Table6[],7,FALSE),""))))))</f>
        <v>1152</v>
      </c>
      <c r="I43" s="57">
        <f>IF($B$2="Race",VLOOKUP(B43,Table1[],8,FALSE),IF($B$2="Religion",VLOOKUP(B43,Table3[],8,FALSE),IF($B$2="Sexual Orientation",VLOOKUP(B43,Table2[],8,FALSE),IF($B$2="Disability",VLOOKUP(B43,Table4[],8,FALSE),IF($B$2="Transgender",VLOOKUP(B43,Table5[],8,FALSE),IF($B$2="Total Offences",VLOOKUP(B43,Table6[],8,FALSE),""))))))</f>
        <v>1330</v>
      </c>
      <c r="J43" s="57">
        <f>IF($B$2="Race",VLOOKUP(B43,Table1[],9,FALSE),IF($B$2="Religion",VLOOKUP(B43,Table3[],9,FALSE),IF($B$2="Sexual Orientation",VLOOKUP(B43,Table2[],9,FALSE),IF($B$2="Disability",VLOOKUP(B43,Table4[],9,FALSE),IF($B$2="Transgender",VLOOKUP(B43,Table5[],9,FALSE),IF($B$2="Total Offences",VLOOKUP(B43,Table6[],9,FALSE),""))))))</f>
        <v>1242</v>
      </c>
      <c r="K43" s="57">
        <f>IF($B$2="Race",VLOOKUP(B43,Table1[],10,FALSE),IF($B$2="Religion",VLOOKUP(B43,Table3[],10,FALSE),IF($B$2="Sexual Orientation",VLOOKUP(B43,Table2[],10,FALSE),IF($B$2="Disability",VLOOKUP(B43,Table4[],10,FALSE),IF($B$2="Transgender",VLOOKUP(B43,Table5[],10,FALSE),IF($B$2="Total Offences",VLOOKUP(B43,Table6[],10,FALSE),""))))))</f>
        <v>1545</v>
      </c>
      <c r="L43" s="57">
        <f>IF($B$2="Race",VLOOKUP(B43,Table1[],11,FALSE),IF($B$2="Religion",VLOOKUP(B43,Table3[],11,FALSE),IF($B$2="Sexual Orientation",VLOOKUP(B43,Table2[],11,FALSE),IF($B$2="Disability",VLOOKUP(B43,Table4[],10,FALSE),IF($B$2="Transgender",VLOOKUP(B43,Table5[],11,FALSE),IF($B$2="Total Offences",VLOOKUP(B43,Table6[],11,FALSE),""))))))</f>
        <v>1573</v>
      </c>
      <c r="M43" s="58">
        <f t="shared" si="0"/>
        <v>1.8122977346278324E-2</v>
      </c>
      <c r="N43" s="58">
        <f t="shared" si="1"/>
        <v>0.97365119196988714</v>
      </c>
      <c r="O43" s="50"/>
      <c r="P43" s="6"/>
    </row>
    <row r="44" spans="1:17" x14ac:dyDescent="0.35">
      <c r="A44" s="50"/>
      <c r="B44" s="56" t="s">
        <v>7</v>
      </c>
      <c r="C44" s="57" t="str">
        <f>IF($B$2="Race",VLOOKUP(B44,Table1[],2,FALSE),IF($B$2="Religion",VLOOKUP(B44,Table3[],2,FALSE),IF($B$2="Sexual Orientation",VLOOKUP(B44,Table2[],2,FALSE),IF($B$2="Disability",VLOOKUP(B44,Table4[],2,FALSE),IF($B$2="Transgender",VLOOKUP(B44,Table5[],2,FALSE),IF($B$2="Total Offences",VLOOKUP(B44,Table6[],2,FALSE),""))))))</f>
        <v>N/A</v>
      </c>
      <c r="D44" s="57">
        <f>IF($B$2="Race",VLOOKUP(B44,Table1[],3,FALSE),IF($B$2="Religion",VLOOKUP(B44,Table3[],3,FALSE),IF($B$2="Sexual Orientation",VLOOKUP(B44,Table2[],3,FALSE),IF($B$2="Disability",VLOOKUP(B44,Table4[],3,FALSE),IF($B$2="Transgender",VLOOKUP(B44,Table5[],3,FALSE),IF($B$2="Total Offences",VLOOKUP(B44,Table6[],3,FALSE),""))))))</f>
        <v>2664</v>
      </c>
      <c r="E44" s="57">
        <f>IF($B$2="Race",VLOOKUP(B44,Table1[],4,FALSE),IF($B$2="Religion",VLOOKUP(B44,Table3[],4,FALSE),IF($B$2="Sexual Orientation",VLOOKUP(B44,Table2[],4,FALSE),IF($B$2="Disability",VLOOKUP(B44,Table4[],4,FALSE),IF($B$2="Transgender",VLOOKUP(B44,Table5[],4,FALSE),IF($B$2="Total Offences",VLOOKUP(B44,Table6[],4,FALSE),""))))))</f>
        <v>2969</v>
      </c>
      <c r="F44" s="57">
        <f>IF($B$2="Race",VLOOKUP(B44,Table1[],5,FALSE),IF($B$2="Religion",VLOOKUP(B44,Table3[],5,FALSE),IF($B$2="Sexual Orientation",VLOOKUP(B44,Table2[],5,FALSE),IF($B$2="Disability",VLOOKUP(B44,Table4[],5,FALSE),IF($B$2="Transgender",VLOOKUP(B44,Table5[],5,FALSE),IF($B$2="Total Offences",VLOOKUP(B44,Table6[],5,FALSE),""))))))</f>
        <v>3414</v>
      </c>
      <c r="G44" s="57">
        <f>IF($B$2="Race",VLOOKUP(B44,Table1[],6,FALSE),IF($B$2="Religion",VLOOKUP(B44,Table3[],6,FALSE),IF($B$2="Sexual Orientation",VLOOKUP(B44,Table2[],6,FALSE),IF($B$2="Disability",VLOOKUP(B44,Table4[],6,FALSE),IF($B$2="Transgender",VLOOKUP(B44,Table5[],6,FALSE),IF($B$2="Total Offences",VLOOKUP(B44,Table6[],6,FALSE),""))))))</f>
        <v>3780</v>
      </c>
      <c r="H44" s="57">
        <f>IF($B$2="Race",VLOOKUP(B44,Table1[],7,FALSE),IF($B$2="Religion",VLOOKUP(B44,Table3[],7,FALSE),IF($B$2="Sexual Orientation",VLOOKUP(B44,Table2[],7,FALSE),IF($B$2="Disability",VLOOKUP(B44,Table4[],7,FALSE),IF($B$2="Transgender",VLOOKUP(B44,Table5[],7,FALSE),IF($B$2="Total Offences",VLOOKUP(B44,Table6[],7,FALSE),""))))))</f>
        <v>4244</v>
      </c>
      <c r="I44" s="57">
        <f>IF($B$2="Race",VLOOKUP(B44,Table1[],8,FALSE),IF($B$2="Religion",VLOOKUP(B44,Table3[],8,FALSE),IF($B$2="Sexual Orientation",VLOOKUP(B44,Table2[],8,FALSE),IF($B$2="Disability",VLOOKUP(B44,Table4[],8,FALSE),IF($B$2="Transgender",VLOOKUP(B44,Table5[],8,FALSE),IF($B$2="Total Offences",VLOOKUP(B44,Table6[],8,FALSE),""))))))</f>
        <v>4678</v>
      </c>
      <c r="J44" s="57">
        <f>IF($B$2="Race",VLOOKUP(B44,Table1[],9,FALSE),IF($B$2="Religion",VLOOKUP(B44,Table3[],9,FALSE),IF($B$2="Sexual Orientation",VLOOKUP(B44,Table2[],9,FALSE),IF($B$2="Disability",VLOOKUP(B44,Table4[],9,FALSE),IF($B$2="Transgender",VLOOKUP(B44,Table5[],9,FALSE),IF($B$2="Total Offences",VLOOKUP(B44,Table6[],9,FALSE),""))))))</f>
        <v>5715</v>
      </c>
      <c r="K44" s="57">
        <f>IF($B$2="Race",VLOOKUP(B44,Table1[],10,FALSE),IF($B$2="Religion",VLOOKUP(B44,Table3[],10,FALSE),IF($B$2="Sexual Orientation",VLOOKUP(B44,Table2[],10,FALSE),IF($B$2="Disability",VLOOKUP(B44,Table4[],10,FALSE),IF($B$2="Transgender",VLOOKUP(B44,Table5[],10,FALSE),IF($B$2="Total Offences",VLOOKUP(B44,Table6[],10,FALSE),""))))))</f>
        <v>6716</v>
      </c>
      <c r="L44" s="57">
        <f>IF($B$2="Race",VLOOKUP(B44,Table1[],11,FALSE),IF($B$2="Religion",VLOOKUP(B44,Table3[],11,FALSE),IF($B$2="Sexual Orientation",VLOOKUP(B44,Table2[],11,FALSE),IF($B$2="Disability",VLOOKUP(B44,Table4[],10,FALSE),IF($B$2="Transgender",VLOOKUP(B44,Table5[],11,FALSE),IF($B$2="Total Offences",VLOOKUP(B44,Table6[],11,FALSE),""))))))</f>
        <v>9468</v>
      </c>
      <c r="M44" s="58">
        <f t="shared" si="0"/>
        <v>0.40976771888028596</v>
      </c>
      <c r="N44" s="58">
        <f t="shared" si="1"/>
        <v>1.5047619047619047</v>
      </c>
      <c r="O44" s="50"/>
      <c r="P44" s="6"/>
    </row>
    <row r="45" spans="1:17" x14ac:dyDescent="0.35">
      <c r="A45" s="50"/>
      <c r="B45" s="56" t="s">
        <v>49</v>
      </c>
      <c r="C45" s="57" t="str">
        <f>IF($B$2="Race",VLOOKUP(B45,Table1[],2,FALSE),IF($B$2="Religion",VLOOKUP(B45,Table3[],2,FALSE),IF($B$2="Sexual Orientation",VLOOKUP(B45,Table2[],2,FALSE),IF($B$2="Disability",VLOOKUP(B45,Table4[],2,FALSE),IF($B$2="Transgender",VLOOKUP(B45,Table5[],2,FALSE),IF($B$2="Total Offences",VLOOKUP(B45,Table6[],2,FALSE),""))))))</f>
        <v>N/A</v>
      </c>
      <c r="D45" s="57">
        <f>IF($B$2="Race",VLOOKUP(B45,Table1[],3,FALSE),IF($B$2="Religion",VLOOKUP(B45,Table3[],3,FALSE),IF($B$2="Sexual Orientation",VLOOKUP(B45,Table2[],3,FALSE),IF($B$2="Disability",VLOOKUP(B45,Table4[],3,FALSE),IF($B$2="Transgender",VLOOKUP(B45,Table5[],3,FALSE),IF($B$2="Total Offences",VLOOKUP(B45,Table6[],3,FALSE),""))))))</f>
        <v>1955</v>
      </c>
      <c r="E45" s="57">
        <f>IF($B$2="Race",VLOOKUP(B45,Table1[],4,FALSE),IF($B$2="Religion",VLOOKUP(B45,Table3[],4,FALSE),IF($B$2="Sexual Orientation",VLOOKUP(B45,Table2[],4,FALSE),IF($B$2="Disability",VLOOKUP(B45,Table4[],4,FALSE),IF($B$2="Transgender",VLOOKUP(B45,Table5[],4,FALSE),IF($B$2="Total Offences",VLOOKUP(B45,Table6[],4,FALSE),""))))))</f>
        <v>1919</v>
      </c>
      <c r="F45" s="57">
        <f>IF($B$2="Race",VLOOKUP(B45,Table1[],5,FALSE),IF($B$2="Religion",VLOOKUP(B45,Table3[],5,FALSE),IF($B$2="Sexual Orientation",VLOOKUP(B45,Table2[],5,FALSE),IF($B$2="Disability",VLOOKUP(B45,Table4[],5,FALSE),IF($B$2="Transgender",VLOOKUP(B45,Table5[],5,FALSE),IF($B$2="Total Offences",VLOOKUP(B45,Table6[],5,FALSE),""))))))</f>
        <v>2160</v>
      </c>
      <c r="G45" s="57">
        <f>IF($B$2="Race",VLOOKUP(B45,Table1[],6,FALSE),IF($B$2="Religion",VLOOKUP(B45,Table3[],6,FALSE),IF($B$2="Sexual Orientation",VLOOKUP(B45,Table2[],6,FALSE),IF($B$2="Disability",VLOOKUP(B45,Table4[],6,FALSE),IF($B$2="Transgender",VLOOKUP(B45,Table5[],6,FALSE),IF($B$2="Total Offences",VLOOKUP(B45,Table6[],6,FALSE),""))))))</f>
        <v>3657</v>
      </c>
      <c r="H45" s="57">
        <f>IF($B$2="Race",VLOOKUP(B45,Table1[],7,FALSE),IF($B$2="Religion",VLOOKUP(B45,Table3[],7,FALSE),IF($B$2="Sexual Orientation",VLOOKUP(B45,Table2[],7,FALSE),IF($B$2="Disability",VLOOKUP(B45,Table4[],7,FALSE),IF($B$2="Transgender",VLOOKUP(B45,Table5[],7,FALSE),IF($B$2="Total Offences",VLOOKUP(B45,Table6[],7,FALSE),""))))))</f>
        <v>5155</v>
      </c>
      <c r="I45" s="57">
        <f>IF($B$2="Race",VLOOKUP(B45,Table1[],8,FALSE),IF($B$2="Religion",VLOOKUP(B45,Table3[],8,FALSE),IF($B$2="Sexual Orientation",VLOOKUP(B45,Table2[],8,FALSE),IF($B$2="Disability",VLOOKUP(B45,Table4[],8,FALSE),IF($B$2="Transgender",VLOOKUP(B45,Table5[],8,FALSE),IF($B$2="Total Offences",VLOOKUP(B45,Table6[],8,FALSE),""))))))</f>
        <v>6106</v>
      </c>
      <c r="J45" s="57">
        <f>IF($B$2="Race",VLOOKUP(B45,Table1[],9,FALSE),IF($B$2="Religion",VLOOKUP(B45,Table3[],9,FALSE),IF($B$2="Sexual Orientation",VLOOKUP(B45,Table2[],9,FALSE),IF($B$2="Disability",VLOOKUP(B45,Table4[],9,FALSE),IF($B$2="Transgender",VLOOKUP(B45,Table5[],9,FALSE),IF($B$2="Total Offences",VLOOKUP(B45,Table6[],9,FALSE),""))))))</f>
        <v>8217</v>
      </c>
      <c r="K45" s="57">
        <f>IF($B$2="Race",VLOOKUP(B45,Table1[],10,FALSE),IF($B$2="Religion",VLOOKUP(B45,Table3[],10,FALSE),IF($B$2="Sexual Orientation",VLOOKUP(B45,Table2[],10,FALSE),IF($B$2="Disability",VLOOKUP(B45,Table4[],10,FALSE),IF($B$2="Transgender",VLOOKUP(B45,Table5[],10,FALSE),IF($B$2="Total Offences",VLOOKUP(B45,Table6[],10,FALSE),""))))))</f>
        <v>8363</v>
      </c>
      <c r="L45" s="57">
        <f>IF($B$2="Race",VLOOKUP(B45,Table1[],11,FALSE),IF($B$2="Religion",VLOOKUP(B45,Table3[],11,FALSE),IF($B$2="Sexual Orientation",VLOOKUP(B45,Table2[],11,FALSE),IF($B$2="Disability",VLOOKUP(B45,Table4[],10,FALSE),IF($B$2="Transgender",VLOOKUP(B45,Table5[],11,FALSE),IF($B$2="Total Offences",VLOOKUP(B45,Table6[],11,FALSE),""))))))</f>
        <v>8770</v>
      </c>
      <c r="M45" s="58">
        <f t="shared" si="0"/>
        <v>4.8666746382876935E-2</v>
      </c>
      <c r="N45" s="58">
        <f t="shared" si="1"/>
        <v>1.398140552365327</v>
      </c>
      <c r="O45" s="50"/>
      <c r="P45" s="6"/>
    </row>
    <row r="46" spans="1:17" x14ac:dyDescent="0.35">
      <c r="A46" s="50"/>
      <c r="B46" s="56" t="s">
        <v>50</v>
      </c>
      <c r="C46" s="57" t="str">
        <f>IF($B$2="Race",VLOOKUP(B46,Table1[],2,FALSE),IF($B$2="Religion",VLOOKUP(B46,Table3[],2,FALSE),IF($B$2="Sexual Orientation",VLOOKUP(B46,Table2[],2,FALSE),IF($B$2="Disability",VLOOKUP(B46,Table4[],2,FALSE),IF($B$2="Transgender",VLOOKUP(B46,Table5[],2,FALSE),IF($B$2="Total Offences",VLOOKUP(B46,Table6[],2,FALSE),""))))))</f>
        <v>N/A</v>
      </c>
      <c r="D46" s="57">
        <f>IF($B$2="Race",VLOOKUP(B46,Table1[],3,FALSE),IF($B$2="Religion",VLOOKUP(B46,Table3[],3,FALSE),IF($B$2="Sexual Orientation",VLOOKUP(B46,Table2[],3,FALSE),IF($B$2="Disability",VLOOKUP(B46,Table4[],3,FALSE),IF($B$2="Transgender",VLOOKUP(B46,Table5[],3,FALSE),IF($B$2="Total Offences",VLOOKUP(B46,Table6[],3,FALSE),""))))))</f>
        <v>339</v>
      </c>
      <c r="E46" s="57">
        <f>IF($B$2="Race",VLOOKUP(B46,Table1[],4,FALSE),IF($B$2="Religion",VLOOKUP(B46,Table3[],4,FALSE),IF($B$2="Sexual Orientation",VLOOKUP(B46,Table2[],4,FALSE),IF($B$2="Disability",VLOOKUP(B46,Table4[],4,FALSE),IF($B$2="Transgender",VLOOKUP(B46,Table5[],4,FALSE),IF($B$2="Total Offences",VLOOKUP(B46,Table6[],4,FALSE),""))))))</f>
        <v>286</v>
      </c>
      <c r="F46" s="57">
        <f>IF($B$2="Race",VLOOKUP(B46,Table1[],5,FALSE),IF($B$2="Religion",VLOOKUP(B46,Table3[],5,FALSE),IF($B$2="Sexual Orientation",VLOOKUP(B46,Table2[],5,FALSE),IF($B$2="Disability",VLOOKUP(B46,Table4[],5,FALSE),IF($B$2="Transgender",VLOOKUP(B46,Table5[],5,FALSE),IF($B$2="Total Offences",VLOOKUP(B46,Table6[],5,FALSE),""))))))</f>
        <v>295</v>
      </c>
      <c r="G46" s="57">
        <f>IF($B$2="Race",VLOOKUP(B46,Table1[],6,FALSE),IF($B$2="Religion",VLOOKUP(B46,Table3[],6,FALSE),IF($B$2="Sexual Orientation",VLOOKUP(B46,Table2[],6,FALSE),IF($B$2="Disability",VLOOKUP(B46,Table4[],6,FALSE),IF($B$2="Transgender",VLOOKUP(B46,Table5[],6,FALSE),IF($B$2="Total Offences",VLOOKUP(B46,Table6[],6,FALSE),""))))))</f>
        <v>467</v>
      </c>
      <c r="H46" s="57">
        <f>IF($B$2="Race",VLOOKUP(B46,Table1[],7,FALSE),IF($B$2="Religion",VLOOKUP(B46,Table3[],7,FALSE),IF($B$2="Sexual Orientation",VLOOKUP(B46,Table2[],7,FALSE),IF($B$2="Disability",VLOOKUP(B46,Table4[],7,FALSE),IF($B$2="Transgender",VLOOKUP(B46,Table5[],7,FALSE),IF($B$2="Total Offences",VLOOKUP(B46,Table6[],7,FALSE),""))))))</f>
        <v>541</v>
      </c>
      <c r="I46" s="57">
        <f>IF($B$2="Race",VLOOKUP(B46,Table1[],8,FALSE),IF($B$2="Religion",VLOOKUP(B46,Table3[],8,FALSE),IF($B$2="Sexual Orientation",VLOOKUP(B46,Table2[],8,FALSE),IF($B$2="Disability",VLOOKUP(B46,Table4[],8,FALSE),IF($B$2="Transgender",VLOOKUP(B46,Table5[],8,FALSE),IF($B$2="Total Offences",VLOOKUP(B46,Table6[],8,FALSE),""))))))</f>
        <v>554</v>
      </c>
      <c r="J46" s="57">
        <f>IF($B$2="Race",VLOOKUP(B46,Table1[],9,FALSE),IF($B$2="Religion",VLOOKUP(B46,Table3[],9,FALSE),IF($B$2="Sexual Orientation",VLOOKUP(B46,Table2[],9,FALSE),IF($B$2="Disability",VLOOKUP(B46,Table4[],9,FALSE),IF($B$2="Transgender",VLOOKUP(B46,Table5[],9,FALSE),IF($B$2="Total Offences",VLOOKUP(B46,Table6[],9,FALSE),""))))))</f>
        <v>679</v>
      </c>
      <c r="K46" s="57">
        <f>IF($B$2="Race",VLOOKUP(B46,Table1[],10,FALSE),IF($B$2="Religion",VLOOKUP(B46,Table3[],10,FALSE),IF($B$2="Sexual Orientation",VLOOKUP(B46,Table2[],10,FALSE),IF($B$2="Disability",VLOOKUP(B46,Table4[],10,FALSE),IF($B$2="Transgender",VLOOKUP(B46,Table5[],10,FALSE),IF($B$2="Total Offences",VLOOKUP(B46,Table6[],10,FALSE),""))))))</f>
        <v>724</v>
      </c>
      <c r="L46" s="57">
        <f>IF($B$2="Race",VLOOKUP(B46,Table1[],11,FALSE),IF($B$2="Religion",VLOOKUP(B46,Table3[],11,FALSE),IF($B$2="Sexual Orientation",VLOOKUP(B46,Table2[],11,FALSE),IF($B$2="Disability",VLOOKUP(B46,Table4[],10,FALSE),IF($B$2="Transgender",VLOOKUP(B46,Table5[],11,FALSE),IF($B$2="Total Offences",VLOOKUP(B46,Table6[],11,FALSE),""))))))</f>
        <v>753</v>
      </c>
      <c r="M46" s="58">
        <f t="shared" si="0"/>
        <v>4.0055248618784622E-2</v>
      </c>
      <c r="N46" s="58">
        <f t="shared" si="1"/>
        <v>0.61241970021413272</v>
      </c>
      <c r="O46" s="50"/>
      <c r="P46" s="6"/>
    </row>
    <row r="47" spans="1:17" ht="18" customHeight="1" x14ac:dyDescent="0.35">
      <c r="A47" s="50"/>
      <c r="B47" s="61" t="s">
        <v>290</v>
      </c>
      <c r="C47" s="62">
        <f>IFERROR(SUM(C8:C46),"N/A")</f>
        <v>0</v>
      </c>
      <c r="D47" s="62">
        <f t="shared" ref="D47:L47" si="2">SUM(D8:D46)</f>
        <v>38803</v>
      </c>
      <c r="E47" s="62">
        <f t="shared" si="2"/>
        <v>40786</v>
      </c>
      <c r="F47" s="62">
        <f t="shared" si="2"/>
        <v>48249</v>
      </c>
      <c r="G47" s="62">
        <f t="shared" si="2"/>
        <v>57916</v>
      </c>
      <c r="H47" s="62">
        <f t="shared" si="2"/>
        <v>74792</v>
      </c>
      <c r="I47" s="62">
        <f t="shared" si="2"/>
        <v>87482</v>
      </c>
      <c r="J47" s="62">
        <f t="shared" si="2"/>
        <v>98968</v>
      </c>
      <c r="K47" s="62" t="s">
        <v>64</v>
      </c>
      <c r="L47" s="62">
        <f t="shared" si="2"/>
        <v>117666</v>
      </c>
      <c r="M47" s="59" t="s">
        <v>198</v>
      </c>
      <c r="N47" s="152">
        <f t="shared" si="1"/>
        <v>1.0316665515574281</v>
      </c>
      <c r="O47" s="50"/>
    </row>
    <row r="48" spans="1:17" ht="22.5" customHeight="1" x14ac:dyDescent="0.35">
      <c r="A48" s="50"/>
      <c r="B48" s="56" t="s">
        <v>19</v>
      </c>
      <c r="C48" s="57" t="str">
        <f>IF($B$2="Race",VLOOKUP(B48,Table1[],2,FALSE),IF($B$2="Religion",VLOOKUP(B48,Table3[],2,FALSE),IF($B$2="Sexual Orientation",VLOOKUP(B48,Table2[],2,FALSE),IF($B$2="Disability",VLOOKUP(B48,Table4[],2,FALSE),IF($B$2="Transgender",VLOOKUP(B48,Table5[],2,FALSE),IF($B$2="Total Offences",VLOOKUP(B48,Table6[],2,FALSE),""))))))</f>
        <v>N/A</v>
      </c>
      <c r="D48" s="57">
        <f>IF($B$2="Race",VLOOKUP(B48,Table1[],3,FALSE),IF($B$2="Religion",VLOOKUP(B48,Table3[],3,FALSE),IF($B$2="Sexual Orientation",VLOOKUP(B48,Table2[],3,FALSE),IF($B$2="Disability",VLOOKUP(B48,Table4[],3,FALSE),IF($B$2="Transgender",VLOOKUP(B48,Table5[],3,FALSE),IF($B$2="Total Offences",VLOOKUP(B48,Table6[],3,FALSE),""))))))</f>
        <v>91</v>
      </c>
      <c r="E48" s="57">
        <f>IF($B$2="Race",VLOOKUP(B48,Table1[],4,FALSE),IF($B$2="Religion",VLOOKUP(B48,Table3[],4,FALSE),IF($B$2="Sexual Orientation",VLOOKUP(B48,Table2[],4,FALSE),IF($B$2="Disability",VLOOKUP(B48,Table4[],4,FALSE),IF($B$2="Transgender",VLOOKUP(B48,Table5[],4,FALSE),IF($B$2="Total Offences",VLOOKUP(B48,Table6[],4,FALSE),""))))))</f>
        <v>84</v>
      </c>
      <c r="F48" s="57">
        <f>IF($B$2="Race",VLOOKUP(B48,Table1[],5,FALSE),IF($B$2="Religion",VLOOKUP(B48,Table3[],5,FALSE),IF($B$2="Sexual Orientation",VLOOKUP(B48,Table2[],5,FALSE),IF($B$2="Disability",VLOOKUP(B48,Table4[],5,FALSE),IF($B$2="Transgender",VLOOKUP(B48,Table5[],5,FALSE),IF($B$2="Total Offences",VLOOKUP(B48,Table6[],5,FALSE),""))))))</f>
        <v>99</v>
      </c>
      <c r="G48" s="57">
        <f>IF($B$2="Race",VLOOKUP(B48,Table1[],6,FALSE),IF($B$2="Religion",VLOOKUP(B48,Table3[],6,FALSE),IF($B$2="Sexual Orientation",VLOOKUP(B48,Table2[],6,FALSE),IF($B$2="Disability",VLOOKUP(B48,Table4[],6,FALSE),IF($B$2="Transgender",VLOOKUP(B48,Table5[],6,FALSE),IF($B$2="Total Offences",VLOOKUP(B48,Table6[],6,FALSE),""))))))</f>
        <v>114</v>
      </c>
      <c r="H48" s="57">
        <f>IF($B$2="Race",VLOOKUP(B48,Table1[],7,FALSE),IF($B$2="Religion",VLOOKUP(B48,Table3[],7,FALSE),IF($B$2="Sexual Orientation",VLOOKUP(B48,Table2[],7,FALSE),IF($B$2="Disability",VLOOKUP(B48,Table4[],7,FALSE),IF($B$2="Transgender",VLOOKUP(B48,Table5[],7,FALSE),IF($B$2="Total Offences",VLOOKUP(B48,Table6[],7,FALSE),""))))))</f>
        <v>168</v>
      </c>
      <c r="I48" s="57">
        <f>IF($B$2="Race",VLOOKUP(B48,Table1[],8,FALSE),IF($B$2="Religion",VLOOKUP(B48,Table3[],8,FALSE),IF($B$2="Sexual Orientation",VLOOKUP(B48,Table2[],8,FALSE),IF($B$2="Disability",VLOOKUP(B48,Table4[],8,FALSE),IF($B$2="Transgender",VLOOKUP(B48,Table5[],8,FALSE),IF($B$2="Total Offences",VLOOKUP(B48,Table6[],8,FALSE),""))))))</f>
        <v>223</v>
      </c>
      <c r="J48" s="57">
        <f>IF($B$2="Race",VLOOKUP(B48,Table1[],9,FALSE),IF($B$2="Religion",VLOOKUP(B48,Table3[],9,FALSE),IF($B$2="Sexual Orientation",VLOOKUP(B48,Table2[],9,FALSE),IF($B$2="Disability",VLOOKUP(B48,Table4[],9,FALSE),IF($B$2="Transgender",VLOOKUP(B48,Table5[],9,FALSE),IF($B$2="Total Offences",VLOOKUP(B48,Table6[],9,FALSE),""))))))</f>
        <v>371</v>
      </c>
      <c r="K48" s="57">
        <f>IF($B$2="Race",VLOOKUP(B48,Table1[],10,FALSE),IF($B$2="Religion",VLOOKUP(B48,Table3[],10,FALSE),IF($B$2="Sexual Orientation",VLOOKUP(B48,Table2[],10,FALSE),IF($B$2="Disability",VLOOKUP(B48,Table4[],10,FALSE),IF($B$2="Transgender",VLOOKUP(B48,Table5[],10,FALSE),IF($B$2="Total Offences",VLOOKUP(B48,Table6[],10,FALSE),""))))))</f>
        <v>459</v>
      </c>
      <c r="L48" s="57">
        <f>IF($B$2="Race",VLOOKUP(B48,Table1[],11,FALSE),IF($B$2="Religion",VLOOKUP(B48,Table3[],11,FALSE),IF($B$2="Sexual Orientation",VLOOKUP(B48,Table2[],11,FALSE),IF($B$2="Disability",VLOOKUP(B48,Table4[],10,FALSE),IF($B$2="Transgender",VLOOKUP(B48,Table5[],11,FALSE),IF($B$2="Total Offences",VLOOKUP(B48,Table6[],11,FALSE),""))))))</f>
        <v>685</v>
      </c>
      <c r="M48" s="58">
        <f t="shared" si="0"/>
        <v>0.49237472766884527</v>
      </c>
      <c r="N48" s="58">
        <f t="shared" si="1"/>
        <v>5.0087719298245617</v>
      </c>
      <c r="O48" s="50"/>
    </row>
    <row r="49" spans="1:15" x14ac:dyDescent="0.35">
      <c r="A49" s="50"/>
      <c r="B49" s="56" t="s">
        <v>35</v>
      </c>
      <c r="C49" s="57" t="str">
        <f>IF($B$2="Race",VLOOKUP(B49,Table1[],2,FALSE),IF($B$2="Religion",VLOOKUP(B49,Table3[],2,FALSE),IF($B$2="Sexual Orientation",VLOOKUP(B49,Table2[],2,FALSE),IF($B$2="Disability",VLOOKUP(B49,Table4[],2,FALSE),IF($B$2="Transgender",VLOOKUP(B49,Table5[],2,FALSE),IF($B$2="Total Offences",VLOOKUP(B49,Table6[],2,FALSE),""))))))</f>
        <v>N/A</v>
      </c>
      <c r="D49" s="57">
        <f>IF($B$2="Race",VLOOKUP(B49,Table1[],3,FALSE),IF($B$2="Religion",VLOOKUP(B49,Table3[],3,FALSE),IF($B$2="Sexual Orientation",VLOOKUP(B49,Table2[],3,FALSE),IF($B$2="Disability",VLOOKUP(B49,Table4[],3,FALSE),IF($B$2="Transgender",VLOOKUP(B49,Table5[],3,FALSE),IF($B$2="Total Offences",VLOOKUP(B49,Table6[],3,FALSE),""))))))</f>
        <v>418</v>
      </c>
      <c r="E49" s="57">
        <f>IF($B$2="Race",VLOOKUP(B49,Table1[],4,FALSE),IF($B$2="Religion",VLOOKUP(B49,Table3[],4,FALSE),IF($B$2="Sexual Orientation",VLOOKUP(B49,Table2[],4,FALSE),IF($B$2="Disability",VLOOKUP(B49,Table4[],4,FALSE),IF($B$2="Transgender",VLOOKUP(B49,Table5[],4,FALSE),IF($B$2="Total Offences",VLOOKUP(B49,Table6[],4,FALSE),""))))))</f>
        <v>389</v>
      </c>
      <c r="F49" s="57">
        <f>IF($B$2="Race",VLOOKUP(B49,Table1[],5,FALSE),IF($B$2="Religion",VLOOKUP(B49,Table3[],5,FALSE),IF($B$2="Sexual Orientation",VLOOKUP(B49,Table2[],5,FALSE),IF($B$2="Disability",VLOOKUP(B49,Table4[],5,FALSE),IF($B$2="Transgender",VLOOKUP(B49,Table5[],5,FALSE),IF($B$2="Total Offences",VLOOKUP(B49,Table6[],5,FALSE),""))))))</f>
        <v>392</v>
      </c>
      <c r="G49" s="57">
        <f>IF($B$2="Race",VLOOKUP(B49,Table1[],6,FALSE),IF($B$2="Religion",VLOOKUP(B49,Table3[],6,FALSE),IF($B$2="Sexual Orientation",VLOOKUP(B49,Table2[],6,FALSE),IF($B$2="Disability",VLOOKUP(B49,Table4[],6,FALSE),IF($B$2="Transgender",VLOOKUP(B49,Table5[],6,FALSE),IF($B$2="Total Offences",VLOOKUP(B49,Table6[],6,FALSE),""))))))</f>
        <v>385</v>
      </c>
      <c r="H49" s="57">
        <f>IF($B$2="Race",VLOOKUP(B49,Table1[],7,FALSE),IF($B$2="Religion",VLOOKUP(B49,Table3[],7,FALSE),IF($B$2="Sexual Orientation",VLOOKUP(B49,Table2[],7,FALSE),IF($B$2="Disability",VLOOKUP(B49,Table4[],7,FALSE),IF($B$2="Transgender",VLOOKUP(B49,Table5[],7,FALSE),IF($B$2="Total Offences",VLOOKUP(B49,Table6[],7,FALSE),""))))))</f>
        <v>465</v>
      </c>
      <c r="I49" s="57">
        <f>IF($B$2="Race",VLOOKUP(B49,Table1[],8,FALSE),IF($B$2="Religion",VLOOKUP(B49,Table3[],8,FALSE),IF($B$2="Sexual Orientation",VLOOKUP(B49,Table2[],8,FALSE),IF($B$2="Disability",VLOOKUP(B49,Table4[],8,FALSE),IF($B$2="Transgender",VLOOKUP(B49,Table5[],8,FALSE),IF($B$2="Total Offences",VLOOKUP(B49,Table6[],8,FALSE),""))))))</f>
        <v>681</v>
      </c>
      <c r="J49" s="57">
        <f>IF($B$2="Race",VLOOKUP(B49,Table1[],9,FALSE),IF($B$2="Religion",VLOOKUP(B49,Table3[],9,FALSE),IF($B$2="Sexual Orientation",VLOOKUP(B49,Table2[],9,FALSE),IF($B$2="Disability",VLOOKUP(B49,Table4[],9,FALSE),IF($B$2="Transgender",VLOOKUP(B49,Table5[],9,FALSE),IF($B$2="Total Offences",VLOOKUP(B49,Table6[],9,FALSE),""))))))</f>
        <v>940</v>
      </c>
      <c r="K49" s="57">
        <f>IF($B$2="Race",VLOOKUP(B49,Table1[],10,FALSE),IF($B$2="Religion",VLOOKUP(B49,Table3[],10,FALSE),IF($B$2="Sexual Orientation",VLOOKUP(B49,Table2[],10,FALSE),IF($B$2="Disability",VLOOKUP(B49,Table4[],10,FALSE),IF($B$2="Transgender",VLOOKUP(B49,Table5[],10,FALSE),IF($B$2="Total Offences",VLOOKUP(B49,Table6[],10,FALSE),""))))))</f>
        <v>928</v>
      </c>
      <c r="L49" s="57">
        <f>IF($B$2="Race",VLOOKUP(B49,Table1[],11,FALSE),IF($B$2="Religion",VLOOKUP(B49,Table3[],11,FALSE),IF($B$2="Sexual Orientation",VLOOKUP(B49,Table2[],11,FALSE),IF($B$2="Disability",VLOOKUP(B49,Table4[],10,FALSE),IF($B$2="Transgender",VLOOKUP(B49,Table5[],11,FALSE),IF($B$2="Total Offences",VLOOKUP(B49,Table6[],11,FALSE),""))))))</f>
        <v>1144</v>
      </c>
      <c r="M49" s="58">
        <f t="shared" si="0"/>
        <v>0.23275862068965525</v>
      </c>
      <c r="N49" s="58">
        <f t="shared" si="1"/>
        <v>1.9714285714285715</v>
      </c>
      <c r="O49" s="50"/>
    </row>
    <row r="50" spans="1:15" x14ac:dyDescent="0.35">
      <c r="A50" s="50"/>
      <c r="B50" s="56" t="s">
        <v>40</v>
      </c>
      <c r="C50" s="57" t="str">
        <f>IF($B$2="Race",VLOOKUP(B50,Table1[],2,FALSE),IF($B$2="Religion",VLOOKUP(B50,Table3[],2,FALSE),IF($B$2="Sexual Orientation",VLOOKUP(B50,Table2[],2,FALSE),IF($B$2="Disability",VLOOKUP(B50,Table4[],2,FALSE),IF($B$2="Transgender",VLOOKUP(B50,Table5[],2,FALSE),IF($B$2="Total Offences",VLOOKUP(B50,Table6[],2,FALSE),""))))))</f>
        <v>N/A</v>
      </c>
      <c r="D50" s="57">
        <f>IF($B$2="Race",VLOOKUP(B50,Table1[],3,FALSE),IF($B$2="Religion",VLOOKUP(B50,Table3[],3,FALSE),IF($B$2="Sexual Orientation",VLOOKUP(B50,Table2[],3,FALSE),IF($B$2="Disability",VLOOKUP(B50,Table4[],3,FALSE),IF($B$2="Transgender",VLOOKUP(B50,Table5[],3,FALSE),IF($B$2="Total Offences",VLOOKUP(B50,Table6[],3,FALSE),""))))))</f>
        <v>1019</v>
      </c>
      <c r="E50" s="57">
        <f>IF($B$2="Race",VLOOKUP(B50,Table1[],4,FALSE),IF($B$2="Religion",VLOOKUP(B50,Table3[],4,FALSE),IF($B$2="Sexual Orientation",VLOOKUP(B50,Table2[],4,FALSE),IF($B$2="Disability",VLOOKUP(B50,Table4[],4,FALSE),IF($B$2="Transgender",VLOOKUP(B50,Table5[],4,FALSE),IF($B$2="Total Offences",VLOOKUP(B50,Table6[],4,FALSE),""))))))</f>
        <v>1160</v>
      </c>
      <c r="F50" s="57">
        <f>IF($B$2="Race",VLOOKUP(B50,Table1[],5,FALSE),IF($B$2="Religion",VLOOKUP(B50,Table3[],5,FALSE),IF($B$2="Sexual Orientation",VLOOKUP(B50,Table2[],5,FALSE),IF($B$2="Disability",VLOOKUP(B50,Table4[],5,FALSE),IF($B$2="Transgender",VLOOKUP(B50,Table5[],5,FALSE),IF($B$2="Total Offences",VLOOKUP(B50,Table6[],5,FALSE),""))))))</f>
        <v>1501</v>
      </c>
      <c r="G50" s="57">
        <f>IF($B$2="Race",VLOOKUP(B50,Table1[],6,FALSE),IF($B$2="Religion",VLOOKUP(B50,Table3[],6,FALSE),IF($B$2="Sexual Orientation",VLOOKUP(B50,Table2[],6,FALSE),IF($B$2="Disability",VLOOKUP(B50,Table4[],6,FALSE),IF($B$2="Transgender",VLOOKUP(B50,Table5[],6,FALSE),IF($B$2="Total Offences",VLOOKUP(B50,Table6[],6,FALSE),""))))))</f>
        <v>1693</v>
      </c>
      <c r="H50" s="57">
        <f>IF($B$2="Race",VLOOKUP(B50,Table1[],7,FALSE),IF($B$2="Religion",VLOOKUP(B50,Table3[],7,FALSE),IF($B$2="Sexual Orientation",VLOOKUP(B50,Table2[],7,FALSE),IF($B$2="Disability",VLOOKUP(B50,Table4[],7,FALSE),IF($B$2="Transgender",VLOOKUP(B50,Table5[],7,FALSE),IF($B$2="Total Offences",VLOOKUP(B50,Table6[],7,FALSE),""))))))</f>
        <v>1900</v>
      </c>
      <c r="I50" s="57">
        <f>IF($B$2="Race",VLOOKUP(B50,Table1[],8,FALSE),IF($B$2="Religion",VLOOKUP(B50,Table3[],8,FALSE),IF($B$2="Sexual Orientation",VLOOKUP(B50,Table2[],8,FALSE),IF($B$2="Disability",VLOOKUP(B50,Table4[],8,FALSE),IF($B$2="Transgender",VLOOKUP(B50,Table5[],8,FALSE),IF($B$2="Total Offences",VLOOKUP(B50,Table6[],8,FALSE),""))))))</f>
        <v>1800</v>
      </c>
      <c r="J50" s="57">
        <f>IF($B$2="Race",VLOOKUP(B50,Table1[],9,FALSE),IF($B$2="Religion",VLOOKUP(B50,Table3[],9,FALSE),IF($B$2="Sexual Orientation",VLOOKUP(B50,Table2[],9,FALSE),IF($B$2="Disability",VLOOKUP(B50,Table4[],9,FALSE),IF($B$2="Transgender",VLOOKUP(B50,Table5[],9,FALSE),IF($B$2="Total Offences",VLOOKUP(B50,Table6[],9,FALSE),""))))))</f>
        <v>1906</v>
      </c>
      <c r="K50" s="57">
        <f>IF($B$2="Race",VLOOKUP(B50,Table1[],10,FALSE),IF($B$2="Religion",VLOOKUP(B50,Table3[],10,FALSE),IF($B$2="Sexual Orientation",VLOOKUP(B50,Table2[],10,FALSE),IF($B$2="Disability",VLOOKUP(B50,Table4[],10,FALSE),IF($B$2="Transgender",VLOOKUP(B50,Table5[],10,FALSE),IF($B$2="Total Offences",VLOOKUP(B50,Table6[],10,FALSE),""))))))</f>
        <v>2007</v>
      </c>
      <c r="L50" s="57">
        <f>IF($B$2="Race",VLOOKUP(B50,Table1[],11,FALSE),IF($B$2="Religion",VLOOKUP(B50,Table3[],11,FALSE),IF($B$2="Sexual Orientation",VLOOKUP(B50,Table2[],11,FALSE),IF($B$2="Disability",VLOOKUP(B50,Table4[],10,FALSE),IF($B$2="Transgender",VLOOKUP(B50,Table5[],11,FALSE),IF($B$2="Total Offences",VLOOKUP(B50,Table6[],11,FALSE),""))))))</f>
        <v>2148</v>
      </c>
      <c r="M50" s="58">
        <f t="shared" si="0"/>
        <v>7.0254110612854914E-2</v>
      </c>
      <c r="N50" s="58">
        <f t="shared" si="1"/>
        <v>0.26875369167158891</v>
      </c>
      <c r="O50" s="50"/>
    </row>
    <row r="51" spans="1:15" x14ac:dyDescent="0.35">
      <c r="A51" s="50"/>
      <c r="B51" s="56" t="s">
        <v>23</v>
      </c>
      <c r="C51" s="57" t="str">
        <f>IF($B$2="Race",VLOOKUP(B51,Table1[],2,FALSE),IF($B$2="Religion",VLOOKUP(B51,Table3[],2,FALSE),IF($B$2="Sexual Orientation",VLOOKUP(B51,Table2[],2,FALSE),IF($B$2="Disability",VLOOKUP(B51,Table4[],2,FALSE),IF($B$2="Transgender",VLOOKUP(B51,Table5[],2,FALSE),IF($B$2="Total Offences",VLOOKUP(B51,Table6[],2,FALSE),""))))))</f>
        <v>N/A</v>
      </c>
      <c r="D51" s="57">
        <f>IF($B$2="Race",VLOOKUP(B51,Table1[],3,FALSE),IF($B$2="Religion",VLOOKUP(B51,Table3[],3,FALSE),IF($B$2="Sexual Orientation",VLOOKUP(B51,Table2[],3,FALSE),IF($B$2="Disability",VLOOKUP(B51,Table4[],3,FALSE),IF($B$2="Transgender",VLOOKUP(B51,Table5[],3,FALSE),IF($B$2="Total Offences",VLOOKUP(B51,Table6[],3,FALSE),""))))))</f>
        <v>237</v>
      </c>
      <c r="E51" s="57">
        <f>IF($B$2="Race",VLOOKUP(B51,Table1[],4,FALSE),IF($B$2="Religion",VLOOKUP(B51,Table3[],4,FALSE),IF($B$2="Sexual Orientation",VLOOKUP(B51,Table2[],4,FALSE),IF($B$2="Disability",VLOOKUP(B51,Table4[],4,FALSE),IF($B$2="Transgender",VLOOKUP(B51,Table5[],4,FALSE),IF($B$2="Total Offences",VLOOKUP(B51,Table6[],4,FALSE),""))))))</f>
        <v>244</v>
      </c>
      <c r="F51" s="57">
        <f>IF($B$2="Race",VLOOKUP(B51,Table1[],5,FALSE),IF($B$2="Religion",VLOOKUP(B51,Table3[],5,FALSE),IF($B$2="Sexual Orientation",VLOOKUP(B51,Table2[],5,FALSE),IF($B$2="Disability",VLOOKUP(B51,Table4[],5,FALSE),IF($B$2="Transgender",VLOOKUP(B51,Table5[],5,FALSE),IF($B$2="Total Offences",VLOOKUP(B51,Table6[],5,FALSE),""))))))</f>
        <v>267</v>
      </c>
      <c r="G51" s="57">
        <f>IF($B$2="Race",VLOOKUP(B51,Table1[],6,FALSE),IF($B$2="Religion",VLOOKUP(B51,Table3[],6,FALSE),IF($B$2="Sexual Orientation",VLOOKUP(B51,Table2[],6,FALSE),IF($B$2="Disability",VLOOKUP(B51,Table4[],6,FALSE),IF($B$2="Transgender",VLOOKUP(B51,Table5[],6,FALSE),IF($B$2="Total Offences",VLOOKUP(B51,Table6[],6,FALSE),""))))))</f>
        <v>213</v>
      </c>
      <c r="H51" s="57">
        <f>IF($B$2="Race",VLOOKUP(B51,Table1[],7,FALSE),IF($B$2="Religion",VLOOKUP(B51,Table3[],7,FALSE),IF($B$2="Sexual Orientation",VLOOKUP(B51,Table2[],7,FALSE),IF($B$2="Disability",VLOOKUP(B51,Table4[],7,FALSE),IF($B$2="Transgender",VLOOKUP(B51,Table5[],7,FALSE),IF($B$2="Total Offences",VLOOKUP(B51,Table6[],7,FALSE),""))))))</f>
        <v>408</v>
      </c>
      <c r="I51" s="57">
        <f>IF($B$2="Race",VLOOKUP(B51,Table1[],8,FALSE),IF($B$2="Religion",VLOOKUP(B51,Table3[],8,FALSE),IF($B$2="Sexual Orientation",VLOOKUP(B51,Table2[],8,FALSE),IF($B$2="Disability",VLOOKUP(B51,Table4[],8,FALSE),IF($B$2="Transgender",VLOOKUP(B51,Table5[],8,FALSE),IF($B$2="Total Offences",VLOOKUP(B51,Table6[],8,FALSE),""))))))</f>
        <v>666</v>
      </c>
      <c r="J51" s="57">
        <f>IF($B$2="Race",VLOOKUP(B51,Table1[],9,FALSE),IF($B$2="Religion",VLOOKUP(B51,Table3[],9,FALSE),IF($B$2="Sexual Orientation",VLOOKUP(B51,Table2[],9,FALSE),IF($B$2="Disability",VLOOKUP(B51,Table4[],9,FALSE),IF($B$2="Transgender",VLOOKUP(B51,Table5[],9,FALSE),IF($B$2="Total Offences",VLOOKUP(B51,Table6[],9,FALSE),""))))))</f>
        <v>715</v>
      </c>
      <c r="K51" s="57">
        <f>IF($B$2="Race",VLOOKUP(B51,Table1[],10,FALSE),IF($B$2="Religion",VLOOKUP(B51,Table3[],10,FALSE),IF($B$2="Sexual Orientation",VLOOKUP(B51,Table2[],10,FALSE),IF($B$2="Disability",VLOOKUP(B51,Table4[],10,FALSE),IF($B$2="Transgender",VLOOKUP(B51,Table5[],10,FALSE),IF($B$2="Total Offences",VLOOKUP(B51,Table6[],10,FALSE),""))))))</f>
        <v>629</v>
      </c>
      <c r="L51" s="57">
        <f>IF($B$2="Race",VLOOKUP(B51,Table1[],11,FALSE),IF($B$2="Religion",VLOOKUP(B51,Table3[],11,FALSE),IF($B$2="Sexual Orientation",VLOOKUP(B51,Table2[],11,FALSE),IF($B$2="Disability",VLOOKUP(B51,Table4[],10,FALSE),IF($B$2="Transgender",VLOOKUP(B51,Table5[],11,FALSE),IF($B$2="Total Offences",VLOOKUP(B51,Table6[],11,FALSE),""))))))</f>
        <v>677</v>
      </c>
      <c r="M51" s="58">
        <f t="shared" si="0"/>
        <v>7.6311605723370368E-2</v>
      </c>
      <c r="N51" s="58">
        <f t="shared" si="1"/>
        <v>2.1784037558685445</v>
      </c>
      <c r="O51" s="50"/>
    </row>
    <row r="52" spans="1:15" ht="15.75" customHeight="1" x14ac:dyDescent="0.35">
      <c r="A52" s="50"/>
      <c r="B52" s="61" t="s">
        <v>53</v>
      </c>
      <c r="C52" s="62" t="s">
        <v>64</v>
      </c>
      <c r="D52" s="62">
        <f t="shared" ref="D52:L52" si="3">SUM(D48:D51)</f>
        <v>1765</v>
      </c>
      <c r="E52" s="62">
        <f t="shared" si="3"/>
        <v>1877</v>
      </c>
      <c r="F52" s="62">
        <f t="shared" si="3"/>
        <v>2259</v>
      </c>
      <c r="G52" s="62">
        <f t="shared" si="3"/>
        <v>2405</v>
      </c>
      <c r="H52" s="62">
        <f t="shared" si="3"/>
        <v>2941</v>
      </c>
      <c r="I52" s="62">
        <f t="shared" si="3"/>
        <v>3370</v>
      </c>
      <c r="J52" s="62">
        <f t="shared" si="3"/>
        <v>3932</v>
      </c>
      <c r="K52" s="62">
        <f t="shared" si="3"/>
        <v>4023</v>
      </c>
      <c r="L52" s="62">
        <f t="shared" si="3"/>
        <v>4654</v>
      </c>
      <c r="M52" s="152">
        <f t="shared" si="0"/>
        <v>0.15684812329107634</v>
      </c>
      <c r="N52" s="152">
        <f t="shared" si="1"/>
        <v>0.93513513513513513</v>
      </c>
      <c r="O52" s="50"/>
    </row>
    <row r="53" spans="1:15" ht="21" customHeight="1" x14ac:dyDescent="0.35">
      <c r="A53" s="50"/>
      <c r="B53" s="61" t="s">
        <v>291</v>
      </c>
      <c r="C53" s="62" t="s">
        <v>64</v>
      </c>
      <c r="D53" s="62">
        <f t="shared" ref="D53:J53" si="4">SUM(D47+D52)</f>
        <v>40568</v>
      </c>
      <c r="E53" s="62">
        <f t="shared" si="4"/>
        <v>42663</v>
      </c>
      <c r="F53" s="62">
        <f t="shared" si="4"/>
        <v>50508</v>
      </c>
      <c r="G53" s="62">
        <f t="shared" si="4"/>
        <v>60321</v>
      </c>
      <c r="H53" s="62">
        <f t="shared" si="4"/>
        <v>77733</v>
      </c>
      <c r="I53" s="62">
        <f t="shared" si="4"/>
        <v>90852</v>
      </c>
      <c r="J53" s="62">
        <f t="shared" si="4"/>
        <v>102900</v>
      </c>
      <c r="K53" s="62" t="s">
        <v>64</v>
      </c>
      <c r="L53" s="62">
        <f>L47+L52</f>
        <v>122320</v>
      </c>
      <c r="M53" s="59" t="s">
        <v>198</v>
      </c>
      <c r="N53" s="152">
        <f t="shared" si="1"/>
        <v>1.02781784121616</v>
      </c>
      <c r="O53" s="50"/>
    </row>
    <row r="54" spans="1:15" ht="21.75" customHeight="1" x14ac:dyDescent="0.35">
      <c r="A54" s="50"/>
      <c r="B54" s="56" t="s">
        <v>10</v>
      </c>
      <c r="C54" s="57" t="str">
        <f>IF($B$2="Race",VLOOKUP(B54,Table1[],2,FALSE),IF($B$2="Religion",VLOOKUP(B54,Table3[],2,FALSE),IF($B$2="Sexual Orientation",VLOOKUP(B54,Table2[],2,FALSE),IF($B$2="Disability",VLOOKUP(B54,Table4[],2,FALSE),IF($B$2="Transgender",VLOOKUP(B54,Table5[],2,FALSE),IF($B$2="Total Offences",VLOOKUP(B54,Table6[],2,FALSE),""))))))</f>
        <v>N/A</v>
      </c>
      <c r="D54" s="57">
        <f>IF($B$2="Race",VLOOKUP(B54,Table1[],3,FALSE),IF($B$2="Religion",VLOOKUP(B54,Table3[],3,FALSE),IF($B$2="Sexual Orientation",VLOOKUP(B54,Table2[],3,FALSE),IF($B$2="Disability",VLOOKUP(B54,Table4[],3,FALSE),IF($B$2="Transgender",VLOOKUP(B54,Table5[],3,FALSE),IF($B$2="Total Offences",VLOOKUP(B54,Table6[],3,FALSE),""))))))</f>
        <v>1687</v>
      </c>
      <c r="E54" s="57">
        <f>IF($B$2="Race",VLOOKUP(B54,Table1[],4,FALSE),IF($B$2="Religion",VLOOKUP(B54,Table3[],4,FALSE),IF($B$2="Sexual Orientation",VLOOKUP(B54,Table2[],4,FALSE),IF($B$2="Disability",VLOOKUP(B54,Table4[],4,FALSE),IF($B$2="Transgender",VLOOKUP(B54,Table5[],4,FALSE),IF($B$2="Total Offences",VLOOKUP(B54,Table6[],4,FALSE),""))))))</f>
        <v>1914</v>
      </c>
      <c r="F54" s="57">
        <f>IF($B$2="Race",VLOOKUP(B54,Table1[],5,FALSE),IF($B$2="Religion",VLOOKUP(B54,Table3[],5,FALSE),IF($B$2="Sexual Orientation",VLOOKUP(B54,Table2[],5,FALSE),IF($B$2="Disability",VLOOKUP(B54,Table4[],5,FALSE),IF($B$2="Transgender",VLOOKUP(B54,Table5[],5,FALSE),IF($B$2="Total Offences",VLOOKUP(B54,Table6[],5,FALSE),""))))))</f>
        <v>1957</v>
      </c>
      <c r="G54" s="57">
        <f>IF($B$2="Race",VLOOKUP(B54,Table1[],6,FALSE),IF($B$2="Religion",VLOOKUP(B54,Table3[],6,FALSE),IF($B$2="Sexual Orientation",VLOOKUP(B54,Table2[],6,FALSE),IF($B$2="Disability",VLOOKUP(B54,Table4[],6,FALSE),IF($B$2="Transgender",VLOOKUP(B54,Table5[],6,FALSE),IF($B$2="Total Offences",VLOOKUP(B54,Table6[],6,FALSE),""))))))</f>
        <v>2197</v>
      </c>
      <c r="H54" s="57">
        <f>IF($B$2="Race",VLOOKUP(B54,Table1[],7,FALSE),IF($B$2="Religion",VLOOKUP(B54,Table3[],7,FALSE),IF($B$2="Sexual Orientation",VLOOKUP(B54,Table2[],7,FALSE),IF($B$2="Disability",VLOOKUP(B54,Table4[],7,FALSE),IF($B$2="Transgender",VLOOKUP(B54,Table5[],7,FALSE),IF($B$2="Total Offences",VLOOKUP(B54,Table6[],7,FALSE),""))))))</f>
        <v>2730</v>
      </c>
      <c r="I54" s="57">
        <f>IF($B$2="Race",VLOOKUP(B54,Table1[],8,FALSE),IF($B$2="Religion",VLOOKUP(B54,Table3[],8,FALSE),IF($B$2="Sexual Orientation",VLOOKUP(B54,Table2[],8,FALSE),IF($B$2="Disability",VLOOKUP(B54,Table4[],8,FALSE),IF($B$2="Transgender",VLOOKUP(B54,Table5[],8,FALSE),IF($B$2="Total Offences",VLOOKUP(B54,Table6[],8,FALSE),""))))))</f>
        <v>3263</v>
      </c>
      <c r="J54" s="57">
        <f>IF($B$2="Race",VLOOKUP(B54,Table1[],9,FALSE),IF($B$2="Religion",VLOOKUP(B54,Table3[],9,FALSE),IF($B$2="Sexual Orientation",VLOOKUP(B54,Table2[],9,FALSE),IF($B$2="Disability",VLOOKUP(B54,Table4[],9,FALSE),IF($B$2="Transgender",VLOOKUP(B54,Table5[],9,FALSE),IF($B$2="Total Offences",VLOOKUP(B54,Table6[],9,FALSE),""))))))</f>
        <v>3558</v>
      </c>
      <c r="K54" s="57">
        <f>IF($B$2="Race",VLOOKUP(B54,Table1[],10,FALSE),IF($B$2="Religion",VLOOKUP(B54,Table3[],10,FALSE),IF($B$2="Sexual Orientation",VLOOKUP(B54,Table2[],10,FALSE),IF($B$2="Disability",VLOOKUP(B54,Table4[],10,FALSE),IF($B$2="Transgender",VLOOKUP(B54,Table5[],10,FALSE),IF($B$2="Total Offences",VLOOKUP(B54,Table6[],10,FALSE),""))))))</f>
        <v>3541</v>
      </c>
      <c r="L54" s="57">
        <f>IF($B$2="Race",VLOOKUP(B54,Table1[],11,FALSE),IF($B$2="Religion",VLOOKUP(B54,Table3[],11,FALSE),IF($B$2="Sexual Orientation",VLOOKUP(B54,Table2[],11,FALSE),IF($B$2="Disability",VLOOKUP(B54,Table4[],10,FALSE),IF($B$2="Transgender",VLOOKUP(B54,Table5[],11,FALSE),IF($B$2="Total Offences",VLOOKUP(B54,Table6[],11,FALSE),""))))))</f>
        <v>1771</v>
      </c>
      <c r="M54" s="58">
        <f t="shared" si="0"/>
        <v>-0.49985879695001412</v>
      </c>
      <c r="N54" s="58">
        <f t="shared" si="1"/>
        <v>-0.19390077378243054</v>
      </c>
      <c r="O54" s="50"/>
    </row>
    <row r="55" spans="1:15" ht="25.5" customHeight="1" x14ac:dyDescent="0.35">
      <c r="A55" s="50"/>
      <c r="B55" s="61" t="s">
        <v>292</v>
      </c>
      <c r="C55" s="62" t="str">
        <f>IFERROR(SUM(C47+C52+C54),"N/A")</f>
        <v>N/A</v>
      </c>
      <c r="D55" s="62">
        <f>SUM(D53+D54)</f>
        <v>42255</v>
      </c>
      <c r="E55" s="62">
        <f t="shared" ref="E55:L55" si="5">SUM(E53+E54)</f>
        <v>44577</v>
      </c>
      <c r="F55" s="62">
        <f t="shared" si="5"/>
        <v>52465</v>
      </c>
      <c r="G55" s="62">
        <f t="shared" si="5"/>
        <v>62518</v>
      </c>
      <c r="H55" s="62">
        <f t="shared" si="5"/>
        <v>80463</v>
      </c>
      <c r="I55" s="62">
        <f t="shared" si="5"/>
        <v>94115</v>
      </c>
      <c r="J55" s="62">
        <f t="shared" si="5"/>
        <v>106458</v>
      </c>
      <c r="K55" s="62" t="s">
        <v>64</v>
      </c>
      <c r="L55" s="62">
        <f t="shared" si="5"/>
        <v>124091</v>
      </c>
      <c r="M55" s="59" t="s">
        <v>198</v>
      </c>
      <c r="N55" s="152">
        <f t="shared" si="1"/>
        <v>0.98488435330624791</v>
      </c>
      <c r="O55" s="50"/>
    </row>
    <row r="56" spans="1:15" ht="6" customHeight="1" x14ac:dyDescent="0.35">
      <c r="A56" s="50"/>
      <c r="B56" s="56"/>
      <c r="C56" s="56"/>
      <c r="D56" s="56"/>
      <c r="E56" s="56"/>
      <c r="F56" s="56"/>
      <c r="G56" s="56"/>
      <c r="H56" s="56"/>
      <c r="I56" s="56"/>
      <c r="J56" s="56"/>
      <c r="K56" s="56"/>
      <c r="L56" s="56"/>
      <c r="M56" s="56"/>
      <c r="N56" s="56"/>
      <c r="O56" s="50"/>
    </row>
    <row r="57" spans="1:15" x14ac:dyDescent="0.35">
      <c r="B57" s="75" t="s">
        <v>194</v>
      </c>
      <c r="C57" s="41"/>
      <c r="D57" s="41"/>
      <c r="E57" s="41"/>
      <c r="F57" s="41"/>
      <c r="G57" s="41"/>
      <c r="H57" s="41"/>
      <c r="I57" s="41"/>
      <c r="J57" s="41"/>
      <c r="K57" s="41"/>
      <c r="L57" s="41"/>
      <c r="M57" s="41"/>
      <c r="N57" s="41"/>
      <c r="O57" s="41"/>
    </row>
    <row r="58" spans="1:15" ht="27" customHeight="1" x14ac:dyDescent="0.35">
      <c r="B58" s="155" t="s">
        <v>298</v>
      </c>
      <c r="C58" s="155"/>
      <c r="D58" s="155"/>
      <c r="E58" s="155"/>
      <c r="F58" s="155"/>
      <c r="G58" s="155"/>
      <c r="H58" s="155"/>
      <c r="I58" s="155"/>
      <c r="J58" s="155"/>
      <c r="K58" s="155"/>
      <c r="L58" s="155"/>
      <c r="M58" s="155"/>
      <c r="N58" s="155"/>
      <c r="O58" s="63"/>
    </row>
    <row r="59" spans="1:15" ht="29.25" customHeight="1" x14ac:dyDescent="0.35">
      <c r="A59" s="88"/>
      <c r="B59" s="154" t="s">
        <v>169</v>
      </c>
      <c r="C59" s="154"/>
      <c r="D59" s="154"/>
      <c r="E59" s="154"/>
      <c r="F59" s="154"/>
      <c r="G59" s="154"/>
      <c r="H59" s="154"/>
      <c r="I59" s="154"/>
      <c r="J59" s="154"/>
      <c r="K59" s="154"/>
      <c r="L59" s="154"/>
      <c r="M59" s="154"/>
      <c r="N59" s="154"/>
      <c r="O59" s="154"/>
    </row>
    <row r="60" spans="1:15" ht="11.4" customHeight="1" x14ac:dyDescent="0.35">
      <c r="A60" s="88"/>
      <c r="B60" s="155" t="s">
        <v>201</v>
      </c>
      <c r="C60" s="155"/>
      <c r="D60" s="155"/>
      <c r="E60" s="155"/>
      <c r="F60" s="155"/>
      <c r="G60" s="155"/>
      <c r="H60" s="155"/>
      <c r="I60" s="155"/>
      <c r="J60" s="155"/>
      <c r="K60" s="155"/>
      <c r="L60" s="155"/>
      <c r="M60" s="155"/>
      <c r="N60" s="155"/>
      <c r="O60" s="63"/>
    </row>
    <row r="61" spans="1:15" ht="13.8" customHeight="1" x14ac:dyDescent="0.35">
      <c r="A61" s="29"/>
      <c r="B61" s="155" t="s">
        <v>202</v>
      </c>
      <c r="C61" s="155"/>
      <c r="D61" s="155"/>
      <c r="E61" s="155"/>
      <c r="F61" s="155"/>
      <c r="G61" s="155"/>
      <c r="H61" s="155"/>
      <c r="I61" s="155"/>
      <c r="J61" s="155"/>
      <c r="K61" s="155"/>
      <c r="L61" s="155"/>
      <c r="M61" s="155"/>
      <c r="N61" s="155"/>
    </row>
    <row r="62" spans="1:15" ht="15" customHeight="1" x14ac:dyDescent="0.35">
      <c r="A62" s="29"/>
      <c r="B62" s="155" t="s">
        <v>294</v>
      </c>
      <c r="C62" s="155"/>
      <c r="D62" s="155"/>
      <c r="E62" s="155"/>
      <c r="F62" s="155"/>
      <c r="G62" s="155"/>
      <c r="H62" s="155"/>
      <c r="I62" s="155"/>
      <c r="J62" s="155"/>
      <c r="K62" s="155"/>
      <c r="L62" s="155"/>
      <c r="M62" s="155"/>
      <c r="N62" s="155"/>
    </row>
    <row r="63" spans="1:15" ht="6" customHeight="1" x14ac:dyDescent="0.35">
      <c r="A63" s="29"/>
      <c r="B63" s="88"/>
      <c r="C63" s="88"/>
      <c r="D63" s="88"/>
      <c r="E63" s="88"/>
      <c r="F63" s="88"/>
      <c r="G63" s="88"/>
      <c r="H63" s="88"/>
      <c r="I63" s="88"/>
      <c r="J63" s="88"/>
      <c r="K63" s="88"/>
      <c r="L63" s="147"/>
      <c r="M63" s="88"/>
      <c r="N63" s="88"/>
    </row>
    <row r="64" spans="1:15" x14ac:dyDescent="0.35">
      <c r="A64" s="29"/>
      <c r="B64" s="64" t="s">
        <v>184</v>
      </c>
      <c r="C64" s="29"/>
      <c r="D64" s="29"/>
      <c r="E64" s="29"/>
      <c r="F64" s="29"/>
      <c r="G64" s="29"/>
      <c r="H64" s="29"/>
      <c r="I64" s="29"/>
      <c r="J64" s="29"/>
      <c r="K64" s="29"/>
      <c r="L64" s="29"/>
      <c r="M64" s="29"/>
      <c r="N64" s="29"/>
      <c r="O64" s="29"/>
    </row>
  </sheetData>
  <mergeCells count="5">
    <mergeCell ref="B59:O59"/>
    <mergeCell ref="B58:N58"/>
    <mergeCell ref="B60:N60"/>
    <mergeCell ref="B61:N61"/>
    <mergeCell ref="B62:N62"/>
  </mergeCells>
  <conditionalFormatting sqref="M8:N55">
    <cfRule type="cellIs" dxfId="86" priority="2" operator="lessThan">
      <formula>0</formula>
    </cfRule>
  </conditionalFormatting>
  <dataValidations count="1">
    <dataValidation type="list" allowBlank="1" showInputMessage="1" showErrorMessage="1" sqref="B2:B3" xr:uid="{00000000-0002-0000-0000-000000000000}">
      <formula1>HateCrime</formula1>
    </dataValidation>
  </dataValidations>
  <hyperlinks>
    <hyperlink ref="B64" r:id="rId1" xr:uid="{00000000-0004-0000-0000-000000000000}"/>
  </hyperlinks>
  <pageMargins left="0.7" right="0.7" top="0.75" bottom="0.75" header="0.3" footer="0.3"/>
  <pageSetup paperSize="9" orientation="portrait" r:id="rId2"/>
  <ignoredErrors>
    <ignoredError sqref="C47:J47 L47"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V65"/>
  <sheetViews>
    <sheetView topLeftCell="A46" workbookViewId="0">
      <selection activeCell="BK53" sqref="BK53"/>
    </sheetView>
  </sheetViews>
  <sheetFormatPr defaultRowHeight="15" x14ac:dyDescent="0.35"/>
  <cols>
    <col min="2" max="2" width="22" customWidth="1"/>
    <col min="3" max="12" width="9.8984375" customWidth="1"/>
    <col min="14" max="14" width="21" bestFit="1" customWidth="1"/>
    <col min="15" max="24" width="9.8984375" customWidth="1"/>
    <col min="26" max="26" width="21" bestFit="1" customWidth="1"/>
    <col min="27" max="36" width="9.8984375" customWidth="1"/>
    <col min="38" max="38" width="21" bestFit="1" customWidth="1"/>
    <col min="39" max="48" width="9.8984375" customWidth="1"/>
    <col min="50" max="50" width="21" bestFit="1" customWidth="1"/>
    <col min="51" max="60" width="9.8984375" customWidth="1"/>
    <col min="62" max="62" width="21" bestFit="1" customWidth="1"/>
    <col min="63" max="63" width="21" customWidth="1"/>
    <col min="64" max="72" width="9.8984375" customWidth="1"/>
    <col min="74" max="74" width="21" bestFit="1" customWidth="1"/>
  </cols>
  <sheetData>
    <row r="2" spans="2:74" x14ac:dyDescent="0.35">
      <c r="B2" t="s">
        <v>55</v>
      </c>
      <c r="N2" t="s">
        <v>58</v>
      </c>
      <c r="Z2" t="s">
        <v>57</v>
      </c>
      <c r="AL2" t="s">
        <v>61</v>
      </c>
      <c r="AX2" t="s">
        <v>60</v>
      </c>
      <c r="BJ2" t="s">
        <v>62</v>
      </c>
    </row>
    <row r="3" spans="2:74" x14ac:dyDescent="0.35">
      <c r="B3" t="s">
        <v>51</v>
      </c>
      <c r="C3" s="1" t="s">
        <v>0</v>
      </c>
      <c r="D3" s="1" t="s">
        <v>1</v>
      </c>
      <c r="E3" s="1" t="s">
        <v>2</v>
      </c>
      <c r="F3" s="1" t="s">
        <v>3</v>
      </c>
      <c r="G3" s="1" t="s">
        <v>4</v>
      </c>
      <c r="H3" s="1" t="s">
        <v>5</v>
      </c>
      <c r="I3" s="1" t="s">
        <v>6</v>
      </c>
      <c r="J3" s="1" t="s">
        <v>173</v>
      </c>
      <c r="K3" s="1" t="s">
        <v>183</v>
      </c>
      <c r="L3" s="1" t="s">
        <v>273</v>
      </c>
      <c r="N3" t="s">
        <v>51</v>
      </c>
      <c r="O3" t="s">
        <v>0</v>
      </c>
      <c r="P3" t="s">
        <v>1</v>
      </c>
      <c r="Q3" t="s">
        <v>2</v>
      </c>
      <c r="R3" t="s">
        <v>3</v>
      </c>
      <c r="S3" t="s">
        <v>4</v>
      </c>
      <c r="T3" t="s">
        <v>5</v>
      </c>
      <c r="U3" t="s">
        <v>6</v>
      </c>
      <c r="V3" t="s">
        <v>173</v>
      </c>
      <c r="W3" t="s">
        <v>183</v>
      </c>
      <c r="X3" t="s">
        <v>273</v>
      </c>
      <c r="Z3" t="s">
        <v>51</v>
      </c>
      <c r="AA3" t="s">
        <v>0</v>
      </c>
      <c r="AB3" t="s">
        <v>1</v>
      </c>
      <c r="AC3" t="s">
        <v>2</v>
      </c>
      <c r="AD3" t="s">
        <v>3</v>
      </c>
      <c r="AE3" t="s">
        <v>4</v>
      </c>
      <c r="AF3" t="s">
        <v>5</v>
      </c>
      <c r="AG3" t="s">
        <v>6</v>
      </c>
      <c r="AH3" t="s">
        <v>173</v>
      </c>
      <c r="AI3" t="s">
        <v>183</v>
      </c>
      <c r="AJ3" t="s">
        <v>273</v>
      </c>
      <c r="AL3" t="s">
        <v>51</v>
      </c>
      <c r="AM3" t="s">
        <v>0</v>
      </c>
      <c r="AN3" t="s">
        <v>1</v>
      </c>
      <c r="AO3" t="s">
        <v>2</v>
      </c>
      <c r="AP3" t="s">
        <v>3</v>
      </c>
      <c r="AQ3" t="s">
        <v>4</v>
      </c>
      <c r="AR3" t="s">
        <v>5</v>
      </c>
      <c r="AS3" t="s">
        <v>6</v>
      </c>
      <c r="AT3" t="s">
        <v>173</v>
      </c>
      <c r="AU3" t="s">
        <v>183</v>
      </c>
      <c r="AV3" t="s">
        <v>273</v>
      </c>
      <c r="AX3" t="s">
        <v>51</v>
      </c>
      <c r="AY3" t="s">
        <v>0</v>
      </c>
      <c r="AZ3" t="s">
        <v>1</v>
      </c>
      <c r="BA3" t="s">
        <v>2</v>
      </c>
      <c r="BB3" t="s">
        <v>3</v>
      </c>
      <c r="BC3" t="s">
        <v>4</v>
      </c>
      <c r="BD3" t="s">
        <v>5</v>
      </c>
      <c r="BE3" t="s">
        <v>6</v>
      </c>
      <c r="BF3" t="s">
        <v>173</v>
      </c>
      <c r="BG3" t="s">
        <v>183</v>
      </c>
      <c r="BH3" t="s">
        <v>273</v>
      </c>
      <c r="BJ3" s="1" t="s">
        <v>51</v>
      </c>
      <c r="BK3" s="1" t="s">
        <v>0</v>
      </c>
      <c r="BL3" s="1" t="s">
        <v>1</v>
      </c>
      <c r="BM3" s="1" t="s">
        <v>2</v>
      </c>
      <c r="BN3" s="1" t="s">
        <v>3</v>
      </c>
      <c r="BO3" s="1" t="s">
        <v>4</v>
      </c>
      <c r="BP3" s="1" t="s">
        <v>5</v>
      </c>
      <c r="BQ3" s="1" t="s">
        <v>6</v>
      </c>
      <c r="BR3" s="1" t="s">
        <v>173</v>
      </c>
      <c r="BS3" s="1" t="s">
        <v>183</v>
      </c>
      <c r="BT3" s="1" t="s">
        <v>273</v>
      </c>
      <c r="BV3" t="s">
        <v>63</v>
      </c>
    </row>
    <row r="4" spans="2:74" x14ac:dyDescent="0.35">
      <c r="B4" t="s">
        <v>8</v>
      </c>
      <c r="C4" s="7">
        <v>1241</v>
      </c>
      <c r="D4" s="7">
        <v>1040</v>
      </c>
      <c r="E4" s="7">
        <v>1179</v>
      </c>
      <c r="F4" s="7">
        <v>1430</v>
      </c>
      <c r="G4" s="7">
        <v>1428</v>
      </c>
      <c r="H4" s="7">
        <v>2071</v>
      </c>
      <c r="I4" s="7">
        <v>2357</v>
      </c>
      <c r="J4" s="7">
        <v>2184</v>
      </c>
      <c r="K4" s="7">
        <v>2294</v>
      </c>
      <c r="L4" s="7">
        <v>2537</v>
      </c>
      <c r="N4" t="s">
        <v>8</v>
      </c>
      <c r="O4" s="2">
        <v>150</v>
      </c>
      <c r="P4" s="2">
        <v>111</v>
      </c>
      <c r="Q4" s="2">
        <v>175</v>
      </c>
      <c r="R4" s="2">
        <v>249</v>
      </c>
      <c r="S4" s="2">
        <v>273</v>
      </c>
      <c r="T4" s="2">
        <v>369</v>
      </c>
      <c r="U4" s="2">
        <v>406</v>
      </c>
      <c r="V4" s="2">
        <v>416</v>
      </c>
      <c r="W4" s="2">
        <v>467</v>
      </c>
      <c r="X4" s="2">
        <v>457</v>
      </c>
      <c r="Z4" t="s">
        <v>8</v>
      </c>
      <c r="AA4" s="2">
        <v>48</v>
      </c>
      <c r="AB4" s="2">
        <v>53</v>
      </c>
      <c r="AC4" s="2">
        <v>82</v>
      </c>
      <c r="AD4" s="2">
        <v>132</v>
      </c>
      <c r="AE4" s="2">
        <v>140</v>
      </c>
      <c r="AF4" s="2">
        <v>228</v>
      </c>
      <c r="AG4" s="2">
        <v>257</v>
      </c>
      <c r="AH4" s="2">
        <v>182</v>
      </c>
      <c r="AI4" s="2">
        <v>194</v>
      </c>
      <c r="AJ4" s="2">
        <v>135</v>
      </c>
      <c r="AL4" t="s">
        <v>8</v>
      </c>
      <c r="AM4">
        <v>113</v>
      </c>
      <c r="AN4">
        <v>75</v>
      </c>
      <c r="AO4">
        <v>101</v>
      </c>
      <c r="AP4">
        <v>114</v>
      </c>
      <c r="AQ4">
        <v>201</v>
      </c>
      <c r="AR4">
        <v>366</v>
      </c>
      <c r="AS4">
        <v>296</v>
      </c>
      <c r="AT4">
        <v>312</v>
      </c>
      <c r="AU4">
        <v>324</v>
      </c>
      <c r="AV4">
        <v>297</v>
      </c>
      <c r="AX4" t="s">
        <v>8</v>
      </c>
      <c r="AY4">
        <v>16</v>
      </c>
      <c r="AZ4">
        <v>13</v>
      </c>
      <c r="BA4">
        <v>29</v>
      </c>
      <c r="BB4">
        <v>47</v>
      </c>
      <c r="BC4">
        <v>44</v>
      </c>
      <c r="BD4">
        <v>66</v>
      </c>
      <c r="BE4">
        <v>85</v>
      </c>
      <c r="BF4">
        <v>65</v>
      </c>
      <c r="BG4">
        <v>74</v>
      </c>
      <c r="BH4">
        <v>96</v>
      </c>
      <c r="BJ4" s="1" t="s">
        <v>8</v>
      </c>
      <c r="BK4" s="1" t="s">
        <v>64</v>
      </c>
      <c r="BL4" s="7">
        <v>1211</v>
      </c>
      <c r="BM4" s="7">
        <v>1432</v>
      </c>
      <c r="BN4" s="7">
        <v>1841</v>
      </c>
      <c r="BO4" s="7">
        <v>1966</v>
      </c>
      <c r="BP4" s="7">
        <v>2877</v>
      </c>
      <c r="BQ4" s="7">
        <v>3138</v>
      </c>
      <c r="BR4" s="7">
        <v>2961</v>
      </c>
      <c r="BS4" s="7">
        <v>3134</v>
      </c>
      <c r="BT4" s="7">
        <v>3351</v>
      </c>
      <c r="BV4" t="s">
        <v>51</v>
      </c>
    </row>
    <row r="5" spans="2:74" x14ac:dyDescent="0.35">
      <c r="B5" t="s">
        <v>9</v>
      </c>
      <c r="C5" s="7">
        <v>266</v>
      </c>
      <c r="D5" s="7">
        <v>274</v>
      </c>
      <c r="E5" s="7">
        <v>280</v>
      </c>
      <c r="F5" s="7">
        <v>454</v>
      </c>
      <c r="G5" s="7">
        <v>513</v>
      </c>
      <c r="H5" s="7">
        <v>516</v>
      </c>
      <c r="I5" s="7">
        <v>787</v>
      </c>
      <c r="J5" s="7">
        <v>807</v>
      </c>
      <c r="K5" s="7">
        <v>963</v>
      </c>
      <c r="L5" s="7">
        <v>933</v>
      </c>
      <c r="N5" t="s">
        <v>9</v>
      </c>
      <c r="O5" s="2">
        <v>20</v>
      </c>
      <c r="P5" s="2">
        <v>9</v>
      </c>
      <c r="Q5" s="2">
        <v>10</v>
      </c>
      <c r="R5" s="2">
        <v>22</v>
      </c>
      <c r="S5" s="2">
        <v>36</v>
      </c>
      <c r="T5" s="2">
        <v>35</v>
      </c>
      <c r="U5" s="2">
        <v>59</v>
      </c>
      <c r="V5" s="2">
        <v>127</v>
      </c>
      <c r="W5" s="2">
        <v>151</v>
      </c>
      <c r="X5" s="2">
        <v>160</v>
      </c>
      <c r="Z5" t="s">
        <v>9</v>
      </c>
      <c r="AA5" s="2">
        <v>11</v>
      </c>
      <c r="AB5" s="2">
        <v>5</v>
      </c>
      <c r="AC5" s="2">
        <v>4</v>
      </c>
      <c r="AD5" s="2">
        <v>22</v>
      </c>
      <c r="AE5" s="2">
        <v>27</v>
      </c>
      <c r="AF5" s="2">
        <v>28</v>
      </c>
      <c r="AG5" s="2">
        <v>61</v>
      </c>
      <c r="AH5" s="2">
        <v>76</v>
      </c>
      <c r="AI5" s="2">
        <v>99</v>
      </c>
      <c r="AJ5" s="2">
        <v>68</v>
      </c>
      <c r="AL5" t="s">
        <v>9</v>
      </c>
      <c r="AM5">
        <v>6</v>
      </c>
      <c r="AN5">
        <v>3</v>
      </c>
      <c r="AO5">
        <v>5</v>
      </c>
      <c r="AP5">
        <v>16</v>
      </c>
      <c r="AQ5">
        <v>24</v>
      </c>
      <c r="AR5">
        <v>43</v>
      </c>
      <c r="AS5">
        <v>49</v>
      </c>
      <c r="AT5">
        <v>72</v>
      </c>
      <c r="AU5">
        <v>96</v>
      </c>
      <c r="AV5">
        <v>63</v>
      </c>
      <c r="AX5" t="s">
        <v>9</v>
      </c>
      <c r="AY5">
        <v>1</v>
      </c>
      <c r="AZ5">
        <v>2</v>
      </c>
      <c r="BA5">
        <v>4</v>
      </c>
      <c r="BB5">
        <v>1</v>
      </c>
      <c r="BC5">
        <v>9</v>
      </c>
      <c r="BD5">
        <v>8</v>
      </c>
      <c r="BE5">
        <v>9</v>
      </c>
      <c r="BF5">
        <v>18</v>
      </c>
      <c r="BG5">
        <v>24</v>
      </c>
      <c r="BH5">
        <v>21</v>
      </c>
      <c r="BJ5" s="1" t="s">
        <v>9</v>
      </c>
      <c r="BK5" s="1" t="s">
        <v>64</v>
      </c>
      <c r="BL5" s="7">
        <v>295</v>
      </c>
      <c r="BM5" s="7">
        <v>300</v>
      </c>
      <c r="BN5" s="7">
        <v>496</v>
      </c>
      <c r="BO5" s="7">
        <v>580</v>
      </c>
      <c r="BP5" s="7">
        <v>609</v>
      </c>
      <c r="BQ5" s="7">
        <v>913</v>
      </c>
      <c r="BR5" s="7">
        <v>1033</v>
      </c>
      <c r="BS5" s="7">
        <v>1244</v>
      </c>
      <c r="BT5" s="7">
        <v>1179</v>
      </c>
      <c r="BV5" t="s">
        <v>7</v>
      </c>
    </row>
    <row r="6" spans="2:74" x14ac:dyDescent="0.35">
      <c r="B6" t="s">
        <v>10</v>
      </c>
      <c r="C6" s="7">
        <v>1349</v>
      </c>
      <c r="D6" s="7">
        <v>1509</v>
      </c>
      <c r="E6" s="7">
        <v>1642</v>
      </c>
      <c r="F6" s="7">
        <v>1637</v>
      </c>
      <c r="G6" s="7">
        <v>1885</v>
      </c>
      <c r="H6" s="7">
        <v>2264</v>
      </c>
      <c r="I6" s="7">
        <v>2685</v>
      </c>
      <c r="J6" s="7">
        <v>2799</v>
      </c>
      <c r="K6" s="7">
        <v>2803</v>
      </c>
      <c r="L6" s="7">
        <v>1438</v>
      </c>
      <c r="N6" t="s">
        <v>10</v>
      </c>
      <c r="O6" s="2">
        <v>123</v>
      </c>
      <c r="P6" s="2">
        <v>122</v>
      </c>
      <c r="Q6" s="2">
        <v>148</v>
      </c>
      <c r="R6" s="2">
        <v>161</v>
      </c>
      <c r="S6" s="2">
        <v>203</v>
      </c>
      <c r="T6" s="2">
        <v>341</v>
      </c>
      <c r="U6" s="2">
        <v>441</v>
      </c>
      <c r="V6" s="2">
        <v>556</v>
      </c>
      <c r="W6" s="2">
        <v>626</v>
      </c>
      <c r="X6" s="2">
        <v>271</v>
      </c>
      <c r="Z6" t="s">
        <v>10</v>
      </c>
      <c r="AA6" s="2">
        <v>41</v>
      </c>
      <c r="AB6" s="2">
        <v>50</v>
      </c>
      <c r="AC6" s="2">
        <v>68</v>
      </c>
      <c r="AD6" s="2">
        <v>89</v>
      </c>
      <c r="AE6" s="2">
        <v>169</v>
      </c>
      <c r="AF6" s="2">
        <v>210</v>
      </c>
      <c r="AG6" s="2">
        <v>305</v>
      </c>
      <c r="AH6" s="2">
        <v>403</v>
      </c>
      <c r="AI6" s="2">
        <v>344</v>
      </c>
      <c r="AJ6" s="2">
        <v>85</v>
      </c>
      <c r="AL6" t="s">
        <v>10</v>
      </c>
      <c r="AM6">
        <v>25</v>
      </c>
      <c r="AN6">
        <v>43</v>
      </c>
      <c r="AO6">
        <v>102</v>
      </c>
      <c r="AP6">
        <v>127</v>
      </c>
      <c r="AQ6">
        <v>76</v>
      </c>
      <c r="AR6">
        <v>67</v>
      </c>
      <c r="AS6">
        <v>78</v>
      </c>
      <c r="AT6">
        <v>74</v>
      </c>
      <c r="AU6">
        <v>69</v>
      </c>
      <c r="AV6">
        <v>31</v>
      </c>
      <c r="AX6" t="s">
        <v>10</v>
      </c>
      <c r="AY6">
        <v>5</v>
      </c>
      <c r="AZ6">
        <v>4</v>
      </c>
      <c r="BA6">
        <v>8</v>
      </c>
      <c r="BB6">
        <v>12</v>
      </c>
      <c r="BC6">
        <v>10</v>
      </c>
      <c r="BD6">
        <v>29</v>
      </c>
      <c r="BE6">
        <v>41</v>
      </c>
      <c r="BF6">
        <v>42</v>
      </c>
      <c r="BG6">
        <v>40</v>
      </c>
      <c r="BH6">
        <v>23</v>
      </c>
      <c r="BJ6" s="1" t="s">
        <v>10</v>
      </c>
      <c r="BK6" s="1" t="s">
        <v>64</v>
      </c>
      <c r="BL6" s="7">
        <v>1687</v>
      </c>
      <c r="BM6" s="7">
        <v>1914</v>
      </c>
      <c r="BN6" s="7">
        <v>1957</v>
      </c>
      <c r="BO6" s="7">
        <v>2197</v>
      </c>
      <c r="BP6" s="7">
        <v>2730</v>
      </c>
      <c r="BQ6" s="7">
        <v>3263</v>
      </c>
      <c r="BR6" s="7">
        <v>3558</v>
      </c>
      <c r="BS6" s="7">
        <v>3541</v>
      </c>
      <c r="BT6" s="7">
        <v>1771</v>
      </c>
      <c r="BV6" t="s">
        <v>8</v>
      </c>
    </row>
    <row r="7" spans="2:74" x14ac:dyDescent="0.35">
      <c r="B7" t="s">
        <v>11</v>
      </c>
      <c r="C7" s="7">
        <v>338</v>
      </c>
      <c r="D7" s="7">
        <v>224</v>
      </c>
      <c r="E7" s="7">
        <v>276</v>
      </c>
      <c r="F7" s="7">
        <v>403</v>
      </c>
      <c r="G7" s="7">
        <v>459</v>
      </c>
      <c r="H7" s="7">
        <v>785</v>
      </c>
      <c r="I7" s="7">
        <v>887</v>
      </c>
      <c r="J7" s="7">
        <v>777</v>
      </c>
      <c r="K7" s="7">
        <v>1052</v>
      </c>
      <c r="L7" s="7">
        <v>1106</v>
      </c>
      <c r="N7" t="s">
        <v>11</v>
      </c>
      <c r="O7" s="2">
        <v>26</v>
      </c>
      <c r="P7" s="2">
        <v>15</v>
      </c>
      <c r="Q7" s="2">
        <v>17</v>
      </c>
      <c r="R7" s="2">
        <v>27</v>
      </c>
      <c r="S7" s="2">
        <v>43</v>
      </c>
      <c r="T7" s="2">
        <v>85</v>
      </c>
      <c r="U7" s="2">
        <v>96</v>
      </c>
      <c r="V7" s="2">
        <v>90</v>
      </c>
      <c r="W7" s="2">
        <v>143</v>
      </c>
      <c r="X7" s="2">
        <v>141</v>
      </c>
      <c r="Z7" t="s">
        <v>11</v>
      </c>
      <c r="AA7" s="2">
        <v>10</v>
      </c>
      <c r="AB7" s="2">
        <v>12</v>
      </c>
      <c r="AC7" s="2">
        <v>27</v>
      </c>
      <c r="AD7" s="2">
        <v>20</v>
      </c>
      <c r="AE7" s="2">
        <v>34</v>
      </c>
      <c r="AF7" s="2">
        <v>84</v>
      </c>
      <c r="AG7" s="2">
        <v>86</v>
      </c>
      <c r="AH7" s="2">
        <v>73</v>
      </c>
      <c r="AI7" s="2">
        <v>92</v>
      </c>
      <c r="AJ7" s="2">
        <v>84</v>
      </c>
      <c r="AL7" t="s">
        <v>11</v>
      </c>
      <c r="AM7">
        <v>6</v>
      </c>
      <c r="AN7">
        <v>3</v>
      </c>
      <c r="AO7">
        <v>4</v>
      </c>
      <c r="AP7">
        <v>17</v>
      </c>
      <c r="AQ7">
        <v>20</v>
      </c>
      <c r="AR7">
        <v>33</v>
      </c>
      <c r="AS7">
        <v>51</v>
      </c>
      <c r="AT7">
        <v>47</v>
      </c>
      <c r="AU7">
        <v>75</v>
      </c>
      <c r="AV7">
        <v>80</v>
      </c>
      <c r="AX7" t="s">
        <v>11</v>
      </c>
      <c r="AY7">
        <v>1</v>
      </c>
      <c r="AZ7">
        <v>3</v>
      </c>
      <c r="BA7">
        <v>2</v>
      </c>
      <c r="BB7">
        <v>7</v>
      </c>
      <c r="BC7">
        <v>8</v>
      </c>
      <c r="BD7">
        <v>11</v>
      </c>
      <c r="BE7">
        <v>11</v>
      </c>
      <c r="BF7">
        <v>26</v>
      </c>
      <c r="BG7">
        <v>19</v>
      </c>
      <c r="BH7">
        <v>16</v>
      </c>
      <c r="BJ7" s="1" t="s">
        <v>11</v>
      </c>
      <c r="BK7" s="1" t="s">
        <v>64</v>
      </c>
      <c r="BL7" s="7">
        <v>245</v>
      </c>
      <c r="BM7" s="7">
        <v>317</v>
      </c>
      <c r="BN7" s="7">
        <v>459</v>
      </c>
      <c r="BO7" s="7">
        <v>546</v>
      </c>
      <c r="BP7" s="7">
        <v>962</v>
      </c>
      <c r="BQ7" s="7">
        <v>1095</v>
      </c>
      <c r="BR7" s="7">
        <v>980</v>
      </c>
      <c r="BS7" s="7">
        <v>1322</v>
      </c>
      <c r="BT7" s="7">
        <v>1371</v>
      </c>
      <c r="BV7" t="s">
        <v>9</v>
      </c>
    </row>
    <row r="8" spans="2:74" x14ac:dyDescent="0.35">
      <c r="B8" t="s">
        <v>12</v>
      </c>
      <c r="C8" s="7">
        <v>293</v>
      </c>
      <c r="D8" s="7">
        <v>438</v>
      </c>
      <c r="E8" s="7">
        <v>542</v>
      </c>
      <c r="F8" s="7">
        <v>535</v>
      </c>
      <c r="G8" s="7">
        <v>564</v>
      </c>
      <c r="H8" s="7">
        <v>842</v>
      </c>
      <c r="I8" s="7">
        <v>1014</v>
      </c>
      <c r="J8" s="7">
        <v>1078</v>
      </c>
      <c r="K8" s="7">
        <v>1321</v>
      </c>
      <c r="L8" s="7">
        <v>1293</v>
      </c>
      <c r="N8" t="s">
        <v>12</v>
      </c>
      <c r="O8" s="2">
        <v>58</v>
      </c>
      <c r="P8" s="2">
        <v>63</v>
      </c>
      <c r="Q8" s="2">
        <v>82</v>
      </c>
      <c r="R8" s="2">
        <v>84</v>
      </c>
      <c r="S8" s="2">
        <v>116</v>
      </c>
      <c r="T8" s="2">
        <v>148</v>
      </c>
      <c r="U8" s="2">
        <v>231</v>
      </c>
      <c r="V8" s="2">
        <v>312</v>
      </c>
      <c r="W8" s="2">
        <v>370</v>
      </c>
      <c r="X8" s="2">
        <v>402</v>
      </c>
      <c r="Z8" t="s">
        <v>12</v>
      </c>
      <c r="AA8" s="2">
        <v>1</v>
      </c>
      <c r="AB8" s="2">
        <v>2</v>
      </c>
      <c r="AC8" s="2">
        <v>18</v>
      </c>
      <c r="AD8" s="2">
        <v>18</v>
      </c>
      <c r="AE8" s="2">
        <v>26</v>
      </c>
      <c r="AF8" s="2">
        <v>50</v>
      </c>
      <c r="AG8" s="2">
        <v>96</v>
      </c>
      <c r="AH8" s="2">
        <v>63</v>
      </c>
      <c r="AI8" s="2">
        <v>68</v>
      </c>
      <c r="AJ8" s="2">
        <v>39</v>
      </c>
      <c r="AL8" t="s">
        <v>12</v>
      </c>
      <c r="AM8">
        <v>7</v>
      </c>
      <c r="AN8">
        <v>27</v>
      </c>
      <c r="AO8">
        <v>40</v>
      </c>
      <c r="AP8">
        <v>44</v>
      </c>
      <c r="AQ8">
        <v>78</v>
      </c>
      <c r="AR8">
        <v>107</v>
      </c>
      <c r="AS8">
        <v>136</v>
      </c>
      <c r="AT8">
        <v>186</v>
      </c>
      <c r="AU8">
        <v>243</v>
      </c>
      <c r="AV8">
        <v>336</v>
      </c>
      <c r="AX8" t="s">
        <v>12</v>
      </c>
      <c r="AY8">
        <v>5</v>
      </c>
      <c r="AZ8">
        <v>10</v>
      </c>
      <c r="BA8">
        <v>17</v>
      </c>
      <c r="BB8">
        <v>9</v>
      </c>
      <c r="BC8">
        <v>13</v>
      </c>
      <c r="BD8">
        <v>18</v>
      </c>
      <c r="BE8">
        <v>26</v>
      </c>
      <c r="BF8">
        <v>45</v>
      </c>
      <c r="BG8">
        <v>65</v>
      </c>
      <c r="BH8">
        <v>35</v>
      </c>
      <c r="BJ8" s="1" t="s">
        <v>12</v>
      </c>
      <c r="BK8" s="1" t="s">
        <v>64</v>
      </c>
      <c r="BL8" s="7">
        <v>539</v>
      </c>
      <c r="BM8" s="7">
        <v>670</v>
      </c>
      <c r="BN8" s="7">
        <v>675</v>
      </c>
      <c r="BO8" s="7">
        <v>784</v>
      </c>
      <c r="BP8" s="7">
        <v>1131</v>
      </c>
      <c r="BQ8" s="7">
        <v>1466</v>
      </c>
      <c r="BR8" s="7">
        <v>1657</v>
      </c>
      <c r="BS8" s="7">
        <v>2015</v>
      </c>
      <c r="BT8" s="7">
        <v>2052</v>
      </c>
      <c r="BV8" t="s">
        <v>10</v>
      </c>
    </row>
    <row r="9" spans="2:74" x14ac:dyDescent="0.35">
      <c r="B9" t="s">
        <v>13</v>
      </c>
      <c r="C9" s="7">
        <v>307</v>
      </c>
      <c r="D9" s="7">
        <v>328</v>
      </c>
      <c r="E9" s="7">
        <v>302</v>
      </c>
      <c r="F9" s="7">
        <v>425</v>
      </c>
      <c r="G9" s="7">
        <v>471</v>
      </c>
      <c r="H9" s="7">
        <v>631</v>
      </c>
      <c r="I9" s="7">
        <v>721</v>
      </c>
      <c r="J9" s="7">
        <v>713</v>
      </c>
      <c r="K9" s="7">
        <v>712</v>
      </c>
      <c r="L9" s="7">
        <v>827</v>
      </c>
      <c r="N9" t="s">
        <v>13</v>
      </c>
      <c r="O9" s="2">
        <v>25</v>
      </c>
      <c r="P9" s="2">
        <v>9</v>
      </c>
      <c r="Q9" s="2">
        <v>21</v>
      </c>
      <c r="R9" s="2">
        <v>25</v>
      </c>
      <c r="S9" s="2">
        <v>51</v>
      </c>
      <c r="T9" s="2">
        <v>64</v>
      </c>
      <c r="U9" s="2">
        <v>74</v>
      </c>
      <c r="V9" s="2">
        <v>102</v>
      </c>
      <c r="W9" s="2">
        <v>117</v>
      </c>
      <c r="X9" s="2">
        <v>124</v>
      </c>
      <c r="Z9" t="s">
        <v>13</v>
      </c>
      <c r="AA9" s="2">
        <v>1</v>
      </c>
      <c r="AB9" s="2">
        <v>8</v>
      </c>
      <c r="AC9" s="2">
        <v>19</v>
      </c>
      <c r="AD9" s="2">
        <v>11</v>
      </c>
      <c r="AE9" s="2">
        <v>14</v>
      </c>
      <c r="AF9" s="2">
        <v>16</v>
      </c>
      <c r="AG9" s="2">
        <v>19</v>
      </c>
      <c r="AH9" s="2">
        <v>25</v>
      </c>
      <c r="AI9" s="2">
        <v>19</v>
      </c>
      <c r="AJ9" s="2">
        <v>12</v>
      </c>
      <c r="AL9" t="s">
        <v>13</v>
      </c>
      <c r="AM9">
        <v>15</v>
      </c>
      <c r="AN9">
        <v>9</v>
      </c>
      <c r="AO9">
        <v>7</v>
      </c>
      <c r="AP9">
        <v>20</v>
      </c>
      <c r="AQ9">
        <v>37</v>
      </c>
      <c r="AR9">
        <v>39</v>
      </c>
      <c r="AS9">
        <v>53</v>
      </c>
      <c r="AT9">
        <v>47</v>
      </c>
      <c r="AU9">
        <v>60</v>
      </c>
      <c r="AV9">
        <v>75</v>
      </c>
      <c r="AX9" t="s">
        <v>13</v>
      </c>
      <c r="AY9">
        <v>0</v>
      </c>
      <c r="AZ9">
        <v>7</v>
      </c>
      <c r="BA9">
        <v>8</v>
      </c>
      <c r="BB9">
        <v>6</v>
      </c>
      <c r="BC9">
        <v>3</v>
      </c>
      <c r="BD9">
        <v>10</v>
      </c>
      <c r="BE9">
        <v>17</v>
      </c>
      <c r="BF9">
        <v>25</v>
      </c>
      <c r="BG9">
        <v>37</v>
      </c>
      <c r="BH9">
        <v>28</v>
      </c>
      <c r="BJ9" s="1" t="s">
        <v>13</v>
      </c>
      <c r="BK9" s="1" t="s">
        <v>64</v>
      </c>
      <c r="BL9" s="7">
        <v>359</v>
      </c>
      <c r="BM9" s="7">
        <v>353</v>
      </c>
      <c r="BN9" s="7">
        <v>481</v>
      </c>
      <c r="BO9" s="7">
        <v>566</v>
      </c>
      <c r="BP9" s="7">
        <v>754</v>
      </c>
      <c r="BQ9" s="7">
        <v>878</v>
      </c>
      <c r="BR9" s="7">
        <v>894</v>
      </c>
      <c r="BS9" s="7">
        <v>933</v>
      </c>
      <c r="BT9" s="7">
        <v>1047</v>
      </c>
      <c r="BV9" t="s">
        <v>11</v>
      </c>
    </row>
    <row r="10" spans="2:74" x14ac:dyDescent="0.35">
      <c r="B10" t="s">
        <v>14</v>
      </c>
      <c r="C10" s="7">
        <v>194</v>
      </c>
      <c r="D10" s="7">
        <v>142</v>
      </c>
      <c r="E10" s="7">
        <v>164</v>
      </c>
      <c r="F10" s="7">
        <v>182</v>
      </c>
      <c r="G10" s="7">
        <v>216</v>
      </c>
      <c r="H10" s="7">
        <v>198</v>
      </c>
      <c r="I10" s="7">
        <v>263</v>
      </c>
      <c r="J10" s="7">
        <v>305</v>
      </c>
      <c r="K10" s="7">
        <v>409</v>
      </c>
      <c r="L10" s="7">
        <v>399</v>
      </c>
      <c r="N10" t="s">
        <v>14</v>
      </c>
      <c r="O10" s="2">
        <v>45</v>
      </c>
      <c r="P10" s="2">
        <v>40</v>
      </c>
      <c r="Q10" s="2">
        <v>40</v>
      </c>
      <c r="R10" s="2">
        <v>71</v>
      </c>
      <c r="S10" s="2">
        <v>72</v>
      </c>
      <c r="T10" s="2">
        <v>62</v>
      </c>
      <c r="U10" s="2">
        <v>83</v>
      </c>
      <c r="V10" s="2">
        <v>105</v>
      </c>
      <c r="W10" s="2">
        <v>149</v>
      </c>
      <c r="X10" s="2">
        <v>124</v>
      </c>
      <c r="Z10" t="s">
        <v>14</v>
      </c>
      <c r="AA10" s="2">
        <v>16</v>
      </c>
      <c r="AB10" s="2">
        <v>15</v>
      </c>
      <c r="AC10" s="2">
        <v>24</v>
      </c>
      <c r="AD10" s="2">
        <v>14</v>
      </c>
      <c r="AE10" s="2">
        <v>19</v>
      </c>
      <c r="AF10" s="2">
        <v>10</v>
      </c>
      <c r="AG10" s="2">
        <v>44</v>
      </c>
      <c r="AH10" s="2">
        <v>42</v>
      </c>
      <c r="AI10" s="2">
        <v>42</v>
      </c>
      <c r="AJ10" s="2">
        <v>49</v>
      </c>
      <c r="AL10" t="s">
        <v>14</v>
      </c>
      <c r="AM10">
        <v>17</v>
      </c>
      <c r="AN10">
        <v>20</v>
      </c>
      <c r="AO10">
        <v>30</v>
      </c>
      <c r="AP10">
        <v>60</v>
      </c>
      <c r="AQ10">
        <v>56</v>
      </c>
      <c r="AR10">
        <v>51</v>
      </c>
      <c r="AS10">
        <v>57</v>
      </c>
      <c r="AT10">
        <v>94</v>
      </c>
      <c r="AU10">
        <v>95</v>
      </c>
      <c r="AV10">
        <v>123</v>
      </c>
      <c r="AX10" t="s">
        <v>14</v>
      </c>
      <c r="AY10">
        <v>9</v>
      </c>
      <c r="AZ10">
        <v>6</v>
      </c>
      <c r="BA10">
        <v>3</v>
      </c>
      <c r="BB10">
        <v>6</v>
      </c>
      <c r="BC10">
        <v>24</v>
      </c>
      <c r="BD10">
        <v>14</v>
      </c>
      <c r="BE10">
        <v>25</v>
      </c>
      <c r="BF10">
        <v>20</v>
      </c>
      <c r="BG10">
        <v>15</v>
      </c>
      <c r="BH10">
        <v>27</v>
      </c>
      <c r="BJ10" s="1" t="s">
        <v>14</v>
      </c>
      <c r="BK10" s="1" t="s">
        <v>64</v>
      </c>
      <c r="BL10" s="7">
        <v>206</v>
      </c>
      <c r="BM10" s="7">
        <v>236</v>
      </c>
      <c r="BN10" s="7">
        <v>319</v>
      </c>
      <c r="BO10" s="7">
        <v>363</v>
      </c>
      <c r="BP10" s="7">
        <v>315</v>
      </c>
      <c r="BQ10" s="7">
        <v>426</v>
      </c>
      <c r="BR10" s="7">
        <v>524</v>
      </c>
      <c r="BS10" s="7">
        <v>674</v>
      </c>
      <c r="BT10" s="7">
        <v>681</v>
      </c>
      <c r="BV10" t="s">
        <v>12</v>
      </c>
    </row>
    <row r="11" spans="2:74" x14ac:dyDescent="0.35">
      <c r="B11" t="s">
        <v>15</v>
      </c>
      <c r="C11" s="7">
        <v>440</v>
      </c>
      <c r="D11" s="7">
        <v>400</v>
      </c>
      <c r="E11" s="7">
        <v>356</v>
      </c>
      <c r="F11" s="7">
        <v>413</v>
      </c>
      <c r="G11" s="7">
        <v>461</v>
      </c>
      <c r="H11" s="7">
        <v>469</v>
      </c>
      <c r="I11" s="7">
        <v>562</v>
      </c>
      <c r="J11" s="7">
        <v>721</v>
      </c>
      <c r="K11" s="7">
        <v>911</v>
      </c>
      <c r="L11" s="7">
        <v>1180</v>
      </c>
      <c r="N11" t="s">
        <v>15</v>
      </c>
      <c r="O11" s="2">
        <v>54</v>
      </c>
      <c r="P11" s="2">
        <v>56</v>
      </c>
      <c r="Q11" s="2">
        <v>39</v>
      </c>
      <c r="R11" s="2">
        <v>49</v>
      </c>
      <c r="S11" s="2">
        <v>47</v>
      </c>
      <c r="T11" s="2">
        <v>66</v>
      </c>
      <c r="U11" s="2">
        <v>84</v>
      </c>
      <c r="V11" s="2">
        <v>158</v>
      </c>
      <c r="W11" s="2">
        <v>252</v>
      </c>
      <c r="X11" s="2">
        <v>311</v>
      </c>
      <c r="Z11" t="s">
        <v>15</v>
      </c>
      <c r="AA11" s="2">
        <v>1</v>
      </c>
      <c r="AB11" s="2">
        <v>10</v>
      </c>
      <c r="AC11" s="2">
        <v>16</v>
      </c>
      <c r="AD11" s="2">
        <v>6</v>
      </c>
      <c r="AE11" s="2">
        <v>13</v>
      </c>
      <c r="AF11" s="2">
        <v>33</v>
      </c>
      <c r="AG11" s="2">
        <v>31</v>
      </c>
      <c r="AH11" s="2">
        <v>32</v>
      </c>
      <c r="AI11" s="2">
        <v>21</v>
      </c>
      <c r="AJ11" s="2">
        <v>73</v>
      </c>
      <c r="AL11" t="s">
        <v>15</v>
      </c>
      <c r="AM11">
        <v>12</v>
      </c>
      <c r="AN11">
        <v>45</v>
      </c>
      <c r="AO11">
        <v>10</v>
      </c>
      <c r="AP11">
        <v>18</v>
      </c>
      <c r="AQ11">
        <v>21</v>
      </c>
      <c r="AR11">
        <v>40</v>
      </c>
      <c r="AS11">
        <v>20</v>
      </c>
      <c r="AT11">
        <v>77</v>
      </c>
      <c r="AU11">
        <v>185</v>
      </c>
      <c r="AV11">
        <v>189</v>
      </c>
      <c r="AX11" t="s">
        <v>15</v>
      </c>
      <c r="AY11">
        <v>0</v>
      </c>
      <c r="AZ11">
        <v>7</v>
      </c>
      <c r="BA11">
        <v>4</v>
      </c>
      <c r="BB11">
        <v>3</v>
      </c>
      <c r="BC11">
        <v>5</v>
      </c>
      <c r="BD11">
        <v>10</v>
      </c>
      <c r="BE11">
        <v>10</v>
      </c>
      <c r="BF11">
        <v>26</v>
      </c>
      <c r="BG11">
        <v>46</v>
      </c>
      <c r="BH11">
        <v>55</v>
      </c>
      <c r="BJ11" s="1" t="s">
        <v>15</v>
      </c>
      <c r="BK11" s="1" t="s">
        <v>64</v>
      </c>
      <c r="BL11" s="7">
        <v>511</v>
      </c>
      <c r="BM11" s="7">
        <v>419</v>
      </c>
      <c r="BN11" s="7">
        <v>469</v>
      </c>
      <c r="BO11" s="7">
        <v>537</v>
      </c>
      <c r="BP11" s="7">
        <v>599</v>
      </c>
      <c r="BQ11" s="7">
        <v>673</v>
      </c>
      <c r="BR11" s="7">
        <v>960</v>
      </c>
      <c r="BS11" s="7">
        <v>1359</v>
      </c>
      <c r="BT11" s="7">
        <v>1700</v>
      </c>
      <c r="BV11" t="s">
        <v>13</v>
      </c>
    </row>
    <row r="12" spans="2:74" x14ac:dyDescent="0.35">
      <c r="B12" t="s">
        <v>16</v>
      </c>
      <c r="C12" s="7">
        <v>737</v>
      </c>
      <c r="D12" s="7">
        <v>730</v>
      </c>
      <c r="E12" s="7">
        <v>778</v>
      </c>
      <c r="F12" s="7">
        <v>658</v>
      </c>
      <c r="G12" s="7">
        <v>561</v>
      </c>
      <c r="H12" s="7">
        <v>740</v>
      </c>
      <c r="I12" s="7">
        <v>932</v>
      </c>
      <c r="J12" s="7">
        <v>1056</v>
      </c>
      <c r="K12" s="7">
        <v>1102</v>
      </c>
      <c r="L12" s="7">
        <v>1154</v>
      </c>
      <c r="N12" t="s">
        <v>16</v>
      </c>
      <c r="O12" s="2">
        <v>53</v>
      </c>
      <c r="P12" s="2">
        <v>122</v>
      </c>
      <c r="Q12" s="2">
        <v>139</v>
      </c>
      <c r="R12" s="2">
        <v>126</v>
      </c>
      <c r="S12" s="2">
        <v>133</v>
      </c>
      <c r="T12" s="2">
        <v>137</v>
      </c>
      <c r="U12" s="2">
        <v>241</v>
      </c>
      <c r="V12" s="2">
        <v>311</v>
      </c>
      <c r="W12" s="2">
        <v>349</v>
      </c>
      <c r="X12" s="2">
        <v>357</v>
      </c>
      <c r="Z12" t="s">
        <v>16</v>
      </c>
      <c r="AA12" s="2">
        <v>11</v>
      </c>
      <c r="AB12" s="2">
        <v>15</v>
      </c>
      <c r="AC12" s="2">
        <v>23</v>
      </c>
      <c r="AD12" s="2">
        <v>21</v>
      </c>
      <c r="AE12" s="2">
        <v>30</v>
      </c>
      <c r="AF12" s="2">
        <v>70</v>
      </c>
      <c r="AG12" s="2">
        <v>91</v>
      </c>
      <c r="AH12" s="2">
        <v>99</v>
      </c>
      <c r="AI12" s="2">
        <v>88</v>
      </c>
      <c r="AJ12" s="2">
        <v>95</v>
      </c>
      <c r="AL12" t="s">
        <v>16</v>
      </c>
      <c r="AM12">
        <v>7</v>
      </c>
      <c r="AN12">
        <v>73</v>
      </c>
      <c r="AO12">
        <v>80</v>
      </c>
      <c r="AP12">
        <v>39</v>
      </c>
      <c r="AQ12">
        <v>79</v>
      </c>
      <c r="AR12">
        <v>105</v>
      </c>
      <c r="AS12">
        <v>194</v>
      </c>
      <c r="AT12">
        <v>198</v>
      </c>
      <c r="AU12">
        <v>236</v>
      </c>
      <c r="AV12">
        <v>255</v>
      </c>
      <c r="AX12" t="s">
        <v>16</v>
      </c>
      <c r="AY12">
        <v>3</v>
      </c>
      <c r="AZ12">
        <v>21</v>
      </c>
      <c r="BA12">
        <v>17</v>
      </c>
      <c r="BB12">
        <v>16</v>
      </c>
      <c r="BC12">
        <v>20</v>
      </c>
      <c r="BD12">
        <v>27</v>
      </c>
      <c r="BE12">
        <v>50</v>
      </c>
      <c r="BF12">
        <v>76</v>
      </c>
      <c r="BG12">
        <v>93</v>
      </c>
      <c r="BH12">
        <v>71</v>
      </c>
      <c r="BJ12" s="1" t="s">
        <v>16</v>
      </c>
      <c r="BK12" s="1" t="s">
        <v>64</v>
      </c>
      <c r="BL12" s="7">
        <v>961</v>
      </c>
      <c r="BM12" s="7">
        <v>1037</v>
      </c>
      <c r="BN12" s="7">
        <v>853</v>
      </c>
      <c r="BO12" s="7">
        <v>808</v>
      </c>
      <c r="BP12" s="7">
        <v>1031</v>
      </c>
      <c r="BQ12" s="7">
        <v>1467</v>
      </c>
      <c r="BR12" s="7">
        <v>1693</v>
      </c>
      <c r="BS12" s="7">
        <v>1788</v>
      </c>
      <c r="BT12" s="7">
        <v>1848</v>
      </c>
      <c r="BV12" t="s">
        <v>14</v>
      </c>
    </row>
    <row r="13" spans="2:74" x14ac:dyDescent="0.35">
      <c r="B13" t="s">
        <v>17</v>
      </c>
      <c r="C13" s="7">
        <v>226</v>
      </c>
      <c r="D13" s="7">
        <v>155</v>
      </c>
      <c r="E13" s="7">
        <v>145</v>
      </c>
      <c r="F13" s="7">
        <v>222</v>
      </c>
      <c r="G13" s="7">
        <v>308</v>
      </c>
      <c r="H13" s="7">
        <v>320</v>
      </c>
      <c r="I13" s="7">
        <v>418</v>
      </c>
      <c r="J13" s="7">
        <v>489</v>
      </c>
      <c r="K13" s="7">
        <v>489</v>
      </c>
      <c r="L13" s="7">
        <v>686</v>
      </c>
      <c r="N13" t="s">
        <v>17</v>
      </c>
      <c r="O13" s="2">
        <v>26</v>
      </c>
      <c r="P13" s="2">
        <v>18</v>
      </c>
      <c r="Q13" s="2">
        <v>24</v>
      </c>
      <c r="R13" s="2">
        <v>35</v>
      </c>
      <c r="S13" s="2">
        <v>56</v>
      </c>
      <c r="T13" s="2">
        <v>62</v>
      </c>
      <c r="U13" s="2">
        <v>73</v>
      </c>
      <c r="V13" s="2">
        <v>144</v>
      </c>
      <c r="W13" s="2">
        <v>141</v>
      </c>
      <c r="X13" s="2">
        <v>157</v>
      </c>
      <c r="Z13" t="s">
        <v>17</v>
      </c>
      <c r="AA13" s="2">
        <v>1</v>
      </c>
      <c r="AB13" s="2">
        <v>2</v>
      </c>
      <c r="AC13" s="2">
        <v>7</v>
      </c>
      <c r="AD13" s="2">
        <v>17</v>
      </c>
      <c r="AE13" s="2">
        <v>37</v>
      </c>
      <c r="AF13" s="2">
        <v>31</v>
      </c>
      <c r="AG13" s="2">
        <v>23</v>
      </c>
      <c r="AH13" s="2">
        <v>51</v>
      </c>
      <c r="AI13" s="2">
        <v>36</v>
      </c>
      <c r="AJ13" s="2">
        <v>51</v>
      </c>
      <c r="AL13" t="s">
        <v>17</v>
      </c>
      <c r="AM13">
        <v>9</v>
      </c>
      <c r="AN13">
        <v>7</v>
      </c>
      <c r="AO13">
        <v>26</v>
      </c>
      <c r="AP13">
        <v>19</v>
      </c>
      <c r="AQ13">
        <v>40</v>
      </c>
      <c r="AR13">
        <v>36</v>
      </c>
      <c r="AS13">
        <v>43</v>
      </c>
      <c r="AT13">
        <v>65</v>
      </c>
      <c r="AU13">
        <v>77</v>
      </c>
      <c r="AV13">
        <v>137</v>
      </c>
      <c r="AX13" t="s">
        <v>17</v>
      </c>
      <c r="AY13">
        <v>2</v>
      </c>
      <c r="AZ13">
        <v>1</v>
      </c>
      <c r="BA13">
        <v>3</v>
      </c>
      <c r="BB13">
        <v>8</v>
      </c>
      <c r="BC13">
        <v>7</v>
      </c>
      <c r="BD13">
        <v>9</v>
      </c>
      <c r="BE13">
        <v>14</v>
      </c>
      <c r="BF13">
        <v>25</v>
      </c>
      <c r="BG13">
        <v>34</v>
      </c>
      <c r="BH13">
        <v>30</v>
      </c>
      <c r="BJ13" s="1" t="s">
        <v>17</v>
      </c>
      <c r="BK13" s="1" t="s">
        <v>64</v>
      </c>
      <c r="BL13" s="7">
        <v>181</v>
      </c>
      <c r="BM13" s="7">
        <v>198</v>
      </c>
      <c r="BN13" s="7">
        <v>279</v>
      </c>
      <c r="BO13" s="7">
        <v>434</v>
      </c>
      <c r="BP13" s="7">
        <v>443</v>
      </c>
      <c r="BQ13" s="7">
        <v>564</v>
      </c>
      <c r="BR13" s="7">
        <v>726</v>
      </c>
      <c r="BS13" s="7">
        <v>747</v>
      </c>
      <c r="BT13" s="7">
        <v>1023</v>
      </c>
      <c r="BV13" t="s">
        <v>15</v>
      </c>
    </row>
    <row r="14" spans="2:74" x14ac:dyDescent="0.35">
      <c r="B14" t="s">
        <v>18</v>
      </c>
      <c r="C14" s="7">
        <v>227</v>
      </c>
      <c r="D14" s="7">
        <v>169</v>
      </c>
      <c r="E14" s="7">
        <v>181</v>
      </c>
      <c r="F14" s="7">
        <v>191</v>
      </c>
      <c r="G14" s="7">
        <v>262</v>
      </c>
      <c r="H14" s="7">
        <v>341</v>
      </c>
      <c r="I14" s="7">
        <v>474</v>
      </c>
      <c r="J14" s="7">
        <v>507</v>
      </c>
      <c r="K14" s="7">
        <v>503</v>
      </c>
      <c r="L14" s="7">
        <v>505</v>
      </c>
      <c r="N14" t="s">
        <v>18</v>
      </c>
      <c r="O14" s="2">
        <v>31</v>
      </c>
      <c r="P14" s="2">
        <v>51</v>
      </c>
      <c r="Q14" s="2">
        <v>22</v>
      </c>
      <c r="R14" s="2">
        <v>52</v>
      </c>
      <c r="S14" s="2">
        <v>92</v>
      </c>
      <c r="T14" s="2">
        <v>91</v>
      </c>
      <c r="U14" s="2">
        <v>100</v>
      </c>
      <c r="V14" s="2">
        <v>159</v>
      </c>
      <c r="W14" s="2">
        <v>134</v>
      </c>
      <c r="X14" s="2">
        <v>140</v>
      </c>
      <c r="Z14" t="s">
        <v>18</v>
      </c>
      <c r="AA14" s="2">
        <v>23</v>
      </c>
      <c r="AB14" s="2">
        <v>22</v>
      </c>
      <c r="AC14" s="2">
        <v>20</v>
      </c>
      <c r="AD14" s="2">
        <v>25</v>
      </c>
      <c r="AE14" s="2">
        <v>49</v>
      </c>
      <c r="AF14" s="2">
        <v>45</v>
      </c>
      <c r="AG14" s="2">
        <v>78</v>
      </c>
      <c r="AH14" s="2">
        <v>67</v>
      </c>
      <c r="AI14" s="2">
        <v>48</v>
      </c>
      <c r="AJ14" s="2">
        <v>41</v>
      </c>
      <c r="AL14" t="s">
        <v>18</v>
      </c>
      <c r="AM14">
        <v>13</v>
      </c>
      <c r="AN14">
        <v>24</v>
      </c>
      <c r="AO14">
        <v>3</v>
      </c>
      <c r="AP14">
        <v>21</v>
      </c>
      <c r="AQ14">
        <v>55</v>
      </c>
      <c r="AR14">
        <v>61</v>
      </c>
      <c r="AS14">
        <v>91</v>
      </c>
      <c r="AT14">
        <v>93</v>
      </c>
      <c r="AU14">
        <v>69</v>
      </c>
      <c r="AV14">
        <v>55</v>
      </c>
      <c r="AX14" t="s">
        <v>18</v>
      </c>
      <c r="AY14">
        <v>4</v>
      </c>
      <c r="AZ14">
        <v>8</v>
      </c>
      <c r="BA14">
        <v>0</v>
      </c>
      <c r="BB14">
        <v>16</v>
      </c>
      <c r="BC14">
        <v>26</v>
      </c>
      <c r="BD14">
        <v>6</v>
      </c>
      <c r="BE14">
        <v>21</v>
      </c>
      <c r="BF14">
        <v>22</v>
      </c>
      <c r="BG14">
        <v>23</v>
      </c>
      <c r="BH14">
        <v>15</v>
      </c>
      <c r="BJ14" s="1" t="s">
        <v>18</v>
      </c>
      <c r="BK14" s="1" t="s">
        <v>64</v>
      </c>
      <c r="BL14" s="7">
        <v>249</v>
      </c>
      <c r="BM14" s="7">
        <v>214</v>
      </c>
      <c r="BN14" s="7">
        <v>275</v>
      </c>
      <c r="BO14" s="7">
        <v>330</v>
      </c>
      <c r="BP14" s="7">
        <v>509</v>
      </c>
      <c r="BQ14" s="7">
        <v>711</v>
      </c>
      <c r="BR14" s="7">
        <v>793</v>
      </c>
      <c r="BS14" s="7">
        <v>746</v>
      </c>
      <c r="BT14" s="7">
        <v>729</v>
      </c>
      <c r="BV14" t="s">
        <v>16</v>
      </c>
    </row>
    <row r="15" spans="2:74" x14ac:dyDescent="0.35">
      <c r="B15" t="s">
        <v>19</v>
      </c>
      <c r="C15" s="7">
        <v>80</v>
      </c>
      <c r="D15" s="7">
        <v>73</v>
      </c>
      <c r="E15" s="7">
        <v>65</v>
      </c>
      <c r="F15" s="7">
        <v>72</v>
      </c>
      <c r="G15" s="7">
        <v>88</v>
      </c>
      <c r="H15" s="7">
        <v>107</v>
      </c>
      <c r="I15" s="7">
        <v>171</v>
      </c>
      <c r="J15" s="7">
        <v>264</v>
      </c>
      <c r="K15" s="7">
        <v>298</v>
      </c>
      <c r="L15" s="7">
        <v>439</v>
      </c>
      <c r="N15" t="s">
        <v>19</v>
      </c>
      <c r="O15" s="2">
        <v>22</v>
      </c>
      <c r="P15" s="2">
        <v>9</v>
      </c>
      <c r="Q15" s="2">
        <v>11</v>
      </c>
      <c r="R15" s="2">
        <v>13</v>
      </c>
      <c r="S15" s="2">
        <v>16</v>
      </c>
      <c r="T15" s="2">
        <v>35</v>
      </c>
      <c r="U15" s="2">
        <v>33</v>
      </c>
      <c r="V15" s="2">
        <v>62</v>
      </c>
      <c r="W15" s="2">
        <v>65</v>
      </c>
      <c r="X15" s="2">
        <v>108</v>
      </c>
      <c r="Z15" t="s">
        <v>19</v>
      </c>
      <c r="AA15" s="2">
        <v>4</v>
      </c>
      <c r="AB15" s="2">
        <v>1</v>
      </c>
      <c r="AC15" s="2">
        <v>0</v>
      </c>
      <c r="AD15" s="2">
        <v>1</v>
      </c>
      <c r="AE15" s="2">
        <v>6</v>
      </c>
      <c r="AF15" s="2">
        <v>10</v>
      </c>
      <c r="AG15" s="2">
        <v>9</v>
      </c>
      <c r="AH15" s="2">
        <v>12</v>
      </c>
      <c r="AI15" s="2">
        <v>16</v>
      </c>
      <c r="AJ15" s="2">
        <v>34</v>
      </c>
      <c r="AL15" t="s">
        <v>19</v>
      </c>
      <c r="AM15">
        <v>8</v>
      </c>
      <c r="AN15">
        <v>8</v>
      </c>
      <c r="AO15">
        <v>6</v>
      </c>
      <c r="AP15">
        <v>14</v>
      </c>
      <c r="AQ15">
        <v>11</v>
      </c>
      <c r="AR15">
        <v>20</v>
      </c>
      <c r="AS15">
        <v>16</v>
      </c>
      <c r="AT15">
        <v>35</v>
      </c>
      <c r="AU15">
        <v>63</v>
      </c>
      <c r="AV15">
        <v>84</v>
      </c>
      <c r="AX15" t="s">
        <v>19</v>
      </c>
      <c r="AY15">
        <v>0</v>
      </c>
      <c r="AZ15">
        <v>0</v>
      </c>
      <c r="BA15">
        <v>3</v>
      </c>
      <c r="BB15">
        <v>0</v>
      </c>
      <c r="BC15">
        <v>0</v>
      </c>
      <c r="BD15">
        <v>3</v>
      </c>
      <c r="BE15">
        <v>7</v>
      </c>
      <c r="BF15">
        <v>16</v>
      </c>
      <c r="BG15">
        <v>17</v>
      </c>
      <c r="BH15">
        <v>20</v>
      </c>
      <c r="BJ15" s="1" t="s">
        <v>19</v>
      </c>
      <c r="BK15" s="1" t="s">
        <v>64</v>
      </c>
      <c r="BL15" s="7">
        <v>91</v>
      </c>
      <c r="BM15" s="7">
        <v>84</v>
      </c>
      <c r="BN15" s="7">
        <v>99</v>
      </c>
      <c r="BO15" s="7">
        <v>114</v>
      </c>
      <c r="BP15" s="7">
        <v>168</v>
      </c>
      <c r="BQ15" s="7">
        <v>223</v>
      </c>
      <c r="BR15" s="7">
        <v>371</v>
      </c>
      <c r="BS15" s="7">
        <v>459</v>
      </c>
      <c r="BT15" s="7">
        <v>685</v>
      </c>
      <c r="BV15" t="s">
        <v>17</v>
      </c>
    </row>
    <row r="16" spans="2:74" x14ac:dyDescent="0.35">
      <c r="B16" t="s">
        <v>20</v>
      </c>
      <c r="C16" s="7">
        <v>739</v>
      </c>
      <c r="D16" s="7">
        <v>840</v>
      </c>
      <c r="E16" s="7">
        <v>842</v>
      </c>
      <c r="F16" s="7">
        <v>940</v>
      </c>
      <c r="G16" s="7">
        <v>872</v>
      </c>
      <c r="H16" s="7">
        <v>1440</v>
      </c>
      <c r="I16" s="7">
        <v>1537</v>
      </c>
      <c r="J16" s="7">
        <v>2048</v>
      </c>
      <c r="K16" s="7">
        <v>2244</v>
      </c>
      <c r="L16" s="7">
        <v>2675</v>
      </c>
      <c r="N16" t="s">
        <v>20</v>
      </c>
      <c r="O16" s="2">
        <v>85</v>
      </c>
      <c r="P16" s="2">
        <v>119</v>
      </c>
      <c r="Q16" s="2">
        <v>117</v>
      </c>
      <c r="R16" s="2">
        <v>97</v>
      </c>
      <c r="S16" s="2">
        <v>121</v>
      </c>
      <c r="T16" s="2">
        <v>186</v>
      </c>
      <c r="U16" s="2">
        <v>240</v>
      </c>
      <c r="V16" s="2">
        <v>380</v>
      </c>
      <c r="W16" s="2">
        <v>508</v>
      </c>
      <c r="X16" s="2">
        <v>516</v>
      </c>
      <c r="Z16" t="s">
        <v>20</v>
      </c>
      <c r="AA16" s="2">
        <v>16</v>
      </c>
      <c r="AB16" s="2">
        <v>17</v>
      </c>
      <c r="AC16" s="2">
        <v>19</v>
      </c>
      <c r="AD16" s="2">
        <v>40</v>
      </c>
      <c r="AE16" s="2">
        <v>39</v>
      </c>
      <c r="AF16" s="2">
        <v>126</v>
      </c>
      <c r="AG16" s="2">
        <v>140</v>
      </c>
      <c r="AH16" s="2">
        <v>222</v>
      </c>
      <c r="AI16" s="2">
        <v>229</v>
      </c>
      <c r="AJ16" s="2">
        <v>167</v>
      </c>
      <c r="AL16" t="s">
        <v>20</v>
      </c>
      <c r="AM16">
        <v>36</v>
      </c>
      <c r="AN16">
        <v>64</v>
      </c>
      <c r="AO16">
        <v>64</v>
      </c>
      <c r="AP16">
        <v>77</v>
      </c>
      <c r="AQ16">
        <v>119</v>
      </c>
      <c r="AR16">
        <v>187</v>
      </c>
      <c r="AS16">
        <v>243</v>
      </c>
      <c r="AT16">
        <v>436</v>
      </c>
      <c r="AU16">
        <v>478</v>
      </c>
      <c r="AV16">
        <v>521</v>
      </c>
      <c r="AX16" t="s">
        <v>20</v>
      </c>
      <c r="AY16">
        <v>23</v>
      </c>
      <c r="AZ16">
        <v>29</v>
      </c>
      <c r="BA16">
        <v>27</v>
      </c>
      <c r="BB16">
        <v>23</v>
      </c>
      <c r="BC16">
        <v>13</v>
      </c>
      <c r="BD16">
        <v>34</v>
      </c>
      <c r="BE16">
        <v>77</v>
      </c>
      <c r="BF16">
        <v>89</v>
      </c>
      <c r="BG16">
        <v>84</v>
      </c>
      <c r="BH16">
        <v>88</v>
      </c>
      <c r="BJ16" s="1" t="s">
        <v>20</v>
      </c>
      <c r="BK16" s="1" t="s">
        <v>64</v>
      </c>
      <c r="BL16" s="7">
        <v>1068</v>
      </c>
      <c r="BM16" s="7">
        <v>1052</v>
      </c>
      <c r="BN16" s="7">
        <v>1173</v>
      </c>
      <c r="BO16" s="7">
        <v>1163</v>
      </c>
      <c r="BP16" s="7">
        <v>1928</v>
      </c>
      <c r="BQ16" s="7">
        <v>2197</v>
      </c>
      <c r="BR16" s="7">
        <v>3055</v>
      </c>
      <c r="BS16" s="7">
        <v>3413</v>
      </c>
      <c r="BT16" s="7">
        <v>3845</v>
      </c>
      <c r="BV16" t="s">
        <v>18</v>
      </c>
    </row>
    <row r="17" spans="2:74" x14ac:dyDescent="0.35">
      <c r="B17" t="s">
        <v>21</v>
      </c>
      <c r="C17" s="7">
        <v>212</v>
      </c>
      <c r="D17" s="7">
        <v>182</v>
      </c>
      <c r="E17" s="7">
        <v>155</v>
      </c>
      <c r="F17" s="7">
        <v>173</v>
      </c>
      <c r="G17" s="7">
        <v>226</v>
      </c>
      <c r="H17" s="7">
        <v>263</v>
      </c>
      <c r="I17" s="7">
        <v>326</v>
      </c>
      <c r="J17" s="7">
        <v>352</v>
      </c>
      <c r="K17" s="7">
        <v>474</v>
      </c>
      <c r="L17" s="7">
        <v>523</v>
      </c>
      <c r="N17" t="s">
        <v>21</v>
      </c>
      <c r="O17" s="2">
        <v>28</v>
      </c>
      <c r="P17" s="2">
        <v>14</v>
      </c>
      <c r="Q17" s="2">
        <v>16</v>
      </c>
      <c r="R17" s="2">
        <v>24</v>
      </c>
      <c r="S17" s="2">
        <v>26</v>
      </c>
      <c r="T17" s="2">
        <v>35</v>
      </c>
      <c r="U17" s="2">
        <v>74</v>
      </c>
      <c r="V17" s="2">
        <v>49</v>
      </c>
      <c r="W17" s="2">
        <v>117</v>
      </c>
      <c r="X17" s="2">
        <v>119</v>
      </c>
      <c r="Z17" t="s">
        <v>21</v>
      </c>
      <c r="AA17" s="2">
        <v>13</v>
      </c>
      <c r="AB17" s="2">
        <v>4</v>
      </c>
      <c r="AC17" s="2">
        <v>7</v>
      </c>
      <c r="AD17" s="2">
        <v>6</v>
      </c>
      <c r="AE17" s="2">
        <v>18</v>
      </c>
      <c r="AF17" s="2">
        <v>21</v>
      </c>
      <c r="AG17" s="2">
        <v>34</v>
      </c>
      <c r="AH17" s="2">
        <v>30</v>
      </c>
      <c r="AI17" s="2">
        <v>49</v>
      </c>
      <c r="AJ17" s="2">
        <v>40</v>
      </c>
      <c r="AL17" t="s">
        <v>21</v>
      </c>
      <c r="AM17">
        <v>5</v>
      </c>
      <c r="AN17">
        <v>4</v>
      </c>
      <c r="AO17">
        <v>6</v>
      </c>
      <c r="AP17">
        <v>12</v>
      </c>
      <c r="AQ17">
        <v>10</v>
      </c>
      <c r="AR17">
        <v>26</v>
      </c>
      <c r="AS17">
        <v>65</v>
      </c>
      <c r="AT17">
        <v>102</v>
      </c>
      <c r="AU17">
        <v>168</v>
      </c>
      <c r="AV17">
        <v>96</v>
      </c>
      <c r="AX17" t="s">
        <v>21</v>
      </c>
      <c r="AY17">
        <v>3</v>
      </c>
      <c r="AZ17">
        <v>2</v>
      </c>
      <c r="BA17">
        <v>4</v>
      </c>
      <c r="BB17">
        <v>6</v>
      </c>
      <c r="BC17">
        <v>13</v>
      </c>
      <c r="BD17">
        <v>4</v>
      </c>
      <c r="BE17">
        <v>12</v>
      </c>
      <c r="BF17">
        <v>18</v>
      </c>
      <c r="BG17">
        <v>19</v>
      </c>
      <c r="BH17">
        <v>16</v>
      </c>
      <c r="BJ17" s="1" t="s">
        <v>21</v>
      </c>
      <c r="BK17" s="1" t="s">
        <v>64</v>
      </c>
      <c r="BL17" s="7">
        <v>201</v>
      </c>
      <c r="BM17" s="7">
        <v>180</v>
      </c>
      <c r="BN17" s="7">
        <v>217</v>
      </c>
      <c r="BO17" s="7">
        <v>281</v>
      </c>
      <c r="BP17" s="7">
        <v>343</v>
      </c>
      <c r="BQ17" s="7">
        <v>498</v>
      </c>
      <c r="BR17" s="7">
        <v>519</v>
      </c>
      <c r="BS17" s="7">
        <v>795</v>
      </c>
      <c r="BT17" s="7">
        <v>777</v>
      </c>
      <c r="BV17" t="s">
        <v>19</v>
      </c>
    </row>
    <row r="18" spans="2:74" x14ac:dyDescent="0.35">
      <c r="B18" t="s">
        <v>22</v>
      </c>
      <c r="C18" s="7">
        <v>2975</v>
      </c>
      <c r="D18" s="7">
        <v>2729</v>
      </c>
      <c r="E18" s="7">
        <v>2701</v>
      </c>
      <c r="F18" s="7">
        <v>3196</v>
      </c>
      <c r="G18" s="7">
        <v>3979</v>
      </c>
      <c r="H18" s="7">
        <v>4391</v>
      </c>
      <c r="I18" s="7">
        <v>6435</v>
      </c>
      <c r="J18" s="7">
        <v>6855</v>
      </c>
      <c r="K18" s="7" t="s">
        <v>64</v>
      </c>
      <c r="L18" s="7">
        <v>6784</v>
      </c>
      <c r="N18" t="s">
        <v>22</v>
      </c>
      <c r="O18" s="2">
        <v>301</v>
      </c>
      <c r="P18" s="2">
        <v>281</v>
      </c>
      <c r="Q18" s="2">
        <v>310</v>
      </c>
      <c r="R18" s="2">
        <v>423</v>
      </c>
      <c r="S18" s="2">
        <v>494</v>
      </c>
      <c r="T18" s="2">
        <v>588</v>
      </c>
      <c r="U18" s="2">
        <v>922</v>
      </c>
      <c r="V18" s="2">
        <v>1161</v>
      </c>
      <c r="W18" s="7" t="s">
        <v>64</v>
      </c>
      <c r="X18" s="2">
        <v>1461</v>
      </c>
      <c r="Z18" t="s">
        <v>22</v>
      </c>
      <c r="AA18" s="2">
        <v>180</v>
      </c>
      <c r="AB18" s="2">
        <v>151</v>
      </c>
      <c r="AC18" s="2">
        <v>197</v>
      </c>
      <c r="AD18" s="2">
        <v>287</v>
      </c>
      <c r="AE18" s="2">
        <v>438</v>
      </c>
      <c r="AF18" s="2">
        <v>765</v>
      </c>
      <c r="AG18" s="2">
        <v>1236</v>
      </c>
      <c r="AH18" s="2">
        <v>1357</v>
      </c>
      <c r="AI18" s="7" t="s">
        <v>64</v>
      </c>
      <c r="AJ18" s="2">
        <v>750</v>
      </c>
      <c r="AL18" t="s">
        <v>22</v>
      </c>
      <c r="AM18">
        <v>72</v>
      </c>
      <c r="AN18">
        <v>67</v>
      </c>
      <c r="AO18">
        <v>67</v>
      </c>
      <c r="AP18">
        <v>161</v>
      </c>
      <c r="AQ18">
        <v>236</v>
      </c>
      <c r="AR18">
        <v>304</v>
      </c>
      <c r="AS18">
        <v>434</v>
      </c>
      <c r="AT18">
        <v>464</v>
      </c>
      <c r="AU18" t="s">
        <v>64</v>
      </c>
      <c r="AV18">
        <v>735</v>
      </c>
      <c r="AX18" t="s">
        <v>22</v>
      </c>
      <c r="AY18">
        <v>17</v>
      </c>
      <c r="AZ18">
        <v>12</v>
      </c>
      <c r="BA18">
        <v>21</v>
      </c>
      <c r="BB18">
        <v>35</v>
      </c>
      <c r="BC18">
        <v>38</v>
      </c>
      <c r="BD18">
        <v>53</v>
      </c>
      <c r="BE18">
        <v>88</v>
      </c>
      <c r="BF18">
        <v>144</v>
      </c>
      <c r="BG18" t="s">
        <v>64</v>
      </c>
      <c r="BH18">
        <v>169</v>
      </c>
      <c r="BJ18" s="1" t="s">
        <v>22</v>
      </c>
      <c r="BK18" s="1" t="s">
        <v>64</v>
      </c>
      <c r="BL18" s="7">
        <v>3125</v>
      </c>
      <c r="BM18" s="7">
        <v>3171</v>
      </c>
      <c r="BN18" s="7">
        <v>3898</v>
      </c>
      <c r="BO18" s="7">
        <v>4842</v>
      </c>
      <c r="BP18" s="7">
        <v>5496</v>
      </c>
      <c r="BQ18" s="7">
        <v>7861</v>
      </c>
      <c r="BR18" s="7">
        <v>8984</v>
      </c>
      <c r="BS18" s="7" t="s">
        <v>64</v>
      </c>
      <c r="BT18" s="7">
        <v>9133</v>
      </c>
      <c r="BV18" t="s">
        <v>20</v>
      </c>
    </row>
    <row r="19" spans="2:74" x14ac:dyDescent="0.35">
      <c r="B19" t="s">
        <v>23</v>
      </c>
      <c r="C19" s="7">
        <v>183</v>
      </c>
      <c r="D19" s="7">
        <v>189</v>
      </c>
      <c r="E19" s="7">
        <v>187</v>
      </c>
      <c r="F19" s="7">
        <v>210</v>
      </c>
      <c r="G19" s="7">
        <v>139</v>
      </c>
      <c r="H19" s="7">
        <v>282</v>
      </c>
      <c r="I19" s="7">
        <v>397</v>
      </c>
      <c r="J19" s="7">
        <v>491</v>
      </c>
      <c r="K19" s="7">
        <v>384</v>
      </c>
      <c r="L19" s="7">
        <v>437</v>
      </c>
      <c r="N19" t="s">
        <v>23</v>
      </c>
      <c r="O19" s="2">
        <v>41</v>
      </c>
      <c r="P19" s="2">
        <v>33</v>
      </c>
      <c r="Q19" s="2">
        <v>36</v>
      </c>
      <c r="R19" s="2">
        <v>32</v>
      </c>
      <c r="S19" s="2">
        <v>53</v>
      </c>
      <c r="T19" s="2">
        <v>63</v>
      </c>
      <c r="U19" s="2">
        <v>151</v>
      </c>
      <c r="V19" s="2">
        <v>160</v>
      </c>
      <c r="W19" s="2">
        <v>141</v>
      </c>
      <c r="X19" s="2">
        <v>141</v>
      </c>
      <c r="Z19" t="s">
        <v>23</v>
      </c>
      <c r="AA19" s="2">
        <v>7</v>
      </c>
      <c r="AB19" s="2">
        <v>4</v>
      </c>
      <c r="AC19" s="2">
        <v>10</v>
      </c>
      <c r="AD19" s="2">
        <v>5</v>
      </c>
      <c r="AE19" s="2">
        <v>15</v>
      </c>
      <c r="AF19" s="2">
        <v>7</v>
      </c>
      <c r="AG19" s="2">
        <v>19</v>
      </c>
      <c r="AH19" s="2">
        <v>19</v>
      </c>
      <c r="AI19" s="2">
        <v>10</v>
      </c>
      <c r="AJ19" s="2">
        <v>6</v>
      </c>
      <c r="AL19" t="s">
        <v>23</v>
      </c>
      <c r="AM19">
        <v>7</v>
      </c>
      <c r="AN19">
        <v>11</v>
      </c>
      <c r="AO19">
        <v>11</v>
      </c>
      <c r="AP19">
        <v>23</v>
      </c>
      <c r="AQ19">
        <v>15</v>
      </c>
      <c r="AR19">
        <v>46</v>
      </c>
      <c r="AS19">
        <v>88</v>
      </c>
      <c r="AT19">
        <v>118</v>
      </c>
      <c r="AU19">
        <v>85</v>
      </c>
      <c r="AV19">
        <v>73</v>
      </c>
      <c r="AX19" t="s">
        <v>23</v>
      </c>
      <c r="AY19">
        <v>3</v>
      </c>
      <c r="AZ19">
        <v>3</v>
      </c>
      <c r="BA19">
        <v>5</v>
      </c>
      <c r="BB19">
        <v>4</v>
      </c>
      <c r="BC19">
        <v>2</v>
      </c>
      <c r="BD19">
        <v>10</v>
      </c>
      <c r="BE19">
        <v>11</v>
      </c>
      <c r="BF19">
        <v>19</v>
      </c>
      <c r="BG19">
        <v>9</v>
      </c>
      <c r="BH19">
        <v>26</v>
      </c>
      <c r="BJ19" s="1" t="s">
        <v>23</v>
      </c>
      <c r="BK19" s="1" t="s">
        <v>64</v>
      </c>
      <c r="BL19" s="7">
        <v>237</v>
      </c>
      <c r="BM19" s="7">
        <v>244</v>
      </c>
      <c r="BN19" s="7">
        <v>267</v>
      </c>
      <c r="BO19" s="7">
        <v>213</v>
      </c>
      <c r="BP19" s="7">
        <v>408</v>
      </c>
      <c r="BQ19" s="7">
        <v>666</v>
      </c>
      <c r="BR19" s="7">
        <v>715</v>
      </c>
      <c r="BS19" s="7">
        <v>629</v>
      </c>
      <c r="BT19" s="7">
        <v>677</v>
      </c>
      <c r="BV19" t="s">
        <v>21</v>
      </c>
    </row>
    <row r="20" spans="2:74" x14ac:dyDescent="0.35">
      <c r="B20" t="s">
        <v>24</v>
      </c>
      <c r="C20" s="7">
        <v>946</v>
      </c>
      <c r="D20" s="7">
        <v>844</v>
      </c>
      <c r="E20" s="7">
        <v>835</v>
      </c>
      <c r="F20" s="7">
        <v>1137</v>
      </c>
      <c r="G20" s="7">
        <v>1244</v>
      </c>
      <c r="H20" s="7">
        <v>1646</v>
      </c>
      <c r="I20" s="7">
        <v>1841</v>
      </c>
      <c r="J20" s="7">
        <v>1849</v>
      </c>
      <c r="K20" s="7">
        <v>1804</v>
      </c>
      <c r="L20" s="7">
        <v>2246</v>
      </c>
      <c r="N20" t="s">
        <v>24</v>
      </c>
      <c r="O20" s="2">
        <v>198</v>
      </c>
      <c r="P20" s="2">
        <v>186</v>
      </c>
      <c r="Q20" s="2">
        <v>143</v>
      </c>
      <c r="R20" s="2">
        <v>224</v>
      </c>
      <c r="S20" s="2">
        <v>275</v>
      </c>
      <c r="T20" s="2">
        <v>305</v>
      </c>
      <c r="U20" s="2">
        <v>424</v>
      </c>
      <c r="V20" s="2">
        <v>414</v>
      </c>
      <c r="W20" s="2">
        <v>580</v>
      </c>
      <c r="X20" s="2">
        <v>645</v>
      </c>
      <c r="Z20" t="s">
        <v>24</v>
      </c>
      <c r="AA20" s="2">
        <v>19</v>
      </c>
      <c r="AB20" s="2">
        <v>50</v>
      </c>
      <c r="AC20" s="2">
        <v>30</v>
      </c>
      <c r="AD20" s="2">
        <v>99</v>
      </c>
      <c r="AE20" s="2">
        <v>142</v>
      </c>
      <c r="AF20" s="2">
        <v>162</v>
      </c>
      <c r="AG20" s="2">
        <v>167</v>
      </c>
      <c r="AH20" s="2">
        <v>163</v>
      </c>
      <c r="AI20" s="2">
        <v>113</v>
      </c>
      <c r="AJ20" s="2">
        <v>116</v>
      </c>
      <c r="AL20" t="s">
        <v>24</v>
      </c>
      <c r="AM20">
        <v>40</v>
      </c>
      <c r="AN20">
        <v>52</v>
      </c>
      <c r="AO20">
        <v>43</v>
      </c>
      <c r="AP20">
        <v>98</v>
      </c>
      <c r="AQ20">
        <v>159</v>
      </c>
      <c r="AR20">
        <v>155</v>
      </c>
      <c r="AS20">
        <v>261</v>
      </c>
      <c r="AT20">
        <v>309</v>
      </c>
      <c r="AU20">
        <v>432</v>
      </c>
      <c r="AV20">
        <v>515</v>
      </c>
      <c r="AX20" t="s">
        <v>24</v>
      </c>
      <c r="AY20">
        <v>0</v>
      </c>
      <c r="AZ20">
        <v>0</v>
      </c>
      <c r="BA20">
        <v>36</v>
      </c>
      <c r="BB20">
        <v>33</v>
      </c>
      <c r="BC20">
        <v>57</v>
      </c>
      <c r="BD20">
        <v>65</v>
      </c>
      <c r="BE20">
        <v>80</v>
      </c>
      <c r="BF20">
        <v>98</v>
      </c>
      <c r="BG20">
        <v>149</v>
      </c>
      <c r="BH20">
        <v>164</v>
      </c>
      <c r="BJ20" s="1" t="s">
        <v>24</v>
      </c>
      <c r="BK20" s="1" t="s">
        <v>64</v>
      </c>
      <c r="BL20" s="7">
        <v>1121</v>
      </c>
      <c r="BM20" s="7">
        <v>1064</v>
      </c>
      <c r="BN20" s="7">
        <v>1547</v>
      </c>
      <c r="BO20" s="7">
        <v>1814</v>
      </c>
      <c r="BP20" s="7">
        <v>2231</v>
      </c>
      <c r="BQ20" s="7">
        <v>2701</v>
      </c>
      <c r="BR20" s="7">
        <v>2726</v>
      </c>
      <c r="BS20" s="7">
        <v>2969</v>
      </c>
      <c r="BT20" s="7">
        <v>3528</v>
      </c>
      <c r="BV20" t="s">
        <v>22</v>
      </c>
    </row>
    <row r="21" spans="2:74" x14ac:dyDescent="0.35">
      <c r="B21" t="s">
        <v>25</v>
      </c>
      <c r="C21" s="7">
        <v>667</v>
      </c>
      <c r="D21" s="7">
        <v>637</v>
      </c>
      <c r="E21" s="7">
        <v>544</v>
      </c>
      <c r="F21" s="7">
        <v>723</v>
      </c>
      <c r="G21" s="7">
        <v>761</v>
      </c>
      <c r="H21" s="7">
        <v>1130</v>
      </c>
      <c r="I21" s="7">
        <v>1136</v>
      </c>
      <c r="J21" s="7">
        <v>1228</v>
      </c>
      <c r="K21" s="7">
        <v>1222</v>
      </c>
      <c r="L21" s="7">
        <v>1267</v>
      </c>
      <c r="N21" t="s">
        <v>25</v>
      </c>
      <c r="O21" s="2">
        <v>43</v>
      </c>
      <c r="P21" s="2">
        <v>51</v>
      </c>
      <c r="Q21" s="2">
        <v>45</v>
      </c>
      <c r="R21" s="2">
        <v>38</v>
      </c>
      <c r="S21" s="2">
        <v>55</v>
      </c>
      <c r="T21" s="2">
        <v>118</v>
      </c>
      <c r="U21" s="2">
        <v>121</v>
      </c>
      <c r="V21" s="2">
        <v>176</v>
      </c>
      <c r="W21" s="2">
        <v>210</v>
      </c>
      <c r="X21" s="2">
        <v>200</v>
      </c>
      <c r="Z21" t="s">
        <v>25</v>
      </c>
      <c r="AA21" s="2">
        <v>21</v>
      </c>
      <c r="AB21" s="2">
        <v>26</v>
      </c>
      <c r="AC21" s="2">
        <v>11</v>
      </c>
      <c r="AD21" s="2">
        <v>22</v>
      </c>
      <c r="AE21" s="2">
        <v>30</v>
      </c>
      <c r="AF21" s="2">
        <v>55</v>
      </c>
      <c r="AG21" s="2">
        <v>66</v>
      </c>
      <c r="AH21" s="2">
        <v>133</v>
      </c>
      <c r="AI21" s="2">
        <v>149</v>
      </c>
      <c r="AJ21" s="2">
        <v>125</v>
      </c>
      <c r="AL21" t="s">
        <v>25</v>
      </c>
      <c r="AM21">
        <v>18</v>
      </c>
      <c r="AN21">
        <v>92</v>
      </c>
      <c r="AO21">
        <v>34</v>
      </c>
      <c r="AP21">
        <v>72</v>
      </c>
      <c r="AQ21">
        <v>124</v>
      </c>
      <c r="AR21">
        <v>99</v>
      </c>
      <c r="AS21">
        <v>181</v>
      </c>
      <c r="AT21">
        <v>116</v>
      </c>
      <c r="AU21">
        <v>106</v>
      </c>
      <c r="AV21">
        <v>103</v>
      </c>
      <c r="AX21" t="s">
        <v>25</v>
      </c>
      <c r="AY21">
        <v>6</v>
      </c>
      <c r="AZ21">
        <v>8</v>
      </c>
      <c r="BA21">
        <v>3</v>
      </c>
      <c r="BB21">
        <v>4</v>
      </c>
      <c r="BC21">
        <v>9</v>
      </c>
      <c r="BD21">
        <v>20</v>
      </c>
      <c r="BE21">
        <v>23</v>
      </c>
      <c r="BF21">
        <v>29</v>
      </c>
      <c r="BG21">
        <v>22</v>
      </c>
      <c r="BH21">
        <v>34</v>
      </c>
      <c r="BJ21" s="1" t="s">
        <v>25</v>
      </c>
      <c r="BK21" s="1" t="s">
        <v>64</v>
      </c>
      <c r="BL21" s="7">
        <v>796</v>
      </c>
      <c r="BM21" s="7">
        <v>626</v>
      </c>
      <c r="BN21" s="7">
        <v>838</v>
      </c>
      <c r="BO21" s="7">
        <v>948</v>
      </c>
      <c r="BP21" s="7">
        <v>1376</v>
      </c>
      <c r="BQ21" s="7">
        <v>1468</v>
      </c>
      <c r="BR21" s="7">
        <v>1600</v>
      </c>
      <c r="BS21" s="7">
        <v>1587</v>
      </c>
      <c r="BT21" s="7">
        <v>1627</v>
      </c>
      <c r="BV21" t="s">
        <v>23</v>
      </c>
    </row>
    <row r="22" spans="2:74" x14ac:dyDescent="0.35">
      <c r="B22" t="s">
        <v>26</v>
      </c>
      <c r="C22" s="7">
        <v>415</v>
      </c>
      <c r="D22" s="7">
        <v>430</v>
      </c>
      <c r="E22" s="7">
        <v>453</v>
      </c>
      <c r="F22" s="7">
        <v>427</v>
      </c>
      <c r="G22" s="7">
        <v>403</v>
      </c>
      <c r="H22" s="7">
        <v>641</v>
      </c>
      <c r="I22" s="7">
        <v>702</v>
      </c>
      <c r="J22" s="7">
        <v>924</v>
      </c>
      <c r="K22" s="7">
        <v>977</v>
      </c>
      <c r="L22" s="7">
        <v>1195</v>
      </c>
      <c r="N22" t="s">
        <v>26</v>
      </c>
      <c r="O22" s="2">
        <v>56</v>
      </c>
      <c r="P22" s="2">
        <v>50</v>
      </c>
      <c r="Q22" s="2">
        <v>47</v>
      </c>
      <c r="R22" s="2">
        <v>68</v>
      </c>
      <c r="S22" s="2">
        <v>51</v>
      </c>
      <c r="T22" s="2">
        <v>106</v>
      </c>
      <c r="U22" s="2">
        <v>150</v>
      </c>
      <c r="V22" s="2">
        <v>197</v>
      </c>
      <c r="W22" s="2">
        <v>228</v>
      </c>
      <c r="X22" s="2">
        <v>287</v>
      </c>
      <c r="Z22" t="s">
        <v>26</v>
      </c>
      <c r="AA22" s="2">
        <v>6</v>
      </c>
      <c r="AB22" s="2">
        <v>3</v>
      </c>
      <c r="AC22" s="2">
        <v>12</v>
      </c>
      <c r="AD22" s="2">
        <v>19</v>
      </c>
      <c r="AE22" s="2">
        <v>22</v>
      </c>
      <c r="AF22" s="2">
        <v>30</v>
      </c>
      <c r="AG22" s="2">
        <v>53</v>
      </c>
      <c r="AH22" s="2">
        <v>74</v>
      </c>
      <c r="AI22" s="2">
        <v>64</v>
      </c>
      <c r="AJ22" s="2">
        <v>121</v>
      </c>
      <c r="AL22" t="s">
        <v>26</v>
      </c>
      <c r="AM22">
        <v>14</v>
      </c>
      <c r="AN22">
        <v>35</v>
      </c>
      <c r="AO22">
        <v>33</v>
      </c>
      <c r="AP22">
        <v>38</v>
      </c>
      <c r="AQ22">
        <v>54</v>
      </c>
      <c r="AR22">
        <v>70</v>
      </c>
      <c r="AS22">
        <v>150</v>
      </c>
      <c r="AT22">
        <v>155</v>
      </c>
      <c r="AU22">
        <v>115</v>
      </c>
      <c r="AV22">
        <v>190</v>
      </c>
      <c r="AX22" t="s">
        <v>26</v>
      </c>
      <c r="AY22">
        <v>3</v>
      </c>
      <c r="AZ22">
        <v>5</v>
      </c>
      <c r="BA22">
        <v>3</v>
      </c>
      <c r="BB22">
        <v>0</v>
      </c>
      <c r="BC22">
        <v>1</v>
      </c>
      <c r="BD22">
        <v>25</v>
      </c>
      <c r="BE22">
        <v>37</v>
      </c>
      <c r="BF22">
        <v>56</v>
      </c>
      <c r="BG22">
        <v>46</v>
      </c>
      <c r="BH22">
        <v>40</v>
      </c>
      <c r="BJ22" s="1" t="s">
        <v>26</v>
      </c>
      <c r="BK22" s="1" t="s">
        <v>64</v>
      </c>
      <c r="BL22" s="7">
        <v>523</v>
      </c>
      <c r="BM22" s="7">
        <v>548</v>
      </c>
      <c r="BN22" s="7">
        <v>521</v>
      </c>
      <c r="BO22" s="7">
        <v>527</v>
      </c>
      <c r="BP22" s="7">
        <v>852</v>
      </c>
      <c r="BQ22" s="7">
        <v>1060</v>
      </c>
      <c r="BR22" s="7">
        <v>1357</v>
      </c>
      <c r="BS22" s="7">
        <v>1341</v>
      </c>
      <c r="BT22" s="7">
        <v>1699</v>
      </c>
      <c r="BV22" t="s">
        <v>24</v>
      </c>
    </row>
    <row r="23" spans="2:74" x14ac:dyDescent="0.35">
      <c r="B23" t="s">
        <v>27</v>
      </c>
      <c r="C23" s="7">
        <v>747</v>
      </c>
      <c r="D23" s="7">
        <v>690</v>
      </c>
      <c r="E23" s="7">
        <v>885</v>
      </c>
      <c r="F23" s="7">
        <v>788</v>
      </c>
      <c r="G23" s="7">
        <v>955</v>
      </c>
      <c r="H23" s="7">
        <v>1466</v>
      </c>
      <c r="I23" s="7">
        <v>2467</v>
      </c>
      <c r="J23" s="7">
        <v>3070</v>
      </c>
      <c r="K23" s="7">
        <v>2567</v>
      </c>
      <c r="L23" s="7">
        <v>2653</v>
      </c>
      <c r="N23" t="s">
        <v>27</v>
      </c>
      <c r="O23" s="2">
        <v>59</v>
      </c>
      <c r="P23" s="2">
        <v>80</v>
      </c>
      <c r="Q23" s="2">
        <v>79</v>
      </c>
      <c r="R23" s="2">
        <v>96</v>
      </c>
      <c r="S23" s="2">
        <v>125</v>
      </c>
      <c r="T23" s="2">
        <v>253</v>
      </c>
      <c r="U23" s="2">
        <v>434</v>
      </c>
      <c r="V23" s="2">
        <v>610</v>
      </c>
      <c r="W23" s="2">
        <v>553</v>
      </c>
      <c r="X23" s="2">
        <v>555</v>
      </c>
      <c r="Z23" t="s">
        <v>27</v>
      </c>
      <c r="AA23" s="2">
        <v>15</v>
      </c>
      <c r="AB23" s="2">
        <v>12</v>
      </c>
      <c r="AC23" s="2">
        <v>43</v>
      </c>
      <c r="AD23" s="2">
        <v>31</v>
      </c>
      <c r="AE23" s="2">
        <v>54</v>
      </c>
      <c r="AF23" s="2">
        <v>70</v>
      </c>
      <c r="AG23" s="2">
        <v>138</v>
      </c>
      <c r="AH23" s="2">
        <v>305</v>
      </c>
      <c r="AI23" s="2">
        <v>209</v>
      </c>
      <c r="AJ23" s="2">
        <v>116</v>
      </c>
      <c r="AL23" t="s">
        <v>27</v>
      </c>
      <c r="AM23">
        <v>34</v>
      </c>
      <c r="AN23">
        <v>32</v>
      </c>
      <c r="AO23">
        <v>58</v>
      </c>
      <c r="AP23">
        <v>49</v>
      </c>
      <c r="AQ23">
        <v>69</v>
      </c>
      <c r="AR23">
        <v>159</v>
      </c>
      <c r="AS23">
        <v>348</v>
      </c>
      <c r="AT23">
        <v>612</v>
      </c>
      <c r="AU23">
        <v>463</v>
      </c>
      <c r="AV23">
        <v>445</v>
      </c>
      <c r="AX23" t="s">
        <v>27</v>
      </c>
      <c r="AY23">
        <v>10</v>
      </c>
      <c r="AZ23">
        <v>1</v>
      </c>
      <c r="BA23">
        <v>8</v>
      </c>
      <c r="BB23">
        <v>10</v>
      </c>
      <c r="BC23">
        <v>11</v>
      </c>
      <c r="BD23">
        <v>35</v>
      </c>
      <c r="BE23">
        <v>57</v>
      </c>
      <c r="BF23">
        <v>105</v>
      </c>
      <c r="BG23">
        <v>74</v>
      </c>
      <c r="BH23">
        <v>94</v>
      </c>
      <c r="BJ23" s="1" t="s">
        <v>27</v>
      </c>
      <c r="BK23" s="1" t="s">
        <v>64</v>
      </c>
      <c r="BL23" s="7">
        <v>810</v>
      </c>
      <c r="BM23" s="7">
        <v>1067</v>
      </c>
      <c r="BN23" s="7">
        <v>966</v>
      </c>
      <c r="BO23" s="7">
        <v>1193</v>
      </c>
      <c r="BP23" s="7">
        <v>1927</v>
      </c>
      <c r="BQ23" s="7">
        <v>3359</v>
      </c>
      <c r="BR23" s="7">
        <v>4395</v>
      </c>
      <c r="BS23" s="7">
        <v>4075</v>
      </c>
      <c r="BT23" s="7">
        <v>3756</v>
      </c>
      <c r="BV23" t="s">
        <v>25</v>
      </c>
    </row>
    <row r="24" spans="2:74" x14ac:dyDescent="0.35">
      <c r="B24" t="s">
        <v>28</v>
      </c>
      <c r="C24" s="7">
        <v>766</v>
      </c>
      <c r="D24" s="7">
        <v>625</v>
      </c>
      <c r="E24" s="7">
        <v>765</v>
      </c>
      <c r="F24" s="7">
        <v>645</v>
      </c>
      <c r="G24" s="7">
        <v>601</v>
      </c>
      <c r="H24" s="7">
        <v>817</v>
      </c>
      <c r="I24" s="7">
        <v>1561</v>
      </c>
      <c r="J24" s="7">
        <v>2022</v>
      </c>
      <c r="K24" s="7">
        <v>1668</v>
      </c>
      <c r="L24" s="7">
        <v>1841</v>
      </c>
      <c r="N24" t="s">
        <v>28</v>
      </c>
      <c r="O24" s="2">
        <v>92</v>
      </c>
      <c r="P24" s="2">
        <v>74</v>
      </c>
      <c r="Q24" s="2">
        <v>124</v>
      </c>
      <c r="R24" s="2">
        <v>118</v>
      </c>
      <c r="S24" s="2">
        <v>116</v>
      </c>
      <c r="T24" s="2">
        <v>132</v>
      </c>
      <c r="U24" s="2">
        <v>301</v>
      </c>
      <c r="V24" s="2">
        <v>465</v>
      </c>
      <c r="W24" s="2">
        <v>432</v>
      </c>
      <c r="X24" s="2">
        <v>479</v>
      </c>
      <c r="Z24" t="s">
        <v>28</v>
      </c>
      <c r="AA24" s="2">
        <v>60</v>
      </c>
      <c r="AB24" s="2">
        <v>47</v>
      </c>
      <c r="AC24" s="2">
        <v>75</v>
      </c>
      <c r="AD24" s="2">
        <v>64</v>
      </c>
      <c r="AE24" s="2">
        <v>67</v>
      </c>
      <c r="AF24" s="2">
        <v>68</v>
      </c>
      <c r="AG24" s="2">
        <v>150</v>
      </c>
      <c r="AH24" s="2">
        <v>173</v>
      </c>
      <c r="AI24" s="2">
        <v>133</v>
      </c>
      <c r="AJ24" s="2">
        <v>87</v>
      </c>
      <c r="AL24" t="s">
        <v>28</v>
      </c>
      <c r="AM24">
        <v>40</v>
      </c>
      <c r="AN24">
        <v>65</v>
      </c>
      <c r="AO24">
        <v>118</v>
      </c>
      <c r="AP24">
        <v>93</v>
      </c>
      <c r="AQ24">
        <v>76</v>
      </c>
      <c r="AR24">
        <v>96</v>
      </c>
      <c r="AS24">
        <v>173</v>
      </c>
      <c r="AT24">
        <v>228</v>
      </c>
      <c r="AU24">
        <v>166</v>
      </c>
      <c r="AV24">
        <v>144</v>
      </c>
      <c r="AX24" t="s">
        <v>28</v>
      </c>
      <c r="AY24">
        <v>13</v>
      </c>
      <c r="AZ24">
        <v>10</v>
      </c>
      <c r="BA24">
        <v>21</v>
      </c>
      <c r="BB24">
        <v>15</v>
      </c>
      <c r="BC24">
        <v>23</v>
      </c>
      <c r="BD24">
        <v>27</v>
      </c>
      <c r="BE24">
        <v>66</v>
      </c>
      <c r="BF24">
        <v>83</v>
      </c>
      <c r="BG24">
        <v>73</v>
      </c>
      <c r="BH24">
        <v>105</v>
      </c>
      <c r="BJ24" s="1" t="s">
        <v>28</v>
      </c>
      <c r="BK24" s="1" t="s">
        <v>64</v>
      </c>
      <c r="BL24" s="7">
        <v>777</v>
      </c>
      <c r="BM24" s="7">
        <v>1027</v>
      </c>
      <c r="BN24" s="7">
        <v>881</v>
      </c>
      <c r="BO24" s="7">
        <v>826</v>
      </c>
      <c r="BP24" s="7">
        <v>1076</v>
      </c>
      <c r="BQ24" s="7">
        <v>2105</v>
      </c>
      <c r="BR24" s="7">
        <v>2836</v>
      </c>
      <c r="BS24" s="7">
        <v>2395</v>
      </c>
      <c r="BT24" s="7">
        <v>2578</v>
      </c>
      <c r="BV24" t="s">
        <v>26</v>
      </c>
    </row>
    <row r="25" spans="2:74" x14ac:dyDescent="0.35">
      <c r="B25" t="s">
        <v>29</v>
      </c>
      <c r="C25" s="7">
        <v>880</v>
      </c>
      <c r="D25" s="7">
        <v>750</v>
      </c>
      <c r="E25" s="7">
        <v>741</v>
      </c>
      <c r="F25" s="7">
        <v>807</v>
      </c>
      <c r="G25" s="7">
        <v>614</v>
      </c>
      <c r="H25" s="7">
        <v>882</v>
      </c>
      <c r="I25" s="7">
        <v>1130</v>
      </c>
      <c r="J25" s="7">
        <v>1227</v>
      </c>
      <c r="K25" s="7">
        <v>1490</v>
      </c>
      <c r="L25" s="7">
        <v>2096</v>
      </c>
      <c r="N25" t="s">
        <v>29</v>
      </c>
      <c r="O25" s="2">
        <v>103</v>
      </c>
      <c r="P25" s="2">
        <v>76</v>
      </c>
      <c r="Q25" s="2">
        <v>67</v>
      </c>
      <c r="R25" s="2">
        <v>85</v>
      </c>
      <c r="S25" s="2">
        <v>85</v>
      </c>
      <c r="T25" s="2">
        <v>141</v>
      </c>
      <c r="U25" s="2">
        <v>142</v>
      </c>
      <c r="V25" s="2">
        <v>204</v>
      </c>
      <c r="W25" s="2">
        <v>256</v>
      </c>
      <c r="X25" s="2">
        <v>428</v>
      </c>
      <c r="Z25" t="s">
        <v>29</v>
      </c>
      <c r="AA25" s="2">
        <v>77</v>
      </c>
      <c r="AB25" s="2">
        <v>63</v>
      </c>
      <c r="AC25" s="2">
        <v>63</v>
      </c>
      <c r="AD25" s="2">
        <v>61</v>
      </c>
      <c r="AE25" s="2">
        <v>83</v>
      </c>
      <c r="AF25" s="2">
        <v>128</v>
      </c>
      <c r="AG25" s="2">
        <v>195</v>
      </c>
      <c r="AH25" s="2">
        <v>141</v>
      </c>
      <c r="AI25" s="2">
        <v>152</v>
      </c>
      <c r="AJ25" s="2">
        <v>207</v>
      </c>
      <c r="AL25" t="s">
        <v>29</v>
      </c>
      <c r="AM25">
        <v>97</v>
      </c>
      <c r="AN25">
        <v>49</v>
      </c>
      <c r="AO25">
        <v>29</v>
      </c>
      <c r="AP25">
        <v>60</v>
      </c>
      <c r="AQ25">
        <v>31</v>
      </c>
      <c r="AR25">
        <v>70</v>
      </c>
      <c r="AS25">
        <v>66</v>
      </c>
      <c r="AT25">
        <v>91</v>
      </c>
      <c r="AU25">
        <v>100</v>
      </c>
      <c r="AV25">
        <v>175</v>
      </c>
      <c r="AX25" t="s">
        <v>29</v>
      </c>
      <c r="AY25">
        <v>5</v>
      </c>
      <c r="AZ25">
        <v>11</v>
      </c>
      <c r="BA25">
        <v>8</v>
      </c>
      <c r="BB25">
        <v>9</v>
      </c>
      <c r="BC25">
        <v>11</v>
      </c>
      <c r="BD25">
        <v>16</v>
      </c>
      <c r="BE25">
        <v>16</v>
      </c>
      <c r="BF25">
        <v>35</v>
      </c>
      <c r="BG25">
        <v>51</v>
      </c>
      <c r="BH25">
        <v>66</v>
      </c>
      <c r="BJ25" s="1" t="s">
        <v>29</v>
      </c>
      <c r="BK25" s="1" t="s">
        <v>64</v>
      </c>
      <c r="BL25" s="7">
        <v>918</v>
      </c>
      <c r="BM25" s="7">
        <v>871</v>
      </c>
      <c r="BN25" s="7">
        <v>982</v>
      </c>
      <c r="BO25" s="7">
        <v>772</v>
      </c>
      <c r="BP25" s="7">
        <v>1136</v>
      </c>
      <c r="BQ25" s="7">
        <v>1437</v>
      </c>
      <c r="BR25" s="7">
        <v>1628</v>
      </c>
      <c r="BS25" s="7">
        <v>1980</v>
      </c>
      <c r="BT25" s="7">
        <v>2892</v>
      </c>
      <c r="BV25" t="s">
        <v>27</v>
      </c>
    </row>
    <row r="26" spans="2:74" x14ac:dyDescent="0.35">
      <c r="B26" t="s">
        <v>30</v>
      </c>
      <c r="C26" s="7">
        <v>205</v>
      </c>
      <c r="D26" s="7">
        <v>199</v>
      </c>
      <c r="E26" s="7">
        <v>209</v>
      </c>
      <c r="F26" s="7">
        <v>158</v>
      </c>
      <c r="G26" s="7">
        <v>211</v>
      </c>
      <c r="H26" s="7">
        <v>256</v>
      </c>
      <c r="I26" s="7">
        <v>266</v>
      </c>
      <c r="J26" s="7">
        <v>374</v>
      </c>
      <c r="K26" s="7">
        <v>438</v>
      </c>
      <c r="L26" s="7">
        <v>459</v>
      </c>
      <c r="N26" t="s">
        <v>30</v>
      </c>
      <c r="O26" s="2">
        <v>23</v>
      </c>
      <c r="P26" s="2">
        <v>26</v>
      </c>
      <c r="Q26" s="2">
        <v>26</v>
      </c>
      <c r="R26" s="2">
        <v>26</v>
      </c>
      <c r="S26" s="2">
        <v>37</v>
      </c>
      <c r="T26" s="2">
        <v>33</v>
      </c>
      <c r="U26" s="2">
        <v>65</v>
      </c>
      <c r="V26" s="2">
        <v>133</v>
      </c>
      <c r="W26" s="2">
        <v>186</v>
      </c>
      <c r="X26" s="2">
        <v>123</v>
      </c>
      <c r="Z26" t="s">
        <v>30</v>
      </c>
      <c r="AA26" s="2">
        <v>19</v>
      </c>
      <c r="AB26" s="2">
        <v>11</v>
      </c>
      <c r="AC26" s="2">
        <v>21</v>
      </c>
      <c r="AD26" s="2">
        <v>18</v>
      </c>
      <c r="AE26" s="2">
        <v>25</v>
      </c>
      <c r="AF26" s="2">
        <v>33</v>
      </c>
      <c r="AG26" s="2">
        <v>51</v>
      </c>
      <c r="AH26" s="2">
        <v>49</v>
      </c>
      <c r="AI26" s="2">
        <v>40</v>
      </c>
      <c r="AJ26" s="2">
        <v>18</v>
      </c>
      <c r="AL26" t="s">
        <v>30</v>
      </c>
      <c r="AM26">
        <v>12</v>
      </c>
      <c r="AN26">
        <v>14</v>
      </c>
      <c r="AO26">
        <v>10</v>
      </c>
      <c r="AP26">
        <v>23</v>
      </c>
      <c r="AQ26">
        <v>36</v>
      </c>
      <c r="AR26">
        <v>57</v>
      </c>
      <c r="AS26">
        <v>62</v>
      </c>
      <c r="AT26">
        <v>82</v>
      </c>
      <c r="AU26">
        <v>84</v>
      </c>
      <c r="AV26">
        <v>61</v>
      </c>
      <c r="AX26" t="s">
        <v>30</v>
      </c>
      <c r="AY26">
        <v>5</v>
      </c>
      <c r="AZ26">
        <v>6</v>
      </c>
      <c r="BA26">
        <v>6</v>
      </c>
      <c r="BB26">
        <v>2</v>
      </c>
      <c r="BC26">
        <v>19</v>
      </c>
      <c r="BD26">
        <v>36</v>
      </c>
      <c r="BE26">
        <v>19</v>
      </c>
      <c r="BF26">
        <v>29</v>
      </c>
      <c r="BG26">
        <v>33</v>
      </c>
      <c r="BH26">
        <v>28</v>
      </c>
      <c r="BJ26" s="1" t="s">
        <v>30</v>
      </c>
      <c r="BK26" s="1" t="s">
        <v>64</v>
      </c>
      <c r="BL26" s="7">
        <v>249</v>
      </c>
      <c r="BM26" s="7">
        <v>256</v>
      </c>
      <c r="BN26" s="7">
        <v>217</v>
      </c>
      <c r="BO26" s="7">
        <v>299</v>
      </c>
      <c r="BP26" s="7">
        <v>376</v>
      </c>
      <c r="BQ26" s="7">
        <v>416</v>
      </c>
      <c r="BR26" s="7">
        <v>643</v>
      </c>
      <c r="BS26" s="7">
        <v>759</v>
      </c>
      <c r="BT26" s="7">
        <v>664</v>
      </c>
      <c r="BV26" t="s">
        <v>28</v>
      </c>
    </row>
    <row r="27" spans="2:74" x14ac:dyDescent="0.35">
      <c r="B27" t="s">
        <v>31</v>
      </c>
      <c r="C27" s="7">
        <v>51</v>
      </c>
      <c r="D27" s="7">
        <v>70</v>
      </c>
      <c r="E27" s="7">
        <v>60</v>
      </c>
      <c r="F27" s="7">
        <v>54</v>
      </c>
      <c r="G27" s="7">
        <v>87</v>
      </c>
      <c r="H27" s="7">
        <v>93</v>
      </c>
      <c r="I27" s="7">
        <v>66</v>
      </c>
      <c r="J27" s="7">
        <v>123</v>
      </c>
      <c r="K27" s="7">
        <v>131</v>
      </c>
      <c r="L27" s="7">
        <v>67</v>
      </c>
      <c r="N27" t="s">
        <v>31</v>
      </c>
      <c r="O27" s="2">
        <v>5</v>
      </c>
      <c r="P27" s="2">
        <v>10</v>
      </c>
      <c r="Q27" s="2">
        <v>11</v>
      </c>
      <c r="R27" s="2">
        <v>6</v>
      </c>
      <c r="S27" s="2">
        <v>21</v>
      </c>
      <c r="T27" s="2">
        <v>8</v>
      </c>
      <c r="U27" s="2">
        <v>5</v>
      </c>
      <c r="V27" s="2">
        <v>15</v>
      </c>
      <c r="W27" s="2">
        <v>16</v>
      </c>
      <c r="X27" s="2">
        <v>7</v>
      </c>
      <c r="Z27" t="s">
        <v>31</v>
      </c>
      <c r="AA27" s="2">
        <v>3</v>
      </c>
      <c r="AB27" s="2">
        <v>3</v>
      </c>
      <c r="AC27" s="2">
        <v>3</v>
      </c>
      <c r="AD27" s="2">
        <v>9</v>
      </c>
      <c r="AE27" s="2">
        <v>17</v>
      </c>
      <c r="AF27" s="2">
        <v>0</v>
      </c>
      <c r="AG27" s="2">
        <v>15</v>
      </c>
      <c r="AH27" s="2">
        <v>12</v>
      </c>
      <c r="AI27" s="2">
        <v>25</v>
      </c>
      <c r="AJ27" s="2">
        <v>8</v>
      </c>
      <c r="AL27" t="s">
        <v>31</v>
      </c>
      <c r="AM27">
        <v>1</v>
      </c>
      <c r="AN27">
        <v>0</v>
      </c>
      <c r="AO27">
        <v>0</v>
      </c>
      <c r="AP27">
        <v>0</v>
      </c>
      <c r="AQ27">
        <v>1</v>
      </c>
      <c r="AR27">
        <v>1</v>
      </c>
      <c r="AS27">
        <v>0</v>
      </c>
      <c r="AT27">
        <v>1</v>
      </c>
      <c r="AU27">
        <v>1</v>
      </c>
      <c r="AV27">
        <v>0</v>
      </c>
      <c r="AX27" t="s">
        <v>31</v>
      </c>
      <c r="AY27">
        <v>1</v>
      </c>
      <c r="AZ27">
        <v>0</v>
      </c>
      <c r="BA27">
        <v>2</v>
      </c>
      <c r="BB27">
        <v>0</v>
      </c>
      <c r="BC27">
        <v>1</v>
      </c>
      <c r="BD27">
        <v>1</v>
      </c>
      <c r="BE27">
        <v>0</v>
      </c>
      <c r="BF27">
        <v>3</v>
      </c>
      <c r="BG27">
        <v>0</v>
      </c>
      <c r="BH27">
        <v>2</v>
      </c>
      <c r="BJ27" s="1" t="s">
        <v>31</v>
      </c>
      <c r="BK27" s="1" t="s">
        <v>64</v>
      </c>
      <c r="BL27" s="7">
        <v>78</v>
      </c>
      <c r="BM27" s="7">
        <v>73</v>
      </c>
      <c r="BN27" s="7">
        <v>65</v>
      </c>
      <c r="BO27" s="7">
        <v>119</v>
      </c>
      <c r="BP27" s="7">
        <v>101</v>
      </c>
      <c r="BQ27" s="7">
        <v>79</v>
      </c>
      <c r="BR27" s="7">
        <v>141</v>
      </c>
      <c r="BS27" s="7">
        <v>161</v>
      </c>
      <c r="BT27" s="7">
        <v>81</v>
      </c>
      <c r="BV27" t="s">
        <v>29</v>
      </c>
    </row>
    <row r="28" spans="2:74" x14ac:dyDescent="0.35">
      <c r="B28" t="s">
        <v>32</v>
      </c>
      <c r="C28" s="7">
        <v>1107</v>
      </c>
      <c r="D28" s="7">
        <v>1047</v>
      </c>
      <c r="E28" s="7">
        <v>1358</v>
      </c>
      <c r="F28" s="7">
        <v>1653</v>
      </c>
      <c r="G28" s="7">
        <v>1700</v>
      </c>
      <c r="H28" s="7">
        <v>2161</v>
      </c>
      <c r="I28" s="7">
        <v>1922</v>
      </c>
      <c r="J28" s="7">
        <v>2050</v>
      </c>
      <c r="K28" s="7">
        <v>2070</v>
      </c>
      <c r="L28" s="7">
        <v>2435</v>
      </c>
      <c r="N28" t="s">
        <v>32</v>
      </c>
      <c r="O28" s="2">
        <v>138</v>
      </c>
      <c r="P28" s="2">
        <v>141</v>
      </c>
      <c r="Q28" s="2">
        <v>193</v>
      </c>
      <c r="R28" s="2">
        <v>65</v>
      </c>
      <c r="S28" s="2">
        <v>309</v>
      </c>
      <c r="T28" s="2">
        <v>377</v>
      </c>
      <c r="U28" s="2">
        <v>440</v>
      </c>
      <c r="V28" s="2">
        <v>552</v>
      </c>
      <c r="W28" s="2">
        <v>660</v>
      </c>
      <c r="X28" s="2">
        <v>792</v>
      </c>
      <c r="Z28" t="s">
        <v>32</v>
      </c>
      <c r="AA28" s="2">
        <v>30</v>
      </c>
      <c r="AB28" s="2">
        <v>26</v>
      </c>
      <c r="AC28" s="2">
        <v>41</v>
      </c>
      <c r="AD28" s="2">
        <v>119</v>
      </c>
      <c r="AE28" s="2">
        <v>69</v>
      </c>
      <c r="AF28" s="2">
        <v>107</v>
      </c>
      <c r="AG28" s="2">
        <v>197</v>
      </c>
      <c r="AH28" s="2">
        <v>165</v>
      </c>
      <c r="AI28" s="2">
        <v>142</v>
      </c>
      <c r="AJ28" s="2">
        <v>109</v>
      </c>
      <c r="AL28" t="s">
        <v>32</v>
      </c>
      <c r="AM28">
        <v>134</v>
      </c>
      <c r="AN28">
        <v>110</v>
      </c>
      <c r="AO28">
        <v>99</v>
      </c>
      <c r="AP28">
        <v>186</v>
      </c>
      <c r="AQ28">
        <v>195</v>
      </c>
      <c r="AR28">
        <v>282</v>
      </c>
      <c r="AS28">
        <v>218</v>
      </c>
      <c r="AT28">
        <v>256</v>
      </c>
      <c r="AU28">
        <v>322</v>
      </c>
      <c r="AV28">
        <v>313</v>
      </c>
      <c r="AX28" t="s">
        <v>32</v>
      </c>
      <c r="AY28">
        <v>6</v>
      </c>
      <c r="AZ28">
        <v>8</v>
      </c>
      <c r="BA28">
        <v>25</v>
      </c>
      <c r="BB28">
        <v>22</v>
      </c>
      <c r="BC28">
        <v>44</v>
      </c>
      <c r="BD28">
        <v>47</v>
      </c>
      <c r="BE28">
        <v>67</v>
      </c>
      <c r="BF28">
        <v>46</v>
      </c>
      <c r="BG28">
        <v>72</v>
      </c>
      <c r="BH28">
        <v>102</v>
      </c>
      <c r="BJ28" s="1" t="s">
        <v>32</v>
      </c>
      <c r="BK28" s="1" t="s">
        <v>64</v>
      </c>
      <c r="BL28" s="7">
        <v>1318</v>
      </c>
      <c r="BM28" s="7">
        <v>1679</v>
      </c>
      <c r="BN28" s="7">
        <v>1914</v>
      </c>
      <c r="BO28" s="7">
        <v>2245</v>
      </c>
      <c r="BP28" s="7">
        <v>2871</v>
      </c>
      <c r="BQ28" s="7">
        <v>2656</v>
      </c>
      <c r="BR28" s="7">
        <v>2944</v>
      </c>
      <c r="BS28" s="7">
        <v>3140</v>
      </c>
      <c r="BT28" s="7">
        <v>3630</v>
      </c>
      <c r="BV28" t="s">
        <v>30</v>
      </c>
    </row>
    <row r="29" spans="2:74" x14ac:dyDescent="0.35">
      <c r="B29" t="s">
        <v>33</v>
      </c>
      <c r="C29" s="7">
        <v>7983</v>
      </c>
      <c r="D29" s="7">
        <v>9383</v>
      </c>
      <c r="E29" s="7">
        <v>9749</v>
      </c>
      <c r="F29" s="7">
        <v>11540</v>
      </c>
      <c r="G29" s="7">
        <v>13298</v>
      </c>
      <c r="H29" s="7">
        <v>15923</v>
      </c>
      <c r="I29" s="7">
        <v>15471</v>
      </c>
      <c r="J29" s="7">
        <v>15914</v>
      </c>
      <c r="K29" s="7">
        <v>17465</v>
      </c>
      <c r="L29" s="7">
        <v>20068</v>
      </c>
      <c r="M29" s="2"/>
      <c r="N29" t="s">
        <v>33</v>
      </c>
      <c r="O29" s="2">
        <v>1234</v>
      </c>
      <c r="P29" s="2">
        <v>1132</v>
      </c>
      <c r="Q29" s="2">
        <v>1213</v>
      </c>
      <c r="R29" s="2">
        <v>1549</v>
      </c>
      <c r="S29" s="2">
        <v>1844</v>
      </c>
      <c r="T29" s="2">
        <v>2046</v>
      </c>
      <c r="U29" s="2">
        <v>2101</v>
      </c>
      <c r="V29" s="2">
        <v>2392</v>
      </c>
      <c r="W29" s="2">
        <v>3035</v>
      </c>
      <c r="X29" s="2">
        <v>2928</v>
      </c>
      <c r="Z29" t="s">
        <v>33</v>
      </c>
      <c r="AA29" s="2">
        <v>607</v>
      </c>
      <c r="AB29" s="2">
        <v>631</v>
      </c>
      <c r="AC29" s="2">
        <v>915</v>
      </c>
      <c r="AD29" s="2">
        <v>1371</v>
      </c>
      <c r="AE29" s="2">
        <v>1763</v>
      </c>
      <c r="AF29" s="2">
        <v>2116</v>
      </c>
      <c r="AG29" s="2">
        <v>2506</v>
      </c>
      <c r="AH29" s="2">
        <v>2215</v>
      </c>
      <c r="AI29" s="2">
        <v>2174</v>
      </c>
      <c r="AJ29" s="2">
        <v>1856</v>
      </c>
      <c r="AL29" t="s">
        <v>33</v>
      </c>
      <c r="AM29">
        <v>120</v>
      </c>
      <c r="AN29">
        <v>108</v>
      </c>
      <c r="AO29">
        <v>124</v>
      </c>
      <c r="AP29">
        <v>178</v>
      </c>
      <c r="AQ29">
        <v>357</v>
      </c>
      <c r="AR29">
        <v>666</v>
      </c>
      <c r="AS29">
        <v>462</v>
      </c>
      <c r="AT29">
        <v>413</v>
      </c>
      <c r="AU29">
        <v>487</v>
      </c>
      <c r="AV29">
        <v>527</v>
      </c>
      <c r="AX29" t="s">
        <v>33</v>
      </c>
      <c r="AY29">
        <v>74</v>
      </c>
      <c r="AZ29">
        <v>50</v>
      </c>
      <c r="BA29">
        <v>79</v>
      </c>
      <c r="BB29">
        <v>107</v>
      </c>
      <c r="BC29">
        <v>152</v>
      </c>
      <c r="BD29">
        <v>202</v>
      </c>
      <c r="BE29">
        <v>180</v>
      </c>
      <c r="BF29">
        <v>240</v>
      </c>
      <c r="BG29">
        <v>292</v>
      </c>
      <c r="BH29">
        <v>289</v>
      </c>
      <c r="BJ29" s="1" t="s">
        <v>33</v>
      </c>
      <c r="BK29" s="1" t="s">
        <v>64</v>
      </c>
      <c r="BL29" s="7">
        <v>10371</v>
      </c>
      <c r="BM29" s="7">
        <v>10748</v>
      </c>
      <c r="BN29" s="7">
        <v>13889</v>
      </c>
      <c r="BO29" s="7">
        <v>16447</v>
      </c>
      <c r="BP29" s="7">
        <v>19813</v>
      </c>
      <c r="BQ29" s="7">
        <v>19441</v>
      </c>
      <c r="BR29" s="7">
        <v>19865</v>
      </c>
      <c r="BS29" s="7">
        <v>22111</v>
      </c>
      <c r="BT29" s="7">
        <v>24291</v>
      </c>
      <c r="BV29" t="s">
        <v>31</v>
      </c>
    </row>
    <row r="30" spans="2:74" x14ac:dyDescent="0.35">
      <c r="B30" t="s">
        <v>34</v>
      </c>
      <c r="C30" s="7">
        <v>347</v>
      </c>
      <c r="D30" s="7">
        <v>266</v>
      </c>
      <c r="E30" s="7">
        <v>260</v>
      </c>
      <c r="F30" s="7">
        <v>378</v>
      </c>
      <c r="G30" s="7">
        <v>417</v>
      </c>
      <c r="H30" s="7">
        <v>517</v>
      </c>
      <c r="I30" s="7">
        <v>558</v>
      </c>
      <c r="J30" s="7">
        <v>641</v>
      </c>
      <c r="K30" s="7">
        <v>654</v>
      </c>
      <c r="L30" s="7">
        <v>803</v>
      </c>
      <c r="N30" t="s">
        <v>34</v>
      </c>
      <c r="O30" s="2">
        <v>62</v>
      </c>
      <c r="P30" s="2">
        <v>50</v>
      </c>
      <c r="Q30" s="2">
        <v>60</v>
      </c>
      <c r="R30" s="2">
        <v>98</v>
      </c>
      <c r="S30" s="2">
        <v>100</v>
      </c>
      <c r="T30" s="2">
        <v>135</v>
      </c>
      <c r="U30" s="2">
        <v>180</v>
      </c>
      <c r="V30" s="2">
        <v>158</v>
      </c>
      <c r="W30" s="2">
        <v>192</v>
      </c>
      <c r="X30" s="2">
        <v>240</v>
      </c>
      <c r="Z30" t="s">
        <v>34</v>
      </c>
      <c r="AA30" s="2">
        <v>18</v>
      </c>
      <c r="AB30" s="2">
        <v>8</v>
      </c>
      <c r="AC30" s="2">
        <v>15</v>
      </c>
      <c r="AD30" s="2">
        <v>35</v>
      </c>
      <c r="AE30" s="2">
        <v>27</v>
      </c>
      <c r="AF30" s="2">
        <v>47</v>
      </c>
      <c r="AG30" s="2">
        <v>92</v>
      </c>
      <c r="AH30" s="2">
        <v>55</v>
      </c>
      <c r="AI30" s="2">
        <v>52</v>
      </c>
      <c r="AJ30" s="2">
        <v>55</v>
      </c>
      <c r="AL30" t="s">
        <v>34</v>
      </c>
      <c r="AM30">
        <v>120</v>
      </c>
      <c r="AN30">
        <v>77</v>
      </c>
      <c r="AO30">
        <v>72</v>
      </c>
      <c r="AP30">
        <v>69</v>
      </c>
      <c r="AQ30">
        <v>86</v>
      </c>
      <c r="AR30">
        <v>349</v>
      </c>
      <c r="AS30">
        <v>409</v>
      </c>
      <c r="AT30">
        <v>180</v>
      </c>
      <c r="AU30">
        <v>146</v>
      </c>
      <c r="AV30">
        <v>186</v>
      </c>
      <c r="AX30" t="s">
        <v>34</v>
      </c>
      <c r="AY30">
        <v>4</v>
      </c>
      <c r="AZ30">
        <v>10</v>
      </c>
      <c r="BA30">
        <v>7</v>
      </c>
      <c r="BB30">
        <v>15</v>
      </c>
      <c r="BC30">
        <v>15</v>
      </c>
      <c r="BD30">
        <v>24</v>
      </c>
      <c r="BE30">
        <v>39</v>
      </c>
      <c r="BF30">
        <v>35</v>
      </c>
      <c r="BG30">
        <v>31</v>
      </c>
      <c r="BH30">
        <v>78</v>
      </c>
      <c r="BJ30" s="1" t="s">
        <v>34</v>
      </c>
      <c r="BK30" s="1" t="s">
        <v>64</v>
      </c>
      <c r="BL30" s="7">
        <v>411</v>
      </c>
      <c r="BM30" s="7">
        <v>395</v>
      </c>
      <c r="BN30" s="7">
        <v>570</v>
      </c>
      <c r="BO30" s="7">
        <v>630</v>
      </c>
      <c r="BP30" s="7">
        <v>1081</v>
      </c>
      <c r="BQ30" s="7">
        <v>1204</v>
      </c>
      <c r="BR30" s="7">
        <v>1022</v>
      </c>
      <c r="BS30" s="7">
        <v>1037</v>
      </c>
      <c r="BT30" s="7">
        <v>1297</v>
      </c>
      <c r="BV30" t="s">
        <v>32</v>
      </c>
    </row>
    <row r="31" spans="2:74" x14ac:dyDescent="0.35">
      <c r="B31" t="s">
        <v>35</v>
      </c>
      <c r="C31" s="7">
        <v>359</v>
      </c>
      <c r="D31" s="7">
        <v>325</v>
      </c>
      <c r="E31" s="7">
        <v>282</v>
      </c>
      <c r="F31" s="7">
        <v>293</v>
      </c>
      <c r="G31" s="7">
        <v>275</v>
      </c>
      <c r="H31" s="7">
        <v>336</v>
      </c>
      <c r="I31" s="7">
        <v>467</v>
      </c>
      <c r="J31" s="7">
        <v>616</v>
      </c>
      <c r="K31" s="7">
        <v>606</v>
      </c>
      <c r="L31" s="7">
        <v>706</v>
      </c>
      <c r="N31" t="s">
        <v>35</v>
      </c>
      <c r="O31" s="2">
        <v>62</v>
      </c>
      <c r="P31" s="2">
        <v>56</v>
      </c>
      <c r="Q31" s="2">
        <v>62</v>
      </c>
      <c r="R31" s="2">
        <v>66</v>
      </c>
      <c r="S31" s="2">
        <v>62</v>
      </c>
      <c r="T31" s="2">
        <v>63</v>
      </c>
      <c r="U31" s="2">
        <v>148</v>
      </c>
      <c r="V31" s="2">
        <v>178</v>
      </c>
      <c r="W31" s="2">
        <v>189</v>
      </c>
      <c r="X31" s="2">
        <v>226</v>
      </c>
      <c r="Z31" t="s">
        <v>35</v>
      </c>
      <c r="AA31" s="2">
        <v>5</v>
      </c>
      <c r="AB31" s="2">
        <v>7</v>
      </c>
      <c r="AC31" s="2">
        <v>10</v>
      </c>
      <c r="AD31" s="2">
        <v>12</v>
      </c>
      <c r="AE31" s="2">
        <v>18</v>
      </c>
      <c r="AF31" s="2">
        <v>16</v>
      </c>
      <c r="AG31" s="2">
        <v>46</v>
      </c>
      <c r="AH31" s="2">
        <v>46</v>
      </c>
      <c r="AI31" s="2">
        <v>37</v>
      </c>
      <c r="AJ31" s="2">
        <v>40</v>
      </c>
      <c r="AL31" t="s">
        <v>35</v>
      </c>
      <c r="AM31">
        <v>31</v>
      </c>
      <c r="AN31">
        <v>32</v>
      </c>
      <c r="AO31">
        <v>33</v>
      </c>
      <c r="AP31">
        <v>28</v>
      </c>
      <c r="AQ31">
        <v>39</v>
      </c>
      <c r="AR31">
        <v>54</v>
      </c>
      <c r="AS31">
        <v>65</v>
      </c>
      <c r="AT31">
        <v>109</v>
      </c>
      <c r="AU31">
        <v>94</v>
      </c>
      <c r="AV31">
        <v>165</v>
      </c>
      <c r="AX31" t="s">
        <v>35</v>
      </c>
      <c r="AY31">
        <v>8</v>
      </c>
      <c r="AZ31">
        <v>7</v>
      </c>
      <c r="BA31">
        <v>10</v>
      </c>
      <c r="BB31">
        <v>9</v>
      </c>
      <c r="BC31">
        <v>9</v>
      </c>
      <c r="BD31">
        <v>8</v>
      </c>
      <c r="BE31">
        <v>7</v>
      </c>
      <c r="BF31">
        <v>25</v>
      </c>
      <c r="BG31">
        <v>39</v>
      </c>
      <c r="BH31">
        <v>65</v>
      </c>
      <c r="BJ31" s="1" t="s">
        <v>35</v>
      </c>
      <c r="BK31" s="1" t="s">
        <v>64</v>
      </c>
      <c r="BL31" s="7">
        <v>418</v>
      </c>
      <c r="BM31" s="7">
        <v>389</v>
      </c>
      <c r="BN31" s="7">
        <v>392</v>
      </c>
      <c r="BO31" s="7">
        <v>385</v>
      </c>
      <c r="BP31" s="7">
        <v>465</v>
      </c>
      <c r="BQ31" s="7">
        <v>681</v>
      </c>
      <c r="BR31" s="7">
        <v>940</v>
      </c>
      <c r="BS31" s="7">
        <v>928</v>
      </c>
      <c r="BT31" s="7">
        <v>1144</v>
      </c>
      <c r="BV31" t="s">
        <v>33</v>
      </c>
    </row>
    <row r="32" spans="2:74" x14ac:dyDescent="0.35">
      <c r="B32" t="s">
        <v>36</v>
      </c>
      <c r="C32" s="7">
        <v>154</v>
      </c>
      <c r="D32" s="7">
        <v>164</v>
      </c>
      <c r="E32" s="7">
        <v>167</v>
      </c>
      <c r="F32" s="7">
        <v>176</v>
      </c>
      <c r="G32" s="7">
        <v>186</v>
      </c>
      <c r="H32" s="7">
        <v>235</v>
      </c>
      <c r="I32" s="7">
        <v>276</v>
      </c>
      <c r="J32" s="7">
        <v>375</v>
      </c>
      <c r="K32" s="7">
        <v>428</v>
      </c>
      <c r="L32" s="7">
        <v>464</v>
      </c>
      <c r="N32" t="s">
        <v>36</v>
      </c>
      <c r="O32" s="2">
        <v>21</v>
      </c>
      <c r="P32" s="2">
        <v>23</v>
      </c>
      <c r="Q32" s="2">
        <v>23</v>
      </c>
      <c r="R32" s="2">
        <v>27</v>
      </c>
      <c r="S32" s="2">
        <v>30</v>
      </c>
      <c r="T32" s="2">
        <v>39</v>
      </c>
      <c r="U32" s="2">
        <v>55</v>
      </c>
      <c r="V32" s="2">
        <v>93</v>
      </c>
      <c r="W32" s="2">
        <v>125</v>
      </c>
      <c r="X32" s="2">
        <v>132</v>
      </c>
      <c r="Z32" t="s">
        <v>36</v>
      </c>
      <c r="AA32" s="2">
        <v>3</v>
      </c>
      <c r="AB32" s="2">
        <v>1</v>
      </c>
      <c r="AC32" s="2">
        <v>6</v>
      </c>
      <c r="AD32" s="2">
        <v>16</v>
      </c>
      <c r="AE32" s="2">
        <v>15</v>
      </c>
      <c r="AF32" s="2">
        <v>20</v>
      </c>
      <c r="AG32" s="2">
        <v>39</v>
      </c>
      <c r="AH32" s="2">
        <v>51</v>
      </c>
      <c r="AI32" s="2">
        <v>48</v>
      </c>
      <c r="AJ32" s="2">
        <v>21</v>
      </c>
      <c r="AL32" t="s">
        <v>36</v>
      </c>
      <c r="AM32">
        <v>9</v>
      </c>
      <c r="AN32">
        <v>3</v>
      </c>
      <c r="AO32">
        <v>7</v>
      </c>
      <c r="AP32">
        <v>14</v>
      </c>
      <c r="AQ32">
        <v>19</v>
      </c>
      <c r="AR32">
        <v>28</v>
      </c>
      <c r="AS32">
        <v>25</v>
      </c>
      <c r="AT32">
        <v>45</v>
      </c>
      <c r="AU32">
        <v>64</v>
      </c>
      <c r="AV32">
        <v>75</v>
      </c>
      <c r="AX32" t="s">
        <v>36</v>
      </c>
      <c r="AY32">
        <v>3</v>
      </c>
      <c r="AZ32">
        <v>1</v>
      </c>
      <c r="BA32">
        <v>0</v>
      </c>
      <c r="BB32">
        <v>1</v>
      </c>
      <c r="BC32">
        <v>1</v>
      </c>
      <c r="BD32">
        <v>0</v>
      </c>
      <c r="BE32">
        <v>7</v>
      </c>
      <c r="BF32">
        <v>10</v>
      </c>
      <c r="BG32">
        <v>16</v>
      </c>
      <c r="BH32">
        <v>16</v>
      </c>
      <c r="BJ32" s="1" t="s">
        <v>36</v>
      </c>
      <c r="BK32" s="1" t="s">
        <v>64</v>
      </c>
      <c r="BL32" s="7">
        <v>192</v>
      </c>
      <c r="BM32" s="7">
        <v>199</v>
      </c>
      <c r="BN32" s="7">
        <v>225</v>
      </c>
      <c r="BO32" s="7">
        <v>246</v>
      </c>
      <c r="BP32" s="7">
        <v>317</v>
      </c>
      <c r="BQ32" s="7">
        <v>384</v>
      </c>
      <c r="BR32" s="7">
        <v>546</v>
      </c>
      <c r="BS32" s="7">
        <v>646</v>
      </c>
      <c r="BT32" s="7">
        <v>684</v>
      </c>
      <c r="BV32" t="s">
        <v>34</v>
      </c>
    </row>
    <row r="33" spans="2:74" x14ac:dyDescent="0.35">
      <c r="B33" t="s">
        <v>37</v>
      </c>
      <c r="C33" s="7">
        <v>456</v>
      </c>
      <c r="D33" s="7">
        <v>370</v>
      </c>
      <c r="E33" s="7">
        <v>303</v>
      </c>
      <c r="F33" s="7">
        <v>409</v>
      </c>
      <c r="G33" s="7">
        <v>419</v>
      </c>
      <c r="H33" s="7">
        <v>425</v>
      </c>
      <c r="I33" s="7">
        <v>591</v>
      </c>
      <c r="J33" s="7">
        <v>646</v>
      </c>
      <c r="K33" s="7">
        <v>876</v>
      </c>
      <c r="L33" s="7">
        <v>1183</v>
      </c>
      <c r="N33" t="s">
        <v>37</v>
      </c>
      <c r="O33" s="2">
        <v>49</v>
      </c>
      <c r="P33" s="2">
        <v>42</v>
      </c>
      <c r="Q33" s="2">
        <v>33</v>
      </c>
      <c r="R33" s="2">
        <v>41</v>
      </c>
      <c r="S33" s="2">
        <v>58</v>
      </c>
      <c r="T33" s="2">
        <v>77</v>
      </c>
      <c r="U33" s="2">
        <v>68</v>
      </c>
      <c r="V33" s="2">
        <v>81</v>
      </c>
      <c r="W33" s="2">
        <v>173</v>
      </c>
      <c r="X33" s="2">
        <v>257</v>
      </c>
      <c r="Z33" t="s">
        <v>37</v>
      </c>
      <c r="AA33" s="2">
        <v>6</v>
      </c>
      <c r="AB33" s="2">
        <v>9</v>
      </c>
      <c r="AC33" s="2">
        <v>12</v>
      </c>
      <c r="AD33" s="2">
        <v>15</v>
      </c>
      <c r="AE33" s="2">
        <v>21</v>
      </c>
      <c r="AF33" s="2">
        <v>38</v>
      </c>
      <c r="AG33" s="2">
        <v>53</v>
      </c>
      <c r="AH33" s="2">
        <v>38</v>
      </c>
      <c r="AI33" s="2">
        <v>37</v>
      </c>
      <c r="AJ33" s="2">
        <v>26</v>
      </c>
      <c r="AL33" t="s">
        <v>37</v>
      </c>
      <c r="AM33">
        <v>50</v>
      </c>
      <c r="AN33">
        <v>37</v>
      </c>
      <c r="AO33">
        <v>36</v>
      </c>
      <c r="AP33">
        <v>63</v>
      </c>
      <c r="AQ33">
        <v>46</v>
      </c>
      <c r="AR33">
        <v>56</v>
      </c>
      <c r="AS33">
        <v>65</v>
      </c>
      <c r="AT33">
        <v>59</v>
      </c>
      <c r="AU33">
        <v>104</v>
      </c>
      <c r="AV33">
        <v>152</v>
      </c>
      <c r="AX33" t="s">
        <v>37</v>
      </c>
      <c r="AY33">
        <v>3</v>
      </c>
      <c r="AZ33">
        <v>2</v>
      </c>
      <c r="BA33">
        <v>1</v>
      </c>
      <c r="BB33">
        <v>6</v>
      </c>
      <c r="BC33">
        <v>8</v>
      </c>
      <c r="BD33">
        <v>7</v>
      </c>
      <c r="BE33">
        <v>10</v>
      </c>
      <c r="BF33">
        <v>28</v>
      </c>
      <c r="BG33">
        <v>26</v>
      </c>
      <c r="BH33">
        <v>19</v>
      </c>
      <c r="BJ33" s="1" t="s">
        <v>37</v>
      </c>
      <c r="BK33" s="1" t="s">
        <v>64</v>
      </c>
      <c r="BL33" s="7">
        <v>460</v>
      </c>
      <c r="BM33" s="7">
        <v>385</v>
      </c>
      <c r="BN33" s="7">
        <v>534</v>
      </c>
      <c r="BO33" s="7">
        <v>551</v>
      </c>
      <c r="BP33" s="7">
        <v>583</v>
      </c>
      <c r="BQ33" s="7">
        <v>744</v>
      </c>
      <c r="BR33" s="7">
        <v>818</v>
      </c>
      <c r="BS33" s="7">
        <v>1162</v>
      </c>
      <c r="BT33" s="7">
        <v>1587</v>
      </c>
      <c r="BV33" t="s">
        <v>35</v>
      </c>
    </row>
    <row r="34" spans="2:74" x14ac:dyDescent="0.35">
      <c r="B34" t="s">
        <v>38</v>
      </c>
      <c r="C34" s="7">
        <v>557</v>
      </c>
      <c r="D34" s="7">
        <v>489</v>
      </c>
      <c r="E34" s="7">
        <v>582</v>
      </c>
      <c r="F34" s="7">
        <v>782</v>
      </c>
      <c r="G34" s="7">
        <v>1043</v>
      </c>
      <c r="H34" s="7">
        <v>1609</v>
      </c>
      <c r="I34" s="7">
        <v>1785</v>
      </c>
      <c r="J34" s="7">
        <v>1848</v>
      </c>
      <c r="K34" s="7">
        <v>1858</v>
      </c>
      <c r="L34" s="7">
        <v>1981</v>
      </c>
      <c r="N34" t="s">
        <v>38</v>
      </c>
      <c r="O34" s="2">
        <v>33</v>
      </c>
      <c r="P34" s="2">
        <v>37</v>
      </c>
      <c r="Q34" s="2">
        <v>44</v>
      </c>
      <c r="R34" s="2">
        <v>79</v>
      </c>
      <c r="S34" s="2">
        <v>124</v>
      </c>
      <c r="T34" s="2">
        <v>243</v>
      </c>
      <c r="U34" s="2">
        <v>282</v>
      </c>
      <c r="V34" s="2">
        <v>372</v>
      </c>
      <c r="W34" s="2">
        <v>429</v>
      </c>
      <c r="X34" s="2">
        <v>571</v>
      </c>
      <c r="Z34" t="s">
        <v>38</v>
      </c>
      <c r="AA34" s="2">
        <v>13</v>
      </c>
      <c r="AB34" s="2">
        <v>11</v>
      </c>
      <c r="AC34" s="2">
        <v>20</v>
      </c>
      <c r="AD34" s="2">
        <v>48</v>
      </c>
      <c r="AE34" s="2">
        <v>79</v>
      </c>
      <c r="AF34" s="2">
        <v>161</v>
      </c>
      <c r="AG34" s="2">
        <v>243</v>
      </c>
      <c r="AH34" s="2">
        <v>235</v>
      </c>
      <c r="AI34" s="2">
        <v>236</v>
      </c>
      <c r="AJ34" s="2">
        <v>225</v>
      </c>
      <c r="AL34" t="s">
        <v>38</v>
      </c>
      <c r="AM34">
        <v>22</v>
      </c>
      <c r="AN34">
        <v>38</v>
      </c>
      <c r="AO34">
        <v>33</v>
      </c>
      <c r="AP34">
        <v>28</v>
      </c>
      <c r="AQ34">
        <v>70</v>
      </c>
      <c r="AR34">
        <v>218</v>
      </c>
      <c r="AS34">
        <v>308</v>
      </c>
      <c r="AT34">
        <v>287</v>
      </c>
      <c r="AU34">
        <v>391</v>
      </c>
      <c r="AV34">
        <v>383</v>
      </c>
      <c r="AX34" t="s">
        <v>38</v>
      </c>
      <c r="AY34">
        <v>1</v>
      </c>
      <c r="AZ34">
        <v>4</v>
      </c>
      <c r="BA34">
        <v>4</v>
      </c>
      <c r="BB34">
        <v>9</v>
      </c>
      <c r="BC34">
        <v>24</v>
      </c>
      <c r="BD34">
        <v>44</v>
      </c>
      <c r="BE34">
        <v>59</v>
      </c>
      <c r="BF34">
        <v>77</v>
      </c>
      <c r="BG34">
        <v>67</v>
      </c>
      <c r="BH34">
        <v>73</v>
      </c>
      <c r="BJ34" s="1" t="s">
        <v>38</v>
      </c>
      <c r="BK34" s="1" t="s">
        <v>64</v>
      </c>
      <c r="BL34" s="7">
        <v>573</v>
      </c>
      <c r="BM34" s="7">
        <v>674</v>
      </c>
      <c r="BN34" s="7">
        <v>912</v>
      </c>
      <c r="BO34" s="7">
        <v>1295</v>
      </c>
      <c r="BP34" s="7">
        <v>2187</v>
      </c>
      <c r="BQ34" s="7">
        <v>2559</v>
      </c>
      <c r="BR34" s="7">
        <v>2703</v>
      </c>
      <c r="BS34" s="7">
        <v>2852</v>
      </c>
      <c r="BT34" s="7">
        <v>3076</v>
      </c>
      <c r="BV34" t="s">
        <v>36</v>
      </c>
    </row>
    <row r="35" spans="2:74" x14ac:dyDescent="0.35">
      <c r="B35" t="s">
        <v>39</v>
      </c>
      <c r="C35" s="7">
        <v>635</v>
      </c>
      <c r="D35" s="7">
        <v>513</v>
      </c>
      <c r="E35" s="7">
        <v>690</v>
      </c>
      <c r="F35" s="7">
        <v>626</v>
      </c>
      <c r="G35" s="7">
        <v>699</v>
      </c>
      <c r="H35" s="7">
        <v>980</v>
      </c>
      <c r="I35" s="7">
        <v>1176</v>
      </c>
      <c r="J35" s="7">
        <v>1178</v>
      </c>
      <c r="K35" s="7">
        <v>1232</v>
      </c>
      <c r="L35" s="7">
        <v>1253</v>
      </c>
      <c r="N35" t="s">
        <v>39</v>
      </c>
      <c r="O35" s="2">
        <v>78</v>
      </c>
      <c r="P35" s="2">
        <v>49</v>
      </c>
      <c r="Q35" s="2">
        <v>67</v>
      </c>
      <c r="R35" s="2">
        <v>63</v>
      </c>
      <c r="S35" s="2">
        <v>84</v>
      </c>
      <c r="T35" s="2">
        <v>153</v>
      </c>
      <c r="U35" s="2">
        <v>182</v>
      </c>
      <c r="V35" s="2">
        <v>146</v>
      </c>
      <c r="W35" s="2">
        <v>228</v>
      </c>
      <c r="X35" s="2">
        <v>203</v>
      </c>
      <c r="Z35" t="s">
        <v>39</v>
      </c>
      <c r="AA35" s="2">
        <v>20</v>
      </c>
      <c r="AB35" s="2">
        <v>17</v>
      </c>
      <c r="AC35" s="2">
        <v>28</v>
      </c>
      <c r="AD35" s="2">
        <v>66</v>
      </c>
      <c r="AE35" s="2">
        <v>70</v>
      </c>
      <c r="AF35" s="2">
        <v>68</v>
      </c>
      <c r="AG35" s="2">
        <v>93</v>
      </c>
      <c r="AH35" s="2">
        <v>116</v>
      </c>
      <c r="AI35" s="2">
        <v>88</v>
      </c>
      <c r="AJ35" s="2">
        <v>73</v>
      </c>
      <c r="AL35" t="s">
        <v>39</v>
      </c>
      <c r="AM35">
        <v>41</v>
      </c>
      <c r="AN35">
        <v>23</v>
      </c>
      <c r="AO35">
        <v>55</v>
      </c>
      <c r="AP35">
        <v>64</v>
      </c>
      <c r="AQ35">
        <v>71</v>
      </c>
      <c r="AR35">
        <v>84</v>
      </c>
      <c r="AS35">
        <v>89</v>
      </c>
      <c r="AT35">
        <v>101</v>
      </c>
      <c r="AU35">
        <v>91</v>
      </c>
      <c r="AV35">
        <v>77</v>
      </c>
      <c r="AX35" t="s">
        <v>39</v>
      </c>
      <c r="AY35">
        <v>0</v>
      </c>
      <c r="AZ35">
        <v>0</v>
      </c>
      <c r="BA35">
        <v>4</v>
      </c>
      <c r="BB35">
        <v>4</v>
      </c>
      <c r="BC35">
        <v>0</v>
      </c>
      <c r="BD35">
        <v>12</v>
      </c>
      <c r="BE35">
        <v>37</v>
      </c>
      <c r="BF35">
        <v>35</v>
      </c>
      <c r="BG35">
        <v>44</v>
      </c>
      <c r="BH35">
        <v>29</v>
      </c>
      <c r="BJ35" s="1" t="s">
        <v>39</v>
      </c>
      <c r="BK35" s="1" t="s">
        <v>64</v>
      </c>
      <c r="BL35" s="7">
        <v>594</v>
      </c>
      <c r="BM35" s="7">
        <v>828</v>
      </c>
      <c r="BN35" s="7">
        <v>796</v>
      </c>
      <c r="BO35" s="7">
        <v>911</v>
      </c>
      <c r="BP35" s="7">
        <v>1264</v>
      </c>
      <c r="BQ35" s="7">
        <v>1509</v>
      </c>
      <c r="BR35" s="7">
        <v>1495</v>
      </c>
      <c r="BS35" s="7">
        <v>1683</v>
      </c>
      <c r="BT35" s="7">
        <v>1635</v>
      </c>
      <c r="BV35" t="s">
        <v>37</v>
      </c>
    </row>
    <row r="36" spans="2:74" x14ac:dyDescent="0.35">
      <c r="B36" t="s">
        <v>40</v>
      </c>
      <c r="C36" s="7">
        <v>746</v>
      </c>
      <c r="D36" s="7">
        <v>811</v>
      </c>
      <c r="E36" s="7">
        <v>878</v>
      </c>
      <c r="F36" s="7">
        <v>1102</v>
      </c>
      <c r="G36" s="7">
        <v>1245</v>
      </c>
      <c r="H36" s="7">
        <v>1355</v>
      </c>
      <c r="I36" s="7">
        <v>1263</v>
      </c>
      <c r="J36" s="7">
        <v>1305</v>
      </c>
      <c r="K36" s="7">
        <v>1346</v>
      </c>
      <c r="L36" s="7">
        <v>1470</v>
      </c>
      <c r="N36" t="s">
        <v>40</v>
      </c>
      <c r="O36" s="2">
        <v>119</v>
      </c>
      <c r="P36" s="2">
        <v>121</v>
      </c>
      <c r="Q36" s="2">
        <v>161</v>
      </c>
      <c r="R36" s="2">
        <v>240</v>
      </c>
      <c r="S36" s="2">
        <v>241</v>
      </c>
      <c r="T36" s="2">
        <v>300</v>
      </c>
      <c r="U36" s="2">
        <v>338</v>
      </c>
      <c r="V36" s="2">
        <v>351</v>
      </c>
      <c r="W36" s="2">
        <v>368</v>
      </c>
      <c r="X36" s="2">
        <v>409</v>
      </c>
      <c r="Z36" t="s">
        <v>40</v>
      </c>
      <c r="AA36" s="2">
        <v>38</v>
      </c>
      <c r="AB36" s="2">
        <v>27</v>
      </c>
      <c r="AC36" s="2">
        <v>56</v>
      </c>
      <c r="AD36" s="2">
        <v>66</v>
      </c>
      <c r="AE36" s="2">
        <v>80</v>
      </c>
      <c r="AF36" s="2">
        <v>90</v>
      </c>
      <c r="AG36" s="2">
        <v>124</v>
      </c>
      <c r="AH36" s="2">
        <v>129</v>
      </c>
      <c r="AI36" s="2">
        <v>136</v>
      </c>
      <c r="AJ36" s="2">
        <v>70</v>
      </c>
      <c r="AL36" t="s">
        <v>40</v>
      </c>
      <c r="AM36">
        <v>76</v>
      </c>
      <c r="AN36">
        <v>84</v>
      </c>
      <c r="AO36">
        <v>100</v>
      </c>
      <c r="AP36">
        <v>137</v>
      </c>
      <c r="AQ36">
        <v>179</v>
      </c>
      <c r="AR36">
        <v>218</v>
      </c>
      <c r="AS36">
        <v>139</v>
      </c>
      <c r="AT36">
        <v>181</v>
      </c>
      <c r="AU36">
        <v>211</v>
      </c>
      <c r="AV36">
        <v>182</v>
      </c>
      <c r="AX36" t="s">
        <v>40</v>
      </c>
      <c r="AY36">
        <v>10</v>
      </c>
      <c r="AZ36">
        <v>9</v>
      </c>
      <c r="BA36">
        <v>29</v>
      </c>
      <c r="BB36">
        <v>25</v>
      </c>
      <c r="BC36">
        <v>24</v>
      </c>
      <c r="BD36">
        <v>24</v>
      </c>
      <c r="BE36">
        <v>39</v>
      </c>
      <c r="BF36">
        <v>60</v>
      </c>
      <c r="BG36">
        <v>67</v>
      </c>
      <c r="BH36">
        <v>62</v>
      </c>
      <c r="BJ36" s="1" t="s">
        <v>40</v>
      </c>
      <c r="BK36" s="1" t="s">
        <v>64</v>
      </c>
      <c r="BL36" s="7">
        <v>1019</v>
      </c>
      <c r="BM36" s="7">
        <v>1160</v>
      </c>
      <c r="BN36" s="7">
        <v>1501</v>
      </c>
      <c r="BO36" s="7">
        <v>1693</v>
      </c>
      <c r="BP36" s="7">
        <v>1900</v>
      </c>
      <c r="BQ36" s="7">
        <v>1800</v>
      </c>
      <c r="BR36" s="7">
        <v>1906</v>
      </c>
      <c r="BS36" s="7">
        <v>2007</v>
      </c>
      <c r="BT36" s="7">
        <v>2148</v>
      </c>
      <c r="BV36" t="s">
        <v>38</v>
      </c>
    </row>
    <row r="37" spans="2:74" x14ac:dyDescent="0.35">
      <c r="B37" t="s">
        <v>41</v>
      </c>
      <c r="C37" s="7">
        <v>443</v>
      </c>
      <c r="D37" s="7">
        <v>502</v>
      </c>
      <c r="E37" s="7">
        <v>547</v>
      </c>
      <c r="F37" s="7">
        <v>652</v>
      </c>
      <c r="G37" s="7">
        <v>798</v>
      </c>
      <c r="H37" s="7">
        <v>1288</v>
      </c>
      <c r="I37" s="7">
        <v>1683</v>
      </c>
      <c r="J37" s="7">
        <v>1879</v>
      </c>
      <c r="K37" s="7">
        <v>1987</v>
      </c>
      <c r="L37" s="7">
        <v>2425</v>
      </c>
      <c r="N37" t="s">
        <v>41</v>
      </c>
      <c r="O37" s="2">
        <v>35</v>
      </c>
      <c r="P37" s="2">
        <v>62</v>
      </c>
      <c r="Q37" s="2">
        <v>80</v>
      </c>
      <c r="R37" s="2">
        <v>73</v>
      </c>
      <c r="S37" s="2">
        <v>113</v>
      </c>
      <c r="T37" s="2">
        <v>168</v>
      </c>
      <c r="U37" s="2">
        <v>269</v>
      </c>
      <c r="V37" s="2">
        <v>379</v>
      </c>
      <c r="W37" s="2">
        <v>518</v>
      </c>
      <c r="X37" s="2">
        <v>535</v>
      </c>
      <c r="Z37" t="s">
        <v>41</v>
      </c>
      <c r="AA37" s="2">
        <v>6</v>
      </c>
      <c r="AB37" s="2">
        <v>6</v>
      </c>
      <c r="AC37" s="2">
        <v>5</v>
      </c>
      <c r="AD37" s="2">
        <v>22</v>
      </c>
      <c r="AE37" s="2">
        <v>35</v>
      </c>
      <c r="AF37" s="2">
        <v>39</v>
      </c>
      <c r="AG37" s="2">
        <v>97</v>
      </c>
      <c r="AH37" s="2">
        <v>145</v>
      </c>
      <c r="AI37" s="2">
        <v>130</v>
      </c>
      <c r="AJ37" s="2">
        <v>142</v>
      </c>
      <c r="AL37" t="s">
        <v>41</v>
      </c>
      <c r="AM37">
        <v>9</v>
      </c>
      <c r="AN37">
        <v>7</v>
      </c>
      <c r="AO37">
        <v>23</v>
      </c>
      <c r="AP37">
        <v>20</v>
      </c>
      <c r="AQ37">
        <v>41</v>
      </c>
      <c r="AR37">
        <v>107</v>
      </c>
      <c r="AS37">
        <v>175</v>
      </c>
      <c r="AT37">
        <v>237</v>
      </c>
      <c r="AU37">
        <v>340</v>
      </c>
      <c r="AV37">
        <v>398</v>
      </c>
      <c r="AX37" t="s">
        <v>41</v>
      </c>
      <c r="AY37">
        <v>3</v>
      </c>
      <c r="AZ37">
        <v>2</v>
      </c>
      <c r="BA37">
        <v>12</v>
      </c>
      <c r="BB37">
        <v>6</v>
      </c>
      <c r="BC37">
        <v>14</v>
      </c>
      <c r="BD37">
        <v>26</v>
      </c>
      <c r="BE37">
        <v>69</v>
      </c>
      <c r="BF37">
        <v>87</v>
      </c>
      <c r="BG37">
        <v>82</v>
      </c>
      <c r="BH37">
        <v>72</v>
      </c>
      <c r="BJ37" s="1" t="s">
        <v>41</v>
      </c>
      <c r="BK37" s="1" t="s">
        <v>64</v>
      </c>
      <c r="BL37" s="7">
        <v>575</v>
      </c>
      <c r="BM37" s="7">
        <v>663</v>
      </c>
      <c r="BN37" s="7">
        <v>757</v>
      </c>
      <c r="BO37" s="7">
        <v>974</v>
      </c>
      <c r="BP37" s="7">
        <v>1591</v>
      </c>
      <c r="BQ37" s="7">
        <v>2219</v>
      </c>
      <c r="BR37" s="7">
        <v>2618</v>
      </c>
      <c r="BS37" s="7">
        <v>2931</v>
      </c>
      <c r="BT37" s="7">
        <v>3383</v>
      </c>
      <c r="BV37" t="s">
        <v>39</v>
      </c>
    </row>
    <row r="38" spans="2:74" x14ac:dyDescent="0.35">
      <c r="B38" t="s">
        <v>42</v>
      </c>
      <c r="C38" s="7">
        <v>645</v>
      </c>
      <c r="D38" s="7">
        <v>646</v>
      </c>
      <c r="E38" s="7">
        <v>727</v>
      </c>
      <c r="F38" s="7">
        <v>703</v>
      </c>
      <c r="G38" s="7">
        <v>858</v>
      </c>
      <c r="H38" s="7">
        <v>1096</v>
      </c>
      <c r="I38" s="7">
        <v>1198</v>
      </c>
      <c r="J38" s="7">
        <v>1159</v>
      </c>
      <c r="K38" s="7">
        <v>1040</v>
      </c>
      <c r="L38" s="7">
        <v>991</v>
      </c>
      <c r="N38" t="s">
        <v>42</v>
      </c>
      <c r="O38" s="2">
        <v>62</v>
      </c>
      <c r="P38" s="2">
        <v>83</v>
      </c>
      <c r="Q38" s="2">
        <v>64</v>
      </c>
      <c r="R38" s="2">
        <v>89</v>
      </c>
      <c r="S38" s="2">
        <v>98</v>
      </c>
      <c r="T38" s="2">
        <v>156</v>
      </c>
      <c r="U38" s="2">
        <v>210</v>
      </c>
      <c r="V38" s="2">
        <v>241</v>
      </c>
      <c r="W38" s="2">
        <v>187</v>
      </c>
      <c r="X38" s="2">
        <v>221</v>
      </c>
      <c r="Z38" t="s">
        <v>42</v>
      </c>
      <c r="AA38" s="2">
        <v>7</v>
      </c>
      <c r="AB38" s="2">
        <v>2</v>
      </c>
      <c r="AC38" s="2">
        <v>10</v>
      </c>
      <c r="AD38" s="2">
        <v>8</v>
      </c>
      <c r="AE38" s="2">
        <v>26</v>
      </c>
      <c r="AF38" s="2">
        <v>30</v>
      </c>
      <c r="AG38" s="2">
        <v>57</v>
      </c>
      <c r="AH38" s="2">
        <v>35</v>
      </c>
      <c r="AI38" s="2">
        <v>25</v>
      </c>
      <c r="AJ38" s="2">
        <v>33</v>
      </c>
      <c r="AL38" t="s">
        <v>42</v>
      </c>
      <c r="AM38">
        <v>53</v>
      </c>
      <c r="AN38">
        <v>60</v>
      </c>
      <c r="AO38">
        <v>46</v>
      </c>
      <c r="AP38">
        <v>45</v>
      </c>
      <c r="AQ38">
        <v>124</v>
      </c>
      <c r="AR38">
        <v>149</v>
      </c>
      <c r="AS38">
        <v>156</v>
      </c>
      <c r="AT38">
        <v>158</v>
      </c>
      <c r="AU38">
        <v>109</v>
      </c>
      <c r="AV38">
        <v>129</v>
      </c>
      <c r="AX38" t="s">
        <v>42</v>
      </c>
      <c r="AY38">
        <v>6</v>
      </c>
      <c r="AZ38">
        <v>7</v>
      </c>
      <c r="BA38">
        <v>9</v>
      </c>
      <c r="BB38">
        <v>13</v>
      </c>
      <c r="BC38">
        <v>14</v>
      </c>
      <c r="BD38">
        <v>24</v>
      </c>
      <c r="BE38">
        <v>33</v>
      </c>
      <c r="BF38">
        <v>32</v>
      </c>
      <c r="BG38">
        <v>46</v>
      </c>
      <c r="BH38">
        <v>56</v>
      </c>
      <c r="BJ38" s="1" t="s">
        <v>42</v>
      </c>
      <c r="BK38" s="1" t="s">
        <v>64</v>
      </c>
      <c r="BL38" s="7">
        <v>793</v>
      </c>
      <c r="BM38" s="7">
        <v>832</v>
      </c>
      <c r="BN38" s="7">
        <v>845</v>
      </c>
      <c r="BO38" s="7">
        <v>1081</v>
      </c>
      <c r="BP38" s="7">
        <v>1412</v>
      </c>
      <c r="BQ38" s="7">
        <v>1578</v>
      </c>
      <c r="BR38" s="7">
        <v>1570</v>
      </c>
      <c r="BS38" s="7">
        <v>1353</v>
      </c>
      <c r="BT38" s="7">
        <v>1367</v>
      </c>
      <c r="BV38" t="s">
        <v>40</v>
      </c>
    </row>
    <row r="39" spans="2:74" x14ac:dyDescent="0.35">
      <c r="B39" t="s">
        <v>43</v>
      </c>
      <c r="C39" s="7">
        <v>351</v>
      </c>
      <c r="D39" s="7">
        <v>376</v>
      </c>
      <c r="E39" s="7">
        <v>411</v>
      </c>
      <c r="F39" s="7">
        <v>291</v>
      </c>
      <c r="G39" s="7">
        <v>337</v>
      </c>
      <c r="H39" s="7">
        <v>457</v>
      </c>
      <c r="I39" s="7">
        <v>565</v>
      </c>
      <c r="J39" s="7">
        <v>606</v>
      </c>
      <c r="K39" s="7">
        <v>574</v>
      </c>
      <c r="L39" s="7">
        <v>653</v>
      </c>
      <c r="N39" t="s">
        <v>43</v>
      </c>
      <c r="O39" s="2">
        <v>73</v>
      </c>
      <c r="P39" s="2">
        <v>73</v>
      </c>
      <c r="Q39" s="2">
        <v>82</v>
      </c>
      <c r="R39" s="2">
        <v>58</v>
      </c>
      <c r="S39" s="2">
        <v>57</v>
      </c>
      <c r="T39" s="2">
        <v>93</v>
      </c>
      <c r="U39" s="2">
        <v>138</v>
      </c>
      <c r="V39" s="2">
        <v>166</v>
      </c>
      <c r="W39" s="2">
        <v>151</v>
      </c>
      <c r="X39" s="2">
        <v>189</v>
      </c>
      <c r="Z39" t="s">
        <v>43</v>
      </c>
      <c r="AA39" s="2">
        <v>30</v>
      </c>
      <c r="AB39" s="2">
        <v>18</v>
      </c>
      <c r="AC39" s="2">
        <v>12</v>
      </c>
      <c r="AD39" s="2">
        <v>29</v>
      </c>
      <c r="AE39" s="2">
        <v>19</v>
      </c>
      <c r="AF39" s="2">
        <v>33</v>
      </c>
      <c r="AG39" s="2">
        <v>49</v>
      </c>
      <c r="AH39" s="2">
        <v>57</v>
      </c>
      <c r="AI39" s="2">
        <v>51</v>
      </c>
      <c r="AJ39" s="2">
        <v>39</v>
      </c>
      <c r="AL39" t="s">
        <v>43</v>
      </c>
      <c r="AM39">
        <v>130</v>
      </c>
      <c r="AN39">
        <v>123</v>
      </c>
      <c r="AO39">
        <v>92</v>
      </c>
      <c r="AP39">
        <v>83</v>
      </c>
      <c r="AQ39">
        <v>60</v>
      </c>
      <c r="AR39">
        <v>200</v>
      </c>
      <c r="AS39">
        <v>378</v>
      </c>
      <c r="AT39">
        <v>158</v>
      </c>
      <c r="AU39">
        <v>93</v>
      </c>
      <c r="AV39">
        <v>99</v>
      </c>
      <c r="AX39" t="s">
        <v>43</v>
      </c>
      <c r="AY39">
        <v>17</v>
      </c>
      <c r="AZ39">
        <v>22</v>
      </c>
      <c r="BA39">
        <v>10</v>
      </c>
      <c r="BB39">
        <v>7</v>
      </c>
      <c r="BC39">
        <v>11</v>
      </c>
      <c r="BD39">
        <v>13</v>
      </c>
      <c r="BE39">
        <v>26</v>
      </c>
      <c r="BF39">
        <v>18</v>
      </c>
      <c r="BG39">
        <v>34</v>
      </c>
      <c r="BH39">
        <v>21</v>
      </c>
      <c r="BJ39" s="1" t="s">
        <v>43</v>
      </c>
      <c r="BK39" s="1" t="s">
        <v>64</v>
      </c>
      <c r="BL39" s="7">
        <v>604</v>
      </c>
      <c r="BM39" s="7">
        <v>571</v>
      </c>
      <c r="BN39" s="7">
        <v>440</v>
      </c>
      <c r="BO39" s="7">
        <v>463</v>
      </c>
      <c r="BP39" s="7">
        <v>796</v>
      </c>
      <c r="BQ39" s="7">
        <v>1118</v>
      </c>
      <c r="BR39" s="7">
        <v>951</v>
      </c>
      <c r="BS39" s="7">
        <v>866</v>
      </c>
      <c r="BT39" s="7">
        <v>962</v>
      </c>
      <c r="BV39" t="s">
        <v>41</v>
      </c>
    </row>
    <row r="40" spans="2:74" x14ac:dyDescent="0.35">
      <c r="B40" t="s">
        <v>44</v>
      </c>
      <c r="C40" s="7">
        <v>532</v>
      </c>
      <c r="D40" s="7">
        <v>479</v>
      </c>
      <c r="E40" s="7">
        <v>352</v>
      </c>
      <c r="F40" s="7">
        <v>536</v>
      </c>
      <c r="G40" s="7">
        <v>742</v>
      </c>
      <c r="H40" s="7">
        <v>1055</v>
      </c>
      <c r="I40" s="7">
        <v>1179</v>
      </c>
      <c r="J40" s="7">
        <v>1346</v>
      </c>
      <c r="K40" s="7">
        <v>1392</v>
      </c>
      <c r="L40" s="7">
        <v>1434</v>
      </c>
      <c r="N40" t="s">
        <v>44</v>
      </c>
      <c r="O40" s="2">
        <v>28</v>
      </c>
      <c r="P40" s="2">
        <v>38</v>
      </c>
      <c r="Q40" s="2">
        <v>46</v>
      </c>
      <c r="R40" s="2">
        <v>77</v>
      </c>
      <c r="S40" s="2">
        <v>135</v>
      </c>
      <c r="T40" s="2">
        <v>166</v>
      </c>
      <c r="U40" s="2">
        <v>196</v>
      </c>
      <c r="V40" s="2">
        <v>183</v>
      </c>
      <c r="W40" s="2">
        <v>234</v>
      </c>
      <c r="X40" s="2">
        <v>300</v>
      </c>
      <c r="Z40" t="s">
        <v>44</v>
      </c>
      <c r="AA40" s="2">
        <v>19</v>
      </c>
      <c r="AB40" s="2">
        <v>19</v>
      </c>
      <c r="AC40" s="2">
        <v>15</v>
      </c>
      <c r="AD40" s="2">
        <v>48</v>
      </c>
      <c r="AE40" s="2">
        <v>72</v>
      </c>
      <c r="AF40" s="2">
        <v>90</v>
      </c>
      <c r="AG40" s="2">
        <v>161</v>
      </c>
      <c r="AH40" s="2">
        <v>103</v>
      </c>
      <c r="AI40" s="2">
        <v>94</v>
      </c>
      <c r="AJ40" s="2">
        <v>91</v>
      </c>
      <c r="AL40" t="s">
        <v>44</v>
      </c>
      <c r="AM40">
        <v>40</v>
      </c>
      <c r="AN40">
        <v>41</v>
      </c>
      <c r="AO40">
        <v>45</v>
      </c>
      <c r="AP40">
        <v>47</v>
      </c>
      <c r="AQ40">
        <v>72</v>
      </c>
      <c r="AR40">
        <v>111</v>
      </c>
      <c r="AS40">
        <v>159</v>
      </c>
      <c r="AT40">
        <v>190</v>
      </c>
      <c r="AU40">
        <v>189</v>
      </c>
      <c r="AV40">
        <v>210</v>
      </c>
      <c r="AX40" t="s">
        <v>44</v>
      </c>
      <c r="AY40">
        <v>0</v>
      </c>
      <c r="AZ40">
        <v>0</v>
      </c>
      <c r="BA40">
        <v>0</v>
      </c>
      <c r="BB40">
        <v>1</v>
      </c>
      <c r="BC40">
        <v>21</v>
      </c>
      <c r="BD40">
        <v>30</v>
      </c>
      <c r="BE40">
        <v>29</v>
      </c>
      <c r="BF40">
        <v>46</v>
      </c>
      <c r="BG40">
        <v>72</v>
      </c>
      <c r="BH40">
        <v>73</v>
      </c>
      <c r="BJ40" s="1" t="s">
        <v>44</v>
      </c>
      <c r="BK40" s="1" t="s">
        <v>64</v>
      </c>
      <c r="BL40" s="7">
        <v>566</v>
      </c>
      <c r="BM40" s="7">
        <v>449</v>
      </c>
      <c r="BN40" s="7">
        <v>684</v>
      </c>
      <c r="BO40" s="7">
        <v>979</v>
      </c>
      <c r="BP40" s="7">
        <v>1393</v>
      </c>
      <c r="BQ40" s="7">
        <v>1631</v>
      </c>
      <c r="BR40" s="7">
        <v>1802</v>
      </c>
      <c r="BS40" s="7">
        <v>1931</v>
      </c>
      <c r="BT40" s="7">
        <v>2022</v>
      </c>
      <c r="BV40" t="s">
        <v>42</v>
      </c>
    </row>
    <row r="41" spans="2:74" x14ac:dyDescent="0.35">
      <c r="B41" t="s">
        <v>45</v>
      </c>
      <c r="C41" s="7">
        <v>520</v>
      </c>
      <c r="D41" s="7">
        <v>564</v>
      </c>
      <c r="E41" s="7">
        <v>752</v>
      </c>
      <c r="F41" s="7">
        <v>973</v>
      </c>
      <c r="G41" s="7">
        <v>1175</v>
      </c>
      <c r="H41" s="7">
        <v>1437</v>
      </c>
      <c r="I41" s="7">
        <v>1437</v>
      </c>
      <c r="J41" s="7">
        <v>1523</v>
      </c>
      <c r="K41" s="7">
        <v>1791</v>
      </c>
      <c r="L41" s="7">
        <v>1804</v>
      </c>
      <c r="N41" t="s">
        <v>45</v>
      </c>
      <c r="O41" s="2">
        <v>111</v>
      </c>
      <c r="P41" s="2">
        <v>119</v>
      </c>
      <c r="Q41" s="2">
        <v>146</v>
      </c>
      <c r="R41" s="2">
        <v>230</v>
      </c>
      <c r="S41" s="2">
        <v>304</v>
      </c>
      <c r="T41" s="2">
        <v>335</v>
      </c>
      <c r="U41" s="2">
        <v>390</v>
      </c>
      <c r="V41" s="2">
        <v>423</v>
      </c>
      <c r="W41" s="2">
        <v>531</v>
      </c>
      <c r="X41" s="2">
        <v>552</v>
      </c>
      <c r="Z41" t="s">
        <v>45</v>
      </c>
      <c r="AA41" s="2">
        <v>23</v>
      </c>
      <c r="AB41" s="2">
        <v>35</v>
      </c>
      <c r="AC41" s="2">
        <v>73</v>
      </c>
      <c r="AD41" s="2">
        <v>108</v>
      </c>
      <c r="AE41" s="2">
        <v>135</v>
      </c>
      <c r="AF41" s="2">
        <v>147</v>
      </c>
      <c r="AG41" s="2">
        <v>184</v>
      </c>
      <c r="AH41" s="2">
        <v>197</v>
      </c>
      <c r="AI41" s="2">
        <v>271</v>
      </c>
      <c r="AJ41" s="2">
        <v>138</v>
      </c>
      <c r="AL41" t="s">
        <v>45</v>
      </c>
      <c r="AM41">
        <v>23</v>
      </c>
      <c r="AN41">
        <v>48</v>
      </c>
      <c r="AO41">
        <v>78</v>
      </c>
      <c r="AP41">
        <v>107</v>
      </c>
      <c r="AQ41">
        <v>182</v>
      </c>
      <c r="AR41">
        <v>188</v>
      </c>
      <c r="AS41">
        <v>217</v>
      </c>
      <c r="AT41">
        <v>273</v>
      </c>
      <c r="AU41">
        <v>320</v>
      </c>
      <c r="AV41">
        <v>261</v>
      </c>
      <c r="AX41" t="s">
        <v>45</v>
      </c>
      <c r="AY41">
        <v>4</v>
      </c>
      <c r="AZ41">
        <v>20</v>
      </c>
      <c r="BA41">
        <v>25</v>
      </c>
      <c r="BB41">
        <v>29</v>
      </c>
      <c r="BC41">
        <v>41</v>
      </c>
      <c r="BD41">
        <v>83</v>
      </c>
      <c r="BE41">
        <v>70</v>
      </c>
      <c r="BF41">
        <v>82</v>
      </c>
      <c r="BG41">
        <v>106</v>
      </c>
      <c r="BH41">
        <v>80</v>
      </c>
      <c r="BJ41" s="1" t="s">
        <v>45</v>
      </c>
      <c r="BK41" s="1" t="s">
        <v>64</v>
      </c>
      <c r="BL41" s="7">
        <v>766</v>
      </c>
      <c r="BM41" s="7">
        <v>1031</v>
      </c>
      <c r="BN41" s="7">
        <v>1365</v>
      </c>
      <c r="BO41" s="7">
        <v>1740</v>
      </c>
      <c r="BP41" s="7">
        <v>2006</v>
      </c>
      <c r="BQ41" s="7">
        <v>2187</v>
      </c>
      <c r="BR41" s="7">
        <v>2371</v>
      </c>
      <c r="BS41" s="7">
        <v>2872</v>
      </c>
      <c r="BT41" s="7">
        <v>2696</v>
      </c>
      <c r="BV41" t="s">
        <v>43</v>
      </c>
    </row>
    <row r="42" spans="2:74" x14ac:dyDescent="0.35">
      <c r="B42" t="s">
        <v>46</v>
      </c>
      <c r="C42" s="7">
        <v>1237</v>
      </c>
      <c r="D42" s="7">
        <v>1105</v>
      </c>
      <c r="E42" s="7">
        <v>1115</v>
      </c>
      <c r="F42" s="7">
        <v>1074</v>
      </c>
      <c r="G42" s="7">
        <v>1299</v>
      </c>
      <c r="H42" s="7">
        <v>1474</v>
      </c>
      <c r="I42" s="7">
        <v>1909</v>
      </c>
      <c r="J42" s="7">
        <v>2821</v>
      </c>
      <c r="K42" s="7">
        <v>2922</v>
      </c>
      <c r="L42" s="7">
        <v>3214</v>
      </c>
      <c r="N42" t="s">
        <v>46</v>
      </c>
      <c r="O42" s="2">
        <v>112</v>
      </c>
      <c r="P42" s="2">
        <v>142</v>
      </c>
      <c r="Q42" s="2">
        <v>89</v>
      </c>
      <c r="R42" s="2">
        <v>99</v>
      </c>
      <c r="S42" s="2">
        <v>152</v>
      </c>
      <c r="T42" s="2">
        <v>168</v>
      </c>
      <c r="U42" s="2">
        <v>201</v>
      </c>
      <c r="V42" s="2">
        <v>366</v>
      </c>
      <c r="W42" s="2">
        <v>420</v>
      </c>
      <c r="X42" s="2">
        <v>463</v>
      </c>
      <c r="Z42" t="s">
        <v>46</v>
      </c>
      <c r="AA42" s="2">
        <v>77</v>
      </c>
      <c r="AB42" s="2">
        <v>30</v>
      </c>
      <c r="AC42" s="2">
        <v>51</v>
      </c>
      <c r="AD42" s="2">
        <v>26</v>
      </c>
      <c r="AE42" s="2">
        <v>68</v>
      </c>
      <c r="AF42" s="2">
        <v>81</v>
      </c>
      <c r="AG42" s="2">
        <v>186</v>
      </c>
      <c r="AH42" s="2">
        <v>258</v>
      </c>
      <c r="AI42" s="2">
        <v>226</v>
      </c>
      <c r="AJ42" s="2">
        <v>160</v>
      </c>
      <c r="AL42" t="s">
        <v>46</v>
      </c>
      <c r="AM42">
        <v>32</v>
      </c>
      <c r="AN42">
        <v>48</v>
      </c>
      <c r="AO42">
        <v>46</v>
      </c>
      <c r="AP42">
        <v>45</v>
      </c>
      <c r="AQ42">
        <v>131</v>
      </c>
      <c r="AR42">
        <v>112</v>
      </c>
      <c r="AS42">
        <v>233</v>
      </c>
      <c r="AT42">
        <v>338</v>
      </c>
      <c r="AU42">
        <v>359</v>
      </c>
      <c r="AV42">
        <v>369</v>
      </c>
      <c r="AX42" t="s">
        <v>46</v>
      </c>
      <c r="AY42">
        <v>20</v>
      </c>
      <c r="AZ42">
        <v>30</v>
      </c>
      <c r="BA42">
        <v>43</v>
      </c>
      <c r="BB42">
        <v>17</v>
      </c>
      <c r="BC42">
        <v>17</v>
      </c>
      <c r="BD42">
        <v>14</v>
      </c>
      <c r="BE42">
        <v>28</v>
      </c>
      <c r="BF42">
        <v>81</v>
      </c>
      <c r="BG42">
        <v>86</v>
      </c>
      <c r="BH42">
        <v>90</v>
      </c>
      <c r="BJ42" s="1" t="s">
        <v>46</v>
      </c>
      <c r="BK42" s="1" t="s">
        <v>64</v>
      </c>
      <c r="BL42" s="7">
        <v>1323</v>
      </c>
      <c r="BM42" s="7">
        <v>1309</v>
      </c>
      <c r="BN42" s="7">
        <v>1236</v>
      </c>
      <c r="BO42" s="7">
        <v>1616</v>
      </c>
      <c r="BP42" s="7">
        <v>1775</v>
      </c>
      <c r="BQ42" s="7">
        <v>2396</v>
      </c>
      <c r="BR42" s="7">
        <v>3624</v>
      </c>
      <c r="BS42" s="7">
        <v>3799</v>
      </c>
      <c r="BT42" s="7">
        <v>4132</v>
      </c>
      <c r="BV42" t="s">
        <v>44</v>
      </c>
    </row>
    <row r="43" spans="2:74" x14ac:dyDescent="0.35">
      <c r="B43" t="s">
        <v>47</v>
      </c>
      <c r="C43" s="7">
        <v>262</v>
      </c>
      <c r="D43" s="7">
        <v>230</v>
      </c>
      <c r="E43" s="7">
        <v>174</v>
      </c>
      <c r="F43" s="7">
        <v>171</v>
      </c>
      <c r="G43" s="7">
        <v>273</v>
      </c>
      <c r="H43" s="7">
        <v>448</v>
      </c>
      <c r="I43" s="7">
        <v>497</v>
      </c>
      <c r="J43" s="7">
        <v>487</v>
      </c>
      <c r="K43" s="7">
        <v>450</v>
      </c>
      <c r="L43" s="7">
        <v>536</v>
      </c>
      <c r="N43" t="s">
        <v>47</v>
      </c>
      <c r="O43" s="2">
        <v>19</v>
      </c>
      <c r="P43" s="2">
        <v>21</v>
      </c>
      <c r="Q43" s="2">
        <v>12</v>
      </c>
      <c r="R43" s="2">
        <v>22</v>
      </c>
      <c r="S43" s="2">
        <v>43</v>
      </c>
      <c r="T43" s="2">
        <v>60</v>
      </c>
      <c r="U43" s="2">
        <v>88</v>
      </c>
      <c r="V43" s="2">
        <v>84</v>
      </c>
      <c r="W43" s="2">
        <v>111</v>
      </c>
      <c r="X43" s="2">
        <v>145</v>
      </c>
      <c r="Z43" t="s">
        <v>47</v>
      </c>
      <c r="AA43" s="2">
        <v>5</v>
      </c>
      <c r="AB43" s="2">
        <v>3</v>
      </c>
      <c r="AC43" s="2">
        <v>3</v>
      </c>
      <c r="AD43" s="2">
        <v>10</v>
      </c>
      <c r="AE43" s="2">
        <v>9</v>
      </c>
      <c r="AF43" s="2">
        <v>15</v>
      </c>
      <c r="AG43" s="2">
        <v>51</v>
      </c>
      <c r="AH43" s="2">
        <v>48</v>
      </c>
      <c r="AI43" s="2">
        <v>30</v>
      </c>
      <c r="AJ43" s="2">
        <v>27</v>
      </c>
      <c r="AL43" t="s">
        <v>47</v>
      </c>
      <c r="AM43">
        <v>8</v>
      </c>
      <c r="AN43">
        <v>11</v>
      </c>
      <c r="AO43">
        <v>6</v>
      </c>
      <c r="AP43">
        <v>11</v>
      </c>
      <c r="AQ43">
        <v>16</v>
      </c>
      <c r="AR43">
        <v>31</v>
      </c>
      <c r="AS43">
        <v>77</v>
      </c>
      <c r="AT43">
        <v>78</v>
      </c>
      <c r="AU43">
        <v>55</v>
      </c>
      <c r="AV43">
        <v>80</v>
      </c>
      <c r="AX43" t="s">
        <v>47</v>
      </c>
      <c r="AY43">
        <v>1</v>
      </c>
      <c r="AZ43">
        <v>3</v>
      </c>
      <c r="BA43">
        <v>1</v>
      </c>
      <c r="BB43">
        <v>1</v>
      </c>
      <c r="BC43">
        <v>4</v>
      </c>
      <c r="BD43">
        <v>2</v>
      </c>
      <c r="BE43">
        <v>9</v>
      </c>
      <c r="BF43">
        <v>9</v>
      </c>
      <c r="BG43">
        <v>20</v>
      </c>
      <c r="BH43">
        <v>21</v>
      </c>
      <c r="BJ43" s="1" t="s">
        <v>47</v>
      </c>
      <c r="BK43" s="1" t="s">
        <v>64</v>
      </c>
      <c r="BL43" s="7">
        <v>268</v>
      </c>
      <c r="BM43" s="7">
        <v>194</v>
      </c>
      <c r="BN43" s="7">
        <v>173</v>
      </c>
      <c r="BO43" s="7">
        <v>339</v>
      </c>
      <c r="BP43" s="7">
        <v>539</v>
      </c>
      <c r="BQ43" s="7">
        <v>676</v>
      </c>
      <c r="BR43" s="7">
        <v>681</v>
      </c>
      <c r="BS43" s="7">
        <v>630</v>
      </c>
      <c r="BT43" s="7">
        <v>779</v>
      </c>
      <c r="BV43" t="s">
        <v>45</v>
      </c>
    </row>
    <row r="44" spans="2:74" x14ac:dyDescent="0.35">
      <c r="B44" t="s">
        <v>48</v>
      </c>
      <c r="C44" s="7">
        <v>568</v>
      </c>
      <c r="D44" s="7">
        <v>502</v>
      </c>
      <c r="E44" s="7">
        <v>452</v>
      </c>
      <c r="F44" s="7">
        <v>460</v>
      </c>
      <c r="G44" s="7">
        <v>620</v>
      </c>
      <c r="H44" s="7">
        <v>903</v>
      </c>
      <c r="I44" s="7">
        <v>870</v>
      </c>
      <c r="J44" s="7">
        <v>800</v>
      </c>
      <c r="K44" s="7">
        <v>1041</v>
      </c>
      <c r="L44" s="7">
        <v>1069</v>
      </c>
      <c r="N44" t="s">
        <v>48</v>
      </c>
      <c r="O44" s="2">
        <v>58</v>
      </c>
      <c r="P44" s="2">
        <v>49</v>
      </c>
      <c r="Q44" s="2">
        <v>64</v>
      </c>
      <c r="R44" s="2">
        <v>68</v>
      </c>
      <c r="S44" s="2">
        <v>98</v>
      </c>
      <c r="T44" s="2">
        <v>154</v>
      </c>
      <c r="U44" s="2">
        <v>218</v>
      </c>
      <c r="V44" s="2">
        <v>217</v>
      </c>
      <c r="W44" s="2">
        <v>277</v>
      </c>
      <c r="X44" s="2">
        <v>280</v>
      </c>
      <c r="Z44" t="s">
        <v>48</v>
      </c>
      <c r="AA44" s="2">
        <v>7</v>
      </c>
      <c r="AB44" s="2">
        <v>5</v>
      </c>
      <c r="AC44" s="2">
        <v>32</v>
      </c>
      <c r="AD44" s="2">
        <v>30</v>
      </c>
      <c r="AE44" s="2">
        <v>25</v>
      </c>
      <c r="AF44" s="2">
        <v>28</v>
      </c>
      <c r="AG44" s="2">
        <v>113</v>
      </c>
      <c r="AH44" s="2">
        <v>89</v>
      </c>
      <c r="AI44" s="2">
        <v>77</v>
      </c>
      <c r="AJ44" s="2">
        <v>46</v>
      </c>
      <c r="AL44" t="s">
        <v>48</v>
      </c>
      <c r="AM44">
        <v>36</v>
      </c>
      <c r="AN44">
        <v>54</v>
      </c>
      <c r="AO44">
        <v>24</v>
      </c>
      <c r="AP44">
        <v>34</v>
      </c>
      <c r="AQ44">
        <v>54</v>
      </c>
      <c r="AR44">
        <v>77</v>
      </c>
      <c r="AS44">
        <v>213</v>
      </c>
      <c r="AT44">
        <v>141</v>
      </c>
      <c r="AU44">
        <v>165</v>
      </c>
      <c r="AV44">
        <v>169</v>
      </c>
      <c r="AX44" t="s">
        <v>48</v>
      </c>
      <c r="AY44">
        <v>3</v>
      </c>
      <c r="AZ44">
        <v>10</v>
      </c>
      <c r="BA44">
        <v>14</v>
      </c>
      <c r="BB44">
        <v>18</v>
      </c>
      <c r="BC44">
        <v>21</v>
      </c>
      <c r="BD44">
        <v>23</v>
      </c>
      <c r="BE44">
        <v>39</v>
      </c>
      <c r="BF44">
        <v>26</v>
      </c>
      <c r="BG44">
        <v>52</v>
      </c>
      <c r="BH44">
        <v>56</v>
      </c>
      <c r="BJ44" s="1" t="s">
        <v>48</v>
      </c>
      <c r="BK44" s="1" t="s">
        <v>64</v>
      </c>
      <c r="BL44" s="7">
        <v>608</v>
      </c>
      <c r="BM44" s="7">
        <v>544</v>
      </c>
      <c r="BN44" s="7">
        <v>588</v>
      </c>
      <c r="BO44" s="7">
        <v>797</v>
      </c>
      <c r="BP44" s="7">
        <v>1152</v>
      </c>
      <c r="BQ44" s="7">
        <v>1330</v>
      </c>
      <c r="BR44" s="7">
        <v>1242</v>
      </c>
      <c r="BS44" s="7">
        <v>1545</v>
      </c>
      <c r="BT44" s="7">
        <v>1573</v>
      </c>
      <c r="BV44" t="s">
        <v>46</v>
      </c>
    </row>
    <row r="45" spans="2:74" x14ac:dyDescent="0.35">
      <c r="B45" t="s">
        <v>7</v>
      </c>
      <c r="C45" s="7">
        <v>2531</v>
      </c>
      <c r="D45" s="7">
        <v>2460</v>
      </c>
      <c r="E45" s="7">
        <v>2604</v>
      </c>
      <c r="F45" s="7">
        <v>3023</v>
      </c>
      <c r="G45" s="7">
        <v>3291</v>
      </c>
      <c r="H45" s="7">
        <v>3843</v>
      </c>
      <c r="I45" s="7">
        <v>4151</v>
      </c>
      <c r="J45" s="7">
        <v>4811</v>
      </c>
      <c r="K45" s="7">
        <v>5583</v>
      </c>
      <c r="L45" s="7">
        <v>7914</v>
      </c>
      <c r="N45" t="s">
        <v>7</v>
      </c>
      <c r="O45" s="2">
        <v>210</v>
      </c>
      <c r="P45" s="2">
        <v>181</v>
      </c>
      <c r="Q45" s="2">
        <v>231</v>
      </c>
      <c r="R45" s="2">
        <v>312</v>
      </c>
      <c r="S45" s="2">
        <v>372</v>
      </c>
      <c r="T45" s="2">
        <v>348</v>
      </c>
      <c r="U45" s="2">
        <v>410</v>
      </c>
      <c r="V45" s="2">
        <v>540</v>
      </c>
      <c r="W45" s="2">
        <v>755</v>
      </c>
      <c r="X45" s="2">
        <v>1094</v>
      </c>
      <c r="Z45" t="s">
        <v>7</v>
      </c>
      <c r="AA45" s="2">
        <v>52</v>
      </c>
      <c r="AB45" s="2">
        <v>82</v>
      </c>
      <c r="AC45" s="2">
        <v>87</v>
      </c>
      <c r="AD45" s="2">
        <v>163</v>
      </c>
      <c r="AE45" s="2">
        <v>155</v>
      </c>
      <c r="AF45" s="2">
        <v>242</v>
      </c>
      <c r="AG45" s="2">
        <v>303</v>
      </c>
      <c r="AH45" s="2">
        <v>296</v>
      </c>
      <c r="AI45" s="2">
        <v>302</v>
      </c>
      <c r="AJ45" s="2">
        <v>269</v>
      </c>
      <c r="AL45" t="s">
        <v>7</v>
      </c>
      <c r="AM45">
        <v>46</v>
      </c>
      <c r="AN45">
        <v>33</v>
      </c>
      <c r="AO45">
        <v>100</v>
      </c>
      <c r="AP45">
        <v>40</v>
      </c>
      <c r="AQ45">
        <v>68</v>
      </c>
      <c r="AR45">
        <v>41</v>
      </c>
      <c r="AS45">
        <v>106</v>
      </c>
      <c r="AT45">
        <v>132</v>
      </c>
      <c r="AU45">
        <v>182</v>
      </c>
      <c r="AV45">
        <v>362</v>
      </c>
      <c r="AX45" t="s">
        <v>7</v>
      </c>
      <c r="AY45">
        <v>10</v>
      </c>
      <c r="AZ45">
        <v>0</v>
      </c>
      <c r="BA45">
        <v>23</v>
      </c>
      <c r="BB45">
        <v>24</v>
      </c>
      <c r="BC45">
        <v>34</v>
      </c>
      <c r="BD45">
        <v>62</v>
      </c>
      <c r="BE45">
        <v>36</v>
      </c>
      <c r="BF45">
        <v>72</v>
      </c>
      <c r="BG45">
        <v>90</v>
      </c>
      <c r="BH45">
        <v>106</v>
      </c>
      <c r="BJ45" s="1" t="s">
        <v>7</v>
      </c>
      <c r="BK45" s="1" t="s">
        <v>64</v>
      </c>
      <c r="BL45" s="7">
        <v>2664</v>
      </c>
      <c r="BM45" s="7">
        <v>2969</v>
      </c>
      <c r="BN45" s="7">
        <v>3414</v>
      </c>
      <c r="BO45" s="7">
        <v>3780</v>
      </c>
      <c r="BP45" s="7">
        <v>4244</v>
      </c>
      <c r="BQ45" s="7">
        <v>4678</v>
      </c>
      <c r="BR45" s="7">
        <v>5715</v>
      </c>
      <c r="BS45" s="7">
        <v>6716</v>
      </c>
      <c r="BT45" s="7">
        <v>9468</v>
      </c>
      <c r="BV45" t="s">
        <v>47</v>
      </c>
    </row>
    <row r="46" spans="2:74" x14ac:dyDescent="0.35">
      <c r="B46" t="s">
        <v>49</v>
      </c>
      <c r="C46" s="7">
        <v>1842</v>
      </c>
      <c r="D46" s="7">
        <v>1668</v>
      </c>
      <c r="E46" s="7">
        <v>1651</v>
      </c>
      <c r="F46" s="7">
        <v>1882</v>
      </c>
      <c r="G46" s="7">
        <v>3054</v>
      </c>
      <c r="H46" s="7">
        <v>4111</v>
      </c>
      <c r="I46" s="7">
        <v>4689</v>
      </c>
      <c r="J46" s="7">
        <v>6151</v>
      </c>
      <c r="K46" s="7">
        <v>6080</v>
      </c>
      <c r="L46" s="7">
        <v>6376</v>
      </c>
      <c r="N46" t="s">
        <v>49</v>
      </c>
      <c r="O46" s="2">
        <v>141</v>
      </c>
      <c r="P46" s="2">
        <v>169</v>
      </c>
      <c r="Q46" s="2">
        <v>138</v>
      </c>
      <c r="R46" s="2">
        <v>161</v>
      </c>
      <c r="S46" s="2">
        <v>322</v>
      </c>
      <c r="T46" s="2">
        <v>546</v>
      </c>
      <c r="U46" s="2">
        <v>673</v>
      </c>
      <c r="V46" s="2">
        <v>942</v>
      </c>
      <c r="W46" s="2">
        <v>1095</v>
      </c>
      <c r="X46" s="2">
        <v>1227</v>
      </c>
      <c r="Z46" t="s">
        <v>49</v>
      </c>
      <c r="AA46" s="2">
        <v>43</v>
      </c>
      <c r="AB46" s="2">
        <v>39</v>
      </c>
      <c r="AC46" s="2">
        <v>62</v>
      </c>
      <c r="AD46" s="2">
        <v>58</v>
      </c>
      <c r="AE46" s="2">
        <v>177</v>
      </c>
      <c r="AF46" s="2">
        <v>280</v>
      </c>
      <c r="AG46" s="2">
        <v>346</v>
      </c>
      <c r="AH46" s="2">
        <v>452</v>
      </c>
      <c r="AI46" s="2">
        <v>421</v>
      </c>
      <c r="AJ46" s="2">
        <v>406</v>
      </c>
      <c r="AL46" t="s">
        <v>49</v>
      </c>
      <c r="AM46">
        <v>137</v>
      </c>
      <c r="AN46">
        <v>121</v>
      </c>
      <c r="AO46">
        <v>101</v>
      </c>
      <c r="AP46">
        <v>91</v>
      </c>
      <c r="AQ46">
        <v>170</v>
      </c>
      <c r="AR46">
        <v>322</v>
      </c>
      <c r="AS46">
        <v>534</v>
      </c>
      <c r="AT46">
        <v>830</v>
      </c>
      <c r="AU46">
        <v>875</v>
      </c>
      <c r="AV46">
        <v>937</v>
      </c>
      <c r="AX46" t="s">
        <v>49</v>
      </c>
      <c r="AY46">
        <v>3</v>
      </c>
      <c r="AZ46">
        <v>9</v>
      </c>
      <c r="BA46">
        <v>18</v>
      </c>
      <c r="BB46">
        <v>18</v>
      </c>
      <c r="BC46">
        <v>31</v>
      </c>
      <c r="BD46">
        <v>60</v>
      </c>
      <c r="BE46">
        <v>108</v>
      </c>
      <c r="BF46">
        <v>180</v>
      </c>
      <c r="BG46">
        <v>216</v>
      </c>
      <c r="BH46">
        <v>201</v>
      </c>
      <c r="BJ46" s="1" t="s">
        <v>49</v>
      </c>
      <c r="BK46" s="1" t="s">
        <v>64</v>
      </c>
      <c r="BL46" s="7">
        <v>1955</v>
      </c>
      <c r="BM46" s="7">
        <v>1919</v>
      </c>
      <c r="BN46" s="7">
        <v>2160</v>
      </c>
      <c r="BO46" s="7">
        <v>3657</v>
      </c>
      <c r="BP46" s="7">
        <v>5155</v>
      </c>
      <c r="BQ46" s="7">
        <v>6106</v>
      </c>
      <c r="BR46" s="7">
        <v>8217</v>
      </c>
      <c r="BS46" s="7">
        <v>8363</v>
      </c>
      <c r="BT46" s="7">
        <v>8770</v>
      </c>
      <c r="BV46" t="s">
        <v>48</v>
      </c>
    </row>
    <row r="47" spans="2:74" x14ac:dyDescent="0.35">
      <c r="B47" t="s">
        <v>50</v>
      </c>
      <c r="C47" s="7">
        <v>185</v>
      </c>
      <c r="D47" s="7">
        <v>278</v>
      </c>
      <c r="E47" s="7">
        <v>234</v>
      </c>
      <c r="F47" s="7">
        <v>258</v>
      </c>
      <c r="G47" s="7">
        <v>382</v>
      </c>
      <c r="H47" s="7">
        <v>441</v>
      </c>
      <c r="I47" s="7">
        <v>442</v>
      </c>
      <c r="J47" s="7">
        <v>487</v>
      </c>
      <c r="K47" s="7">
        <v>507</v>
      </c>
      <c r="L47" s="7">
        <v>533</v>
      </c>
      <c r="N47" t="s">
        <v>50</v>
      </c>
      <c r="O47">
        <v>33</v>
      </c>
      <c r="P47">
        <v>28</v>
      </c>
      <c r="Q47">
        <v>31</v>
      </c>
      <c r="R47">
        <v>23</v>
      </c>
      <c r="S47">
        <v>51</v>
      </c>
      <c r="T47">
        <v>67</v>
      </c>
      <c r="U47">
        <v>55</v>
      </c>
      <c r="V47" s="2">
        <v>102</v>
      </c>
      <c r="W47" s="2">
        <v>103</v>
      </c>
      <c r="X47" s="2">
        <v>119</v>
      </c>
      <c r="Z47" t="s">
        <v>50</v>
      </c>
      <c r="AA47" s="2">
        <v>5</v>
      </c>
      <c r="AB47" s="2">
        <v>10</v>
      </c>
      <c r="AC47" s="2">
        <v>12</v>
      </c>
      <c r="AD47" s="2">
        <v>6</v>
      </c>
      <c r="AE47" s="2">
        <v>23</v>
      </c>
      <c r="AF47" s="2">
        <v>21</v>
      </c>
      <c r="AG47" s="2">
        <v>35</v>
      </c>
      <c r="AH47" s="2">
        <v>26</v>
      </c>
      <c r="AI47" s="2">
        <v>39</v>
      </c>
      <c r="AJ47" s="2">
        <v>24</v>
      </c>
      <c r="AL47" t="s">
        <v>50</v>
      </c>
      <c r="AM47">
        <v>17</v>
      </c>
      <c r="AN47">
        <v>31</v>
      </c>
      <c r="AO47">
        <v>13</v>
      </c>
      <c r="AP47">
        <v>10</v>
      </c>
      <c r="AQ47">
        <v>21</v>
      </c>
      <c r="AR47">
        <v>27</v>
      </c>
      <c r="AS47">
        <v>38</v>
      </c>
      <c r="AT47">
        <v>70</v>
      </c>
      <c r="AU47">
        <v>78</v>
      </c>
      <c r="AV47">
        <v>86</v>
      </c>
      <c r="AX47" t="s">
        <v>50</v>
      </c>
      <c r="AY47">
        <v>2</v>
      </c>
      <c r="AZ47">
        <v>1</v>
      </c>
      <c r="BA47">
        <v>3</v>
      </c>
      <c r="BB47">
        <v>3</v>
      </c>
      <c r="BC47">
        <v>6</v>
      </c>
      <c r="BD47">
        <v>6</v>
      </c>
      <c r="BE47">
        <v>9</v>
      </c>
      <c r="BF47">
        <v>26</v>
      </c>
      <c r="BG47">
        <v>37</v>
      </c>
      <c r="BH47">
        <v>21</v>
      </c>
      <c r="BJ47" s="1" t="s">
        <v>50</v>
      </c>
      <c r="BK47" s="1" t="s">
        <v>64</v>
      </c>
      <c r="BL47" s="7">
        <v>339</v>
      </c>
      <c r="BM47" s="7">
        <v>286</v>
      </c>
      <c r="BN47" s="7">
        <v>295</v>
      </c>
      <c r="BO47" s="7">
        <v>467</v>
      </c>
      <c r="BP47" s="7">
        <v>541</v>
      </c>
      <c r="BQ47" s="7">
        <v>554</v>
      </c>
      <c r="BR47" s="7">
        <v>679</v>
      </c>
      <c r="BS47" s="7">
        <v>724</v>
      </c>
      <c r="BT47" s="7">
        <v>753</v>
      </c>
      <c r="BV47" t="s">
        <v>49</v>
      </c>
    </row>
    <row r="48" spans="2:74" x14ac:dyDescent="0.35">
      <c r="B48">
        <v>1</v>
      </c>
      <c r="C48" s="7">
        <v>35944</v>
      </c>
      <c r="D48" s="7">
        <v>35845</v>
      </c>
      <c r="E48" s="7">
        <v>37575</v>
      </c>
      <c r="F48" s="7">
        <v>42862</v>
      </c>
      <c r="G48" s="7">
        <v>49419</v>
      </c>
      <c r="H48" s="7">
        <v>62685</v>
      </c>
      <c r="I48" s="7">
        <v>71264</v>
      </c>
      <c r="J48" s="7">
        <v>78896</v>
      </c>
      <c r="K48" s="7">
        <v>76070</v>
      </c>
      <c r="L48" s="7"/>
      <c r="BV48" t="s">
        <v>50</v>
      </c>
    </row>
    <row r="49" spans="2:50" x14ac:dyDescent="0.35">
      <c r="B49" t="s">
        <v>52</v>
      </c>
      <c r="C49" t="s">
        <v>0</v>
      </c>
      <c r="D49" t="s">
        <v>1</v>
      </c>
      <c r="E49" t="s">
        <v>2</v>
      </c>
      <c r="F49" t="s">
        <v>3</v>
      </c>
      <c r="G49" t="s">
        <v>4</v>
      </c>
      <c r="H49" t="s">
        <v>5</v>
      </c>
      <c r="I49" t="s">
        <v>6</v>
      </c>
      <c r="J49" t="s">
        <v>173</v>
      </c>
      <c r="K49" t="s">
        <v>183</v>
      </c>
      <c r="L49" t="s">
        <v>273</v>
      </c>
    </row>
    <row r="50" spans="2:50" x14ac:dyDescent="0.35">
      <c r="B50" t="s">
        <v>55</v>
      </c>
      <c r="C50" s="2">
        <v>35944</v>
      </c>
      <c r="D50" s="2">
        <v>35845</v>
      </c>
      <c r="E50" s="2">
        <v>37575</v>
      </c>
      <c r="F50" s="2">
        <v>42862</v>
      </c>
      <c r="G50" s="2">
        <v>49419</v>
      </c>
      <c r="H50" s="2">
        <v>62685</v>
      </c>
      <c r="I50" s="2">
        <v>71264</v>
      </c>
      <c r="J50" s="2">
        <v>78906</v>
      </c>
      <c r="K50" s="7" t="s">
        <v>198</v>
      </c>
      <c r="L50" s="2">
        <v>92052</v>
      </c>
      <c r="AX50" t="s">
        <v>179</v>
      </c>
    </row>
    <row r="51" spans="2:50" x14ac:dyDescent="0.35">
      <c r="B51" t="s">
        <v>57</v>
      </c>
      <c r="C51" s="2">
        <v>1618</v>
      </c>
      <c r="D51" s="2">
        <v>1572</v>
      </c>
      <c r="E51" s="2">
        <v>2264</v>
      </c>
      <c r="F51" s="2">
        <v>3293</v>
      </c>
      <c r="G51" s="2">
        <v>4400</v>
      </c>
      <c r="H51" s="2">
        <v>5949</v>
      </c>
      <c r="I51" s="2">
        <v>8339</v>
      </c>
      <c r="J51" s="2">
        <v>8559</v>
      </c>
      <c r="K51" s="7" t="s">
        <v>198</v>
      </c>
      <c r="L51" s="2">
        <v>6377</v>
      </c>
    </row>
    <row r="52" spans="2:50" x14ac:dyDescent="0.35">
      <c r="B52" t="s">
        <v>58</v>
      </c>
      <c r="C52" s="2">
        <v>4345</v>
      </c>
      <c r="D52" s="2">
        <v>4241</v>
      </c>
      <c r="E52" s="2">
        <v>4588</v>
      </c>
      <c r="F52" s="2">
        <v>5591</v>
      </c>
      <c r="G52" s="2">
        <v>7194</v>
      </c>
      <c r="H52" s="2">
        <v>9157</v>
      </c>
      <c r="I52" s="2">
        <v>11592</v>
      </c>
      <c r="J52" s="2">
        <v>14472</v>
      </c>
      <c r="K52" s="7" t="s">
        <v>198</v>
      </c>
      <c r="L52" s="2">
        <v>18596</v>
      </c>
    </row>
    <row r="53" spans="2:50" x14ac:dyDescent="0.35">
      <c r="B53" t="s">
        <v>61</v>
      </c>
      <c r="C53" s="2">
        <v>1748</v>
      </c>
      <c r="D53" s="2">
        <v>1911</v>
      </c>
      <c r="E53" s="2">
        <v>2020</v>
      </c>
      <c r="F53" s="2">
        <v>2515</v>
      </c>
      <c r="G53" s="2">
        <v>3629</v>
      </c>
      <c r="H53" s="2">
        <v>5558</v>
      </c>
      <c r="I53" s="2">
        <v>7221</v>
      </c>
      <c r="J53" s="2">
        <v>8250</v>
      </c>
      <c r="K53" s="7" t="s">
        <v>198</v>
      </c>
      <c r="L53" s="2">
        <v>9943</v>
      </c>
    </row>
    <row r="54" spans="2:50" ht="15.6" thickBot="1" x14ac:dyDescent="0.4">
      <c r="B54" t="s">
        <v>60</v>
      </c>
      <c r="C54" s="2">
        <v>313</v>
      </c>
      <c r="D54" s="2">
        <v>364</v>
      </c>
      <c r="E54" s="2">
        <v>559</v>
      </c>
      <c r="F54" s="2">
        <v>607</v>
      </c>
      <c r="G54" s="2">
        <v>858</v>
      </c>
      <c r="H54" s="2">
        <v>1248</v>
      </c>
      <c r="I54" s="2">
        <v>1703</v>
      </c>
      <c r="J54" s="2">
        <v>2329</v>
      </c>
      <c r="K54" s="7" t="s">
        <v>198</v>
      </c>
      <c r="L54" s="2">
        <v>2799</v>
      </c>
      <c r="P54" s="10" t="s">
        <v>68</v>
      </c>
    </row>
    <row r="55" spans="2:50" ht="15.6" thickBot="1" x14ac:dyDescent="0.4">
      <c r="B55" t="s">
        <v>62</v>
      </c>
      <c r="C55" s="2" t="s">
        <v>64</v>
      </c>
      <c r="D55" s="2">
        <v>42255</v>
      </c>
      <c r="E55" s="2">
        <v>44577</v>
      </c>
      <c r="F55" s="2">
        <v>52465</v>
      </c>
      <c r="G55" s="2">
        <v>62518</v>
      </c>
      <c r="H55" s="2">
        <v>80463</v>
      </c>
      <c r="I55" s="2">
        <v>94115</v>
      </c>
      <c r="J55" s="2">
        <v>106458</v>
      </c>
      <c r="K55" s="7" t="s">
        <v>198</v>
      </c>
      <c r="L55" s="2">
        <v>124091</v>
      </c>
      <c r="P55" s="8" t="s">
        <v>62</v>
      </c>
    </row>
    <row r="59" spans="2:50" x14ac:dyDescent="0.35">
      <c r="B59" t="s">
        <v>179</v>
      </c>
      <c r="C59" s="1" t="s">
        <v>0</v>
      </c>
      <c r="D59" s="1" t="s">
        <v>1</v>
      </c>
      <c r="E59" s="1" t="s">
        <v>2</v>
      </c>
      <c r="F59" s="1" t="s">
        <v>3</v>
      </c>
      <c r="G59" s="1" t="s">
        <v>4</v>
      </c>
      <c r="H59" s="1" t="s">
        <v>5</v>
      </c>
      <c r="I59" s="1" t="s">
        <v>6</v>
      </c>
      <c r="J59" s="1" t="s">
        <v>173</v>
      </c>
      <c r="K59" s="1" t="s">
        <v>183</v>
      </c>
      <c r="L59" s="1" t="s">
        <v>273</v>
      </c>
    </row>
    <row r="60" spans="2:50" x14ac:dyDescent="0.35">
      <c r="B60" t="s">
        <v>55</v>
      </c>
      <c r="C60" s="2">
        <v>8034</v>
      </c>
      <c r="D60" s="2">
        <v>9453</v>
      </c>
      <c r="E60" s="2">
        <v>9809</v>
      </c>
      <c r="F60" s="2">
        <v>11594</v>
      </c>
      <c r="G60" s="2">
        <v>13385</v>
      </c>
      <c r="H60" s="2">
        <v>16016</v>
      </c>
      <c r="I60" s="2">
        <v>15537</v>
      </c>
      <c r="J60" s="2">
        <v>16037</v>
      </c>
      <c r="K60" s="2">
        <v>17596</v>
      </c>
      <c r="L60" s="2">
        <v>20135</v>
      </c>
      <c r="N60" t="str">
        <f>IF($P$55="Race",VLOOKUP(B60,Table9[],3,FALSE),IF($B$2="Religion",VLOOKUP(B28,Table3[],3,FALSE),IF($B$2="Sexual Orientation",VLOOKUP(B28,Table2[],3,FALSE),IF($B$2="Disability",VLOOKUP(B28,Table4[],3,FALSE),IF($B$2="Transgender",VLOOKUP(B28,Table5[],3,FALSE),IF($B$2="Total Offences",VLOOKUP(B28,Table6[],3,FALSE),""))))))</f>
        <v/>
      </c>
    </row>
    <row r="61" spans="2:50" x14ac:dyDescent="0.35">
      <c r="B61" t="s">
        <v>58</v>
      </c>
      <c r="C61" s="2">
        <v>1239</v>
      </c>
      <c r="D61" s="2">
        <v>1142</v>
      </c>
      <c r="E61" s="2">
        <v>1224</v>
      </c>
      <c r="F61" s="2">
        <v>1555</v>
      </c>
      <c r="G61" s="2">
        <v>1865</v>
      </c>
      <c r="H61" s="2">
        <v>2054</v>
      </c>
      <c r="I61" s="2">
        <v>2106</v>
      </c>
      <c r="J61" s="2">
        <v>2407</v>
      </c>
      <c r="K61" s="2">
        <v>3051</v>
      </c>
      <c r="L61" s="2">
        <v>2935</v>
      </c>
    </row>
    <row r="62" spans="2:50" x14ac:dyDescent="0.35">
      <c r="B62" t="s">
        <v>57</v>
      </c>
      <c r="C62" s="2">
        <v>610</v>
      </c>
      <c r="D62" s="2">
        <v>634</v>
      </c>
      <c r="E62" s="2">
        <v>918</v>
      </c>
      <c r="F62" s="2">
        <v>1380</v>
      </c>
      <c r="G62" s="2">
        <v>1780</v>
      </c>
      <c r="H62" s="2">
        <v>2116</v>
      </c>
      <c r="I62" s="2">
        <v>2521</v>
      </c>
      <c r="J62" s="2">
        <v>2227</v>
      </c>
      <c r="K62" s="2">
        <v>2199</v>
      </c>
      <c r="L62" s="2">
        <v>1864</v>
      </c>
    </row>
    <row r="63" spans="2:50" x14ac:dyDescent="0.35">
      <c r="B63" t="s">
        <v>61</v>
      </c>
      <c r="C63" s="2">
        <v>121</v>
      </c>
      <c r="D63" s="2">
        <v>108</v>
      </c>
      <c r="E63" s="2">
        <v>124</v>
      </c>
      <c r="F63" s="2">
        <v>178</v>
      </c>
      <c r="G63" s="2">
        <v>358</v>
      </c>
      <c r="H63" s="2">
        <v>667</v>
      </c>
      <c r="I63" s="2">
        <v>462</v>
      </c>
      <c r="J63" s="2">
        <v>414</v>
      </c>
      <c r="K63" s="2">
        <v>488</v>
      </c>
      <c r="L63" s="2">
        <v>527</v>
      </c>
    </row>
    <row r="64" spans="2:50" x14ac:dyDescent="0.35">
      <c r="B64" t="s">
        <v>60</v>
      </c>
      <c r="C64" s="2">
        <v>75</v>
      </c>
      <c r="D64" s="2">
        <v>50</v>
      </c>
      <c r="E64" s="2">
        <v>81</v>
      </c>
      <c r="F64" s="2">
        <v>107</v>
      </c>
      <c r="G64" s="2">
        <v>153</v>
      </c>
      <c r="H64" s="2">
        <v>203</v>
      </c>
      <c r="I64" s="2">
        <v>180</v>
      </c>
      <c r="J64" s="2">
        <v>243</v>
      </c>
      <c r="K64" s="2">
        <v>292</v>
      </c>
      <c r="L64" s="2">
        <v>291</v>
      </c>
    </row>
    <row r="65" spans="2:12" x14ac:dyDescent="0.35">
      <c r="B65" t="s">
        <v>62</v>
      </c>
      <c r="C65" t="s">
        <v>64</v>
      </c>
      <c r="D65" s="2">
        <v>10449</v>
      </c>
      <c r="E65" s="2">
        <v>10821</v>
      </c>
      <c r="F65" s="2">
        <v>13954</v>
      </c>
      <c r="G65" s="2">
        <v>16566</v>
      </c>
      <c r="H65" s="2">
        <v>19914</v>
      </c>
      <c r="I65" s="2">
        <v>19520</v>
      </c>
      <c r="J65" s="2">
        <v>20006</v>
      </c>
      <c r="K65" s="2">
        <v>22272</v>
      </c>
      <c r="L65" s="2">
        <v>24372</v>
      </c>
    </row>
  </sheetData>
  <sortState xmlns:xlrd2="http://schemas.microsoft.com/office/spreadsheetml/2017/richdata2" ref="BJ4:BQ47">
    <sortCondition ref="BJ4:BJ47"/>
  </sortState>
  <phoneticPr fontId="22" type="noConversion"/>
  <dataValidations count="1">
    <dataValidation type="list" allowBlank="1" showInputMessage="1" showErrorMessage="1" sqref="P55" xr:uid="{136F9DDB-1FE7-475C-8152-1C959D5FB0EB}">
      <formula1>HateCrime</formula1>
    </dataValidation>
  </dataValidations>
  <pageMargins left="0.7" right="0.7" top="0.75" bottom="0.75" header="0.3" footer="0.3"/>
  <pageSetup paperSize="9" orientation="portrait" horizontalDpi="1200" verticalDpi="1200" r:id="rId1"/>
  <tableParts count="9">
    <tablePart r:id="rId2"/>
    <tablePart r:id="rId3"/>
    <tablePart r:id="rId4"/>
    <tablePart r:id="rId5"/>
    <tablePart r:id="rId6"/>
    <tablePart r:id="rId7"/>
    <tablePart r:id="rId8"/>
    <tablePart r:id="rId9"/>
    <tablePart r:id="rId1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DF0D1-81A7-4461-9412-922FA3DA08E1}">
  <dimension ref="A1:BD71"/>
  <sheetViews>
    <sheetView showGridLines="0" zoomScaleNormal="100" workbookViewId="0">
      <pane xSplit="2" ySplit="8" topLeftCell="C9" activePane="bottomRight" state="frozen"/>
      <selection pane="topRight" activeCell="C1" sqref="C1"/>
      <selection pane="bottomLeft" activeCell="A8" sqref="A8"/>
      <selection pane="bottomRight" activeCell="I63" sqref="I63"/>
    </sheetView>
  </sheetViews>
  <sheetFormatPr defaultRowHeight="15" x14ac:dyDescent="0.35"/>
  <cols>
    <col min="1" max="1" width="1.3984375" customWidth="1"/>
    <col min="2" max="2" width="24.8984375" customWidth="1"/>
    <col min="3" max="3" width="13" customWidth="1"/>
    <col min="5" max="5" width="11.3984375" customWidth="1"/>
    <col min="7" max="7" width="1.3984375" customWidth="1"/>
    <col min="8" max="8" width="13.3984375" customWidth="1"/>
    <col min="10" max="10" width="11.59765625" customWidth="1"/>
    <col min="12" max="12" width="1.3984375" customWidth="1"/>
    <col min="13" max="13" width="14" customWidth="1"/>
    <col min="15" max="15" width="10.296875" customWidth="1"/>
    <col min="17" max="17" width="1.3984375" customWidth="1"/>
    <col min="18" max="18" width="12.69921875" customWidth="1"/>
    <col min="20" max="20" width="11.09765625" customWidth="1"/>
    <col min="22" max="22" width="1.3984375" customWidth="1"/>
    <col min="23" max="23" width="13.09765625" customWidth="1"/>
    <col min="25" max="25" width="11.09765625" customWidth="1"/>
    <col min="27" max="27" width="1.3984375" customWidth="1"/>
    <col min="28" max="28" width="13" customWidth="1"/>
    <col min="30" max="30" width="10.8984375" customWidth="1"/>
    <col min="32" max="32" width="1.3984375" customWidth="1"/>
    <col min="33" max="33" width="13.3984375" customWidth="1"/>
    <col min="35" max="35" width="10.69921875" customWidth="1"/>
    <col min="37" max="37" width="1.3984375" customWidth="1"/>
    <col min="38" max="38" width="11.3984375" customWidth="1"/>
    <col min="40" max="40" width="10.69921875" customWidth="1"/>
    <col min="41" max="41" width="8.69921875" bestFit="1" customWidth="1"/>
    <col min="42" max="42" width="1.3984375" customWidth="1"/>
    <col min="43" max="43" width="13.09765625" customWidth="1"/>
    <col min="44" max="44" width="8.69921875" customWidth="1"/>
    <col min="45" max="45" width="9.3984375" customWidth="1"/>
    <col min="46" max="46" width="8.69921875" customWidth="1"/>
    <col min="47" max="47" width="1.3984375" customWidth="1"/>
    <col min="48" max="48" width="12.8984375" customWidth="1"/>
    <col min="49" max="49" width="8.69921875" customWidth="1"/>
    <col min="50" max="50" width="9.3984375" customWidth="1"/>
    <col min="51" max="51" width="8.69921875" customWidth="1"/>
    <col min="52" max="52" width="1.3984375" customWidth="1"/>
    <col min="55" max="55" width="9" customWidth="1"/>
    <col min="56" max="56" width="7" hidden="1" customWidth="1"/>
  </cols>
  <sheetData>
    <row r="1" spans="1:56" ht="19.5" customHeight="1" thickBot="1" x14ac:dyDescent="0.4">
      <c r="B1" s="48" t="s">
        <v>68</v>
      </c>
      <c r="BD1">
        <v>100000</v>
      </c>
    </row>
    <row r="2" spans="1:56" ht="15.6" thickBot="1" x14ac:dyDescent="0.4">
      <c r="B2" s="65" t="s">
        <v>62</v>
      </c>
    </row>
    <row r="3" spans="1:56" ht="6" customHeight="1" x14ac:dyDescent="0.35">
      <c r="A3" s="16"/>
      <c r="B3" s="6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row>
    <row r="4" spans="1:56" ht="19.5" customHeight="1" x14ac:dyDescent="0.4">
      <c r="A4" s="10"/>
      <c r="B4" s="49" t="s">
        <v>215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row>
    <row r="5" spans="1:56" ht="15" customHeight="1" x14ac:dyDescent="0.35">
      <c r="A5" s="10"/>
      <c r="B5" s="137" t="s">
        <v>300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row>
    <row r="6" spans="1:56" x14ac:dyDescent="0.35">
      <c r="A6" s="56"/>
      <c r="B6" s="56"/>
      <c r="C6" s="156" t="s">
        <v>0</v>
      </c>
      <c r="D6" s="156"/>
      <c r="E6" s="156"/>
      <c r="F6" s="156"/>
      <c r="G6" s="56"/>
      <c r="H6" s="156" t="s">
        <v>1</v>
      </c>
      <c r="I6" s="156"/>
      <c r="J6" s="156"/>
      <c r="K6" s="156"/>
      <c r="L6" s="56"/>
      <c r="M6" s="156" t="s">
        <v>2</v>
      </c>
      <c r="N6" s="156"/>
      <c r="O6" s="156"/>
      <c r="P6" s="156"/>
      <c r="Q6" s="56"/>
      <c r="R6" s="156" t="s">
        <v>3</v>
      </c>
      <c r="S6" s="156"/>
      <c r="T6" s="156"/>
      <c r="U6" s="156"/>
      <c r="V6" s="56"/>
      <c r="W6" s="156" t="s">
        <v>4</v>
      </c>
      <c r="X6" s="156"/>
      <c r="Y6" s="156"/>
      <c r="Z6" s="156"/>
      <c r="AA6" s="56"/>
      <c r="AB6" s="156" t="s">
        <v>5</v>
      </c>
      <c r="AC6" s="156"/>
      <c r="AD6" s="156"/>
      <c r="AE6" s="156"/>
      <c r="AF6" s="56"/>
      <c r="AG6" s="156" t="s">
        <v>6</v>
      </c>
      <c r="AH6" s="156"/>
      <c r="AI6" s="156"/>
      <c r="AJ6" s="156"/>
      <c r="AK6" s="56"/>
      <c r="AL6" s="156" t="s">
        <v>173</v>
      </c>
      <c r="AM6" s="156"/>
      <c r="AN6" s="156"/>
      <c r="AO6" s="156"/>
      <c r="AP6" s="76"/>
      <c r="AQ6" s="156" t="s">
        <v>204</v>
      </c>
      <c r="AR6" s="156"/>
      <c r="AS6" s="156"/>
      <c r="AT6" s="156"/>
      <c r="AU6" s="76"/>
      <c r="AV6" s="156" t="s">
        <v>273</v>
      </c>
      <c r="AW6" s="156"/>
      <c r="AX6" s="156"/>
      <c r="AY6" s="156"/>
      <c r="AZ6" s="56"/>
    </row>
    <row r="7" spans="1:56" ht="41.4" x14ac:dyDescent="0.35">
      <c r="A7" s="56"/>
      <c r="B7" s="56"/>
      <c r="C7" s="55" t="s">
        <v>185</v>
      </c>
      <c r="D7" s="55" t="s">
        <v>56</v>
      </c>
      <c r="E7" s="55" t="s">
        <v>71</v>
      </c>
      <c r="F7" s="55" t="s">
        <v>186</v>
      </c>
      <c r="G7" s="53"/>
      <c r="H7" s="55" t="s">
        <v>187</v>
      </c>
      <c r="I7" s="55" t="s">
        <v>56</v>
      </c>
      <c r="J7" s="55" t="s">
        <v>71</v>
      </c>
      <c r="K7" s="55" t="s">
        <v>186</v>
      </c>
      <c r="L7" s="53"/>
      <c r="M7" s="55" t="s">
        <v>188</v>
      </c>
      <c r="N7" s="55" t="s">
        <v>56</v>
      </c>
      <c r="O7" s="55" t="s">
        <v>71</v>
      </c>
      <c r="P7" s="55" t="s">
        <v>186</v>
      </c>
      <c r="Q7" s="53"/>
      <c r="R7" s="55" t="s">
        <v>189</v>
      </c>
      <c r="S7" s="55" t="s">
        <v>56</v>
      </c>
      <c r="T7" s="55" t="s">
        <v>71</v>
      </c>
      <c r="U7" s="55" t="s">
        <v>186</v>
      </c>
      <c r="V7" s="53"/>
      <c r="W7" s="55" t="s">
        <v>190</v>
      </c>
      <c r="X7" s="55" t="s">
        <v>56</v>
      </c>
      <c r="Y7" s="55" t="s">
        <v>71</v>
      </c>
      <c r="Z7" s="55" t="s">
        <v>186</v>
      </c>
      <c r="AA7" s="53"/>
      <c r="AB7" s="55" t="s">
        <v>191</v>
      </c>
      <c r="AC7" s="55" t="s">
        <v>56</v>
      </c>
      <c r="AD7" s="55" t="s">
        <v>71</v>
      </c>
      <c r="AE7" s="55" t="s">
        <v>186</v>
      </c>
      <c r="AF7" s="53"/>
      <c r="AG7" s="55" t="s">
        <v>192</v>
      </c>
      <c r="AH7" s="55" t="s">
        <v>56</v>
      </c>
      <c r="AI7" s="55" t="s">
        <v>71</v>
      </c>
      <c r="AJ7" s="55" t="s">
        <v>186</v>
      </c>
      <c r="AK7" s="53"/>
      <c r="AL7" s="55" t="s">
        <v>193</v>
      </c>
      <c r="AM7" s="55" t="s">
        <v>56</v>
      </c>
      <c r="AN7" s="55" t="s">
        <v>71</v>
      </c>
      <c r="AO7" s="55" t="s">
        <v>186</v>
      </c>
      <c r="AP7" s="55"/>
      <c r="AQ7" s="55" t="s">
        <v>197</v>
      </c>
      <c r="AR7" s="55" t="s">
        <v>56</v>
      </c>
      <c r="AS7" s="55" t="s">
        <v>71</v>
      </c>
      <c r="AT7" s="55" t="s">
        <v>186</v>
      </c>
      <c r="AU7" s="148"/>
      <c r="AV7" s="149" t="s">
        <v>287</v>
      </c>
      <c r="AW7" s="149" t="s">
        <v>56</v>
      </c>
      <c r="AX7" s="149" t="s">
        <v>71</v>
      </c>
      <c r="AY7" s="149" t="s">
        <v>186</v>
      </c>
      <c r="AZ7" s="56"/>
    </row>
    <row r="8" spans="1:56" x14ac:dyDescent="0.35">
      <c r="A8" s="56"/>
      <c r="B8" s="61" t="s">
        <v>203</v>
      </c>
      <c r="C8" s="67">
        <v>56171100</v>
      </c>
      <c r="D8" s="62" t="str">
        <f>VLOOKUP(B2,Table8[],2,FALSE)</f>
        <v>N/A</v>
      </c>
      <c r="E8" s="69" t="str">
        <f>IFERROR(D8/C8*100000,"N/A")</f>
        <v>N/A</v>
      </c>
      <c r="F8" s="61"/>
      <c r="G8" s="61"/>
      <c r="H8" s="67">
        <v>56567800</v>
      </c>
      <c r="I8" s="67">
        <f>VLOOKUP(B2,Table8[],3,FALSE)</f>
        <v>42255</v>
      </c>
      <c r="J8" s="70">
        <f>I8/H8*100000</f>
        <v>74.697973051806855</v>
      </c>
      <c r="K8" s="61"/>
      <c r="L8" s="61"/>
      <c r="M8" s="67">
        <v>56948200</v>
      </c>
      <c r="N8" s="67">
        <f>VLOOKUP(B2,Table8[],4,FALSE)</f>
        <v>44577</v>
      </c>
      <c r="O8" s="70">
        <f>N8/M8*100000</f>
        <v>78.276398551666247</v>
      </c>
      <c r="P8" s="61"/>
      <c r="Q8" s="61"/>
      <c r="R8" s="67">
        <v>57408700</v>
      </c>
      <c r="S8" s="67">
        <f>VLOOKUP(B2,Table8[],5,FALSE)</f>
        <v>52465</v>
      </c>
      <c r="T8" s="70">
        <f>S8/R8*100000</f>
        <v>91.388587444063347</v>
      </c>
      <c r="U8" s="61"/>
      <c r="V8" s="61"/>
      <c r="W8" s="67">
        <v>57885400</v>
      </c>
      <c r="X8" s="67">
        <f>VLOOKUP(B2,Table8[],6,FALSE)</f>
        <v>62518</v>
      </c>
      <c r="Y8" s="70">
        <f>X8/W8*100000</f>
        <v>108.00305431075884</v>
      </c>
      <c r="Z8" s="61"/>
      <c r="AA8" s="61"/>
      <c r="AB8" s="67">
        <v>58381200</v>
      </c>
      <c r="AC8" s="67">
        <f>VLOOKUP(B2,Table8[],7,FALSE)</f>
        <v>80463</v>
      </c>
      <c r="AD8" s="70">
        <f>AC8/AB8*100000</f>
        <v>137.82347742081353</v>
      </c>
      <c r="AE8" s="61"/>
      <c r="AF8" s="61"/>
      <c r="AG8" s="67">
        <v>58744600</v>
      </c>
      <c r="AH8" s="67">
        <f>VLOOKUP(B2,Table8[],8,FALSE)</f>
        <v>94115</v>
      </c>
      <c r="AI8" s="70">
        <f>AH8/AG8*100000</f>
        <v>160.21047040919507</v>
      </c>
      <c r="AJ8" s="61"/>
      <c r="AK8" s="61"/>
      <c r="AL8" s="67">
        <v>59115800</v>
      </c>
      <c r="AM8" s="67">
        <f>VLOOKUP(B2,Table8[],9,FALSE)</f>
        <v>106458</v>
      </c>
      <c r="AN8" s="70">
        <f>AM8/AL8*100000</f>
        <v>180.0838354551575</v>
      </c>
      <c r="AO8" s="61"/>
      <c r="AP8" s="56"/>
      <c r="AQ8" s="130">
        <v>59439800</v>
      </c>
      <c r="AR8" s="62" t="s">
        <v>64</v>
      </c>
      <c r="AS8" s="69" t="s">
        <v>64</v>
      </c>
      <c r="AT8" s="56"/>
      <c r="AU8" s="56"/>
      <c r="AV8" s="67">
        <v>59719700</v>
      </c>
      <c r="AW8" s="67">
        <f>VLOOKUP(B2,Table8[],11,FALSE)</f>
        <v>124091</v>
      </c>
      <c r="AX8" s="70">
        <f>AW8/AV8*$BD$1</f>
        <v>207.78905453309378</v>
      </c>
      <c r="AY8" s="56"/>
      <c r="AZ8" s="56"/>
    </row>
    <row r="9" spans="1:56" x14ac:dyDescent="0.35">
      <c r="A9" s="56"/>
      <c r="B9" s="56" t="s">
        <v>8</v>
      </c>
      <c r="C9" s="71">
        <v>1601700</v>
      </c>
      <c r="D9" s="57" t="str">
        <f>IF($B$2="Race",VLOOKUP(B9,Table1[],2,FALSE),IF($B$2="Religion",VLOOKUP(B9,Table3[],2,FALSE),IF($B$2="Sexual Orientation",VLOOKUP(B9,Table2[],2,FALSE),IF($B$2="Disability",VLOOKUP(B9,Table4[],2,FALSE),IF($B$2="Transgender",VLOOKUP(B9,Table5[],2,FALSE),IF($B$2="Total Offences",VLOOKUP(B9,Table6[],2,FALSE),""))))))</f>
        <v>N/A</v>
      </c>
      <c r="E9" s="72" t="str">
        <f>IFERROR(D9/C9*100000,"N/A")</f>
        <v>N/A</v>
      </c>
      <c r="F9" s="73" t="str">
        <f>IFERROR(RANK(E9,$E$9:$E$50,0),"N/A")</f>
        <v>N/A</v>
      </c>
      <c r="G9" s="56"/>
      <c r="H9" s="71">
        <v>1616100</v>
      </c>
      <c r="I9" s="71">
        <f>IF($B$2="Race",VLOOKUP(B9,Table1[],3,FALSE),IF($B$2="Religion",VLOOKUP(B9,Table3[],3,FALSE),IF($B$2="Sexual Orientation",VLOOKUP(B9,Table2[],3,FALSE),IF($B$2="Disability",VLOOKUP(B9,Table4[],3,FALSE),IF($B$2="Transgender",VLOOKUP(B9,Table5[],3,FALSE),IF($B$2="Total Offences",VLOOKUP(B9,Table6[],3,FALSE),""))))))</f>
        <v>1211</v>
      </c>
      <c r="J9" s="74">
        <f>I9/H9*100000</f>
        <v>74.933481838995107</v>
      </c>
      <c r="K9" s="56">
        <f>RANK(J9,$J$9:$J$50,0)</f>
        <v>9</v>
      </c>
      <c r="L9" s="56"/>
      <c r="M9" s="71">
        <v>1631300</v>
      </c>
      <c r="N9" s="71">
        <f>IF($B$2="Race",VLOOKUP(B9,Table1[],4,FALSE),IF($B$2="Religion",VLOOKUP(B9,Table3[],4,FALSE),IF($B$2="Sexual Orientation",VLOOKUP(B9,Table2[],4,FALSE),IF($B$2="Disability",VLOOKUP(B9,Table4[],4,FALSE),IF($B$2="Transgender",VLOOKUP(B9,Table5[],4,FALSE),IF($B$2="Total Offences",VLOOKUP(B9,Table6[],4,FALSE),""))))))</f>
        <v>1432</v>
      </c>
      <c r="O9" s="74">
        <f>N9/M9*100000</f>
        <v>87.782749954024396</v>
      </c>
      <c r="P9" s="56">
        <f>RANK(O9,$O$9:$O$50,0)</f>
        <v>6</v>
      </c>
      <c r="Q9" s="56"/>
      <c r="R9" s="71">
        <v>1646400</v>
      </c>
      <c r="S9" s="71">
        <f>IF($B$2="Race",VLOOKUP(B9,Table1[],5,FALSE),IF($B$2="Religion",VLOOKUP(B9,Table3[],5,FALSE),IF($B$2="Sexual Orientation",VLOOKUP(B9,Table2[],5,FALSE),IF($B$2="Disability",VLOOKUP(B9,Table4[],5,FALSE),IF($B$2="Transgender",VLOOKUP(B9,Table5[],5,FALSE),IF($B$2="Total Offences",VLOOKUP(B9,Table6[],5,FALSE),""))))))</f>
        <v>1841</v>
      </c>
      <c r="T9" s="74">
        <f>S9/R9*$BD$1</f>
        <v>111.81972789115646</v>
      </c>
      <c r="U9" s="56">
        <f>RANK(T9,$T$9:$T$50,0)</f>
        <v>6</v>
      </c>
      <c r="V9" s="56"/>
      <c r="W9" s="71">
        <v>1665300</v>
      </c>
      <c r="X9" s="71">
        <f>IF($B$2="Race",VLOOKUP(B9,Table1[],6,FALSE),IF($B$2="Religion",VLOOKUP(B9,Table3[],6,FALSE),IF($B$2="Sexual Orientation",VLOOKUP(B9,Table2[],6,FALSE),IF($B$2="Disability",VLOOKUP(B9,Table4[],6,FALSE),IF($B$2="Transgender",VLOOKUP(B9,Table5[],6,FALSE),IF($B$2="Total Offences",VLOOKUP(B9,Table6[],6,FALSE),""))))))</f>
        <v>1966</v>
      </c>
      <c r="Y9" s="74">
        <f>X9/W9*$BD$1</f>
        <v>118.05680658139674</v>
      </c>
      <c r="Z9" s="56">
        <f>RANK(Y9,$Y$9:$Y$50,0)</f>
        <v>7</v>
      </c>
      <c r="AA9" s="56"/>
      <c r="AB9" s="71">
        <v>1682800</v>
      </c>
      <c r="AC9" s="71">
        <f>IF($B$2="Race",VLOOKUP(B9,Table1[],7,FALSE),IF($B$2="Religion",VLOOKUP(B9,Table3[],7,FALSE),IF($B$2="Sexual Orientation",VLOOKUP(B9,Table2[],7,FALSE),IF($B$2="Disability",VLOOKUP(B9,Table4[],7,FALSE),IF($B$2="Transgender",VLOOKUP(B9,Table5[],7,FALSE),IF($B$2="Total Offences",VLOOKUP(B9,Table6[],7,FALSE),""))))))</f>
        <v>2877</v>
      </c>
      <c r="AD9" s="74">
        <f>AC9/AB9*$BD$1</f>
        <v>170.96505823627288</v>
      </c>
      <c r="AE9" s="56">
        <f>RANK(AD9,$AD$9:$AD$50,0)</f>
        <v>5</v>
      </c>
      <c r="AF9" s="56"/>
      <c r="AG9" s="71">
        <v>1695000</v>
      </c>
      <c r="AH9" s="71">
        <f>IF($B$2="Race",VLOOKUP(B9,Table1[],8,FALSE),IF($B$2="Religion",VLOOKUP(B9,Table3[],8,FALSE),IF($B$2="Sexual Orientation",VLOOKUP(B9,Table2[],8,FALSE),IF($B$2="Disability",VLOOKUP(B9,Table4[],8,FALSE),IF($B$2="Transgender",VLOOKUP(B9,Table5[],8,FALSE),IF($B$2="Total Offences",VLOOKUP(B9,Table6[],8,FALSE),""))))))</f>
        <v>3138</v>
      </c>
      <c r="AI9" s="74">
        <f>AH9/AG9*$BD$1</f>
        <v>185.13274336283186</v>
      </c>
      <c r="AJ9" s="56">
        <f>RANK(AI9,$AI$9:$AI$50,0)</f>
        <v>5</v>
      </c>
      <c r="AK9" s="56"/>
      <c r="AL9" s="71">
        <v>1711500</v>
      </c>
      <c r="AM9" s="71">
        <f>IF($B$2="Race",VLOOKUP(B9,Table1[],9,FALSE),IF($B$2="Religion",VLOOKUP(B9,Table3[],9,FALSE),IF($B$2="Sexual Orientation",VLOOKUP(B9,Table2[],9,FALSE),IF($B$2="Disability",VLOOKUP(B9,Table4[],9,FALSE),IF($B$2="Transgender",VLOOKUP(B9,Table5[],9,FALSE),IF($B$2="Total Offences",VLOOKUP(B9,Table6[],9,FALSE),""))))))</f>
        <v>2961</v>
      </c>
      <c r="AN9" s="74">
        <f>AM9/AL9*$BD$1</f>
        <v>173.00613496932516</v>
      </c>
      <c r="AO9" s="56">
        <f>RANK(AN9,$AN$9:$AN$50,0)</f>
        <v>10</v>
      </c>
      <c r="AP9" s="56"/>
      <c r="AQ9" s="71">
        <v>1719000</v>
      </c>
      <c r="AR9" s="71">
        <f>IF($B$2="Race",VLOOKUP(B9,Table1[],10,FALSE),IF($B$2="Religion",VLOOKUP(B9,Table3[],10,FALSE),IF($B$2="Sexual Orientation",VLOOKUP(B9,Table2[],10,FALSE),IF($B$2="Disability",VLOOKUP(B9,Table4[],10,FALSE),IF($B$2="Transgender",VLOOKUP(B9,Table5[],10,FALSE),IF($B$2="Total Offences",VLOOKUP(B9,Table6[],10,FALSE),""))))))</f>
        <v>3134</v>
      </c>
      <c r="AS9" s="74">
        <f>AR9/AQ9*$BD$1</f>
        <v>182.31529959278652</v>
      </c>
      <c r="AT9" s="56">
        <f>RANK(AS9,$AS$9:$AS$50,0)</f>
        <v>11</v>
      </c>
      <c r="AU9" s="56"/>
      <c r="AV9" s="71">
        <v>1729500</v>
      </c>
      <c r="AW9" s="71">
        <f>IF($B$2="Race",VLOOKUP(B9,Table1[],11,FALSE),IF($B$2="Religion",VLOOKUP(B9,Table3[],11,FALSE),IF($B$2="Sexual Orientation",VLOOKUP(B9,Table2[],11,FALSE),IF($B$2="Disability",VLOOKUP(B9,Table4[],11,FALSE),IF($B$2="Transgender",VLOOKUP(B9,Table5[],11,FALSE),IF($B$2="Total Offences",VLOOKUP(B9,Table6[],11,FALSE),""))))))</f>
        <v>3351</v>
      </c>
      <c r="AX9" s="74">
        <f>AW9/AV9*$BD$1</f>
        <v>193.75542064180399</v>
      </c>
      <c r="AY9" s="56">
        <f>RANK(AX9,$AX$9:$AX$50,0)</f>
        <v>12</v>
      </c>
      <c r="AZ9" s="56"/>
    </row>
    <row r="10" spans="1:56" x14ac:dyDescent="0.35">
      <c r="A10" s="56"/>
      <c r="B10" s="56" t="s">
        <v>9</v>
      </c>
      <c r="C10" s="71">
        <v>617000</v>
      </c>
      <c r="D10" s="57" t="str">
        <f>IF($B$2="Race",VLOOKUP(B10,Table1[],2,FALSE),IF($B$2="Religion",VLOOKUP(B10,Table3[],2,FALSE),IF($B$2="Sexual Orientation",VLOOKUP(B10,Table2[],2,FALSE),IF($B$2="Disability",VLOOKUP(B10,Table4[],2,FALSE),IF($B$2="Transgender",VLOOKUP(B10,Table5[],2,FALSE),IF($B$2="Total Offences",VLOOKUP(B10,Table6[],2,FALSE),""))))))</f>
        <v>N/A</v>
      </c>
      <c r="E10" s="72" t="str">
        <f t="shared" ref="E10:E50" si="0">IFERROR(D10/C10*100000,"N/A")</f>
        <v>N/A</v>
      </c>
      <c r="F10" s="73" t="str">
        <f t="shared" ref="F10:F50" si="1">IFERROR(RANK(E10,$E$9:$E$50,0),"N/A")</f>
        <v>N/A</v>
      </c>
      <c r="G10" s="56"/>
      <c r="H10" s="71">
        <v>624500</v>
      </c>
      <c r="I10" s="71">
        <f>IF($B$2="Race",VLOOKUP(B10,Table1[],3,FALSE),IF($B$2="Religion",VLOOKUP(B10,Table3[],3,FALSE),IF($B$2="Sexual Orientation",VLOOKUP(B10,Table2[],3,FALSE),IF($B$2="Disability",VLOOKUP(B10,Table4[],3,FALSE),IF($B$2="Transgender",VLOOKUP(B10,Table5[],3,FALSE),IF($B$2="Total Offences",VLOOKUP(B10,Table6[],3,FALSE),""))))))</f>
        <v>295</v>
      </c>
      <c r="J10" s="74">
        <f t="shared" ref="J10:J50" si="2">I10/H10*100000</f>
        <v>47.237790232185752</v>
      </c>
      <c r="K10" s="56">
        <f t="shared" ref="K10:K50" si="3">RANK(J10,$J$9:$J$50,0)</f>
        <v>29</v>
      </c>
      <c r="L10" s="56"/>
      <c r="M10" s="71">
        <v>632800</v>
      </c>
      <c r="N10" s="71">
        <f>IF($B$2="Race",VLOOKUP(B10,Table1[],4,FALSE),IF($B$2="Religion",VLOOKUP(B10,Table3[],4,FALSE),IF($B$2="Sexual Orientation",VLOOKUP(B10,Table2[],4,FALSE),IF($B$2="Disability",VLOOKUP(B10,Table4[],4,FALSE),IF($B$2="Transgender",VLOOKUP(B10,Table5[],4,FALSE),IF($B$2="Total Offences",VLOOKUP(B10,Table6[],4,FALSE),""))))))</f>
        <v>300</v>
      </c>
      <c r="O10" s="74">
        <f t="shared" ref="O10:O50" si="4">N10/M10*100000</f>
        <v>47.408343868520859</v>
      </c>
      <c r="P10" s="56">
        <f t="shared" ref="P10:P50" si="5">RANK(O10,$O$9:$O$50,0)</f>
        <v>26</v>
      </c>
      <c r="Q10" s="56"/>
      <c r="R10" s="71">
        <v>642000</v>
      </c>
      <c r="S10" s="71">
        <f>IF($B$2="Race",VLOOKUP(B10,Table1[],5,FALSE),IF($B$2="Religion",VLOOKUP(B10,Table3[],5,FALSE),IF($B$2="Sexual Orientation",VLOOKUP(B10,Table2[],5,FALSE),IF($B$2="Disability",VLOOKUP(B10,Table4[],5,FALSE),IF($B$2="Transgender",VLOOKUP(B10,Table5[],5,FALSE),IF($B$2="Total Offences",VLOOKUP(B10,Table6[],5,FALSE),""))))))</f>
        <v>496</v>
      </c>
      <c r="T10" s="74">
        <f t="shared" ref="T10:T50" si="6">S10/R10*$BD$1</f>
        <v>77.258566978193144</v>
      </c>
      <c r="U10" s="56">
        <f t="shared" ref="U10:U50" si="7">RANK(T10,$T$9:$T$50,0)</f>
        <v>12</v>
      </c>
      <c r="V10" s="56"/>
      <c r="W10" s="71">
        <v>652400</v>
      </c>
      <c r="X10" s="71">
        <f>IF($B$2="Race",VLOOKUP(B10,Table1[],6,FALSE),IF($B$2="Religion",VLOOKUP(B10,Table3[],6,FALSE),IF($B$2="Sexual Orientation",VLOOKUP(B10,Table2[],6,FALSE),IF($B$2="Disability",VLOOKUP(B10,Table4[],6,FALSE),IF($B$2="Transgender",VLOOKUP(B10,Table5[],6,FALSE),IF($B$2="Total Offences",VLOOKUP(B10,Table6[],6,FALSE),""))))))</f>
        <v>580</v>
      </c>
      <c r="Y10" s="74">
        <f t="shared" ref="Y10:Y50" si="8">X10/W10*$BD$1</f>
        <v>88.902513795217658</v>
      </c>
      <c r="Z10" s="56">
        <f t="shared" ref="Z10:Z50" si="9">RANK(Y10,$Y$9:$Y$50,0)</f>
        <v>13</v>
      </c>
      <c r="AA10" s="56"/>
      <c r="AB10" s="71">
        <v>661500</v>
      </c>
      <c r="AC10" s="71">
        <f>IF($B$2="Race",VLOOKUP(B10,Table1[],7,FALSE),IF($B$2="Religion",VLOOKUP(B10,Table3[],7,FALSE),IF($B$2="Sexual Orientation",VLOOKUP(B10,Table2[],7,FALSE),IF($B$2="Disability",VLOOKUP(B10,Table4[],7,FALSE),IF($B$2="Transgender",VLOOKUP(B10,Table5[],7,FALSE),IF($B$2="Total Offences",VLOOKUP(B10,Table6[],7,FALSE),""))))))</f>
        <v>609</v>
      </c>
      <c r="AD10" s="74">
        <f t="shared" ref="AD10:AD50" si="10">AC10/AB10*$BD$1</f>
        <v>92.063492063492063</v>
      </c>
      <c r="AE10" s="56">
        <f t="shared" ref="AE10:AE50" si="11">RANK(AD10,$AD$9:$AD$50,0)</f>
        <v>25</v>
      </c>
      <c r="AF10" s="56"/>
      <c r="AG10" s="71">
        <v>664600</v>
      </c>
      <c r="AH10" s="71">
        <f>IF($B$2="Race",VLOOKUP(B10,Table1[],8,FALSE),IF($B$2="Religion",VLOOKUP(B10,Table3[],8,FALSE),IF($B$2="Sexual Orientation",VLOOKUP(B10,Table2[],8,FALSE),IF($B$2="Disability",VLOOKUP(B10,Table4[],8,FALSE),IF($B$2="Transgender",VLOOKUP(B10,Table5[],8,FALSE),IF($B$2="Total Offences",VLOOKUP(B10,Table6[],8,FALSE),""))))))</f>
        <v>913</v>
      </c>
      <c r="AI10" s="74">
        <f t="shared" ref="AI10:AI50" si="12">AH10/AG10*$BD$1</f>
        <v>137.37586518206439</v>
      </c>
      <c r="AJ10" s="56">
        <f t="shared" ref="AJ10:AJ50" si="13">RANK(AI10,$AI$9:$AI$50,0)</f>
        <v>16</v>
      </c>
      <c r="AK10" s="56"/>
      <c r="AL10" s="71">
        <v>669300</v>
      </c>
      <c r="AM10" s="71">
        <f>IF($B$2="Race",VLOOKUP(B10,Table1[],9,FALSE),IF($B$2="Religion",VLOOKUP(B10,Table3[],9,FALSE),IF($B$2="Sexual Orientation",VLOOKUP(B10,Table2[],9,FALSE),IF($B$2="Disability",VLOOKUP(B10,Table4[],9,FALSE),IF($B$2="Transgender",VLOOKUP(B10,Table5[],9,FALSE),IF($B$2="Total Offences",VLOOKUP(B10,Table6[],9,FALSE),""))))))</f>
        <v>1033</v>
      </c>
      <c r="AN10" s="74">
        <f t="shared" ref="AN10:AN50" si="14">AM10/AL10*$BD$1</f>
        <v>154.34035559539817</v>
      </c>
      <c r="AO10" s="56">
        <f t="shared" ref="AO10:AO50" si="15">RANK(AN10,$AN$9:$AN$50,0)</f>
        <v>14</v>
      </c>
      <c r="AP10" s="56"/>
      <c r="AQ10" s="71">
        <v>675000</v>
      </c>
      <c r="AR10" s="71">
        <f>IF($B$2="Race",VLOOKUP(B10,Table1[],10,FALSE),IF($B$2="Religion",VLOOKUP(B10,Table3[],10,FALSE),IF($B$2="Sexual Orientation",VLOOKUP(B10,Table2[],10,FALSE),IF($B$2="Disability",VLOOKUP(B10,Table4[],10,FALSE),IF($B$2="Transgender",VLOOKUP(B10,Table5[],10,FALSE),IF($B$2="Total Offences",VLOOKUP(B10,Table6[],10,FALSE),""))))))</f>
        <v>1244</v>
      </c>
      <c r="AS10" s="74">
        <f t="shared" ref="AS10:AS50" si="16">AR10/AQ10*$BD$1</f>
        <v>184.2962962962963</v>
      </c>
      <c r="AT10" s="56">
        <f t="shared" ref="AT10:AT50" si="17">RANK(AS10,$AS$9:$AS$50,0)</f>
        <v>10</v>
      </c>
      <c r="AU10" s="56"/>
      <c r="AV10" s="71">
        <v>682300</v>
      </c>
      <c r="AW10" s="71">
        <f>IF($B$2="Race",VLOOKUP(B10,Table1[],11,FALSE),IF($B$2="Religion",VLOOKUP(B10,Table3[],11,FALSE),IF($B$2="Sexual Orientation",VLOOKUP(B10,Table2[],11,FALSE),IF($B$2="Disability",VLOOKUP(B10,Table4[],11,FALSE),IF($B$2="Transgender",VLOOKUP(B10,Table5[],11,FALSE),IF($B$2="Total Offences",VLOOKUP(B10,Table6[],11,FALSE),""))))))</f>
        <v>1179</v>
      </c>
      <c r="AX10" s="74">
        <f t="shared" ref="AX10:AX50" si="18">AW10/AV10*$BD$1</f>
        <v>172.79788949142605</v>
      </c>
      <c r="AY10" s="56">
        <f t="shared" ref="AY10:AY50" si="19">RANK(AX10,$AX$9:$AX$50,0)</f>
        <v>17</v>
      </c>
      <c r="AZ10" s="56"/>
    </row>
    <row r="11" spans="1:56" x14ac:dyDescent="0.35">
      <c r="A11" s="56"/>
      <c r="B11" s="56" t="s">
        <v>11</v>
      </c>
      <c r="C11" s="71">
        <v>806700</v>
      </c>
      <c r="D11" s="57" t="str">
        <f>IF($B$2="Race",VLOOKUP(B11,Table1[],2,FALSE),IF($B$2="Religion",VLOOKUP(B11,Table3[],2,FALSE),IF($B$2="Sexual Orientation",VLOOKUP(B11,Table2[],2,FALSE),IF($B$2="Disability",VLOOKUP(B11,Table4[],2,FALSE),IF($B$2="Transgender",VLOOKUP(B11,Table5[],2,FALSE),IF($B$2="Total Offences",VLOOKUP(B11,Table6[],2,FALSE),""))))))</f>
        <v>N/A</v>
      </c>
      <c r="E11" s="72" t="str">
        <f t="shared" si="0"/>
        <v>N/A</v>
      </c>
      <c r="F11" s="73" t="str">
        <f t="shared" si="1"/>
        <v>N/A</v>
      </c>
      <c r="G11" s="56"/>
      <c r="H11" s="71">
        <v>812500</v>
      </c>
      <c r="I11" s="71">
        <f>IF($B$2="Race",VLOOKUP(B11,Table1[],3,FALSE),IF($B$2="Religion",VLOOKUP(B11,Table3[],3,FALSE),IF($B$2="Sexual Orientation",VLOOKUP(B11,Table2[],3,FALSE),IF($B$2="Disability",VLOOKUP(B11,Table4[],3,FALSE),IF($B$2="Transgender",VLOOKUP(B11,Table5[],3,FALSE),IF($B$2="Total Offences",VLOOKUP(B11,Table6[],3,FALSE),""))))))</f>
        <v>245</v>
      </c>
      <c r="J11" s="74">
        <f t="shared" si="2"/>
        <v>30.153846153846153</v>
      </c>
      <c r="K11" s="56">
        <f t="shared" si="3"/>
        <v>39</v>
      </c>
      <c r="L11" s="56"/>
      <c r="M11" s="71">
        <v>817300</v>
      </c>
      <c r="N11" s="71">
        <f>IF($B$2="Race",VLOOKUP(B11,Table1[],4,FALSE),IF($B$2="Religion",VLOOKUP(B11,Table3[],4,FALSE),IF($B$2="Sexual Orientation",VLOOKUP(B11,Table2[],4,FALSE),IF($B$2="Disability",VLOOKUP(B11,Table4[],4,FALSE),IF($B$2="Transgender",VLOOKUP(B11,Table5[],4,FALSE),IF($B$2="Total Offences",VLOOKUP(B11,Table6[],4,FALSE),""))))))</f>
        <v>317</v>
      </c>
      <c r="O11" s="74">
        <f t="shared" si="4"/>
        <v>38.78624739997553</v>
      </c>
      <c r="P11" s="56">
        <f t="shared" si="5"/>
        <v>35</v>
      </c>
      <c r="Q11" s="56"/>
      <c r="R11" s="71">
        <v>825700</v>
      </c>
      <c r="S11" s="71">
        <f>IF($B$2="Race",VLOOKUP(B11,Table1[],5,FALSE),IF($B$2="Religion",VLOOKUP(B11,Table3[],5,FALSE),IF($B$2="Sexual Orientation",VLOOKUP(B11,Table2[],5,FALSE),IF($B$2="Disability",VLOOKUP(B11,Table4[],5,FALSE),IF($B$2="Transgender",VLOOKUP(B11,Table5[],5,FALSE),IF($B$2="Total Offences",VLOOKUP(B11,Table6[],5,FALSE),""))))))</f>
        <v>459</v>
      </c>
      <c r="T11" s="74">
        <f t="shared" si="6"/>
        <v>55.589197044931574</v>
      </c>
      <c r="U11" s="56">
        <f t="shared" si="7"/>
        <v>27</v>
      </c>
      <c r="V11" s="56"/>
      <c r="W11" s="71">
        <v>835200</v>
      </c>
      <c r="X11" s="71">
        <f>IF($B$2="Race",VLOOKUP(B11,Table1[],6,FALSE),IF($B$2="Religion",VLOOKUP(B11,Table3[],6,FALSE),IF($B$2="Sexual Orientation",VLOOKUP(B11,Table2[],6,FALSE),IF($B$2="Disability",VLOOKUP(B11,Table4[],6,FALSE),IF($B$2="Transgender",VLOOKUP(B11,Table5[],6,FALSE),IF($B$2="Total Offences",VLOOKUP(B11,Table6[],6,FALSE),""))))))</f>
        <v>546</v>
      </c>
      <c r="Y11" s="74">
        <f t="shared" si="8"/>
        <v>65.3735632183908</v>
      </c>
      <c r="Z11" s="56">
        <f t="shared" si="9"/>
        <v>26</v>
      </c>
      <c r="AA11" s="56"/>
      <c r="AB11" s="71">
        <v>841300</v>
      </c>
      <c r="AC11" s="71">
        <f>IF($B$2="Race",VLOOKUP(B11,Table1[],7,FALSE),IF($B$2="Religion",VLOOKUP(B11,Table3[],7,FALSE),IF($B$2="Sexual Orientation",VLOOKUP(B11,Table2[],7,FALSE),IF($B$2="Disability",VLOOKUP(B11,Table4[],7,FALSE),IF($B$2="Transgender",VLOOKUP(B11,Table5[],7,FALSE),IF($B$2="Total Offences",VLOOKUP(B11,Table6[],7,FALSE),""))))))</f>
        <v>962</v>
      </c>
      <c r="AD11" s="74">
        <f t="shared" si="10"/>
        <v>114.34684416973731</v>
      </c>
      <c r="AE11" s="56">
        <f t="shared" si="11"/>
        <v>16</v>
      </c>
      <c r="AF11" s="56"/>
      <c r="AG11" s="71">
        <v>847200</v>
      </c>
      <c r="AH11" s="71">
        <f>IF($B$2="Race",VLOOKUP(B11,Table1[],8,FALSE),IF($B$2="Religion",VLOOKUP(B11,Table3[],8,FALSE),IF($B$2="Sexual Orientation",VLOOKUP(B11,Table2[],8,FALSE),IF($B$2="Disability",VLOOKUP(B11,Table4[],8,FALSE),IF($B$2="Transgender",VLOOKUP(B11,Table5[],8,FALSE),IF($B$2="Total Offences",VLOOKUP(B11,Table6[],8,FALSE),""))))))</f>
        <v>1095</v>
      </c>
      <c r="AI11" s="74">
        <f t="shared" si="12"/>
        <v>129.24929178470256</v>
      </c>
      <c r="AJ11" s="56">
        <f t="shared" si="13"/>
        <v>22</v>
      </c>
      <c r="AK11" s="56"/>
      <c r="AL11" s="71">
        <v>852500</v>
      </c>
      <c r="AM11" s="71">
        <f>IF($B$2="Race",VLOOKUP(B11,Table1[],9,FALSE),IF($B$2="Religion",VLOOKUP(B11,Table3[],9,FALSE),IF($B$2="Sexual Orientation",VLOOKUP(B11,Table2[],9,FALSE),IF($B$2="Disability",VLOOKUP(B11,Table4[],9,FALSE),IF($B$2="Transgender",VLOOKUP(B11,Table5[],9,FALSE),IF($B$2="Total Offences",VLOOKUP(B11,Table6[],9,FALSE),""))))))</f>
        <v>980</v>
      </c>
      <c r="AN11" s="74">
        <f t="shared" si="14"/>
        <v>114.95601173020528</v>
      </c>
      <c r="AO11" s="56">
        <f t="shared" si="15"/>
        <v>30</v>
      </c>
      <c r="AP11" s="56"/>
      <c r="AQ11" s="71">
        <v>855800</v>
      </c>
      <c r="AR11" s="71">
        <f>IF($B$2="Race",VLOOKUP(B11,Table1[],10,FALSE),IF($B$2="Religion",VLOOKUP(B11,Table3[],10,FALSE),IF($B$2="Sexual Orientation",VLOOKUP(B11,Table2[],10,FALSE),IF($B$2="Disability",VLOOKUP(B11,Table4[],10,FALSE),IF($B$2="Transgender",VLOOKUP(B11,Table5[],10,FALSE),IF($B$2="Total Offences",VLOOKUP(B11,Table6[],10,FALSE),""))))))</f>
        <v>1322</v>
      </c>
      <c r="AS11" s="74">
        <f t="shared" si="16"/>
        <v>154.47534470670718</v>
      </c>
      <c r="AT11" s="56">
        <f t="shared" si="17"/>
        <v>18</v>
      </c>
      <c r="AU11" s="56"/>
      <c r="AV11" s="71">
        <v>859800</v>
      </c>
      <c r="AW11" s="71">
        <f>IF($B$2="Race",VLOOKUP(B11,Table1[],11,FALSE),IF($B$2="Religion",VLOOKUP(B11,Table3[],11,FALSE),IF($B$2="Sexual Orientation",VLOOKUP(B11,Table2[],11,FALSE),IF($B$2="Disability",VLOOKUP(B11,Table4[],11,FALSE),IF($B$2="Transgender",VLOOKUP(B11,Table5[],11,FALSE),IF($B$2="Total Offences",VLOOKUP(B11,Table6[],11,FALSE),""))))))</f>
        <v>1371</v>
      </c>
      <c r="AX11" s="74">
        <f t="shared" si="18"/>
        <v>159.45568736915561</v>
      </c>
      <c r="AY11" s="56">
        <f t="shared" si="19"/>
        <v>24</v>
      </c>
      <c r="AZ11" s="56"/>
    </row>
    <row r="12" spans="1:56" x14ac:dyDescent="0.35">
      <c r="A12" s="56"/>
      <c r="B12" s="56" t="s">
        <v>12</v>
      </c>
      <c r="C12" s="71">
        <v>1028600</v>
      </c>
      <c r="D12" s="57" t="str">
        <f>IF($B$2="Race",VLOOKUP(B12,Table1[],2,FALSE),IF($B$2="Religion",VLOOKUP(B12,Table3[],2,FALSE),IF($B$2="Sexual Orientation",VLOOKUP(B12,Table2[],2,FALSE),IF($B$2="Disability",VLOOKUP(B12,Table4[],2,FALSE),IF($B$2="Transgender",VLOOKUP(B12,Table5[],2,FALSE),IF($B$2="Total Offences",VLOOKUP(B12,Table6[],2,FALSE),""))))))</f>
        <v>N/A</v>
      </c>
      <c r="E12" s="72" t="str">
        <f t="shared" si="0"/>
        <v>N/A</v>
      </c>
      <c r="F12" s="73" t="str">
        <f t="shared" si="1"/>
        <v>N/A</v>
      </c>
      <c r="G12" s="56"/>
      <c r="H12" s="71">
        <v>1032200</v>
      </c>
      <c r="I12" s="71">
        <f>IF($B$2="Race",VLOOKUP(B12,Table1[],3,FALSE),IF($B$2="Religion",VLOOKUP(B12,Table3[],3,FALSE),IF($B$2="Sexual Orientation",VLOOKUP(B12,Table2[],3,FALSE),IF($B$2="Disability",VLOOKUP(B12,Table4[],3,FALSE),IF($B$2="Transgender",VLOOKUP(B12,Table5[],3,FALSE),IF($B$2="Total Offences",VLOOKUP(B12,Table6[],3,FALSE),""))))))</f>
        <v>539</v>
      </c>
      <c r="J12" s="74">
        <f t="shared" si="2"/>
        <v>52.218562294129043</v>
      </c>
      <c r="K12" s="56">
        <f t="shared" si="3"/>
        <v>22</v>
      </c>
      <c r="L12" s="56"/>
      <c r="M12" s="71">
        <v>1035300</v>
      </c>
      <c r="N12" s="71">
        <f>IF($B$2="Race",VLOOKUP(B12,Table1[],4,FALSE),IF($B$2="Religion",VLOOKUP(B12,Table3[],4,FALSE),IF($B$2="Sexual Orientation",VLOOKUP(B12,Table2[],4,FALSE),IF($B$2="Disability",VLOOKUP(B12,Table4[],4,FALSE),IF($B$2="Transgender",VLOOKUP(B12,Table5[],4,FALSE),IF($B$2="Total Offences",VLOOKUP(B12,Table6[],4,FALSE),""))))))</f>
        <v>670</v>
      </c>
      <c r="O12" s="74">
        <f t="shared" si="4"/>
        <v>64.715541388969385</v>
      </c>
      <c r="P12" s="56">
        <f t="shared" si="5"/>
        <v>13</v>
      </c>
      <c r="Q12" s="56"/>
      <c r="R12" s="71">
        <v>1040100</v>
      </c>
      <c r="S12" s="71">
        <f>IF($B$2="Race",VLOOKUP(B12,Table1[],5,FALSE),IF($B$2="Religion",VLOOKUP(B12,Table3[],5,FALSE),IF($B$2="Sexual Orientation",VLOOKUP(B12,Table2[],5,FALSE),IF($B$2="Disability",VLOOKUP(B12,Table4[],5,FALSE),IF($B$2="Transgender",VLOOKUP(B12,Table5[],5,FALSE),IF($B$2="Total Offences",VLOOKUP(B12,Table6[],5,FALSE),""))))))</f>
        <v>675</v>
      </c>
      <c r="T12" s="74">
        <f t="shared" si="6"/>
        <v>64.897605999423135</v>
      </c>
      <c r="U12" s="56">
        <f t="shared" si="7"/>
        <v>19</v>
      </c>
      <c r="V12" s="56"/>
      <c r="W12" s="71">
        <v>1044200</v>
      </c>
      <c r="X12" s="71">
        <f>IF($B$2="Race",VLOOKUP(B12,Table1[],6,FALSE),IF($B$2="Religion",VLOOKUP(B12,Table3[],6,FALSE),IF($B$2="Sexual Orientation",VLOOKUP(B12,Table2[],6,FALSE),IF($B$2="Disability",VLOOKUP(B12,Table4[],6,FALSE),IF($B$2="Transgender",VLOOKUP(B12,Table5[],6,FALSE),IF($B$2="Total Offences",VLOOKUP(B12,Table6[],6,FALSE),""))))))</f>
        <v>784</v>
      </c>
      <c r="Y12" s="74">
        <f t="shared" si="8"/>
        <v>75.081402030262396</v>
      </c>
      <c r="Z12" s="56">
        <f t="shared" si="9"/>
        <v>18</v>
      </c>
      <c r="AA12" s="56"/>
      <c r="AB12" s="71">
        <v>1049300</v>
      </c>
      <c r="AC12" s="71">
        <f>IF($B$2="Race",VLOOKUP(B12,Table1[],7,FALSE),IF($B$2="Religion",VLOOKUP(B12,Table3[],7,FALSE),IF($B$2="Sexual Orientation",VLOOKUP(B12,Table2[],7,FALSE),IF($B$2="Disability",VLOOKUP(B12,Table4[],7,FALSE),IF($B$2="Transgender",VLOOKUP(B12,Table5[],7,FALSE),IF($B$2="Total Offences",VLOOKUP(B12,Table6[],7,FALSE),""))))))</f>
        <v>1131</v>
      </c>
      <c r="AD12" s="74">
        <f t="shared" si="10"/>
        <v>107.78614314304775</v>
      </c>
      <c r="AE12" s="56">
        <f t="shared" si="11"/>
        <v>19</v>
      </c>
      <c r="AF12" s="56"/>
      <c r="AG12" s="71">
        <v>1054100</v>
      </c>
      <c r="AH12" s="71">
        <f>IF($B$2="Race",VLOOKUP(B12,Table1[],8,FALSE),IF($B$2="Religion",VLOOKUP(B12,Table3[],8,FALSE),IF($B$2="Sexual Orientation",VLOOKUP(B12,Table2[],8,FALSE),IF($B$2="Disability",VLOOKUP(B12,Table4[],8,FALSE),IF($B$2="Transgender",VLOOKUP(B12,Table5[],8,FALSE),IF($B$2="Total Offences",VLOOKUP(B12,Table6[],8,FALSE),""))))))</f>
        <v>1466</v>
      </c>
      <c r="AI12" s="74">
        <f t="shared" si="12"/>
        <v>139.07598899535148</v>
      </c>
      <c r="AJ12" s="56">
        <f t="shared" si="13"/>
        <v>14</v>
      </c>
      <c r="AK12" s="56"/>
      <c r="AL12" s="71">
        <v>1059300</v>
      </c>
      <c r="AM12" s="71">
        <f>IF($B$2="Race",VLOOKUP(B12,Table1[],9,FALSE),IF($B$2="Religion",VLOOKUP(B12,Table3[],9,FALSE),IF($B$2="Sexual Orientation",VLOOKUP(B12,Table2[],9,FALSE),IF($B$2="Disability",VLOOKUP(B12,Table4[],9,FALSE),IF($B$2="Transgender",VLOOKUP(B12,Table5[],9,FALSE),IF($B$2="Total Offences",VLOOKUP(B12,Table6[],9,FALSE),""))))))</f>
        <v>1657</v>
      </c>
      <c r="AN12" s="74">
        <f t="shared" si="14"/>
        <v>156.42405362031531</v>
      </c>
      <c r="AO12" s="56">
        <f t="shared" si="15"/>
        <v>13</v>
      </c>
      <c r="AP12" s="56"/>
      <c r="AQ12" s="71">
        <v>1066600</v>
      </c>
      <c r="AR12" s="71">
        <f>IF($B$2="Race",VLOOKUP(B12,Table1[],10,FALSE),IF($B$2="Religion",VLOOKUP(B12,Table3[],10,FALSE),IF($B$2="Sexual Orientation",VLOOKUP(B12,Table2[],10,FALSE),IF($B$2="Disability",VLOOKUP(B12,Table4[],10,FALSE),IF($B$2="Transgender",VLOOKUP(B12,Table5[],10,FALSE),IF($B$2="Total Offences",VLOOKUP(B12,Table6[],10,FALSE),""))))))</f>
        <v>2015</v>
      </c>
      <c r="AS12" s="74">
        <f t="shared" si="16"/>
        <v>188.91805737858616</v>
      </c>
      <c r="AT12" s="56">
        <f t="shared" si="17"/>
        <v>8</v>
      </c>
      <c r="AU12" s="56"/>
      <c r="AV12" s="71">
        <v>1069600</v>
      </c>
      <c r="AW12" s="71">
        <f>IF($B$2="Race",VLOOKUP(B12,Table1[],11,FALSE),IF($B$2="Religion",VLOOKUP(B12,Table3[],11,FALSE),IF($B$2="Sexual Orientation",VLOOKUP(B12,Table2[],11,FALSE),IF($B$2="Disability",VLOOKUP(B12,Table4[],11,FALSE),IF($B$2="Transgender",VLOOKUP(B12,Table5[],11,FALSE),IF($B$2="Total Offences",VLOOKUP(B12,Table6[],11,FALSE),""))))))</f>
        <v>2052</v>
      </c>
      <c r="AX12" s="74">
        <f t="shared" si="18"/>
        <v>191.84741959611071</v>
      </c>
      <c r="AY12" s="56">
        <f t="shared" si="19"/>
        <v>13</v>
      </c>
      <c r="AZ12" s="56"/>
    </row>
    <row r="13" spans="1:56" x14ac:dyDescent="0.35">
      <c r="A13" s="56"/>
      <c r="B13" s="56" t="s">
        <v>13</v>
      </c>
      <c r="C13" s="71">
        <v>557500</v>
      </c>
      <c r="D13" s="57" t="str">
        <f>IF($B$2="Race",VLOOKUP(B13,Table1[],2,FALSE),IF($B$2="Religion",VLOOKUP(B13,Table3[],2,FALSE),IF($B$2="Sexual Orientation",VLOOKUP(B13,Table2[],2,FALSE),IF($B$2="Disability",VLOOKUP(B13,Table4[],2,FALSE),IF($B$2="Transgender",VLOOKUP(B13,Table5[],2,FALSE),IF($B$2="Total Offences",VLOOKUP(B13,Table6[],2,FALSE),""))))))</f>
        <v>N/A</v>
      </c>
      <c r="E13" s="72" t="str">
        <f t="shared" si="0"/>
        <v>N/A</v>
      </c>
      <c r="F13" s="73" t="str">
        <f t="shared" si="1"/>
        <v>N/A</v>
      </c>
      <c r="G13" s="56"/>
      <c r="H13" s="71">
        <v>558500</v>
      </c>
      <c r="I13" s="71">
        <f>IF($B$2="Race",VLOOKUP(B13,Table1[],3,FALSE),IF($B$2="Religion",VLOOKUP(B13,Table3[],3,FALSE),IF($B$2="Sexual Orientation",VLOOKUP(B13,Table2[],3,FALSE),IF($B$2="Disability",VLOOKUP(B13,Table4[],3,FALSE),IF($B$2="Transgender",VLOOKUP(B13,Table5[],3,FALSE),IF($B$2="Total Offences",VLOOKUP(B13,Table6[],3,FALSE),""))))))</f>
        <v>359</v>
      </c>
      <c r="J13" s="74">
        <f t="shared" si="2"/>
        <v>64.279319606087739</v>
      </c>
      <c r="K13" s="56">
        <f t="shared" si="3"/>
        <v>13</v>
      </c>
      <c r="L13" s="56"/>
      <c r="M13" s="71">
        <v>560000</v>
      </c>
      <c r="N13" s="71">
        <f>IF($B$2="Race",VLOOKUP(B13,Table1[],4,FALSE),IF($B$2="Religion",VLOOKUP(B13,Table3[],4,FALSE),IF($B$2="Sexual Orientation",VLOOKUP(B13,Table2[],4,FALSE),IF($B$2="Disability",VLOOKUP(B13,Table4[],4,FALSE),IF($B$2="Transgender",VLOOKUP(B13,Table5[],4,FALSE),IF($B$2="Total Offences",VLOOKUP(B13,Table6[],4,FALSE),""))))))</f>
        <v>353</v>
      </c>
      <c r="O13" s="74">
        <f t="shared" si="4"/>
        <v>63.035714285714292</v>
      </c>
      <c r="P13" s="56">
        <f t="shared" si="5"/>
        <v>14</v>
      </c>
      <c r="Q13" s="56"/>
      <c r="R13" s="71">
        <v>561100</v>
      </c>
      <c r="S13" s="71">
        <f>IF($B$2="Race",VLOOKUP(B13,Table1[],5,FALSE),IF($B$2="Religion",VLOOKUP(B13,Table3[],5,FALSE),IF($B$2="Sexual Orientation",VLOOKUP(B13,Table2[],5,FALSE),IF($B$2="Disability",VLOOKUP(B13,Table4[],5,FALSE),IF($B$2="Transgender",VLOOKUP(B13,Table5[],5,FALSE),IF($B$2="Total Offences",VLOOKUP(B13,Table6[],5,FALSE),""))))))</f>
        <v>481</v>
      </c>
      <c r="T13" s="74">
        <f t="shared" si="6"/>
        <v>85.724469791481027</v>
      </c>
      <c r="U13" s="56">
        <f t="shared" si="7"/>
        <v>9</v>
      </c>
      <c r="V13" s="56"/>
      <c r="W13" s="71">
        <v>562300</v>
      </c>
      <c r="X13" s="71">
        <f>IF($B$2="Race",VLOOKUP(B13,Table1[],6,FALSE),IF($B$2="Religion",VLOOKUP(B13,Table3[],6,FALSE),IF($B$2="Sexual Orientation",VLOOKUP(B13,Table2[],6,FALSE),IF($B$2="Disability",VLOOKUP(B13,Table4[],6,FALSE),IF($B$2="Transgender",VLOOKUP(B13,Table5[],6,FALSE),IF($B$2="Total Offences",VLOOKUP(B13,Table6[],6,FALSE),""))))))</f>
        <v>566</v>
      </c>
      <c r="Y13" s="74">
        <f t="shared" si="8"/>
        <v>100.65801173750667</v>
      </c>
      <c r="Z13" s="56">
        <f t="shared" si="9"/>
        <v>9</v>
      </c>
      <c r="AA13" s="56"/>
      <c r="AB13" s="71">
        <v>564600</v>
      </c>
      <c r="AC13" s="71">
        <f>IF($B$2="Race",VLOOKUP(B13,Table1[],7,FALSE),IF($B$2="Religion",VLOOKUP(B13,Table3[],7,FALSE),IF($B$2="Sexual Orientation",VLOOKUP(B13,Table2[],7,FALSE),IF($B$2="Disability",VLOOKUP(B13,Table4[],7,FALSE),IF($B$2="Transgender",VLOOKUP(B13,Table5[],7,FALSE),IF($B$2="Total Offences",VLOOKUP(B13,Table6[],7,FALSE),""))))))</f>
        <v>754</v>
      </c>
      <c r="AD13" s="74">
        <f t="shared" si="10"/>
        <v>133.54587318455543</v>
      </c>
      <c r="AE13" s="56">
        <f t="shared" si="11"/>
        <v>9</v>
      </c>
      <c r="AF13" s="56"/>
      <c r="AG13" s="71">
        <v>566200</v>
      </c>
      <c r="AH13" s="71">
        <f>IF($B$2="Race",VLOOKUP(B13,Table1[],8,FALSE),IF($B$2="Religion",VLOOKUP(B13,Table3[],8,FALSE),IF($B$2="Sexual Orientation",VLOOKUP(B13,Table2[],8,FALSE),IF($B$2="Disability",VLOOKUP(B13,Table4[],8,FALSE),IF($B$2="Transgender",VLOOKUP(B13,Table5[],8,FALSE),IF($B$2="Total Offences",VLOOKUP(B13,Table6[],8,FALSE),""))))))</f>
        <v>878</v>
      </c>
      <c r="AI13" s="74">
        <f t="shared" si="12"/>
        <v>155.0688802543271</v>
      </c>
      <c r="AJ13" s="56">
        <f t="shared" si="13"/>
        <v>10</v>
      </c>
      <c r="AK13" s="56"/>
      <c r="AL13" s="71">
        <v>567700</v>
      </c>
      <c r="AM13" s="71">
        <f>IF($B$2="Race",VLOOKUP(B13,Table1[],9,FALSE),IF($B$2="Religion",VLOOKUP(B13,Table3[],9,FALSE),IF($B$2="Sexual Orientation",VLOOKUP(B13,Table2[],9,FALSE),IF($B$2="Disability",VLOOKUP(B13,Table4[],9,FALSE),IF($B$2="Transgender",VLOOKUP(B13,Table5[],9,FALSE),IF($B$2="Total Offences",VLOOKUP(B13,Table6[],9,FALSE),""))))))</f>
        <v>894</v>
      </c>
      <c r="AN13" s="74">
        <f t="shared" si="14"/>
        <v>157.47754095472962</v>
      </c>
      <c r="AO13" s="56">
        <f t="shared" si="15"/>
        <v>12</v>
      </c>
      <c r="AP13" s="56"/>
      <c r="AQ13" s="71">
        <v>569100</v>
      </c>
      <c r="AR13" s="71">
        <f>IF($B$2="Race",VLOOKUP(B13,Table1[],10,FALSE),IF($B$2="Religion",VLOOKUP(B13,Table3[],10,FALSE),IF($B$2="Sexual Orientation",VLOOKUP(B13,Table2[],10,FALSE),IF($B$2="Disability",VLOOKUP(B13,Table4[],10,FALSE),IF($B$2="Transgender",VLOOKUP(B13,Table5[],10,FALSE),IF($B$2="Total Offences",VLOOKUP(B13,Table6[],10,FALSE),""))))))</f>
        <v>933</v>
      </c>
      <c r="AS13" s="74">
        <f t="shared" si="16"/>
        <v>163.94306800210859</v>
      </c>
      <c r="AT13" s="56">
        <f t="shared" si="17"/>
        <v>14</v>
      </c>
      <c r="AU13" s="56"/>
      <c r="AV13" s="71">
        <v>569800</v>
      </c>
      <c r="AW13" s="71">
        <f>IF($B$2="Race",VLOOKUP(B13,Table1[],11,FALSE),IF($B$2="Religion",VLOOKUP(B13,Table3[],11,FALSE),IF($B$2="Sexual Orientation",VLOOKUP(B13,Table2[],11,FALSE),IF($B$2="Disability",VLOOKUP(B13,Table4[],11,FALSE),IF($B$2="Transgender",VLOOKUP(B13,Table5[],11,FALSE),IF($B$2="Total Offences",VLOOKUP(B13,Table6[],11,FALSE),""))))))</f>
        <v>1047</v>
      </c>
      <c r="AX13" s="74">
        <f t="shared" si="18"/>
        <v>183.74868374868373</v>
      </c>
      <c r="AY13" s="56">
        <f t="shared" si="19"/>
        <v>14</v>
      </c>
      <c r="AZ13" s="56"/>
    </row>
    <row r="14" spans="1:56" x14ac:dyDescent="0.35">
      <c r="A14" s="56"/>
      <c r="B14" s="56" t="s">
        <v>14</v>
      </c>
      <c r="C14" s="71">
        <v>499800</v>
      </c>
      <c r="D14" s="57" t="str">
        <f>IF($B$2="Race",VLOOKUP(B14,Table1[],2,FALSE),IF($B$2="Religion",VLOOKUP(B14,Table3[],2,FALSE),IF($B$2="Sexual Orientation",VLOOKUP(B14,Table2[],2,FALSE),IF($B$2="Disability",VLOOKUP(B14,Table4[],2,FALSE),IF($B$2="Transgender",VLOOKUP(B14,Table5[],2,FALSE),IF($B$2="Total Offences",VLOOKUP(B14,Table6[],2,FALSE),""))))))</f>
        <v>N/A</v>
      </c>
      <c r="E14" s="72" t="str">
        <f t="shared" si="0"/>
        <v>N/A</v>
      </c>
      <c r="F14" s="73" t="str">
        <f t="shared" si="1"/>
        <v>N/A</v>
      </c>
      <c r="G14" s="56"/>
      <c r="H14" s="71">
        <v>499200</v>
      </c>
      <c r="I14" s="71">
        <f>IF($B$2="Race",VLOOKUP(B14,Table1[],3,FALSE),IF($B$2="Religion",VLOOKUP(B14,Table3[],3,FALSE),IF($B$2="Sexual Orientation",VLOOKUP(B14,Table2[],3,FALSE),IF($B$2="Disability",VLOOKUP(B14,Table4[],3,FALSE),IF($B$2="Transgender",VLOOKUP(B14,Table5[],3,FALSE),IF($B$2="Total Offences",VLOOKUP(B14,Table6[],3,FALSE),""))))))</f>
        <v>206</v>
      </c>
      <c r="J14" s="74">
        <f t="shared" si="2"/>
        <v>41.266025641025635</v>
      </c>
      <c r="K14" s="56">
        <f t="shared" si="3"/>
        <v>33</v>
      </c>
      <c r="L14" s="56"/>
      <c r="M14" s="71">
        <v>498500</v>
      </c>
      <c r="N14" s="71">
        <f>IF($B$2="Race",VLOOKUP(B14,Table1[],4,FALSE),IF($B$2="Religion",VLOOKUP(B14,Table3[],4,FALSE),IF($B$2="Sexual Orientation",VLOOKUP(B14,Table2[],4,FALSE),IF($B$2="Disability",VLOOKUP(B14,Table4[],4,FALSE),IF($B$2="Transgender",VLOOKUP(B14,Table5[],4,FALSE),IF($B$2="Total Offences",VLOOKUP(B14,Table6[],4,FALSE),""))))))</f>
        <v>236</v>
      </c>
      <c r="O14" s="74">
        <f t="shared" si="4"/>
        <v>47.342026078234703</v>
      </c>
      <c r="P14" s="56">
        <f t="shared" si="5"/>
        <v>27</v>
      </c>
      <c r="Q14" s="56"/>
      <c r="R14" s="71">
        <v>498400</v>
      </c>
      <c r="S14" s="71">
        <f>IF($B$2="Race",VLOOKUP(B14,Table1[],5,FALSE),IF($B$2="Religion",VLOOKUP(B14,Table3[],5,FALSE),IF($B$2="Sexual Orientation",VLOOKUP(B14,Table2[],5,FALSE),IF($B$2="Disability",VLOOKUP(B14,Table4[],5,FALSE),IF($B$2="Transgender",VLOOKUP(B14,Table5[],5,FALSE),IF($B$2="Total Offences",VLOOKUP(B14,Table6[],5,FALSE),""))))))</f>
        <v>319</v>
      </c>
      <c r="T14" s="74">
        <f t="shared" si="6"/>
        <v>64.004815409309799</v>
      </c>
      <c r="U14" s="56">
        <f t="shared" si="7"/>
        <v>20</v>
      </c>
      <c r="V14" s="56"/>
      <c r="W14" s="71">
        <v>498600</v>
      </c>
      <c r="X14" s="71">
        <f>IF($B$2="Race",VLOOKUP(B14,Table1[],6,FALSE),IF($B$2="Religion",VLOOKUP(B14,Table3[],6,FALSE),IF($B$2="Sexual Orientation",VLOOKUP(B14,Table2[],6,FALSE),IF($B$2="Disability",VLOOKUP(B14,Table4[],6,FALSE),IF($B$2="Transgender",VLOOKUP(B14,Table5[],6,FALSE),IF($B$2="Total Offences",VLOOKUP(B14,Table6[],6,FALSE),""))))))</f>
        <v>363</v>
      </c>
      <c r="Y14" s="74">
        <f t="shared" si="8"/>
        <v>72.803850782190139</v>
      </c>
      <c r="Z14" s="56">
        <f t="shared" si="9"/>
        <v>20</v>
      </c>
      <c r="AA14" s="56"/>
      <c r="AB14" s="71">
        <v>498800</v>
      </c>
      <c r="AC14" s="71">
        <f>IF($B$2="Race",VLOOKUP(B14,Table1[],7,FALSE),IF($B$2="Religion",VLOOKUP(B14,Table3[],7,FALSE),IF($B$2="Sexual Orientation",VLOOKUP(B14,Table2[],7,FALSE),IF($B$2="Disability",VLOOKUP(B14,Table4[],7,FALSE),IF($B$2="Transgender",VLOOKUP(B14,Table5[],7,FALSE),IF($B$2="Total Offences",VLOOKUP(B14,Table6[],7,FALSE),""))))))</f>
        <v>315</v>
      </c>
      <c r="AD14" s="74">
        <f t="shared" si="10"/>
        <v>63.151563753007217</v>
      </c>
      <c r="AE14" s="56">
        <f t="shared" si="11"/>
        <v>35</v>
      </c>
      <c r="AF14" s="56"/>
      <c r="AG14" s="71">
        <v>498400</v>
      </c>
      <c r="AH14" s="71">
        <f>IF($B$2="Race",VLOOKUP(B14,Table1[],8,FALSE),IF($B$2="Religion",VLOOKUP(B14,Table3[],8,FALSE),IF($B$2="Sexual Orientation",VLOOKUP(B14,Table2[],8,FALSE),IF($B$2="Disability",VLOOKUP(B14,Table4[],8,FALSE),IF($B$2="Transgender",VLOOKUP(B14,Table5[],8,FALSE),IF($B$2="Total Offences",VLOOKUP(B14,Table6[],8,FALSE),""))))))</f>
        <v>426</v>
      </c>
      <c r="AI14" s="74">
        <f t="shared" si="12"/>
        <v>85.473515248796147</v>
      </c>
      <c r="AJ14" s="56">
        <f t="shared" si="13"/>
        <v>34</v>
      </c>
      <c r="AK14" s="56"/>
      <c r="AL14" s="71">
        <v>498900</v>
      </c>
      <c r="AM14" s="71">
        <f>IF($B$2="Race",VLOOKUP(B14,Table1[],9,FALSE),IF($B$2="Religion",VLOOKUP(B14,Table3[],9,FALSE),IF($B$2="Sexual Orientation",VLOOKUP(B14,Table2[],9,FALSE),IF($B$2="Disability",VLOOKUP(B14,Table4[],9,FALSE),IF($B$2="Transgender",VLOOKUP(B14,Table5[],9,FALSE),IF($B$2="Total Offences",VLOOKUP(B14,Table6[],9,FALSE),""))))))</f>
        <v>524</v>
      </c>
      <c r="AN14" s="74">
        <f t="shared" si="14"/>
        <v>105.03106835037082</v>
      </c>
      <c r="AO14" s="56">
        <f t="shared" si="15"/>
        <v>33</v>
      </c>
      <c r="AP14" s="56"/>
      <c r="AQ14" s="71">
        <v>500000</v>
      </c>
      <c r="AR14" s="71">
        <f>IF($B$2="Race",VLOOKUP(B14,Table1[],10,FALSE),IF($B$2="Religion",VLOOKUP(B14,Table3[],10,FALSE),IF($B$2="Sexual Orientation",VLOOKUP(B14,Table2[],10,FALSE),IF($B$2="Disability",VLOOKUP(B14,Table4[],10,FALSE),IF($B$2="Transgender",VLOOKUP(B14,Table5[],10,FALSE),IF($B$2="Total Offences",VLOOKUP(B14,Table6[],10,FALSE),""))))))</f>
        <v>674</v>
      </c>
      <c r="AS14" s="74">
        <f t="shared" si="16"/>
        <v>134.80000000000001</v>
      </c>
      <c r="AT14" s="56">
        <f t="shared" si="17"/>
        <v>24</v>
      </c>
      <c r="AU14" s="56"/>
      <c r="AV14" s="71">
        <v>499800</v>
      </c>
      <c r="AW14" s="71">
        <f>IF($B$2="Race",VLOOKUP(B14,Table1[],11,FALSE),IF($B$2="Religion",VLOOKUP(B14,Table3[],11,FALSE),IF($B$2="Sexual Orientation",VLOOKUP(B14,Table2[],11,FALSE),IF($B$2="Disability",VLOOKUP(B14,Table4[],11,FALSE),IF($B$2="Transgender",VLOOKUP(B14,Table5[],11,FALSE),IF($B$2="Total Offences",VLOOKUP(B14,Table6[],11,FALSE),""))))))</f>
        <v>681</v>
      </c>
      <c r="AX14" s="74">
        <f t="shared" si="18"/>
        <v>136.25450180072028</v>
      </c>
      <c r="AY14" s="56">
        <f t="shared" si="19"/>
        <v>28</v>
      </c>
      <c r="AZ14" s="56"/>
    </row>
    <row r="15" spans="1:56" x14ac:dyDescent="0.35">
      <c r="A15" s="56"/>
      <c r="B15" s="56" t="s">
        <v>15</v>
      </c>
      <c r="C15" s="71">
        <v>1019500</v>
      </c>
      <c r="D15" s="57" t="str">
        <f>IF($B$2="Race",VLOOKUP(B15,Table1[],2,FALSE),IF($B$2="Religion",VLOOKUP(B15,Table3[],2,FALSE),IF($B$2="Sexual Orientation",VLOOKUP(B15,Table2[],2,FALSE),IF($B$2="Disability",VLOOKUP(B15,Table4[],2,FALSE),IF($B$2="Transgender",VLOOKUP(B15,Table5[],2,FALSE),IF($B$2="Total Offences",VLOOKUP(B15,Table6[],2,FALSE),""))))))</f>
        <v>N/A</v>
      </c>
      <c r="E15" s="72" t="str">
        <f t="shared" si="0"/>
        <v>N/A</v>
      </c>
      <c r="F15" s="73" t="str">
        <f t="shared" si="1"/>
        <v>N/A</v>
      </c>
      <c r="G15" s="56"/>
      <c r="H15" s="71">
        <v>1024300</v>
      </c>
      <c r="I15" s="71">
        <f>IF($B$2="Race",VLOOKUP(B15,Table1[],3,FALSE),IF($B$2="Religion",VLOOKUP(B15,Table3[],3,FALSE),IF($B$2="Sexual Orientation",VLOOKUP(B15,Table2[],3,FALSE),IF($B$2="Disability",VLOOKUP(B15,Table4[],3,FALSE),IF($B$2="Transgender",VLOOKUP(B15,Table5[],3,FALSE),IF($B$2="Total Offences",VLOOKUP(B15,Table6[],3,FALSE),""))))))</f>
        <v>511</v>
      </c>
      <c r="J15" s="74">
        <f t="shared" si="2"/>
        <v>49.887728204627557</v>
      </c>
      <c r="K15" s="56">
        <f t="shared" si="3"/>
        <v>23</v>
      </c>
      <c r="L15" s="56"/>
      <c r="M15" s="71">
        <v>1028000</v>
      </c>
      <c r="N15" s="71">
        <f>IF($B$2="Race",VLOOKUP(B15,Table1[],4,FALSE),IF($B$2="Religion",VLOOKUP(B15,Table3[],4,FALSE),IF($B$2="Sexual Orientation",VLOOKUP(B15,Table2[],4,FALSE),IF($B$2="Disability",VLOOKUP(B15,Table4[],4,FALSE),IF($B$2="Transgender",VLOOKUP(B15,Table5[],4,FALSE),IF($B$2="Total Offences",VLOOKUP(B15,Table6[],4,FALSE),""))))))</f>
        <v>419</v>
      </c>
      <c r="O15" s="74">
        <f t="shared" si="4"/>
        <v>40.75875486381323</v>
      </c>
      <c r="P15" s="56">
        <f t="shared" si="5"/>
        <v>33</v>
      </c>
      <c r="Q15" s="56"/>
      <c r="R15" s="71">
        <v>1032700</v>
      </c>
      <c r="S15" s="71">
        <f>IF($B$2="Race",VLOOKUP(B15,Table1[],5,FALSE),IF($B$2="Religion",VLOOKUP(B15,Table3[],5,FALSE),IF($B$2="Sexual Orientation",VLOOKUP(B15,Table2[],5,FALSE),IF($B$2="Disability",VLOOKUP(B15,Table4[],5,FALSE),IF($B$2="Transgender",VLOOKUP(B15,Table5[],5,FALSE),IF($B$2="Total Offences",VLOOKUP(B15,Table6[],5,FALSE),""))))))</f>
        <v>469</v>
      </c>
      <c r="T15" s="74">
        <f t="shared" si="6"/>
        <v>45.414931732352088</v>
      </c>
      <c r="U15" s="56">
        <f t="shared" si="7"/>
        <v>34</v>
      </c>
      <c r="V15" s="56"/>
      <c r="W15" s="71">
        <v>1037000</v>
      </c>
      <c r="X15" s="71">
        <f>IF($B$2="Race",VLOOKUP(B15,Table1[],6,FALSE),IF($B$2="Religion",VLOOKUP(B15,Table3[],6,FALSE),IF($B$2="Sexual Orientation",VLOOKUP(B15,Table2[],6,FALSE),IF($B$2="Disability",VLOOKUP(B15,Table4[],6,FALSE),IF($B$2="Transgender",VLOOKUP(B15,Table5[],6,FALSE),IF($B$2="Total Offences",VLOOKUP(B15,Table6[],6,FALSE),""))))))</f>
        <v>537</v>
      </c>
      <c r="Y15" s="74">
        <f t="shared" si="8"/>
        <v>51.783992285438764</v>
      </c>
      <c r="Z15" s="56">
        <f t="shared" si="9"/>
        <v>36</v>
      </c>
      <c r="AA15" s="56"/>
      <c r="AB15" s="71">
        <v>1042900</v>
      </c>
      <c r="AC15" s="71">
        <f>IF($B$2="Race",VLOOKUP(B15,Table1[],7,FALSE),IF($B$2="Religion",VLOOKUP(B15,Table3[],7,FALSE),IF($B$2="Sexual Orientation",VLOOKUP(B15,Table2[],7,FALSE),IF($B$2="Disability",VLOOKUP(B15,Table4[],7,FALSE),IF($B$2="Transgender",VLOOKUP(B15,Table5[],7,FALSE),IF($B$2="Total Offences",VLOOKUP(B15,Table6[],7,FALSE),""))))))</f>
        <v>599</v>
      </c>
      <c r="AD15" s="74">
        <f t="shared" si="10"/>
        <v>57.435995780995299</v>
      </c>
      <c r="AE15" s="56">
        <f t="shared" si="11"/>
        <v>38</v>
      </c>
      <c r="AF15" s="56"/>
      <c r="AG15" s="71">
        <v>1049000</v>
      </c>
      <c r="AH15" s="71">
        <f>IF($B$2="Race",VLOOKUP(B15,Table1[],8,FALSE),IF($B$2="Religion",VLOOKUP(B15,Table3[],8,FALSE),IF($B$2="Sexual Orientation",VLOOKUP(B15,Table2[],8,FALSE),IF($B$2="Disability",VLOOKUP(B15,Table4[],8,FALSE),IF($B$2="Transgender",VLOOKUP(B15,Table5[],8,FALSE),IF($B$2="Total Offences",VLOOKUP(B15,Table6[],8,FALSE),""))))))</f>
        <v>673</v>
      </c>
      <c r="AI15" s="74">
        <f t="shared" si="12"/>
        <v>64.156339370829372</v>
      </c>
      <c r="AJ15" s="56">
        <f t="shared" si="13"/>
        <v>39</v>
      </c>
      <c r="AK15" s="56"/>
      <c r="AL15" s="71">
        <v>1053300</v>
      </c>
      <c r="AM15" s="71">
        <f>IF($B$2="Race",VLOOKUP(B15,Table1[],9,FALSE),IF($B$2="Religion",VLOOKUP(B15,Table3[],9,FALSE),IF($B$2="Sexual Orientation",VLOOKUP(B15,Table2[],9,FALSE),IF($B$2="Disability",VLOOKUP(B15,Table4[],9,FALSE),IF($B$2="Transgender",VLOOKUP(B15,Table5[],9,FALSE),IF($B$2="Total Offences",VLOOKUP(B15,Table6[],9,FALSE),""))))))</f>
        <v>960</v>
      </c>
      <c r="AN15" s="74">
        <f t="shared" si="14"/>
        <v>91.142124750783253</v>
      </c>
      <c r="AO15" s="56">
        <f t="shared" si="15"/>
        <v>38</v>
      </c>
      <c r="AP15" s="56"/>
      <c r="AQ15" s="71">
        <v>1060000</v>
      </c>
      <c r="AR15" s="71">
        <f>IF($B$2="Race",VLOOKUP(B15,Table1[],10,FALSE),IF($B$2="Religion",VLOOKUP(B15,Table3[],10,FALSE),IF($B$2="Sexual Orientation",VLOOKUP(B15,Table2[],10,FALSE),IF($B$2="Disability",VLOOKUP(B15,Table4[],10,FALSE),IF($B$2="Transgender",VLOOKUP(B15,Table5[],10,FALSE),IF($B$2="Total Offences",VLOOKUP(B15,Table6[],10,FALSE),""))))))</f>
        <v>1359</v>
      </c>
      <c r="AS15" s="74">
        <f t="shared" si="16"/>
        <v>128.20754716981133</v>
      </c>
      <c r="AT15" s="56">
        <f t="shared" si="17"/>
        <v>27</v>
      </c>
      <c r="AU15" s="56"/>
      <c r="AV15" s="71">
        <v>1064000</v>
      </c>
      <c r="AW15" s="71">
        <f>IF($B$2="Race",VLOOKUP(B15,Table1[],11,FALSE),IF($B$2="Religion",VLOOKUP(B15,Table3[],11,FALSE),IF($B$2="Sexual Orientation",VLOOKUP(B15,Table2[],11,FALSE),IF($B$2="Disability",VLOOKUP(B15,Table4[],11,FALSE),IF($B$2="Transgender",VLOOKUP(B15,Table5[],11,FALSE),IF($B$2="Total Offences",VLOOKUP(B15,Table6[],11,FALSE),""))))))</f>
        <v>1700</v>
      </c>
      <c r="AX15" s="74">
        <f t="shared" si="18"/>
        <v>159.77443609022558</v>
      </c>
      <c r="AY15" s="56">
        <f t="shared" si="19"/>
        <v>22</v>
      </c>
      <c r="AZ15" s="56"/>
    </row>
    <row r="16" spans="1:56" x14ac:dyDescent="0.35">
      <c r="A16" s="56"/>
      <c r="B16" s="56" t="s">
        <v>16</v>
      </c>
      <c r="C16" s="71">
        <v>1671700</v>
      </c>
      <c r="D16" s="57" t="str">
        <f>IF($B$2="Race",VLOOKUP(B16,Table1[],2,FALSE),IF($B$2="Religion",VLOOKUP(B16,Table3[],2,FALSE),IF($B$2="Sexual Orientation",VLOOKUP(B16,Table2[],2,FALSE),IF($B$2="Disability",VLOOKUP(B16,Table4[],2,FALSE),IF($B$2="Transgender",VLOOKUP(B16,Table5[],2,FALSE),IF($B$2="Total Offences",VLOOKUP(B16,Table6[],2,FALSE),""))))))</f>
        <v>N/A</v>
      </c>
      <c r="E16" s="72" t="str">
        <f t="shared" si="0"/>
        <v>N/A</v>
      </c>
      <c r="F16" s="73" t="str">
        <f t="shared" si="1"/>
        <v>N/A</v>
      </c>
      <c r="G16" s="56"/>
      <c r="H16" s="71">
        <v>1682900</v>
      </c>
      <c r="I16" s="71">
        <f>IF($B$2="Race",VLOOKUP(B16,Table1[],3,FALSE),IF($B$2="Religion",VLOOKUP(B16,Table3[],3,FALSE),IF($B$2="Sexual Orientation",VLOOKUP(B16,Table2[],3,FALSE),IF($B$2="Disability",VLOOKUP(B16,Table4[],3,FALSE),IF($B$2="Transgender",VLOOKUP(B16,Table5[],3,FALSE),IF($B$2="Total Offences",VLOOKUP(B16,Table6[],3,FALSE),""))))))</f>
        <v>961</v>
      </c>
      <c r="J16" s="74">
        <f t="shared" si="2"/>
        <v>57.103808901301328</v>
      </c>
      <c r="K16" s="56">
        <f t="shared" si="3"/>
        <v>18</v>
      </c>
      <c r="L16" s="56"/>
      <c r="M16" s="71">
        <v>1692700</v>
      </c>
      <c r="N16" s="71">
        <f>IF($B$2="Race",VLOOKUP(B16,Table1[],4,FALSE),IF($B$2="Religion",VLOOKUP(B16,Table3[],4,FALSE),IF($B$2="Sexual Orientation",VLOOKUP(B16,Table2[],4,FALSE),IF($B$2="Disability",VLOOKUP(B16,Table4[],4,FALSE),IF($B$2="Transgender",VLOOKUP(B16,Table5[],4,FALSE),IF($B$2="Total Offences",VLOOKUP(B16,Table6[],4,FALSE),""))))))</f>
        <v>1037</v>
      </c>
      <c r="O16" s="74">
        <f t="shared" si="4"/>
        <v>61.263070833579491</v>
      </c>
      <c r="P16" s="56">
        <f t="shared" si="5"/>
        <v>16</v>
      </c>
      <c r="Q16" s="56"/>
      <c r="R16" s="71">
        <v>1706700</v>
      </c>
      <c r="S16" s="71">
        <f>IF($B$2="Race",VLOOKUP(B16,Table1[],5,FALSE),IF($B$2="Religion",VLOOKUP(B16,Table3[],5,FALSE),IF($B$2="Sexual Orientation",VLOOKUP(B16,Table2[],5,FALSE),IF($B$2="Disability",VLOOKUP(B16,Table4[],5,FALSE),IF($B$2="Transgender",VLOOKUP(B16,Table5[],5,FALSE),IF($B$2="Total Offences",VLOOKUP(B16,Table6[],5,FALSE),""))))))</f>
        <v>853</v>
      </c>
      <c r="T16" s="74">
        <f t="shared" si="6"/>
        <v>49.979492588035384</v>
      </c>
      <c r="U16" s="56">
        <f t="shared" si="7"/>
        <v>31</v>
      </c>
      <c r="V16" s="56"/>
      <c r="W16" s="71">
        <v>1720200</v>
      </c>
      <c r="X16" s="71">
        <f>IF($B$2="Race",VLOOKUP(B16,Table1[],6,FALSE),IF($B$2="Religion",VLOOKUP(B16,Table3[],6,FALSE),IF($B$2="Sexual Orientation",VLOOKUP(B16,Table2[],6,FALSE),IF($B$2="Disability",VLOOKUP(B16,Table4[],6,FALSE),IF($B$2="Transgender",VLOOKUP(B16,Table5[],6,FALSE),IF($B$2="Total Offences",VLOOKUP(B16,Table6[],6,FALSE),""))))))</f>
        <v>808</v>
      </c>
      <c r="Y16" s="74">
        <f t="shared" si="8"/>
        <v>46.971282409022209</v>
      </c>
      <c r="Z16" s="56">
        <f t="shared" si="9"/>
        <v>37</v>
      </c>
      <c r="AA16" s="56"/>
      <c r="AB16" s="71">
        <v>1733000</v>
      </c>
      <c r="AC16" s="71">
        <f>IF($B$2="Race",VLOOKUP(B16,Table1[],7,FALSE),IF($B$2="Religion",VLOOKUP(B16,Table3[],7,FALSE),IF($B$2="Sexual Orientation",VLOOKUP(B16,Table2[],7,FALSE),IF($B$2="Disability",VLOOKUP(B16,Table4[],7,FALSE),IF($B$2="Transgender",VLOOKUP(B16,Table5[],7,FALSE),IF($B$2="Total Offences",VLOOKUP(B16,Table6[],7,FALSE),""))))))</f>
        <v>1031</v>
      </c>
      <c r="AD16" s="74">
        <f t="shared" si="10"/>
        <v>59.492210040392379</v>
      </c>
      <c r="AE16" s="56">
        <f t="shared" si="11"/>
        <v>36</v>
      </c>
      <c r="AF16" s="56"/>
      <c r="AG16" s="71">
        <v>1749100</v>
      </c>
      <c r="AH16" s="71">
        <f>IF($B$2="Race",VLOOKUP(B16,Table1[],8,FALSE),IF($B$2="Religion",VLOOKUP(B16,Table3[],8,FALSE),IF($B$2="Sexual Orientation",VLOOKUP(B16,Table2[],8,FALSE),IF($B$2="Disability",VLOOKUP(B16,Table4[],8,FALSE),IF($B$2="Transgender",VLOOKUP(B16,Table5[],8,FALSE),IF($B$2="Total Offences",VLOOKUP(B16,Table6[],8,FALSE),""))))))</f>
        <v>1467</v>
      </c>
      <c r="AI16" s="74">
        <f t="shared" si="12"/>
        <v>83.87170544851638</v>
      </c>
      <c r="AJ16" s="56">
        <f t="shared" si="13"/>
        <v>35</v>
      </c>
      <c r="AK16" s="56"/>
      <c r="AL16" s="71">
        <v>1762400</v>
      </c>
      <c r="AM16" s="71">
        <f>IF($B$2="Race",VLOOKUP(B16,Table1[],9,FALSE),IF($B$2="Religion",VLOOKUP(B16,Table3[],9,FALSE),IF($B$2="Sexual Orientation",VLOOKUP(B16,Table2[],9,FALSE),IF($B$2="Disability",VLOOKUP(B16,Table4[],9,FALSE),IF($B$2="Transgender",VLOOKUP(B16,Table5[],9,FALSE),IF($B$2="Total Offences",VLOOKUP(B16,Table6[],9,FALSE),""))))))</f>
        <v>1693</v>
      </c>
      <c r="AN16" s="74">
        <f t="shared" si="14"/>
        <v>96.06218792555606</v>
      </c>
      <c r="AO16" s="56">
        <f t="shared" si="15"/>
        <v>35</v>
      </c>
      <c r="AP16" s="56"/>
      <c r="AQ16" s="71">
        <v>1772500</v>
      </c>
      <c r="AR16" s="71">
        <f>IF($B$2="Race",VLOOKUP(B16,Table1[],10,FALSE),IF($B$2="Religion",VLOOKUP(B16,Table3[],10,FALSE),IF($B$2="Sexual Orientation",VLOOKUP(B16,Table2[],10,FALSE),IF($B$2="Disability",VLOOKUP(B16,Table4[],10,FALSE),IF($B$2="Transgender",VLOOKUP(B16,Table5[],10,FALSE),IF($B$2="Total Offences",VLOOKUP(B16,Table6[],10,FALSE),""))))))</f>
        <v>1788</v>
      </c>
      <c r="AS16" s="74">
        <f t="shared" si="16"/>
        <v>100.87447108603666</v>
      </c>
      <c r="AT16" s="56">
        <f t="shared" si="17"/>
        <v>36</v>
      </c>
      <c r="AU16" s="56"/>
      <c r="AV16" s="71">
        <v>1785300</v>
      </c>
      <c r="AW16" s="71">
        <f>IF($B$2="Race",VLOOKUP(B16,Table1[],11,FALSE),IF($B$2="Religion",VLOOKUP(B16,Table3[],11,FALSE),IF($B$2="Sexual Orientation",VLOOKUP(B16,Table2[],11,FALSE),IF($B$2="Disability",VLOOKUP(B16,Table4[],11,FALSE),IF($B$2="Transgender",VLOOKUP(B16,Table5[],11,FALSE),IF($B$2="Total Offences",VLOOKUP(B16,Table6[],11,FALSE),""))))))</f>
        <v>1848</v>
      </c>
      <c r="AX16" s="74">
        <f t="shared" si="18"/>
        <v>103.51201478743069</v>
      </c>
      <c r="AY16" s="56">
        <f t="shared" si="19"/>
        <v>40</v>
      </c>
      <c r="AZ16" s="56"/>
    </row>
    <row r="17" spans="1:52" x14ac:dyDescent="0.35">
      <c r="A17" s="56"/>
      <c r="B17" s="56" t="s">
        <v>17</v>
      </c>
      <c r="C17" s="71">
        <v>745400</v>
      </c>
      <c r="D17" s="57" t="str">
        <f>IF($B$2="Race",VLOOKUP(B17,Table1[],2,FALSE),IF($B$2="Religion",VLOOKUP(B17,Table3[],2,FALSE),IF($B$2="Sexual Orientation",VLOOKUP(B17,Table2[],2,FALSE),IF($B$2="Disability",VLOOKUP(B17,Table4[],2,FALSE),IF($B$2="Transgender",VLOOKUP(B17,Table5[],2,FALSE),IF($B$2="Total Offences",VLOOKUP(B17,Table6[],2,FALSE),""))))))</f>
        <v>N/A</v>
      </c>
      <c r="E17" s="72" t="str">
        <f t="shared" si="0"/>
        <v>N/A</v>
      </c>
      <c r="F17" s="73" t="str">
        <f t="shared" si="1"/>
        <v>N/A</v>
      </c>
      <c r="G17" s="56"/>
      <c r="H17" s="71">
        <v>749800</v>
      </c>
      <c r="I17" s="71">
        <f>IF($B$2="Race",VLOOKUP(B17,Table1[],3,FALSE),IF($B$2="Religion",VLOOKUP(B17,Table3[],3,FALSE),IF($B$2="Sexual Orientation",VLOOKUP(B17,Table2[],3,FALSE),IF($B$2="Disability",VLOOKUP(B17,Table4[],3,FALSE),IF($B$2="Transgender",VLOOKUP(B17,Table5[],3,FALSE),IF($B$2="Total Offences",VLOOKUP(B17,Table6[],3,FALSE),""))))))</f>
        <v>181</v>
      </c>
      <c r="J17" s="74">
        <f t="shared" si="2"/>
        <v>24.1397706054948</v>
      </c>
      <c r="K17" s="56">
        <f t="shared" si="3"/>
        <v>40</v>
      </c>
      <c r="L17" s="56"/>
      <c r="M17" s="71">
        <v>753700</v>
      </c>
      <c r="N17" s="71">
        <f>IF($B$2="Race",VLOOKUP(B17,Table1[],4,FALSE),IF($B$2="Religion",VLOOKUP(B17,Table3[],4,FALSE),IF($B$2="Sexual Orientation",VLOOKUP(B17,Table2[],4,FALSE),IF($B$2="Disability",VLOOKUP(B17,Table4[],4,FALSE),IF($B$2="Transgender",VLOOKUP(B17,Table5[],4,FALSE),IF($B$2="Total Offences",VLOOKUP(B17,Table6[],4,FALSE),""))))))</f>
        <v>198</v>
      </c>
      <c r="O17" s="74">
        <f t="shared" si="4"/>
        <v>26.270399363141834</v>
      </c>
      <c r="P17" s="56">
        <f t="shared" si="5"/>
        <v>40</v>
      </c>
      <c r="Q17" s="56"/>
      <c r="R17" s="71">
        <v>757800</v>
      </c>
      <c r="S17" s="71">
        <f>IF($B$2="Race",VLOOKUP(B17,Table1[],5,FALSE),IF($B$2="Religion",VLOOKUP(B17,Table3[],5,FALSE),IF($B$2="Sexual Orientation",VLOOKUP(B17,Table2[],5,FALSE),IF($B$2="Disability",VLOOKUP(B17,Table4[],5,FALSE),IF($B$2="Transgender",VLOOKUP(B17,Table5[],5,FALSE),IF($B$2="Total Offences",VLOOKUP(B17,Table6[],5,FALSE),""))))))</f>
        <v>279</v>
      </c>
      <c r="T17" s="74">
        <f t="shared" si="6"/>
        <v>36.817102137767222</v>
      </c>
      <c r="U17" s="56">
        <f t="shared" si="7"/>
        <v>37</v>
      </c>
      <c r="V17" s="56"/>
      <c r="W17" s="71">
        <v>762500</v>
      </c>
      <c r="X17" s="71">
        <f>IF($B$2="Race",VLOOKUP(B17,Table1[],6,FALSE),IF($B$2="Religion",VLOOKUP(B17,Table3[],6,FALSE),IF($B$2="Sexual Orientation",VLOOKUP(B17,Table2[],6,FALSE),IF($B$2="Disability",VLOOKUP(B17,Table4[],6,FALSE),IF($B$2="Transgender",VLOOKUP(B17,Table5[],6,FALSE),IF($B$2="Total Offences",VLOOKUP(B17,Table6[],6,FALSE),""))))))</f>
        <v>434</v>
      </c>
      <c r="Y17" s="74">
        <f t="shared" si="8"/>
        <v>56.918032786885249</v>
      </c>
      <c r="Z17" s="56">
        <f t="shared" si="9"/>
        <v>32</v>
      </c>
      <c r="AA17" s="56"/>
      <c r="AB17" s="71">
        <v>767300</v>
      </c>
      <c r="AC17" s="71">
        <f>IF($B$2="Race",VLOOKUP(B17,Table1[],7,FALSE),IF($B$2="Religion",VLOOKUP(B17,Table3[],7,FALSE),IF($B$2="Sexual Orientation",VLOOKUP(B17,Table2[],7,FALSE),IF($B$2="Disability",VLOOKUP(B17,Table4[],7,FALSE),IF($B$2="Transgender",VLOOKUP(B17,Table5[],7,FALSE),IF($B$2="Total Offences",VLOOKUP(B17,Table6[],7,FALSE),""))))))</f>
        <v>443</v>
      </c>
      <c r="AD17" s="74">
        <f t="shared" si="10"/>
        <v>57.734914635735699</v>
      </c>
      <c r="AE17" s="56">
        <f t="shared" si="11"/>
        <v>37</v>
      </c>
      <c r="AF17" s="56"/>
      <c r="AG17" s="71">
        <v>770700</v>
      </c>
      <c r="AH17" s="71">
        <f>IF($B$2="Race",VLOOKUP(B17,Table1[],8,FALSE),IF($B$2="Religion",VLOOKUP(B17,Table3[],8,FALSE),IF($B$2="Sexual Orientation",VLOOKUP(B17,Table2[],8,FALSE),IF($B$2="Disability",VLOOKUP(B17,Table4[],8,FALSE),IF($B$2="Transgender",VLOOKUP(B17,Table5[],8,FALSE),IF($B$2="Total Offences",VLOOKUP(B17,Table6[],8,FALSE),""))))))</f>
        <v>564</v>
      </c>
      <c r="AI17" s="74">
        <f t="shared" si="12"/>
        <v>73.180225768781625</v>
      </c>
      <c r="AJ17" s="56">
        <f t="shared" si="13"/>
        <v>38</v>
      </c>
      <c r="AK17" s="56"/>
      <c r="AL17" s="71">
        <v>772300</v>
      </c>
      <c r="AM17" s="71">
        <f>IF($B$2="Race",VLOOKUP(B17,Table1[],9,FALSE),IF($B$2="Religion",VLOOKUP(B17,Table3[],9,FALSE),IF($B$2="Sexual Orientation",VLOOKUP(B17,Table2[],9,FALSE),IF($B$2="Disability",VLOOKUP(B17,Table4[],9,FALSE),IF($B$2="Transgender",VLOOKUP(B17,Table5[],9,FALSE),IF($B$2="Total Offences",VLOOKUP(B17,Table6[],9,FALSE),""))))))</f>
        <v>726</v>
      </c>
      <c r="AN17" s="74">
        <f t="shared" si="14"/>
        <v>94.004920367732751</v>
      </c>
      <c r="AO17" s="56">
        <f t="shared" si="15"/>
        <v>37</v>
      </c>
      <c r="AP17" s="56"/>
      <c r="AQ17" s="71">
        <v>773800</v>
      </c>
      <c r="AR17" s="71">
        <f>IF($B$2="Race",VLOOKUP(B17,Table1[],10,FALSE),IF($B$2="Religion",VLOOKUP(B17,Table3[],10,FALSE),IF($B$2="Sexual Orientation",VLOOKUP(B17,Table2[],10,FALSE),IF($B$2="Disability",VLOOKUP(B17,Table4[],10,FALSE),IF($B$2="Transgender",VLOOKUP(B17,Table5[],10,FALSE),IF($B$2="Total Offences",VLOOKUP(B17,Table6[],10,FALSE),""))))))</f>
        <v>747</v>
      </c>
      <c r="AS17" s="74">
        <f t="shared" si="16"/>
        <v>96.536572757818561</v>
      </c>
      <c r="AT17" s="56">
        <f t="shared" si="17"/>
        <v>39</v>
      </c>
      <c r="AU17" s="56"/>
      <c r="AV17" s="71">
        <v>776800</v>
      </c>
      <c r="AW17" s="71">
        <f>IF($B$2="Race",VLOOKUP(B17,Table1[],11,FALSE),IF($B$2="Religion",VLOOKUP(B17,Table3[],11,FALSE),IF($B$2="Sexual Orientation",VLOOKUP(B17,Table2[],11,FALSE),IF($B$2="Disability",VLOOKUP(B17,Table4[],11,FALSE),IF($B$2="Transgender",VLOOKUP(B17,Table5[],11,FALSE),IF($B$2="Total Offences",VLOOKUP(B17,Table6[],11,FALSE),""))))))</f>
        <v>1023</v>
      </c>
      <c r="AX17" s="74">
        <f t="shared" si="18"/>
        <v>131.6941297631308</v>
      </c>
      <c r="AY17" s="56">
        <f t="shared" si="19"/>
        <v>31</v>
      </c>
      <c r="AZ17" s="56"/>
    </row>
    <row r="18" spans="1:52" x14ac:dyDescent="0.35">
      <c r="A18" s="56"/>
      <c r="B18" s="56" t="s">
        <v>18</v>
      </c>
      <c r="C18" s="71">
        <v>618600</v>
      </c>
      <c r="D18" s="57" t="str">
        <f>IF($B$2="Race",VLOOKUP(B18,Table1[],2,FALSE),IF($B$2="Religion",VLOOKUP(B18,Table3[],2,FALSE),IF($B$2="Sexual Orientation",VLOOKUP(B18,Table2[],2,FALSE),IF($B$2="Disability",VLOOKUP(B18,Table4[],2,FALSE),IF($B$2="Transgender",VLOOKUP(B18,Table5[],2,FALSE),IF($B$2="Total Offences",VLOOKUP(B18,Table6[],2,FALSE),""))))))</f>
        <v>N/A</v>
      </c>
      <c r="E18" s="72" t="str">
        <f t="shared" si="0"/>
        <v>N/A</v>
      </c>
      <c r="F18" s="73" t="str">
        <f t="shared" si="1"/>
        <v>N/A</v>
      </c>
      <c r="G18" s="56"/>
      <c r="H18" s="71">
        <v>619800</v>
      </c>
      <c r="I18" s="71">
        <f>IF($B$2="Race",VLOOKUP(B18,Table1[],3,FALSE),IF($B$2="Religion",VLOOKUP(B18,Table3[],3,FALSE),IF($B$2="Sexual Orientation",VLOOKUP(B18,Table2[],3,FALSE),IF($B$2="Disability",VLOOKUP(B18,Table4[],3,FALSE),IF($B$2="Transgender",VLOOKUP(B18,Table5[],3,FALSE),IF($B$2="Total Offences",VLOOKUP(B18,Table6[],3,FALSE),""))))))</f>
        <v>249</v>
      </c>
      <c r="J18" s="74">
        <f t="shared" si="2"/>
        <v>40.174249757986445</v>
      </c>
      <c r="K18" s="56">
        <f t="shared" si="3"/>
        <v>36</v>
      </c>
      <c r="L18" s="56"/>
      <c r="M18" s="71">
        <v>621600</v>
      </c>
      <c r="N18" s="71">
        <f>IF($B$2="Race",VLOOKUP(B18,Table1[],4,FALSE),IF($B$2="Religion",VLOOKUP(B18,Table3[],4,FALSE),IF($B$2="Sexual Orientation",VLOOKUP(B18,Table2[],4,FALSE),IF($B$2="Disability",VLOOKUP(B18,Table4[],4,FALSE),IF($B$2="Transgender",VLOOKUP(B18,Table5[],4,FALSE),IF($B$2="Total Offences",VLOOKUP(B18,Table6[],4,FALSE),""))))))</f>
        <v>214</v>
      </c>
      <c r="O18" s="74">
        <f t="shared" si="4"/>
        <v>34.427284427284427</v>
      </c>
      <c r="P18" s="56">
        <f t="shared" si="5"/>
        <v>38</v>
      </c>
      <c r="Q18" s="56"/>
      <c r="R18" s="71">
        <v>623500</v>
      </c>
      <c r="S18" s="71">
        <f>IF($B$2="Race",VLOOKUP(B18,Table1[],5,FALSE),IF($B$2="Religion",VLOOKUP(B18,Table3[],5,FALSE),IF($B$2="Sexual Orientation",VLOOKUP(B18,Table2[],5,FALSE),IF($B$2="Disability",VLOOKUP(B18,Table4[],5,FALSE),IF($B$2="Transgender",VLOOKUP(B18,Table5[],5,FALSE),IF($B$2="Total Offences",VLOOKUP(B18,Table6[],5,FALSE),""))))))</f>
        <v>275</v>
      </c>
      <c r="T18" s="74">
        <f t="shared" si="6"/>
        <v>44.105854049719326</v>
      </c>
      <c r="U18" s="56">
        <f t="shared" si="7"/>
        <v>35</v>
      </c>
      <c r="V18" s="56"/>
      <c r="W18" s="71">
        <v>625300</v>
      </c>
      <c r="X18" s="71">
        <f>IF($B$2="Race",VLOOKUP(B18,Table1[],6,FALSE),IF($B$2="Religion",VLOOKUP(B18,Table3[],6,FALSE),IF($B$2="Sexual Orientation",VLOOKUP(B18,Table2[],6,FALSE),IF($B$2="Disability",VLOOKUP(B18,Table4[],6,FALSE),IF($B$2="Transgender",VLOOKUP(B18,Table5[],6,FALSE),IF($B$2="Total Offences",VLOOKUP(B18,Table6[],6,FALSE),""))))))</f>
        <v>330</v>
      </c>
      <c r="Y18" s="74">
        <f t="shared" si="8"/>
        <v>52.774668159283536</v>
      </c>
      <c r="Z18" s="56">
        <f t="shared" si="9"/>
        <v>35</v>
      </c>
      <c r="AA18" s="56"/>
      <c r="AB18" s="71">
        <v>628100</v>
      </c>
      <c r="AC18" s="71">
        <f>IF($B$2="Race",VLOOKUP(B18,Table1[],7,FALSE),IF($B$2="Religion",VLOOKUP(B18,Table3[],7,FALSE),IF($B$2="Sexual Orientation",VLOOKUP(B18,Table2[],7,FALSE),IF($B$2="Disability",VLOOKUP(B18,Table4[],7,FALSE),IF($B$2="Transgender",VLOOKUP(B18,Table5[],7,FALSE),IF($B$2="Total Offences",VLOOKUP(B18,Table6[],7,FALSE),""))))))</f>
        <v>509</v>
      </c>
      <c r="AD18" s="74">
        <f t="shared" si="10"/>
        <v>81.038051265722018</v>
      </c>
      <c r="AE18" s="56">
        <f t="shared" si="11"/>
        <v>28</v>
      </c>
      <c r="AF18" s="56"/>
      <c r="AG18" s="71">
        <v>630000</v>
      </c>
      <c r="AH18" s="71">
        <f>IF($B$2="Race",VLOOKUP(B18,Table1[],8,FALSE),IF($B$2="Religion",VLOOKUP(B18,Table3[],8,FALSE),IF($B$2="Sexual Orientation",VLOOKUP(B18,Table2[],8,FALSE),IF($B$2="Disability",VLOOKUP(B18,Table4[],8,FALSE),IF($B$2="Transgender",VLOOKUP(B18,Table5[],8,FALSE),IF($B$2="Total Offences",VLOOKUP(B18,Table6[],8,FALSE),""))))))</f>
        <v>711</v>
      </c>
      <c r="AI18" s="74">
        <f t="shared" si="12"/>
        <v>112.85714285714286</v>
      </c>
      <c r="AJ18" s="56">
        <f t="shared" si="13"/>
        <v>29</v>
      </c>
      <c r="AK18" s="56"/>
      <c r="AL18" s="71">
        <v>633500</v>
      </c>
      <c r="AM18" s="71">
        <f>IF($B$2="Race",VLOOKUP(B18,Table1[],9,FALSE),IF($B$2="Religion",VLOOKUP(B18,Table3[],9,FALSE),IF($B$2="Sexual Orientation",VLOOKUP(B18,Table2[],9,FALSE),IF($B$2="Disability",VLOOKUP(B18,Table4[],9,FALSE),IF($B$2="Transgender",VLOOKUP(B18,Table5[],9,FALSE),IF($B$2="Total Offences",VLOOKUP(B18,Table6[],9,FALSE),""))))))</f>
        <v>793</v>
      </c>
      <c r="AN18" s="74">
        <f t="shared" si="14"/>
        <v>125.17758484609314</v>
      </c>
      <c r="AO18" s="56">
        <f t="shared" si="15"/>
        <v>27</v>
      </c>
      <c r="AP18" s="56"/>
      <c r="AQ18" s="71">
        <v>636900</v>
      </c>
      <c r="AR18" s="71">
        <f>IF($B$2="Race",VLOOKUP(B18,Table1[],10,FALSE),IF($B$2="Religion",VLOOKUP(B18,Table3[],10,FALSE),IF($B$2="Sexual Orientation",VLOOKUP(B18,Table2[],10,FALSE),IF($B$2="Disability",VLOOKUP(B18,Table4[],10,FALSE),IF($B$2="Transgender",VLOOKUP(B18,Table5[],10,FALSE),IF($B$2="Total Offences",VLOOKUP(B18,Table6[],10,FALSE),""))))))</f>
        <v>746</v>
      </c>
      <c r="AS18" s="74">
        <f t="shared" si="16"/>
        <v>117.12984769979587</v>
      </c>
      <c r="AT18" s="56">
        <f t="shared" si="17"/>
        <v>31</v>
      </c>
      <c r="AU18" s="56"/>
      <c r="AV18" s="71">
        <v>640600</v>
      </c>
      <c r="AW18" s="71">
        <f>IF($B$2="Race",VLOOKUP(B18,Table1[],11,FALSE),IF($B$2="Religion",VLOOKUP(B18,Table3[],11,FALSE),IF($B$2="Sexual Orientation",VLOOKUP(B18,Table2[],11,FALSE),IF($B$2="Disability",VLOOKUP(B18,Table4[],11,FALSE),IF($B$2="Transgender",VLOOKUP(B18,Table5[],11,FALSE),IF($B$2="Total Offences",VLOOKUP(B18,Table6[],11,FALSE),""))))))</f>
        <v>729</v>
      </c>
      <c r="AX18" s="74">
        <f t="shared" si="18"/>
        <v>113.79956290977209</v>
      </c>
      <c r="AY18" s="56">
        <f t="shared" si="19"/>
        <v>37</v>
      </c>
      <c r="AZ18" s="56"/>
    </row>
    <row r="19" spans="1:52" x14ac:dyDescent="0.35">
      <c r="A19" s="56"/>
      <c r="B19" s="56" t="s">
        <v>19</v>
      </c>
      <c r="C19" s="71">
        <v>515000</v>
      </c>
      <c r="D19" s="57" t="str">
        <f>IF($B$2="Race",VLOOKUP(B19,Table1[],2,FALSE),IF($B$2="Religion",VLOOKUP(B19,Table3[],2,FALSE),IF($B$2="Sexual Orientation",VLOOKUP(B19,Table2[],2,FALSE),IF($B$2="Disability",VLOOKUP(B19,Table4[],2,FALSE),IF($B$2="Transgender",VLOOKUP(B19,Table5[],2,FALSE),IF($B$2="Total Offences",VLOOKUP(B19,Table6[],2,FALSE),""))))))</f>
        <v>N/A</v>
      </c>
      <c r="E19" s="72" t="str">
        <f t="shared" si="0"/>
        <v>N/A</v>
      </c>
      <c r="F19" s="73" t="str">
        <f t="shared" si="1"/>
        <v>N/A</v>
      </c>
      <c r="G19" s="56"/>
      <c r="H19" s="71">
        <v>516400</v>
      </c>
      <c r="I19" s="71">
        <f>IF($B$2="Race",VLOOKUP(B19,Table1[],3,FALSE),IF($B$2="Religion",VLOOKUP(B19,Table3[],3,FALSE),IF($B$2="Sexual Orientation",VLOOKUP(B19,Table2[],3,FALSE),IF($B$2="Disability",VLOOKUP(B19,Table4[],3,FALSE),IF($B$2="Transgender",VLOOKUP(B19,Table5[],3,FALSE),IF($B$2="Total Offences",VLOOKUP(B19,Table6[],3,FALSE),""))))))</f>
        <v>91</v>
      </c>
      <c r="J19" s="74">
        <f t="shared" si="2"/>
        <v>17.621998450813322</v>
      </c>
      <c r="K19" s="56">
        <f t="shared" si="3"/>
        <v>42</v>
      </c>
      <c r="L19" s="56"/>
      <c r="M19" s="71">
        <v>516600</v>
      </c>
      <c r="N19" s="71">
        <f>IF($B$2="Race",VLOOKUP(B19,Table1[],4,FALSE),IF($B$2="Religion",VLOOKUP(B19,Table3[],4,FALSE),IF($B$2="Sexual Orientation",VLOOKUP(B19,Table2[],4,FALSE),IF($B$2="Disability",VLOOKUP(B19,Table4[],4,FALSE),IF($B$2="Transgender",VLOOKUP(B19,Table5[],4,FALSE),IF($B$2="Total Offences",VLOOKUP(B19,Table6[],4,FALSE),""))))))</f>
        <v>84</v>
      </c>
      <c r="O19" s="74">
        <f t="shared" si="4"/>
        <v>16.260162601626018</v>
      </c>
      <c r="P19" s="56">
        <f t="shared" si="5"/>
        <v>42</v>
      </c>
      <c r="Q19" s="56"/>
      <c r="R19" s="71">
        <v>516700</v>
      </c>
      <c r="S19" s="71">
        <f>IF($B$2="Race",VLOOKUP(B19,Table1[],5,FALSE),IF($B$2="Religion",VLOOKUP(B19,Table3[],5,FALSE),IF($B$2="Sexual Orientation",VLOOKUP(B19,Table2[],5,FALSE),IF($B$2="Disability",VLOOKUP(B19,Table4[],5,FALSE),IF($B$2="Transgender",VLOOKUP(B19,Table5[],5,FALSE),IF($B$2="Total Offences",VLOOKUP(B19,Table6[],5,FALSE),""))))))</f>
        <v>99</v>
      </c>
      <c r="T19" s="74">
        <f t="shared" si="6"/>
        <v>19.160054190052254</v>
      </c>
      <c r="U19" s="56">
        <f t="shared" si="7"/>
        <v>42</v>
      </c>
      <c r="V19" s="56"/>
      <c r="W19" s="71">
        <v>515900</v>
      </c>
      <c r="X19" s="71">
        <f>IF($B$2="Race",VLOOKUP(B19,Table1[],6,FALSE),IF($B$2="Religion",VLOOKUP(B19,Table3[],6,FALSE),IF($B$2="Sexual Orientation",VLOOKUP(B19,Table2[],6,FALSE),IF($B$2="Disability",VLOOKUP(B19,Table4[],6,FALSE),IF($B$2="Transgender",VLOOKUP(B19,Table5[],6,FALSE),IF($B$2="Total Offences",VLOOKUP(B19,Table6[],6,FALSE),""))))))</f>
        <v>114</v>
      </c>
      <c r="Y19" s="74">
        <f t="shared" si="8"/>
        <v>22.09730567939523</v>
      </c>
      <c r="Z19" s="56">
        <f t="shared" si="9"/>
        <v>42</v>
      </c>
      <c r="AA19" s="56"/>
      <c r="AB19" s="71">
        <v>516000</v>
      </c>
      <c r="AC19" s="71">
        <f>IF($B$2="Race",VLOOKUP(B19,Table1[],7,FALSE),IF($B$2="Religion",VLOOKUP(B19,Table3[],7,FALSE),IF($B$2="Sexual Orientation",VLOOKUP(B19,Table2[],7,FALSE),IF($B$2="Disability",VLOOKUP(B19,Table4[],7,FALSE),IF($B$2="Transgender",VLOOKUP(B19,Table5[],7,FALSE),IF($B$2="Total Offences",VLOOKUP(B19,Table6[],7,FALSE),""))))))</f>
        <v>168</v>
      </c>
      <c r="AD19" s="74">
        <f t="shared" si="10"/>
        <v>32.558139534883722</v>
      </c>
      <c r="AE19" s="56">
        <f t="shared" si="11"/>
        <v>42</v>
      </c>
      <c r="AF19" s="56"/>
      <c r="AG19" s="71">
        <v>516800</v>
      </c>
      <c r="AH19" s="71">
        <f>IF($B$2="Race",VLOOKUP(B19,Table1[],8,FALSE),IF($B$2="Religion",VLOOKUP(B19,Table3[],8,FALSE),IF($B$2="Sexual Orientation",VLOOKUP(B19,Table2[],8,FALSE),IF($B$2="Disability",VLOOKUP(B19,Table4[],8,FALSE),IF($B$2="Transgender",VLOOKUP(B19,Table5[],8,FALSE),IF($B$2="Total Offences",VLOOKUP(B19,Table6[],8,FALSE),""))))))</f>
        <v>223</v>
      </c>
      <c r="AI19" s="74">
        <f t="shared" si="12"/>
        <v>43.150154798761612</v>
      </c>
      <c r="AJ19" s="56">
        <f t="shared" si="13"/>
        <v>42</v>
      </c>
      <c r="AK19" s="56"/>
      <c r="AL19" s="71">
        <v>518100</v>
      </c>
      <c r="AM19" s="71">
        <f>IF($B$2="Race",VLOOKUP(B19,Table1[],9,FALSE),IF($B$2="Religion",VLOOKUP(B19,Table3[],9,FALSE),IF($B$2="Sexual Orientation",VLOOKUP(B19,Table2[],9,FALSE),IF($B$2="Disability",VLOOKUP(B19,Table4[],9,FALSE),IF($B$2="Transgender",VLOOKUP(B19,Table5[],9,FALSE),IF($B$2="Total Offences",VLOOKUP(B19,Table6[],9,FALSE),""))))))</f>
        <v>371</v>
      </c>
      <c r="AN19" s="74">
        <f t="shared" si="14"/>
        <v>71.607797722447401</v>
      </c>
      <c r="AO19" s="56">
        <f t="shared" si="15"/>
        <v>41</v>
      </c>
      <c r="AP19" s="56"/>
      <c r="AQ19" s="71">
        <v>519700</v>
      </c>
      <c r="AR19" s="71">
        <f>IF($B$2="Race",VLOOKUP(B19,Table1[],10,FALSE),IF($B$2="Religion",VLOOKUP(B19,Table3[],10,FALSE),IF($B$2="Sexual Orientation",VLOOKUP(B19,Table2[],10,FALSE),IF($B$2="Disability",VLOOKUP(B19,Table4[],10,FALSE),IF($B$2="Transgender",VLOOKUP(B19,Table5[],10,FALSE),IF($B$2="Total Offences",VLOOKUP(B19,Table6[],10,FALSE),""))))))</f>
        <v>459</v>
      </c>
      <c r="AS19" s="74">
        <f t="shared" si="16"/>
        <v>88.320184721954973</v>
      </c>
      <c r="AT19" s="56">
        <f t="shared" si="17"/>
        <v>40</v>
      </c>
      <c r="AU19" s="56"/>
      <c r="AV19" s="71">
        <v>522700</v>
      </c>
      <c r="AW19" s="71">
        <f>IF($B$2="Race",VLOOKUP(B19,Table1[],11,FALSE),IF($B$2="Religion",VLOOKUP(B19,Table3[],11,FALSE),IF($B$2="Sexual Orientation",VLOOKUP(B19,Table2[],11,FALSE),IF($B$2="Disability",VLOOKUP(B19,Table4[],11,FALSE),IF($B$2="Transgender",VLOOKUP(B19,Table5[],11,FALSE),IF($B$2="Total Offences",VLOOKUP(B19,Table6[],11,FALSE),""))))))</f>
        <v>685</v>
      </c>
      <c r="AX19" s="74">
        <f t="shared" si="18"/>
        <v>131.05031566864358</v>
      </c>
      <c r="AY19" s="56">
        <f t="shared" si="19"/>
        <v>32</v>
      </c>
      <c r="AZ19" s="56"/>
    </row>
    <row r="20" spans="1:52" x14ac:dyDescent="0.35">
      <c r="A20" s="56"/>
      <c r="B20" s="56" t="s">
        <v>20</v>
      </c>
      <c r="C20" s="71">
        <v>1729200</v>
      </c>
      <c r="D20" s="57" t="str">
        <f>IF($B$2="Race",VLOOKUP(B20,Table1[],2,FALSE),IF($B$2="Religion",VLOOKUP(B20,Table3[],2,FALSE),IF($B$2="Sexual Orientation",VLOOKUP(B20,Table2[],2,FALSE),IF($B$2="Disability",VLOOKUP(B20,Table4[],2,FALSE),IF($B$2="Transgender",VLOOKUP(B20,Table5[],2,FALSE),IF($B$2="Total Offences",VLOOKUP(B20,Table6[],2,FALSE),""))))))</f>
        <v>N/A</v>
      </c>
      <c r="E20" s="72" t="str">
        <f t="shared" si="0"/>
        <v>N/A</v>
      </c>
      <c r="F20" s="73" t="str">
        <f t="shared" si="1"/>
        <v>N/A</v>
      </c>
      <c r="G20" s="56"/>
      <c r="H20" s="71">
        <v>1742000</v>
      </c>
      <c r="I20" s="71">
        <f>IF($B$2="Race",VLOOKUP(B20,Table1[],3,FALSE),IF($B$2="Religion",VLOOKUP(B20,Table3[],3,FALSE),IF($B$2="Sexual Orientation",VLOOKUP(B20,Table2[],3,FALSE),IF($B$2="Disability",VLOOKUP(B20,Table4[],3,FALSE),IF($B$2="Transgender",VLOOKUP(B20,Table5[],3,FALSE),IF($B$2="Total Offences",VLOOKUP(B20,Table6[],3,FALSE),""))))))</f>
        <v>1068</v>
      </c>
      <c r="J20" s="74">
        <f t="shared" si="2"/>
        <v>61.30884041331803</v>
      </c>
      <c r="K20" s="56">
        <f t="shared" si="3"/>
        <v>14</v>
      </c>
      <c r="L20" s="56"/>
      <c r="M20" s="71">
        <v>1755100</v>
      </c>
      <c r="N20" s="71">
        <f>IF($B$2="Race",VLOOKUP(B20,Table1[],4,FALSE),IF($B$2="Religion",VLOOKUP(B20,Table3[],4,FALSE),IF($B$2="Sexual Orientation",VLOOKUP(B20,Table2[],4,FALSE),IF($B$2="Disability",VLOOKUP(B20,Table4[],4,FALSE),IF($B$2="Transgender",VLOOKUP(B20,Table5[],4,FALSE),IF($B$2="Total Offences",VLOOKUP(B20,Table6[],4,FALSE),""))))))</f>
        <v>1052</v>
      </c>
      <c r="O20" s="74">
        <f t="shared" si="4"/>
        <v>59.939604580935566</v>
      </c>
      <c r="P20" s="56">
        <f t="shared" si="5"/>
        <v>18</v>
      </c>
      <c r="Q20" s="56"/>
      <c r="R20" s="71">
        <v>1775500</v>
      </c>
      <c r="S20" s="71">
        <f>IF($B$2="Race",VLOOKUP(B20,Table1[],5,FALSE),IF($B$2="Religion",VLOOKUP(B20,Table3[],5,FALSE),IF($B$2="Sexual Orientation",VLOOKUP(B20,Table2[],5,FALSE),IF($B$2="Disability",VLOOKUP(B20,Table4[],5,FALSE),IF($B$2="Transgender",VLOOKUP(B20,Table5[],5,FALSE),IF($B$2="Total Offences",VLOOKUP(B20,Table6[],5,FALSE),""))))))</f>
        <v>1173</v>
      </c>
      <c r="T20" s="74">
        <f t="shared" si="6"/>
        <v>66.065896930442122</v>
      </c>
      <c r="U20" s="56">
        <f t="shared" si="7"/>
        <v>17</v>
      </c>
      <c r="V20" s="56"/>
      <c r="W20" s="71">
        <v>1790600</v>
      </c>
      <c r="X20" s="71">
        <f>IF($B$2="Race",VLOOKUP(B20,Table1[],6,FALSE),IF($B$2="Religion",VLOOKUP(B20,Table3[],6,FALSE),IF($B$2="Sexual Orientation",VLOOKUP(B20,Table2[],6,FALSE),IF($B$2="Disability",VLOOKUP(B20,Table4[],6,FALSE),IF($B$2="Transgender",VLOOKUP(B20,Table5[],6,FALSE),IF($B$2="Total Offences",VLOOKUP(B20,Table6[],6,FALSE),""))))))</f>
        <v>1163</v>
      </c>
      <c r="Y20" s="74">
        <f t="shared" si="8"/>
        <v>64.9502959901709</v>
      </c>
      <c r="Z20" s="56">
        <f t="shared" si="9"/>
        <v>27</v>
      </c>
      <c r="AA20" s="56"/>
      <c r="AB20" s="71">
        <v>1806900</v>
      </c>
      <c r="AC20" s="71">
        <f>IF($B$2="Race",VLOOKUP(B20,Table1[],7,FALSE),IF($B$2="Religion",VLOOKUP(B20,Table3[],7,FALSE),IF($B$2="Sexual Orientation",VLOOKUP(B20,Table2[],7,FALSE),IF($B$2="Disability",VLOOKUP(B20,Table4[],7,FALSE),IF($B$2="Transgender",VLOOKUP(B20,Table5[],7,FALSE),IF($B$2="Total Offences",VLOOKUP(B20,Table6[],7,FALSE),""))))))</f>
        <v>1928</v>
      </c>
      <c r="AD20" s="74">
        <f t="shared" si="10"/>
        <v>106.70208644639992</v>
      </c>
      <c r="AE20" s="56">
        <f t="shared" si="11"/>
        <v>20</v>
      </c>
      <c r="AF20" s="56"/>
      <c r="AG20" s="71">
        <v>1820400</v>
      </c>
      <c r="AH20" s="71">
        <f>IF($B$2="Race",VLOOKUP(B20,Table1[],8,FALSE),IF($B$2="Religion",VLOOKUP(B20,Table3[],8,FALSE),IF($B$2="Sexual Orientation",VLOOKUP(B20,Table2[],8,FALSE),IF($B$2="Disability",VLOOKUP(B20,Table4[],8,FALSE),IF($B$2="Transgender",VLOOKUP(B20,Table5[],8,FALSE),IF($B$2="Total Offences",VLOOKUP(B20,Table6[],8,FALSE),""))))))</f>
        <v>2197</v>
      </c>
      <c r="AI20" s="74">
        <f t="shared" si="12"/>
        <v>120.68776093166336</v>
      </c>
      <c r="AJ20" s="56">
        <f t="shared" si="13"/>
        <v>25</v>
      </c>
      <c r="AK20" s="56"/>
      <c r="AL20" s="71">
        <v>1832800</v>
      </c>
      <c r="AM20" s="71">
        <f>IF($B$2="Race",VLOOKUP(B20,Table1[],9,FALSE),IF($B$2="Religion",VLOOKUP(B20,Table3[],9,FALSE),IF($B$2="Sexual Orientation",VLOOKUP(B20,Table2[],9,FALSE),IF($B$2="Disability",VLOOKUP(B20,Table4[],9,FALSE),IF($B$2="Transgender",VLOOKUP(B20,Table5[],9,FALSE),IF($B$2="Total Offences",VLOOKUP(B20,Table6[],9,FALSE),""))))))</f>
        <v>3055</v>
      </c>
      <c r="AN20" s="74">
        <f t="shared" si="14"/>
        <v>166.68485377564383</v>
      </c>
      <c r="AO20" s="56">
        <f t="shared" si="15"/>
        <v>11</v>
      </c>
      <c r="AP20" s="56"/>
      <c r="AQ20" s="71">
        <v>1846700</v>
      </c>
      <c r="AR20" s="71">
        <f>IF($B$2="Race",VLOOKUP(B20,Table1[],10,FALSE),IF($B$2="Religion",VLOOKUP(B20,Table3[],10,FALSE),IF($B$2="Sexual Orientation",VLOOKUP(B20,Table2[],10,FALSE),IF($B$2="Disability",VLOOKUP(B20,Table4[],10,FALSE),IF($B$2="Transgender",VLOOKUP(B20,Table5[],10,FALSE),IF($B$2="Total Offences",VLOOKUP(B20,Table6[],10,FALSE),""))))))</f>
        <v>3413</v>
      </c>
      <c r="AS20" s="74">
        <f t="shared" si="16"/>
        <v>184.81615855309471</v>
      </c>
      <c r="AT20" s="56">
        <f t="shared" si="17"/>
        <v>9</v>
      </c>
      <c r="AU20" s="56"/>
      <c r="AV20" s="71">
        <v>1856100</v>
      </c>
      <c r="AW20" s="71">
        <f>IF($B$2="Race",VLOOKUP(B20,Table1[],11,FALSE),IF($B$2="Religion",VLOOKUP(B20,Table3[],11,FALSE),IF($B$2="Sexual Orientation",VLOOKUP(B20,Table2[],11,FALSE),IF($B$2="Disability",VLOOKUP(B20,Table4[],11,FALSE),IF($B$2="Transgender",VLOOKUP(B20,Table5[],11,FALSE),IF($B$2="Total Offences",VLOOKUP(B20,Table6[],11,FALSE),""))))))</f>
        <v>3845</v>
      </c>
      <c r="AX20" s="74">
        <f t="shared" si="18"/>
        <v>207.15478691880827</v>
      </c>
      <c r="AY20" s="56">
        <f t="shared" si="19"/>
        <v>10</v>
      </c>
      <c r="AZ20" s="56"/>
    </row>
    <row r="21" spans="1:52" x14ac:dyDescent="0.35">
      <c r="A21" s="56"/>
      <c r="B21" s="56" t="s">
        <v>21</v>
      </c>
      <c r="C21" s="71">
        <v>598300</v>
      </c>
      <c r="D21" s="57" t="str">
        <f>IF($B$2="Race",VLOOKUP(B21,Table1[],2,FALSE),IF($B$2="Religion",VLOOKUP(B21,Table3[],2,FALSE),IF($B$2="Sexual Orientation",VLOOKUP(B21,Table2[],2,FALSE),IF($B$2="Disability",VLOOKUP(B21,Table4[],2,FALSE),IF($B$2="Transgender",VLOOKUP(B21,Table5[],2,FALSE),IF($B$2="Total Offences",VLOOKUP(B21,Table6[],2,FALSE),""))))))</f>
        <v>N/A</v>
      </c>
      <c r="E21" s="72" t="str">
        <f t="shared" si="0"/>
        <v>N/A</v>
      </c>
      <c r="F21" s="73" t="str">
        <f t="shared" si="1"/>
        <v>N/A</v>
      </c>
      <c r="G21" s="56"/>
      <c r="H21" s="71">
        <v>602200</v>
      </c>
      <c r="I21" s="71">
        <f>IF($B$2="Race",VLOOKUP(B21,Table1[],3,FALSE),IF($B$2="Religion",VLOOKUP(B21,Table3[],3,FALSE),IF($B$2="Sexual Orientation",VLOOKUP(B21,Table2[],3,FALSE),IF($B$2="Disability",VLOOKUP(B21,Table4[],3,FALSE),IF($B$2="Transgender",VLOOKUP(B21,Table5[],3,FALSE),IF($B$2="Total Offences",VLOOKUP(B21,Table6[],3,FALSE),""))))))</f>
        <v>201</v>
      </c>
      <c r="J21" s="74">
        <f t="shared" si="2"/>
        <v>33.37761541016274</v>
      </c>
      <c r="K21" s="56">
        <f t="shared" si="3"/>
        <v>38</v>
      </c>
      <c r="L21" s="56"/>
      <c r="M21" s="71">
        <v>606000</v>
      </c>
      <c r="N21" s="71">
        <f>IF($B$2="Race",VLOOKUP(B21,Table1[],4,FALSE),IF($B$2="Religion",VLOOKUP(B21,Table3[],4,FALSE),IF($B$2="Sexual Orientation",VLOOKUP(B21,Table2[],4,FALSE),IF($B$2="Disability",VLOOKUP(B21,Table4[],4,FALSE),IF($B$2="Transgender",VLOOKUP(B21,Table5[],4,FALSE),IF($B$2="Total Offences",VLOOKUP(B21,Table6[],4,FALSE),""))))))</f>
        <v>180</v>
      </c>
      <c r="O21" s="74">
        <f t="shared" si="4"/>
        <v>29.702970297029701</v>
      </c>
      <c r="P21" s="56">
        <f t="shared" si="5"/>
        <v>39</v>
      </c>
      <c r="Q21" s="56"/>
      <c r="R21" s="71">
        <v>611700</v>
      </c>
      <c r="S21" s="71">
        <f>IF($B$2="Race",VLOOKUP(B21,Table1[],5,FALSE),IF($B$2="Religion",VLOOKUP(B21,Table3[],5,FALSE),IF($B$2="Sexual Orientation",VLOOKUP(B21,Table2[],5,FALSE),IF($B$2="Disability",VLOOKUP(B21,Table4[],5,FALSE),IF($B$2="Transgender",VLOOKUP(B21,Table5[],5,FALSE),IF($B$2="Total Offences",VLOOKUP(B21,Table6[],5,FALSE),""))))))</f>
        <v>217</v>
      </c>
      <c r="T21" s="74">
        <f t="shared" si="6"/>
        <v>35.474905999673041</v>
      </c>
      <c r="U21" s="56">
        <f t="shared" si="7"/>
        <v>38</v>
      </c>
      <c r="V21" s="56"/>
      <c r="W21" s="71">
        <v>617500</v>
      </c>
      <c r="X21" s="71">
        <f>IF($B$2="Race",VLOOKUP(B21,Table1[],6,FALSE),IF($B$2="Religion",VLOOKUP(B21,Table3[],6,FALSE),IF($B$2="Sexual Orientation",VLOOKUP(B21,Table2[],6,FALSE),IF($B$2="Disability",VLOOKUP(B21,Table4[],6,FALSE),IF($B$2="Transgender",VLOOKUP(B21,Table5[],6,FALSE),IF($B$2="Total Offences",VLOOKUP(B21,Table6[],6,FALSE),""))))))</f>
        <v>281</v>
      </c>
      <c r="Y21" s="74">
        <f t="shared" si="8"/>
        <v>45.506072874493924</v>
      </c>
      <c r="Z21" s="56">
        <f t="shared" si="9"/>
        <v>38</v>
      </c>
      <c r="AA21" s="56"/>
      <c r="AB21" s="71">
        <v>623100</v>
      </c>
      <c r="AC21" s="71">
        <f>IF($B$2="Race",VLOOKUP(B21,Table1[],7,FALSE),IF($B$2="Religion",VLOOKUP(B21,Table3[],7,FALSE),IF($B$2="Sexual Orientation",VLOOKUP(B21,Table2[],7,FALSE),IF($B$2="Disability",VLOOKUP(B21,Table4[],7,FALSE),IF($B$2="Transgender",VLOOKUP(B21,Table5[],7,FALSE),IF($B$2="Total Offences",VLOOKUP(B21,Table6[],7,FALSE),""))))))</f>
        <v>343</v>
      </c>
      <c r="AD21" s="74">
        <f t="shared" si="10"/>
        <v>55.047343925533617</v>
      </c>
      <c r="AE21" s="56">
        <f t="shared" si="11"/>
        <v>39</v>
      </c>
      <c r="AF21" s="56"/>
      <c r="AG21" s="71">
        <v>628100</v>
      </c>
      <c r="AH21" s="71">
        <f>IF($B$2="Race",VLOOKUP(B21,Table1[],8,FALSE),IF($B$2="Religion",VLOOKUP(B21,Table3[],8,FALSE),IF($B$2="Sexual Orientation",VLOOKUP(B21,Table2[],8,FALSE),IF($B$2="Disability",VLOOKUP(B21,Table4[],8,FALSE),IF($B$2="Transgender",VLOOKUP(B21,Table5[],8,FALSE),IF($B$2="Total Offences",VLOOKUP(B21,Table6[],8,FALSE),""))))))</f>
        <v>498</v>
      </c>
      <c r="AI21" s="74">
        <f t="shared" si="12"/>
        <v>79.286737780608178</v>
      </c>
      <c r="AJ21" s="56">
        <f t="shared" si="13"/>
        <v>36</v>
      </c>
      <c r="AK21" s="56"/>
      <c r="AL21" s="71">
        <v>633600</v>
      </c>
      <c r="AM21" s="71">
        <f>IF($B$2="Race",VLOOKUP(B21,Table1[],9,FALSE),IF($B$2="Religion",VLOOKUP(B21,Table3[],9,FALSE),IF($B$2="Sexual Orientation",VLOOKUP(B21,Table2[],9,FALSE),IF($B$2="Disability",VLOOKUP(B21,Table4[],9,FALSE),IF($B$2="Transgender",VLOOKUP(B21,Table5[],9,FALSE),IF($B$2="Total Offences",VLOOKUP(B21,Table6[],9,FALSE),""))))))</f>
        <v>519</v>
      </c>
      <c r="AN21" s="74">
        <f t="shared" si="14"/>
        <v>81.912878787878782</v>
      </c>
      <c r="AO21" s="56">
        <f t="shared" si="15"/>
        <v>40</v>
      </c>
      <c r="AP21" s="56"/>
      <c r="AQ21" s="71">
        <v>637100</v>
      </c>
      <c r="AR21" s="71">
        <f>IF($B$2="Race",VLOOKUP(B21,Table1[],10,FALSE),IF($B$2="Religion",VLOOKUP(B21,Table3[],10,FALSE),IF($B$2="Sexual Orientation",VLOOKUP(B21,Table2[],10,FALSE),IF($B$2="Disability",VLOOKUP(B21,Table4[],10,FALSE),IF($B$2="Transgender",VLOOKUP(B21,Table5[],10,FALSE),IF($B$2="Total Offences",VLOOKUP(B21,Table6[],10,FALSE),""))))))</f>
        <v>795</v>
      </c>
      <c r="AS21" s="74">
        <f t="shared" si="16"/>
        <v>124.78417830795794</v>
      </c>
      <c r="AT21" s="56">
        <f t="shared" si="17"/>
        <v>28</v>
      </c>
      <c r="AU21" s="56"/>
      <c r="AV21" s="71">
        <v>640700</v>
      </c>
      <c r="AW21" s="71">
        <f>IF($B$2="Race",VLOOKUP(B21,Table1[],11,FALSE),IF($B$2="Religion",VLOOKUP(B21,Table3[],11,FALSE),IF($B$2="Sexual Orientation",VLOOKUP(B21,Table2[],11,FALSE),IF($B$2="Disability",VLOOKUP(B21,Table4[],11,FALSE),IF($B$2="Transgender",VLOOKUP(B21,Table5[],11,FALSE),IF($B$2="Total Offences",VLOOKUP(B21,Table6[],11,FALSE),""))))))</f>
        <v>777</v>
      </c>
      <c r="AX21" s="74">
        <f t="shared" si="18"/>
        <v>121.27360699235213</v>
      </c>
      <c r="AY21" s="56">
        <f t="shared" si="19"/>
        <v>34</v>
      </c>
      <c r="AZ21" s="56"/>
    </row>
    <row r="22" spans="1:52" x14ac:dyDescent="0.35">
      <c r="A22" s="56"/>
      <c r="B22" s="56" t="s">
        <v>22</v>
      </c>
      <c r="C22" s="71">
        <v>2685400</v>
      </c>
      <c r="D22" s="57" t="str">
        <f>IF($B$2="Race",VLOOKUP(B22,Table1[],2,FALSE),IF($B$2="Religion",VLOOKUP(B22,Table3[],2,FALSE),IF($B$2="Sexual Orientation",VLOOKUP(B22,Table2[],2,FALSE),IF($B$2="Disability",VLOOKUP(B22,Table4[],2,FALSE),IF($B$2="Transgender",VLOOKUP(B22,Table5[],2,FALSE),IF($B$2="Total Offences",VLOOKUP(B22,Table6[],2,FALSE),""))))))</f>
        <v>N/A</v>
      </c>
      <c r="E22" s="72" t="str">
        <f t="shared" si="0"/>
        <v>N/A</v>
      </c>
      <c r="F22" s="73" t="str">
        <f t="shared" si="1"/>
        <v>N/A</v>
      </c>
      <c r="G22" s="56"/>
      <c r="H22" s="71">
        <v>2701400</v>
      </c>
      <c r="I22" s="71">
        <f>IF($B$2="Race",VLOOKUP(B22,Table1[],3,FALSE),IF($B$2="Religion",VLOOKUP(B22,Table3[],3,FALSE),IF($B$2="Sexual Orientation",VLOOKUP(B22,Table2[],3,FALSE),IF($B$2="Disability",VLOOKUP(B22,Table4[],3,FALSE),IF($B$2="Transgender",VLOOKUP(B22,Table5[],3,FALSE),IF($B$2="Total Offences",VLOOKUP(B22,Table6[],3,FALSE),""))))))</f>
        <v>3125</v>
      </c>
      <c r="J22" s="74">
        <f t="shared" si="2"/>
        <v>115.68075812541645</v>
      </c>
      <c r="K22" s="56">
        <f t="shared" si="3"/>
        <v>2</v>
      </c>
      <c r="L22" s="56"/>
      <c r="M22" s="71">
        <v>2713600</v>
      </c>
      <c r="N22" s="71">
        <f>IF($B$2="Race",VLOOKUP(B22,Table1[],4,FALSE),IF($B$2="Religion",VLOOKUP(B22,Table3[],4,FALSE),IF($B$2="Sexual Orientation",VLOOKUP(B22,Table2[],4,FALSE),IF($B$2="Disability",VLOOKUP(B22,Table4[],4,FALSE),IF($B$2="Transgender",VLOOKUP(B22,Table5[],4,FALSE),IF($B$2="Total Offences",VLOOKUP(B22,Table6[],4,FALSE),""))))))</f>
        <v>3171</v>
      </c>
      <c r="O22" s="74">
        <f t="shared" si="4"/>
        <v>116.85583726415094</v>
      </c>
      <c r="P22" s="56">
        <f t="shared" si="5"/>
        <v>3</v>
      </c>
      <c r="Q22" s="56"/>
      <c r="R22" s="71">
        <v>2730100</v>
      </c>
      <c r="S22" s="71">
        <f>IF($B$2="Race",VLOOKUP(B22,Table1[],5,FALSE),IF($B$2="Religion",VLOOKUP(B22,Table3[],5,FALSE),IF($B$2="Sexual Orientation",VLOOKUP(B22,Table2[],5,FALSE),IF($B$2="Disability",VLOOKUP(B22,Table4[],5,FALSE),IF($B$2="Transgender",VLOOKUP(B22,Table5[],5,FALSE),IF($B$2="Total Offences",VLOOKUP(B22,Table6[],5,FALSE),""))))))</f>
        <v>3898</v>
      </c>
      <c r="T22" s="74">
        <f t="shared" si="6"/>
        <v>142.77865279660085</v>
      </c>
      <c r="U22" s="56">
        <f t="shared" si="7"/>
        <v>2</v>
      </c>
      <c r="V22" s="56"/>
      <c r="W22" s="71">
        <v>2754000</v>
      </c>
      <c r="X22" s="71">
        <f>IF($B$2="Race",VLOOKUP(B22,Table1[],6,FALSE),IF($B$2="Religion",VLOOKUP(B22,Table3[],6,FALSE),IF($B$2="Sexual Orientation",VLOOKUP(B22,Table2[],6,FALSE),IF($B$2="Disability",VLOOKUP(B22,Table4[],6,FALSE),IF($B$2="Transgender",VLOOKUP(B22,Table5[],6,FALSE),IF($B$2="Total Offences",VLOOKUP(B22,Table6[],6,FALSE),""))))))</f>
        <v>4842</v>
      </c>
      <c r="Y22" s="74">
        <f t="shared" si="8"/>
        <v>175.8169934640523</v>
      </c>
      <c r="Z22" s="56">
        <f t="shared" si="9"/>
        <v>2</v>
      </c>
      <c r="AA22" s="56"/>
      <c r="AB22" s="71">
        <v>2780800</v>
      </c>
      <c r="AC22" s="71">
        <f>IF($B$2="Race",VLOOKUP(B22,Table1[],7,FALSE),IF($B$2="Religion",VLOOKUP(B22,Table3[],7,FALSE),IF($B$2="Sexual Orientation",VLOOKUP(B22,Table2[],7,FALSE),IF($B$2="Disability",VLOOKUP(B22,Table4[],7,FALSE),IF($B$2="Transgender",VLOOKUP(B22,Table5[],7,FALSE),IF($B$2="Total Offences",VLOOKUP(B22,Table6[],7,FALSE),""))))))</f>
        <v>5496</v>
      </c>
      <c r="AD22" s="74">
        <f t="shared" si="10"/>
        <v>197.64096662830841</v>
      </c>
      <c r="AE22" s="56">
        <f t="shared" si="11"/>
        <v>4</v>
      </c>
      <c r="AF22" s="56"/>
      <c r="AG22" s="71">
        <v>2798800</v>
      </c>
      <c r="AH22" s="71">
        <f>IF($B$2="Race",VLOOKUP(B22,Table1[],8,FALSE),IF($B$2="Religion",VLOOKUP(B22,Table3[],8,FALSE),IF($B$2="Sexual Orientation",VLOOKUP(B22,Table2[],8,FALSE),IF($B$2="Disability",VLOOKUP(B22,Table4[],8,FALSE),IF($B$2="Transgender",VLOOKUP(B22,Table5[],8,FALSE),IF($B$2="Total Offences",VLOOKUP(B22,Table6[],8,FALSE),""))))))</f>
        <v>7861</v>
      </c>
      <c r="AI22" s="74">
        <f t="shared" si="12"/>
        <v>280.8703730170073</v>
      </c>
      <c r="AJ22" s="56">
        <f t="shared" si="13"/>
        <v>1</v>
      </c>
      <c r="AK22" s="56"/>
      <c r="AL22" s="71">
        <v>2812600</v>
      </c>
      <c r="AM22" s="71">
        <f>IF($B$2="Race",VLOOKUP(B22,Table1[],9,FALSE),IF($B$2="Religion",VLOOKUP(B22,Table3[],9,FALSE),IF($B$2="Sexual Orientation",VLOOKUP(B22,Table2[],9,FALSE),IF($B$2="Disability",VLOOKUP(B22,Table4[],9,FALSE),IF($B$2="Transgender",VLOOKUP(B22,Table5[],9,FALSE),IF($B$2="Total Offences",VLOOKUP(B22,Table6[],9,FALSE),""))))))</f>
        <v>8984</v>
      </c>
      <c r="AN22" s="74">
        <f t="shared" si="14"/>
        <v>319.41975396430348</v>
      </c>
      <c r="AO22" s="56">
        <f t="shared" si="15"/>
        <v>2</v>
      </c>
      <c r="AP22" s="56"/>
      <c r="AQ22" s="71">
        <v>2835700</v>
      </c>
      <c r="AR22" s="71" t="str">
        <f>IF($B$2="Race",VLOOKUP(B22,Table1[],10,FALSE),IF($B$2="Religion",VLOOKUP(B22,Table3[],10,FALSE),IF($B$2="Sexual Orientation",VLOOKUP(B22,Table2[],10,FALSE),IF($B$2="Disability",VLOOKUP(B22,Table4[],10,FALSE),IF($B$2="Transgender",VLOOKUP(B22,Table5[],10,FALSE),IF($B$2="Total Offences",VLOOKUP(B22,Table6[],10,FALSE),""))))))</f>
        <v>N/A</v>
      </c>
      <c r="AS22" s="72" t="s">
        <v>198</v>
      </c>
      <c r="AT22" s="73" t="s">
        <v>198</v>
      </c>
      <c r="AU22" s="73"/>
      <c r="AV22" s="57">
        <v>2848300</v>
      </c>
      <c r="AW22" s="71">
        <f>IF($B$2="Race",VLOOKUP(B22,Table1[],11,FALSE),IF($B$2="Religion",VLOOKUP(B22,Table3[],11,FALSE),IF($B$2="Sexual Orientation",VLOOKUP(B22,Table2[],11,FALSE),IF($B$2="Disability",VLOOKUP(B22,Table4[],11,FALSE),IF($B$2="Transgender",VLOOKUP(B22,Table5[],11,FALSE),IF($B$2="Total Offences",VLOOKUP(B22,Table6[],11,FALSE),""))))))</f>
        <v>9133</v>
      </c>
      <c r="AX22" s="74">
        <f t="shared" si="18"/>
        <v>320.64740371449636</v>
      </c>
      <c r="AY22" s="56">
        <f t="shared" si="19"/>
        <v>3</v>
      </c>
      <c r="AZ22" s="56"/>
    </row>
    <row r="23" spans="1:52" x14ac:dyDescent="0.35">
      <c r="A23" s="56"/>
      <c r="B23" s="56" t="s">
        <v>23</v>
      </c>
      <c r="C23" s="71">
        <v>577100</v>
      </c>
      <c r="D23" s="57" t="str">
        <f>IF($B$2="Race",VLOOKUP(B23,Table1[],2,FALSE),IF($B$2="Religion",VLOOKUP(B23,Table3[],2,FALSE),IF($B$2="Sexual Orientation",VLOOKUP(B23,Table2[],2,FALSE),IF($B$2="Disability",VLOOKUP(B23,Table4[],2,FALSE),IF($B$2="Transgender",VLOOKUP(B23,Table5[],2,FALSE),IF($B$2="Total Offences",VLOOKUP(B23,Table6[],2,FALSE),""))))))</f>
        <v>N/A</v>
      </c>
      <c r="E23" s="72" t="str">
        <f t="shared" si="0"/>
        <v>N/A</v>
      </c>
      <c r="F23" s="73" t="str">
        <f t="shared" si="1"/>
        <v>N/A</v>
      </c>
      <c r="G23" s="56"/>
      <c r="H23" s="71">
        <v>578200</v>
      </c>
      <c r="I23" s="71">
        <f>IF($B$2="Race",VLOOKUP(B23,Table1[],3,FALSE),IF($B$2="Religion",VLOOKUP(B23,Table3[],3,FALSE),IF($B$2="Sexual Orientation",VLOOKUP(B23,Table2[],3,FALSE),IF($B$2="Disability",VLOOKUP(B23,Table4[],3,FALSE),IF($B$2="Transgender",VLOOKUP(B23,Table5[],3,FALSE),IF($B$2="Total Offences",VLOOKUP(B23,Table6[],3,FALSE),""))))))</f>
        <v>237</v>
      </c>
      <c r="J23" s="74">
        <f t="shared" si="2"/>
        <v>40.989277066758909</v>
      </c>
      <c r="K23" s="56">
        <f t="shared" si="3"/>
        <v>34</v>
      </c>
      <c r="L23" s="56"/>
      <c r="M23" s="71">
        <v>579300</v>
      </c>
      <c r="N23" s="71">
        <f>IF($B$2="Race",VLOOKUP(B23,Table1[],4,FALSE),IF($B$2="Religion",VLOOKUP(B23,Table3[],4,FALSE),IF($B$2="Sexual Orientation",VLOOKUP(B23,Table2[],4,FALSE),IF($B$2="Disability",VLOOKUP(B23,Table4[],4,FALSE),IF($B$2="Transgender",VLOOKUP(B23,Table5[],4,FALSE),IF($B$2="Total Offences",VLOOKUP(B23,Table6[],4,FALSE),""))))))</f>
        <v>244</v>
      </c>
      <c r="O23" s="74">
        <f t="shared" si="4"/>
        <v>42.119799758329016</v>
      </c>
      <c r="P23" s="56">
        <f t="shared" si="5"/>
        <v>31</v>
      </c>
      <c r="Q23" s="56"/>
      <c r="R23" s="71">
        <v>580800</v>
      </c>
      <c r="S23" s="71">
        <f>IF($B$2="Race",VLOOKUP(B23,Table1[],5,FALSE),IF($B$2="Religion",VLOOKUP(B23,Table3[],5,FALSE),IF($B$2="Sexual Orientation",VLOOKUP(B23,Table2[],5,FALSE),IF($B$2="Disability",VLOOKUP(B23,Table4[],5,FALSE),IF($B$2="Transgender",VLOOKUP(B23,Table5[],5,FALSE),IF($B$2="Total Offences",VLOOKUP(B23,Table6[],5,FALSE),""))))))</f>
        <v>267</v>
      </c>
      <c r="T23" s="74">
        <f t="shared" si="6"/>
        <v>45.971074380165284</v>
      </c>
      <c r="U23" s="56">
        <f t="shared" si="7"/>
        <v>33</v>
      </c>
      <c r="V23" s="56"/>
      <c r="W23" s="71">
        <v>582200</v>
      </c>
      <c r="X23" s="71">
        <f>IF($B$2="Race",VLOOKUP(B23,Table1[],6,FALSE),IF($B$2="Religion",VLOOKUP(B23,Table3[],6,FALSE),IF($B$2="Sexual Orientation",VLOOKUP(B23,Table2[],6,FALSE),IF($B$2="Disability",VLOOKUP(B23,Table4[],6,FALSE),IF($B$2="Transgender",VLOOKUP(B23,Table5[],6,FALSE),IF($B$2="Total Offences",VLOOKUP(B23,Table6[],6,FALSE),""))))))</f>
        <v>213</v>
      </c>
      <c r="Y23" s="74">
        <f t="shared" si="8"/>
        <v>36.585365853658537</v>
      </c>
      <c r="Z23" s="56">
        <f t="shared" si="9"/>
        <v>40</v>
      </c>
      <c r="AA23" s="56"/>
      <c r="AB23" s="71">
        <v>584800</v>
      </c>
      <c r="AC23" s="71">
        <f>IF($B$2="Race",VLOOKUP(B23,Table1[],7,FALSE),IF($B$2="Religion",VLOOKUP(B23,Table3[],7,FALSE),IF($B$2="Sexual Orientation",VLOOKUP(B23,Table2[],7,FALSE),IF($B$2="Disability",VLOOKUP(B23,Table4[],7,FALSE),IF($B$2="Transgender",VLOOKUP(B23,Table5[],7,FALSE),IF($B$2="Total Offences",VLOOKUP(B23,Table6[],7,FALSE),""))))))</f>
        <v>408</v>
      </c>
      <c r="AD23" s="74">
        <f t="shared" si="10"/>
        <v>69.767441860465112</v>
      </c>
      <c r="AE23" s="56">
        <f t="shared" si="11"/>
        <v>33</v>
      </c>
      <c r="AF23" s="56"/>
      <c r="AG23" s="71">
        <v>587700</v>
      </c>
      <c r="AH23" s="71">
        <f>IF($B$2="Race",VLOOKUP(B23,Table1[],8,FALSE),IF($B$2="Religion",VLOOKUP(B23,Table3[],8,FALSE),IF($B$2="Sexual Orientation",VLOOKUP(B23,Table2[],8,FALSE),IF($B$2="Disability",VLOOKUP(B23,Table4[],8,FALSE),IF($B$2="Transgender",VLOOKUP(B23,Table5[],8,FALSE),IF($B$2="Total Offences",VLOOKUP(B23,Table6[],8,FALSE),""))))))</f>
        <v>666</v>
      </c>
      <c r="AI23" s="74">
        <f t="shared" si="12"/>
        <v>113.32312404287902</v>
      </c>
      <c r="AJ23" s="56">
        <f t="shared" si="13"/>
        <v>28</v>
      </c>
      <c r="AK23" s="56"/>
      <c r="AL23" s="71">
        <v>591200</v>
      </c>
      <c r="AM23" s="71">
        <f>IF($B$2="Race",VLOOKUP(B23,Table1[],9,FALSE),IF($B$2="Religion",VLOOKUP(B23,Table3[],9,FALSE),IF($B$2="Sexual Orientation",VLOOKUP(B23,Table2[],9,FALSE),IF($B$2="Disability",VLOOKUP(B23,Table4[],9,FALSE),IF($B$2="Transgender",VLOOKUP(B23,Table5[],9,FALSE),IF($B$2="Total Offences",VLOOKUP(B23,Table6[],9,FALSE),""))))))</f>
        <v>715</v>
      </c>
      <c r="AN23" s="74">
        <f t="shared" si="14"/>
        <v>120.94046008119079</v>
      </c>
      <c r="AO23" s="56">
        <f t="shared" si="15"/>
        <v>28</v>
      </c>
      <c r="AP23" s="56"/>
      <c r="AQ23" s="71">
        <v>594200</v>
      </c>
      <c r="AR23" s="71">
        <f>IF($B$2="Race",VLOOKUP(B23,Table1[],10,FALSE),IF($B$2="Religion",VLOOKUP(B23,Table3[],10,FALSE),IF($B$2="Sexual Orientation",VLOOKUP(B23,Table2[],10,FALSE),IF($B$2="Disability",VLOOKUP(B23,Table4[],10,FALSE),IF($B$2="Transgender",VLOOKUP(B23,Table5[],10,FALSE),IF($B$2="Total Offences",VLOOKUP(B23,Table6[],10,FALSE),""))))))</f>
        <v>629</v>
      </c>
      <c r="AS23" s="74">
        <f t="shared" si="16"/>
        <v>105.85661393470212</v>
      </c>
      <c r="AT23" s="56">
        <f t="shared" si="17"/>
        <v>35</v>
      </c>
      <c r="AU23" s="56"/>
      <c r="AV23" s="71">
        <v>598200</v>
      </c>
      <c r="AW23" s="71">
        <f>IF($B$2="Race",VLOOKUP(B23,Table1[],11,FALSE),IF($B$2="Religion",VLOOKUP(B23,Table3[],11,FALSE),IF($B$2="Sexual Orientation",VLOOKUP(B23,Table2[],11,FALSE),IF($B$2="Disability",VLOOKUP(B23,Table4[],11,FALSE),IF($B$2="Transgender",VLOOKUP(B23,Table5[],11,FALSE),IF($B$2="Total Offences",VLOOKUP(B23,Table6[],11,FALSE),""))))))</f>
        <v>677</v>
      </c>
      <c r="AX23" s="74">
        <f t="shared" si="18"/>
        <v>113.17285188900033</v>
      </c>
      <c r="AY23" s="56">
        <f t="shared" si="19"/>
        <v>38</v>
      </c>
      <c r="AZ23" s="56"/>
    </row>
    <row r="24" spans="1:52" x14ac:dyDescent="0.35">
      <c r="A24" s="56"/>
      <c r="B24" s="56" t="s">
        <v>24</v>
      </c>
      <c r="C24" s="71">
        <v>1902000</v>
      </c>
      <c r="D24" s="57" t="str">
        <f>IF($B$2="Race",VLOOKUP(B24,Table1[],2,FALSE),IF($B$2="Religion",VLOOKUP(B24,Table3[],2,FALSE),IF($B$2="Sexual Orientation",VLOOKUP(B24,Table2[],2,FALSE),IF($B$2="Disability",VLOOKUP(B24,Table4[],2,FALSE),IF($B$2="Transgender",VLOOKUP(B24,Table5[],2,FALSE),IF($B$2="Total Offences",VLOOKUP(B24,Table6[],2,FALSE),""))))))</f>
        <v>N/A</v>
      </c>
      <c r="E24" s="72" t="str">
        <f t="shared" si="0"/>
        <v>N/A</v>
      </c>
      <c r="F24" s="73" t="str">
        <f t="shared" si="1"/>
        <v>N/A</v>
      </c>
      <c r="G24" s="56"/>
      <c r="H24" s="71">
        <v>1915300</v>
      </c>
      <c r="I24" s="71">
        <f>IF($B$2="Race",VLOOKUP(B24,Table1[],3,FALSE),IF($B$2="Religion",VLOOKUP(B24,Table3[],3,FALSE),IF($B$2="Sexual Orientation",VLOOKUP(B24,Table2[],3,FALSE),IF($B$2="Disability",VLOOKUP(B24,Table4[],3,FALSE),IF($B$2="Transgender",VLOOKUP(B24,Table5[],3,FALSE),IF($B$2="Total Offences",VLOOKUP(B24,Table6[],3,FALSE),""))))))</f>
        <v>1121</v>
      </c>
      <c r="J24" s="74">
        <f t="shared" si="2"/>
        <v>58.528690022450789</v>
      </c>
      <c r="K24" s="56">
        <f t="shared" si="3"/>
        <v>16</v>
      </c>
      <c r="L24" s="56"/>
      <c r="M24" s="71">
        <v>1925300</v>
      </c>
      <c r="N24" s="71">
        <f>IF($B$2="Race",VLOOKUP(B24,Table1[],4,FALSE),IF($B$2="Religion",VLOOKUP(B24,Table3[],4,FALSE),IF($B$2="Sexual Orientation",VLOOKUP(B24,Table2[],4,FALSE),IF($B$2="Disability",VLOOKUP(B24,Table4[],4,FALSE),IF($B$2="Transgender",VLOOKUP(B24,Table5[],4,FALSE),IF($B$2="Total Offences",VLOOKUP(B24,Table6[],4,FALSE),""))))))</f>
        <v>1064</v>
      </c>
      <c r="O24" s="74">
        <f t="shared" si="4"/>
        <v>55.264114683425959</v>
      </c>
      <c r="P24" s="56">
        <f t="shared" si="5"/>
        <v>22</v>
      </c>
      <c r="Q24" s="56"/>
      <c r="R24" s="71">
        <v>1939100</v>
      </c>
      <c r="S24" s="71">
        <f>IF($B$2="Race",VLOOKUP(B24,Table1[],5,FALSE),IF($B$2="Religion",VLOOKUP(B24,Table3[],5,FALSE),IF($B$2="Sexual Orientation",VLOOKUP(B24,Table2[],5,FALSE),IF($B$2="Disability",VLOOKUP(B24,Table4[],5,FALSE),IF($B$2="Transgender",VLOOKUP(B24,Table5[],5,FALSE),IF($B$2="Total Offences",VLOOKUP(B24,Table6[],5,FALSE),""))))))</f>
        <v>1547</v>
      </c>
      <c r="T24" s="74">
        <f t="shared" si="6"/>
        <v>79.779279046980562</v>
      </c>
      <c r="U24" s="56">
        <f t="shared" si="7"/>
        <v>11</v>
      </c>
      <c r="V24" s="56"/>
      <c r="W24" s="71">
        <v>1953300</v>
      </c>
      <c r="X24" s="71">
        <f>IF($B$2="Race",VLOOKUP(B24,Table1[],6,FALSE),IF($B$2="Religion",VLOOKUP(B24,Table3[],6,FALSE),IF($B$2="Sexual Orientation",VLOOKUP(B24,Table2[],6,FALSE),IF($B$2="Disability",VLOOKUP(B24,Table4[],6,FALSE),IF($B$2="Transgender",VLOOKUP(B24,Table5[],6,FALSE),IF($B$2="Total Offences",VLOOKUP(B24,Table6[],6,FALSE),""))))))</f>
        <v>1814</v>
      </c>
      <c r="Y24" s="74">
        <f t="shared" si="8"/>
        <v>92.868478984283001</v>
      </c>
      <c r="Z24" s="56">
        <f t="shared" si="9"/>
        <v>11</v>
      </c>
      <c r="AA24" s="56"/>
      <c r="AB24" s="71">
        <v>1969100</v>
      </c>
      <c r="AC24" s="71">
        <f>IF($B$2="Race",VLOOKUP(B24,Table1[],7,FALSE),IF($B$2="Religion",VLOOKUP(B24,Table3[],7,FALSE),IF($B$2="Sexual Orientation",VLOOKUP(B24,Table2[],7,FALSE),IF($B$2="Disability",VLOOKUP(B24,Table4[],7,FALSE),IF($B$2="Transgender",VLOOKUP(B24,Table5[],7,FALSE),IF($B$2="Total Offences",VLOOKUP(B24,Table6[],7,FALSE),""))))))</f>
        <v>2231</v>
      </c>
      <c r="AD24" s="74">
        <f t="shared" si="10"/>
        <v>113.30049261083744</v>
      </c>
      <c r="AE24" s="56">
        <f t="shared" si="11"/>
        <v>17</v>
      </c>
      <c r="AF24" s="56"/>
      <c r="AG24" s="71">
        <v>1978800</v>
      </c>
      <c r="AH24" s="71">
        <f>IF($B$2="Race",VLOOKUP(B24,Table1[],8,FALSE),IF($B$2="Religion",VLOOKUP(B24,Table3[],8,FALSE),IF($B$2="Sexual Orientation",VLOOKUP(B24,Table2[],8,FALSE),IF($B$2="Disability",VLOOKUP(B24,Table4[],8,FALSE),IF($B$2="Transgender",VLOOKUP(B24,Table5[],8,FALSE),IF($B$2="Total Offences",VLOOKUP(B24,Table6[],8,FALSE),""))))))</f>
        <v>2701</v>
      </c>
      <c r="AI24" s="74">
        <f t="shared" si="12"/>
        <v>136.49686678795229</v>
      </c>
      <c r="AJ24" s="56">
        <f t="shared" si="13"/>
        <v>17</v>
      </c>
      <c r="AK24" s="56"/>
      <c r="AL24" s="71">
        <v>1985800</v>
      </c>
      <c r="AM24" s="71">
        <f>IF($B$2="Race",VLOOKUP(B24,Table1[],9,FALSE),IF($B$2="Religion",VLOOKUP(B24,Table3[],9,FALSE),IF($B$2="Sexual Orientation",VLOOKUP(B24,Table2[],9,FALSE),IF($B$2="Disability",VLOOKUP(B24,Table4[],9,FALSE),IF($B$2="Transgender",VLOOKUP(B24,Table5[],9,FALSE),IF($B$2="Total Offences",VLOOKUP(B24,Table6[],9,FALSE),""))))))</f>
        <v>2726</v>
      </c>
      <c r="AN24" s="74">
        <f t="shared" si="14"/>
        <v>137.27465001510726</v>
      </c>
      <c r="AO24" s="56">
        <f t="shared" si="15"/>
        <v>22</v>
      </c>
      <c r="AP24" s="56"/>
      <c r="AQ24" s="71">
        <v>1991700</v>
      </c>
      <c r="AR24" s="71">
        <f>IF($B$2="Race",VLOOKUP(B24,Table1[],10,FALSE),IF($B$2="Religion",VLOOKUP(B24,Table3[],10,FALSE),IF($B$2="Sexual Orientation",VLOOKUP(B24,Table2[],10,FALSE),IF($B$2="Disability",VLOOKUP(B24,Table4[],10,FALSE),IF($B$2="Transgender",VLOOKUP(B24,Table5[],10,FALSE),IF($B$2="Total Offences",VLOOKUP(B24,Table6[],10,FALSE),""))))))</f>
        <v>2969</v>
      </c>
      <c r="AS24" s="74">
        <f t="shared" si="16"/>
        <v>149.06863483456345</v>
      </c>
      <c r="AT24" s="56">
        <f t="shared" si="17"/>
        <v>21</v>
      </c>
      <c r="AU24" s="56"/>
      <c r="AV24" s="71">
        <v>1999100</v>
      </c>
      <c r="AW24" s="71">
        <f>IF($B$2="Race",VLOOKUP(B24,Table1[],11,FALSE),IF($B$2="Religion",VLOOKUP(B24,Table3[],11,FALSE),IF($B$2="Sexual Orientation",VLOOKUP(B24,Table2[],11,FALSE),IF($B$2="Disability",VLOOKUP(B24,Table4[],11,FALSE),IF($B$2="Transgender",VLOOKUP(B24,Table5[],11,FALSE),IF($B$2="Total Offences",VLOOKUP(B24,Table6[],11,FALSE),""))))))</f>
        <v>3528</v>
      </c>
      <c r="AX24" s="74">
        <f t="shared" si="18"/>
        <v>176.47941573708167</v>
      </c>
      <c r="AY24" s="56">
        <f t="shared" si="19"/>
        <v>16</v>
      </c>
      <c r="AZ24" s="56"/>
    </row>
    <row r="25" spans="1:52" x14ac:dyDescent="0.35">
      <c r="A25" s="56"/>
      <c r="B25" s="56" t="s">
        <v>25</v>
      </c>
      <c r="C25" s="71">
        <v>1119800</v>
      </c>
      <c r="D25" s="57" t="str">
        <f>IF($B$2="Race",VLOOKUP(B25,Table1[],2,FALSE),IF($B$2="Religion",VLOOKUP(B25,Table3[],2,FALSE),IF($B$2="Sexual Orientation",VLOOKUP(B25,Table2[],2,FALSE),IF($B$2="Disability",VLOOKUP(B25,Table4[],2,FALSE),IF($B$2="Transgender",VLOOKUP(B25,Table5[],2,FALSE),IF($B$2="Total Offences",VLOOKUP(B25,Table6[],2,FALSE),""))))))</f>
        <v>N/A</v>
      </c>
      <c r="E25" s="72" t="str">
        <f t="shared" si="0"/>
        <v>N/A</v>
      </c>
      <c r="F25" s="73" t="str">
        <f t="shared" si="1"/>
        <v>N/A</v>
      </c>
      <c r="G25" s="56"/>
      <c r="H25" s="71">
        <v>1129300</v>
      </c>
      <c r="I25" s="71">
        <f>IF($B$2="Race",VLOOKUP(B25,Table1[],3,FALSE),IF($B$2="Religion",VLOOKUP(B25,Table3[],3,FALSE),IF($B$2="Sexual Orientation",VLOOKUP(B25,Table2[],3,FALSE),IF($B$2="Disability",VLOOKUP(B25,Table4[],3,FALSE),IF($B$2="Transgender",VLOOKUP(B25,Table5[],3,FALSE),IF($B$2="Total Offences",VLOOKUP(B25,Table6[],3,FALSE),""))))))</f>
        <v>796</v>
      </c>
      <c r="J25" s="74">
        <f t="shared" si="2"/>
        <v>70.486141857788013</v>
      </c>
      <c r="K25" s="56">
        <f t="shared" si="3"/>
        <v>11</v>
      </c>
      <c r="L25" s="56"/>
      <c r="M25" s="71">
        <v>1140600</v>
      </c>
      <c r="N25" s="71">
        <f>IF($B$2="Race",VLOOKUP(B25,Table1[],4,FALSE),IF($B$2="Religion",VLOOKUP(B25,Table3[],4,FALSE),IF($B$2="Sexual Orientation",VLOOKUP(B25,Table2[],4,FALSE),IF($B$2="Disability",VLOOKUP(B25,Table4[],4,FALSE),IF($B$2="Transgender",VLOOKUP(B25,Table5[],4,FALSE),IF($B$2="Total Offences",VLOOKUP(B25,Table6[],4,FALSE),""))))))</f>
        <v>626</v>
      </c>
      <c r="O25" s="74">
        <f t="shared" si="4"/>
        <v>54.883394704541473</v>
      </c>
      <c r="P25" s="56">
        <f t="shared" si="5"/>
        <v>23</v>
      </c>
      <c r="Q25" s="56"/>
      <c r="R25" s="71">
        <v>1154200</v>
      </c>
      <c r="S25" s="71">
        <f>IF($B$2="Race",VLOOKUP(B25,Table1[],5,FALSE),IF($B$2="Religion",VLOOKUP(B25,Table3[],5,FALSE),IF($B$2="Sexual Orientation",VLOOKUP(B25,Table2[],5,FALSE),IF($B$2="Disability",VLOOKUP(B25,Table4[],5,FALSE),IF($B$2="Transgender",VLOOKUP(B25,Table5[],5,FALSE),IF($B$2="Total Offences",VLOOKUP(B25,Table6[],5,FALSE),""))))))</f>
        <v>838</v>
      </c>
      <c r="T25" s="74">
        <f t="shared" si="6"/>
        <v>72.604401316929483</v>
      </c>
      <c r="U25" s="56">
        <f t="shared" si="7"/>
        <v>15</v>
      </c>
      <c r="V25" s="56"/>
      <c r="W25" s="71">
        <v>1165300</v>
      </c>
      <c r="X25" s="71">
        <f>IF($B$2="Race",VLOOKUP(B25,Table1[],6,FALSE),IF($B$2="Religion",VLOOKUP(B25,Table3[],6,FALSE),IF($B$2="Sexual Orientation",VLOOKUP(B25,Table2[],6,FALSE),IF($B$2="Disability",VLOOKUP(B25,Table4[],6,FALSE),IF($B$2="Transgender",VLOOKUP(B25,Table5[],6,FALSE),IF($B$2="Total Offences",VLOOKUP(B25,Table6[],6,FALSE),""))))))</f>
        <v>948</v>
      </c>
      <c r="Y25" s="74">
        <f t="shared" si="8"/>
        <v>81.352441431391057</v>
      </c>
      <c r="Z25" s="56">
        <f t="shared" si="9"/>
        <v>15</v>
      </c>
      <c r="AA25" s="56"/>
      <c r="AB25" s="71">
        <v>1176400</v>
      </c>
      <c r="AC25" s="71">
        <f>IF($B$2="Race",VLOOKUP(B25,Table1[],7,FALSE),IF($B$2="Religion",VLOOKUP(B25,Table3[],7,FALSE),IF($B$2="Sexual Orientation",VLOOKUP(B25,Table2[],7,FALSE),IF($B$2="Disability",VLOOKUP(B25,Table4[],7,FALSE),IF($B$2="Transgender",VLOOKUP(B25,Table5[],7,FALSE),IF($B$2="Total Offences",VLOOKUP(B25,Table6[],7,FALSE),""))))))</f>
        <v>1376</v>
      </c>
      <c r="AD25" s="74">
        <f t="shared" si="10"/>
        <v>116.96701802108127</v>
      </c>
      <c r="AE25" s="56">
        <f t="shared" si="11"/>
        <v>14</v>
      </c>
      <c r="AF25" s="56"/>
      <c r="AG25" s="71">
        <v>1180900</v>
      </c>
      <c r="AH25" s="71">
        <f>IF($B$2="Race",VLOOKUP(B25,Table1[],8,FALSE),IF($B$2="Religion",VLOOKUP(B25,Table3[],8,FALSE),IF($B$2="Sexual Orientation",VLOOKUP(B25,Table2[],8,FALSE),IF($B$2="Disability",VLOOKUP(B25,Table4[],8,FALSE),IF($B$2="Transgender",VLOOKUP(B25,Table5[],8,FALSE),IF($B$2="Total Offences",VLOOKUP(B25,Table6[],8,FALSE),""))))))</f>
        <v>1468</v>
      </c>
      <c r="AI25" s="74">
        <f t="shared" si="12"/>
        <v>124.31196545008045</v>
      </c>
      <c r="AJ25" s="56">
        <f t="shared" si="13"/>
        <v>24</v>
      </c>
      <c r="AK25" s="56"/>
      <c r="AL25" s="71">
        <v>1184400</v>
      </c>
      <c r="AM25" s="71">
        <f>IF($B$2="Race",VLOOKUP(B25,Table1[],9,FALSE),IF($B$2="Religion",VLOOKUP(B25,Table3[],9,FALSE),IF($B$2="Sexual Orientation",VLOOKUP(B25,Table2[],9,FALSE),IF($B$2="Disability",VLOOKUP(B25,Table4[],9,FALSE),IF($B$2="Transgender",VLOOKUP(B25,Table5[],9,FALSE),IF($B$2="Total Offences",VLOOKUP(B25,Table6[],9,FALSE),""))))))</f>
        <v>1600</v>
      </c>
      <c r="AN25" s="74">
        <f t="shared" si="14"/>
        <v>135.08949679162447</v>
      </c>
      <c r="AO25" s="56">
        <f t="shared" si="15"/>
        <v>23</v>
      </c>
      <c r="AP25" s="56"/>
      <c r="AQ25" s="71">
        <v>1189500</v>
      </c>
      <c r="AR25" s="71">
        <f>IF($B$2="Race",VLOOKUP(B25,Table1[],10,FALSE),IF($B$2="Religion",VLOOKUP(B25,Table3[],10,FALSE),IF($B$2="Sexual Orientation",VLOOKUP(B25,Table2[],10,FALSE),IF($B$2="Disability",VLOOKUP(B25,Table4[],10,FALSE),IF($B$2="Transgender",VLOOKUP(B25,Table5[],10,FALSE),IF($B$2="Total Offences",VLOOKUP(B25,Table6[],10,FALSE),""))))))</f>
        <v>1587</v>
      </c>
      <c r="AS25" s="74">
        <f t="shared" si="16"/>
        <v>133.41740226986127</v>
      </c>
      <c r="AT25" s="56">
        <f t="shared" si="17"/>
        <v>25</v>
      </c>
      <c r="AU25" s="56"/>
      <c r="AV25" s="71">
        <v>1195700</v>
      </c>
      <c r="AW25" s="71">
        <f>IF($B$2="Race",VLOOKUP(B25,Table1[],11,FALSE),IF($B$2="Religion",VLOOKUP(B25,Table3[],11,FALSE),IF($B$2="Sexual Orientation",VLOOKUP(B25,Table2[],11,FALSE),IF($B$2="Disability",VLOOKUP(B25,Table4[],11,FALSE),IF($B$2="Transgender",VLOOKUP(B25,Table5[],11,FALSE),IF($B$2="Total Offences",VLOOKUP(B25,Table6[],11,FALSE),""))))))</f>
        <v>1627</v>
      </c>
      <c r="AX25" s="74">
        <f t="shared" si="18"/>
        <v>136.07092079953165</v>
      </c>
      <c r="AY25" s="56">
        <f t="shared" si="19"/>
        <v>29</v>
      </c>
      <c r="AZ25" s="56"/>
    </row>
    <row r="26" spans="1:52" x14ac:dyDescent="0.35">
      <c r="A26" s="56"/>
      <c r="B26" s="56" t="s">
        <v>26</v>
      </c>
      <c r="C26" s="71">
        <v>918000</v>
      </c>
      <c r="D26" s="57" t="str">
        <f>IF($B$2="Race",VLOOKUP(B26,Table1[],2,FALSE),IF($B$2="Religion",VLOOKUP(B26,Table3[],2,FALSE),IF($B$2="Sexual Orientation",VLOOKUP(B26,Table2[],2,FALSE),IF($B$2="Disability",VLOOKUP(B26,Table4[],2,FALSE),IF($B$2="Transgender",VLOOKUP(B26,Table5[],2,FALSE),IF($B$2="Total Offences",VLOOKUP(B26,Table6[],2,FALSE),""))))))</f>
        <v>N/A</v>
      </c>
      <c r="E26" s="72" t="str">
        <f t="shared" si="0"/>
        <v>N/A</v>
      </c>
      <c r="F26" s="73" t="str">
        <f t="shared" si="1"/>
        <v>N/A</v>
      </c>
      <c r="G26" s="56"/>
      <c r="H26" s="71">
        <v>921100</v>
      </c>
      <c r="I26" s="71">
        <f>IF($B$2="Race",VLOOKUP(B26,Table1[],3,FALSE),IF($B$2="Religion",VLOOKUP(B26,Table3[],3,FALSE),IF($B$2="Sexual Orientation",VLOOKUP(B26,Table2[],3,FALSE),IF($B$2="Disability",VLOOKUP(B26,Table4[],3,FALSE),IF($B$2="Transgender",VLOOKUP(B26,Table5[],3,FALSE),IF($B$2="Total Offences",VLOOKUP(B26,Table6[],3,FALSE),""))))))</f>
        <v>523</v>
      </c>
      <c r="J26" s="74">
        <f t="shared" si="2"/>
        <v>56.779937031809794</v>
      </c>
      <c r="K26" s="56">
        <f t="shared" si="3"/>
        <v>19</v>
      </c>
      <c r="L26" s="56"/>
      <c r="M26" s="71">
        <v>921900</v>
      </c>
      <c r="N26" s="71">
        <f>IF($B$2="Race",VLOOKUP(B26,Table1[],4,FALSE),IF($B$2="Religion",VLOOKUP(B26,Table3[],4,FALSE),IF($B$2="Sexual Orientation",VLOOKUP(B26,Table2[],4,FALSE),IF($B$2="Disability",VLOOKUP(B26,Table4[],4,FALSE),IF($B$2="Transgender",VLOOKUP(B26,Table5[],4,FALSE),IF($B$2="Total Offences",VLOOKUP(B26,Table6[],4,FALSE),""))))))</f>
        <v>548</v>
      </c>
      <c r="O26" s="74">
        <f t="shared" si="4"/>
        <v>59.442455797808876</v>
      </c>
      <c r="P26" s="56">
        <f t="shared" si="5"/>
        <v>19</v>
      </c>
      <c r="Q26" s="56"/>
      <c r="R26" s="71">
        <v>923900</v>
      </c>
      <c r="S26" s="71">
        <f>IF($B$2="Race",VLOOKUP(B26,Table1[],5,FALSE),IF($B$2="Religion",VLOOKUP(B26,Table3[],5,FALSE),IF($B$2="Sexual Orientation",VLOOKUP(B26,Table2[],5,FALSE),IF($B$2="Disability",VLOOKUP(B26,Table4[],5,FALSE),IF($B$2="Transgender",VLOOKUP(B26,Table5[],5,FALSE),IF($B$2="Total Offences",VLOOKUP(B26,Table6[],5,FALSE),""))))))</f>
        <v>521</v>
      </c>
      <c r="T26" s="74">
        <f t="shared" si="6"/>
        <v>56.391384348955519</v>
      </c>
      <c r="U26" s="56">
        <f t="shared" si="7"/>
        <v>26</v>
      </c>
      <c r="V26" s="56"/>
      <c r="W26" s="71">
        <v>925200</v>
      </c>
      <c r="X26" s="71">
        <f>IF($B$2="Race",VLOOKUP(B26,Table1[],6,FALSE),IF($B$2="Religion",VLOOKUP(B26,Table3[],6,FALSE),IF($B$2="Sexual Orientation",VLOOKUP(B26,Table2[],6,FALSE),IF($B$2="Disability",VLOOKUP(B26,Table4[],6,FALSE),IF($B$2="Transgender",VLOOKUP(B26,Table5[],6,FALSE),IF($B$2="Total Offences",VLOOKUP(B26,Table6[],6,FALSE),""))))))</f>
        <v>527</v>
      </c>
      <c r="Y26" s="74">
        <f t="shared" si="8"/>
        <v>56.960657155209681</v>
      </c>
      <c r="Z26" s="56">
        <f t="shared" si="9"/>
        <v>31</v>
      </c>
      <c r="AA26" s="56"/>
      <c r="AB26" s="71">
        <v>928500</v>
      </c>
      <c r="AC26" s="71">
        <f>IF($B$2="Race",VLOOKUP(B26,Table1[],7,FALSE),IF($B$2="Religion",VLOOKUP(B26,Table3[],7,FALSE),IF($B$2="Sexual Orientation",VLOOKUP(B26,Table2[],7,FALSE),IF($B$2="Disability",VLOOKUP(B26,Table4[],7,FALSE),IF($B$2="Transgender",VLOOKUP(B26,Table5[],7,FALSE),IF($B$2="Total Offences",VLOOKUP(B26,Table6[],7,FALSE),""))))))</f>
        <v>852</v>
      </c>
      <c r="AD26" s="74">
        <f t="shared" si="10"/>
        <v>91.76090468497577</v>
      </c>
      <c r="AE26" s="56">
        <f t="shared" si="11"/>
        <v>26</v>
      </c>
      <c r="AF26" s="56"/>
      <c r="AG26" s="71">
        <v>929900</v>
      </c>
      <c r="AH26" s="71">
        <f>IF($B$2="Race",VLOOKUP(B26,Table1[],8,FALSE),IF($B$2="Religion",VLOOKUP(B26,Table3[],8,FALSE),IF($B$2="Sexual Orientation",VLOOKUP(B26,Table2[],8,FALSE),IF($B$2="Disability",VLOOKUP(B26,Table4[],8,FALSE),IF($B$2="Transgender",VLOOKUP(B26,Table5[],8,FALSE),IF($B$2="Total Offences",VLOOKUP(B26,Table6[],8,FALSE),""))))))</f>
        <v>1060</v>
      </c>
      <c r="AI26" s="74">
        <f t="shared" si="12"/>
        <v>113.99075169373052</v>
      </c>
      <c r="AJ26" s="56">
        <f t="shared" si="13"/>
        <v>27</v>
      </c>
      <c r="AK26" s="56"/>
      <c r="AL26" s="71">
        <v>932100</v>
      </c>
      <c r="AM26" s="71">
        <f>IF($B$2="Race",VLOOKUP(B26,Table1[],9,FALSE),IF($B$2="Religion",VLOOKUP(B26,Table3[],9,FALSE),IF($B$2="Sexual Orientation",VLOOKUP(B26,Table2[],9,FALSE),IF($B$2="Disability",VLOOKUP(B26,Table4[],9,FALSE),IF($B$2="Transgender",VLOOKUP(B26,Table5[],9,FALSE),IF($B$2="Total Offences",VLOOKUP(B26,Table6[],9,FALSE),""))))))</f>
        <v>1357</v>
      </c>
      <c r="AN26" s="74">
        <f t="shared" si="14"/>
        <v>145.58523763544684</v>
      </c>
      <c r="AO26" s="56">
        <f t="shared" si="15"/>
        <v>18</v>
      </c>
      <c r="AP26" s="56"/>
      <c r="AQ26" s="71">
        <v>932800</v>
      </c>
      <c r="AR26" s="71">
        <f>IF($B$2="Race",VLOOKUP(B26,Table1[],10,FALSE),IF($B$2="Religion",VLOOKUP(B26,Table3[],10,FALSE),IF($B$2="Sexual Orientation",VLOOKUP(B26,Table2[],10,FALSE),IF($B$2="Disability",VLOOKUP(B26,Table4[],10,FALSE),IF($B$2="Transgender",VLOOKUP(B26,Table5[],10,FALSE),IF($B$2="Total Offences",VLOOKUP(B26,Table6[],10,FALSE),""))))))</f>
        <v>1341</v>
      </c>
      <c r="AS26" s="74">
        <f t="shared" si="16"/>
        <v>143.76072041166381</v>
      </c>
      <c r="AT26" s="56">
        <f t="shared" si="17"/>
        <v>23</v>
      </c>
      <c r="AU26" s="56"/>
      <c r="AV26" s="71">
        <v>934400</v>
      </c>
      <c r="AW26" s="71">
        <f>IF($B$2="Race",VLOOKUP(B26,Table1[],11,FALSE),IF($B$2="Religion",VLOOKUP(B26,Table3[],11,FALSE),IF($B$2="Sexual Orientation",VLOOKUP(B26,Table2[],11,FALSE),IF($B$2="Disability",VLOOKUP(B26,Table4[],11,FALSE),IF($B$2="Transgender",VLOOKUP(B26,Table5[],11,FALSE),IF($B$2="Total Offences",VLOOKUP(B26,Table6[],11,FALSE),""))))))</f>
        <v>1699</v>
      </c>
      <c r="AX26" s="74">
        <f t="shared" si="18"/>
        <v>181.82791095890411</v>
      </c>
      <c r="AY26" s="56">
        <f t="shared" si="19"/>
        <v>15</v>
      </c>
      <c r="AZ26" s="56"/>
    </row>
    <row r="27" spans="1:52" x14ac:dyDescent="0.35">
      <c r="A27" s="56"/>
      <c r="B27" s="56" t="s">
        <v>27</v>
      </c>
      <c r="C27" s="71">
        <v>1731400</v>
      </c>
      <c r="D27" s="57" t="str">
        <f>IF($B$2="Race",VLOOKUP(B27,Table1[],2,FALSE),IF($B$2="Religion",VLOOKUP(B27,Table3[],2,FALSE),IF($B$2="Sexual Orientation",VLOOKUP(B27,Table2[],2,FALSE),IF($B$2="Disability",VLOOKUP(B27,Table4[],2,FALSE),IF($B$2="Transgender",VLOOKUP(B27,Table5[],2,FALSE),IF($B$2="Total Offences",VLOOKUP(B27,Table6[],2,FALSE),""))))))</f>
        <v>N/A</v>
      </c>
      <c r="E27" s="72" t="str">
        <f t="shared" si="0"/>
        <v>N/A</v>
      </c>
      <c r="F27" s="73" t="str">
        <f t="shared" si="1"/>
        <v>N/A</v>
      </c>
      <c r="G27" s="56"/>
      <c r="H27" s="71">
        <v>1748300</v>
      </c>
      <c r="I27" s="71">
        <f>IF($B$2="Race",VLOOKUP(B27,Table1[],3,FALSE),IF($B$2="Religion",VLOOKUP(B27,Table3[],3,FALSE),IF($B$2="Sexual Orientation",VLOOKUP(B27,Table2[],3,FALSE),IF($B$2="Disability",VLOOKUP(B27,Table4[],3,FALSE),IF($B$2="Transgender",VLOOKUP(B27,Table5[],3,FALSE),IF($B$2="Total Offences",VLOOKUP(B27,Table6[],3,FALSE),""))))))</f>
        <v>810</v>
      </c>
      <c r="J27" s="74">
        <f t="shared" si="2"/>
        <v>46.330721272092894</v>
      </c>
      <c r="K27" s="56">
        <f t="shared" si="3"/>
        <v>31</v>
      </c>
      <c r="L27" s="56"/>
      <c r="M27" s="71">
        <v>1763800</v>
      </c>
      <c r="N27" s="71">
        <f>IF($B$2="Race",VLOOKUP(B27,Table1[],4,FALSE),IF($B$2="Religion",VLOOKUP(B27,Table3[],4,FALSE),IF($B$2="Sexual Orientation",VLOOKUP(B27,Table2[],4,FALSE),IF($B$2="Disability",VLOOKUP(B27,Table4[],4,FALSE),IF($B$2="Transgender",VLOOKUP(B27,Table5[],4,FALSE),IF($B$2="Total Offences",VLOOKUP(B27,Table6[],4,FALSE),""))))))</f>
        <v>1067</v>
      </c>
      <c r="O27" s="74">
        <f t="shared" si="4"/>
        <v>60.494387118720944</v>
      </c>
      <c r="P27" s="56">
        <f t="shared" si="5"/>
        <v>17</v>
      </c>
      <c r="Q27" s="56"/>
      <c r="R27" s="71">
        <v>1782500</v>
      </c>
      <c r="S27" s="71">
        <f>IF($B$2="Race",VLOOKUP(B27,Table1[],5,FALSE),IF($B$2="Religion",VLOOKUP(B27,Table3[],5,FALSE),IF($B$2="Sexual Orientation",VLOOKUP(B27,Table2[],5,FALSE),IF($B$2="Disability",VLOOKUP(B27,Table4[],5,FALSE),IF($B$2="Transgender",VLOOKUP(B27,Table5[],5,FALSE),IF($B$2="Total Offences",VLOOKUP(B27,Table6[],5,FALSE),""))))))</f>
        <v>966</v>
      </c>
      <c r="T27" s="74">
        <f t="shared" si="6"/>
        <v>54.193548387096769</v>
      </c>
      <c r="U27" s="56">
        <f t="shared" si="7"/>
        <v>29</v>
      </c>
      <c r="V27" s="56"/>
      <c r="W27" s="71">
        <v>1798300</v>
      </c>
      <c r="X27" s="71">
        <f>IF($B$2="Race",VLOOKUP(B27,Table1[],6,FALSE),IF($B$2="Religion",VLOOKUP(B27,Table3[],6,FALSE),IF($B$2="Sexual Orientation",VLOOKUP(B27,Table2[],6,FALSE),IF($B$2="Disability",VLOOKUP(B27,Table4[],6,FALSE),IF($B$2="Transgender",VLOOKUP(B27,Table5[],6,FALSE),IF($B$2="Total Offences",VLOOKUP(B27,Table6[],6,FALSE),""))))))</f>
        <v>1193</v>
      </c>
      <c r="Y27" s="74">
        <f t="shared" si="8"/>
        <v>66.340432630818</v>
      </c>
      <c r="Z27" s="56">
        <f t="shared" si="9"/>
        <v>24</v>
      </c>
      <c r="AA27" s="56"/>
      <c r="AB27" s="71">
        <v>1817400</v>
      </c>
      <c r="AC27" s="71">
        <f>IF($B$2="Race",VLOOKUP(B27,Table1[],7,FALSE),IF($B$2="Religion",VLOOKUP(B27,Table3[],7,FALSE),IF($B$2="Sexual Orientation",VLOOKUP(B27,Table2[],7,FALSE),IF($B$2="Disability",VLOOKUP(B27,Table4[],7,FALSE),IF($B$2="Transgender",VLOOKUP(B27,Table5[],7,FALSE),IF($B$2="Total Offences",VLOOKUP(B27,Table6[],7,FALSE),""))))))</f>
        <v>1927</v>
      </c>
      <c r="AD27" s="74">
        <f t="shared" si="10"/>
        <v>106.03059315505668</v>
      </c>
      <c r="AE27" s="56">
        <f t="shared" si="11"/>
        <v>22</v>
      </c>
      <c r="AF27" s="56"/>
      <c r="AG27" s="71">
        <v>1832300</v>
      </c>
      <c r="AH27" s="71">
        <f>IF($B$2="Race",VLOOKUP(B27,Table1[],8,FALSE),IF($B$2="Religion",VLOOKUP(B27,Table3[],8,FALSE),IF($B$2="Sexual Orientation",VLOOKUP(B27,Table2[],8,FALSE),IF($B$2="Disability",VLOOKUP(B27,Table4[],8,FALSE),IF($B$2="Transgender",VLOOKUP(B27,Table5[],8,FALSE),IF($B$2="Total Offences",VLOOKUP(B27,Table6[],8,FALSE),""))))))</f>
        <v>3359</v>
      </c>
      <c r="AI27" s="74">
        <f t="shared" si="12"/>
        <v>183.32150848660154</v>
      </c>
      <c r="AJ27" s="56">
        <f t="shared" si="13"/>
        <v>6</v>
      </c>
      <c r="AK27" s="56"/>
      <c r="AL27" s="71">
        <v>1846500</v>
      </c>
      <c r="AM27" s="71">
        <f>IF($B$2="Race",VLOOKUP(B27,Table1[],9,FALSE),IF($B$2="Religion",VLOOKUP(B27,Table3[],9,FALSE),IF($B$2="Sexual Orientation",VLOOKUP(B27,Table2[],9,FALSE),IF($B$2="Disability",VLOOKUP(B27,Table4[],9,FALSE),IF($B$2="Transgender",VLOOKUP(B27,Table5[],9,FALSE),IF($B$2="Total Offences",VLOOKUP(B27,Table6[],9,FALSE),""))))))</f>
        <v>4395</v>
      </c>
      <c r="AN27" s="74">
        <f t="shared" si="14"/>
        <v>238.01787164906582</v>
      </c>
      <c r="AO27" s="56">
        <f t="shared" si="15"/>
        <v>3</v>
      </c>
      <c r="AP27" s="56"/>
      <c r="AQ27" s="71">
        <v>1860100</v>
      </c>
      <c r="AR27" s="71">
        <f>IF($B$2="Race",VLOOKUP(B27,Table1[],10,FALSE),IF($B$2="Religion",VLOOKUP(B27,Table3[],10,FALSE),IF($B$2="Sexual Orientation",VLOOKUP(B27,Table2[],10,FALSE),IF($B$2="Disability",VLOOKUP(B27,Table4[],10,FALSE),IF($B$2="Transgender",VLOOKUP(B27,Table5[],10,FALSE),IF($B$2="Total Offences",VLOOKUP(B27,Table6[],10,FALSE),""))))))</f>
        <v>4075</v>
      </c>
      <c r="AS27" s="74">
        <f t="shared" si="16"/>
        <v>219.07424332025158</v>
      </c>
      <c r="AT27" s="56">
        <f t="shared" si="17"/>
        <v>5</v>
      </c>
      <c r="AU27" s="56"/>
      <c r="AV27" s="71">
        <v>1868200</v>
      </c>
      <c r="AW27" s="71">
        <f>IF($B$2="Race",VLOOKUP(B27,Table1[],11,FALSE),IF($B$2="Religion",VLOOKUP(B27,Table3[],11,FALSE),IF($B$2="Sexual Orientation",VLOOKUP(B27,Table2[],11,FALSE),IF($B$2="Disability",VLOOKUP(B27,Table4[],11,FALSE),IF($B$2="Transgender",VLOOKUP(B27,Table5[],11,FALSE),IF($B$2="Total Offences",VLOOKUP(B27,Table6[],11,FALSE),""))))))</f>
        <v>3756</v>
      </c>
      <c r="AX27" s="74">
        <f t="shared" si="18"/>
        <v>201.04913820790065</v>
      </c>
      <c r="AY27" s="56">
        <f t="shared" si="19"/>
        <v>11</v>
      </c>
      <c r="AZ27" s="56"/>
    </row>
    <row r="28" spans="1:52" x14ac:dyDescent="0.35">
      <c r="A28" s="56"/>
      <c r="B28" s="56" t="s">
        <v>28</v>
      </c>
      <c r="C28" s="71">
        <v>1461400</v>
      </c>
      <c r="D28" s="57" t="str">
        <f>IF($B$2="Race",VLOOKUP(B28,Table1[],2,FALSE),IF($B$2="Religion",VLOOKUP(B28,Table3[],2,FALSE),IF($B$2="Sexual Orientation",VLOOKUP(B28,Table2[],2,FALSE),IF($B$2="Disability",VLOOKUP(B28,Table4[],2,FALSE),IF($B$2="Transgender",VLOOKUP(B28,Table5[],2,FALSE),IF($B$2="Total Offences",VLOOKUP(B28,Table6[],2,FALSE),""))))))</f>
        <v>N/A</v>
      </c>
      <c r="E28" s="72" t="str">
        <f t="shared" si="0"/>
        <v>N/A</v>
      </c>
      <c r="F28" s="73" t="str">
        <f t="shared" si="1"/>
        <v>N/A</v>
      </c>
      <c r="G28" s="56"/>
      <c r="H28" s="71">
        <v>1465300</v>
      </c>
      <c r="I28" s="71">
        <f>IF($B$2="Race",VLOOKUP(B28,Table1[],3,FALSE),IF($B$2="Religion",VLOOKUP(B28,Table3[],3,FALSE),IF($B$2="Sexual Orientation",VLOOKUP(B28,Table2[],3,FALSE),IF($B$2="Disability",VLOOKUP(B28,Table4[],3,FALSE),IF($B$2="Transgender",VLOOKUP(B28,Table5[],3,FALSE),IF($B$2="Total Offences",VLOOKUP(B28,Table6[],3,FALSE),""))))))</f>
        <v>777</v>
      </c>
      <c r="J28" s="74">
        <f t="shared" si="2"/>
        <v>53.026683955503991</v>
      </c>
      <c r="K28" s="56">
        <f t="shared" si="3"/>
        <v>21</v>
      </c>
      <c r="L28" s="56"/>
      <c r="M28" s="71">
        <v>1468000</v>
      </c>
      <c r="N28" s="71">
        <f>IF($B$2="Race",VLOOKUP(B28,Table1[],4,FALSE),IF($B$2="Religion",VLOOKUP(B28,Table3[],4,FALSE),IF($B$2="Sexual Orientation",VLOOKUP(B28,Table2[],4,FALSE),IF($B$2="Disability",VLOOKUP(B28,Table4[],4,FALSE),IF($B$2="Transgender",VLOOKUP(B28,Table5[],4,FALSE),IF($B$2="Total Offences",VLOOKUP(B28,Table6[],4,FALSE),""))))))</f>
        <v>1027</v>
      </c>
      <c r="O28" s="74">
        <f t="shared" si="4"/>
        <v>69.959128065395092</v>
      </c>
      <c r="P28" s="56">
        <f t="shared" si="5"/>
        <v>12</v>
      </c>
      <c r="Q28" s="56"/>
      <c r="R28" s="71">
        <v>1470900</v>
      </c>
      <c r="S28" s="71">
        <f>IF($B$2="Race",VLOOKUP(B28,Table1[],5,FALSE),IF($B$2="Religion",VLOOKUP(B28,Table3[],5,FALSE),IF($B$2="Sexual Orientation",VLOOKUP(B28,Table2[],5,FALSE),IF($B$2="Disability",VLOOKUP(B28,Table4[],5,FALSE),IF($B$2="Transgender",VLOOKUP(B28,Table5[],5,FALSE),IF($B$2="Total Offences",VLOOKUP(B28,Table6[],5,FALSE),""))))))</f>
        <v>881</v>
      </c>
      <c r="T28" s="74">
        <f t="shared" si="6"/>
        <v>59.895302195934462</v>
      </c>
      <c r="U28" s="56">
        <f t="shared" si="7"/>
        <v>22</v>
      </c>
      <c r="V28" s="56"/>
      <c r="W28" s="71">
        <v>1476900</v>
      </c>
      <c r="X28" s="71">
        <f>IF($B$2="Race",VLOOKUP(B28,Table1[],6,FALSE),IF($B$2="Religion",VLOOKUP(B28,Table3[],6,FALSE),IF($B$2="Sexual Orientation",VLOOKUP(B28,Table2[],6,FALSE),IF($B$2="Disability",VLOOKUP(B28,Table4[],6,FALSE),IF($B$2="Transgender",VLOOKUP(B28,Table5[],6,FALSE),IF($B$2="Total Offences",VLOOKUP(B28,Table6[],6,FALSE),""))))))</f>
        <v>826</v>
      </c>
      <c r="Y28" s="74">
        <f t="shared" si="8"/>
        <v>55.927957207664697</v>
      </c>
      <c r="Z28" s="56">
        <f t="shared" si="9"/>
        <v>33</v>
      </c>
      <c r="AA28" s="56"/>
      <c r="AB28" s="71">
        <v>1483900</v>
      </c>
      <c r="AC28" s="71">
        <f>IF($B$2="Race",VLOOKUP(B28,Table1[],7,FALSE),IF($B$2="Religion",VLOOKUP(B28,Table3[],7,FALSE),IF($B$2="Sexual Orientation",VLOOKUP(B28,Table2[],7,FALSE),IF($B$2="Disability",VLOOKUP(B28,Table4[],7,FALSE),IF($B$2="Transgender",VLOOKUP(B28,Table5[],7,FALSE),IF($B$2="Total Offences",VLOOKUP(B28,Table6[],7,FALSE),""))))))</f>
        <v>1076</v>
      </c>
      <c r="AD28" s="74">
        <f t="shared" si="10"/>
        <v>72.511624772558804</v>
      </c>
      <c r="AE28" s="56">
        <f t="shared" si="11"/>
        <v>32</v>
      </c>
      <c r="AF28" s="56"/>
      <c r="AG28" s="71">
        <v>1490500</v>
      </c>
      <c r="AH28" s="71">
        <f>IF($B$2="Race",VLOOKUP(B28,Table1[],8,FALSE),IF($B$2="Religion",VLOOKUP(B28,Table3[],8,FALSE),IF($B$2="Sexual Orientation",VLOOKUP(B28,Table2[],8,FALSE),IF($B$2="Disability",VLOOKUP(B28,Table4[],8,FALSE),IF($B$2="Transgender",VLOOKUP(B28,Table5[],8,FALSE),IF($B$2="Total Offences",VLOOKUP(B28,Table6[],8,FALSE),""))))))</f>
        <v>2105</v>
      </c>
      <c r="AI28" s="74">
        <f t="shared" si="12"/>
        <v>141.22777591412276</v>
      </c>
      <c r="AJ28" s="56">
        <f t="shared" si="13"/>
        <v>12</v>
      </c>
      <c r="AK28" s="56"/>
      <c r="AL28" s="71">
        <v>1498300</v>
      </c>
      <c r="AM28" s="71">
        <f>IF($B$2="Race",VLOOKUP(B28,Table1[],9,FALSE),IF($B$2="Religion",VLOOKUP(B28,Table3[],9,FALSE),IF($B$2="Sexual Orientation",VLOOKUP(B28,Table2[],9,FALSE),IF($B$2="Disability",VLOOKUP(B28,Table4[],9,FALSE),IF($B$2="Transgender",VLOOKUP(B28,Table5[],9,FALSE),IF($B$2="Total Offences",VLOOKUP(B28,Table6[],9,FALSE),""))))))</f>
        <v>2836</v>
      </c>
      <c r="AN28" s="74">
        <f t="shared" si="14"/>
        <v>189.28118534338918</v>
      </c>
      <c r="AO28" s="56">
        <f t="shared" si="15"/>
        <v>7</v>
      </c>
      <c r="AP28" s="56"/>
      <c r="AQ28" s="71">
        <v>1508900</v>
      </c>
      <c r="AR28" s="71">
        <f>IF($B$2="Race",VLOOKUP(B28,Table1[],10,FALSE),IF($B$2="Religion",VLOOKUP(B28,Table3[],10,FALSE),IF($B$2="Sexual Orientation",VLOOKUP(B28,Table2[],10,FALSE),IF($B$2="Disability",VLOOKUP(B28,Table4[],10,FALSE),IF($B$2="Transgender",VLOOKUP(B28,Table5[],10,FALSE),IF($B$2="Total Offences",VLOOKUP(B28,Table6[],10,FALSE),""))))))</f>
        <v>2395</v>
      </c>
      <c r="AS28" s="74">
        <f t="shared" si="16"/>
        <v>158.72489893299755</v>
      </c>
      <c r="AT28" s="56">
        <f t="shared" si="17"/>
        <v>16</v>
      </c>
      <c r="AU28" s="56"/>
      <c r="AV28" s="71">
        <v>1515500</v>
      </c>
      <c r="AW28" s="71">
        <f>IF($B$2="Race",VLOOKUP(B28,Table1[],11,FALSE),IF($B$2="Religion",VLOOKUP(B28,Table3[],11,FALSE),IF($B$2="Sexual Orientation",VLOOKUP(B28,Table2[],11,FALSE),IF($B$2="Disability",VLOOKUP(B28,Table4[],11,FALSE),IF($B$2="Transgender",VLOOKUP(B28,Table5[],11,FALSE),IF($B$2="Total Offences",VLOOKUP(B28,Table6[],11,FALSE),""))))))</f>
        <v>2578</v>
      </c>
      <c r="AX28" s="74">
        <f t="shared" si="18"/>
        <v>170.10887495875949</v>
      </c>
      <c r="AY28" s="56">
        <f t="shared" si="19"/>
        <v>18</v>
      </c>
      <c r="AZ28" s="56"/>
    </row>
    <row r="29" spans="1:52" x14ac:dyDescent="0.35">
      <c r="A29" s="56"/>
      <c r="B29" s="56" t="s">
        <v>29</v>
      </c>
      <c r="C29" s="71">
        <v>1018400</v>
      </c>
      <c r="D29" s="57" t="str">
        <f>IF($B$2="Race",VLOOKUP(B29,Table1[],2,FALSE),IF($B$2="Religion",VLOOKUP(B29,Table3[],2,FALSE),IF($B$2="Sexual Orientation",VLOOKUP(B29,Table2[],2,FALSE),IF($B$2="Disability",VLOOKUP(B29,Table4[],2,FALSE),IF($B$2="Transgender",VLOOKUP(B29,Table5[],2,FALSE),IF($B$2="Total Offences",VLOOKUP(B29,Table6[],2,FALSE),""))))))</f>
        <v>N/A</v>
      </c>
      <c r="E29" s="72" t="str">
        <f t="shared" si="0"/>
        <v>N/A</v>
      </c>
      <c r="F29" s="73" t="str">
        <f t="shared" si="1"/>
        <v>N/A</v>
      </c>
      <c r="G29" s="56"/>
      <c r="H29" s="71">
        <v>1025300</v>
      </c>
      <c r="I29" s="71">
        <f>IF($B$2="Race",VLOOKUP(B29,Table1[],3,FALSE),IF($B$2="Religion",VLOOKUP(B29,Table3[],3,FALSE),IF($B$2="Sexual Orientation",VLOOKUP(B29,Table2[],3,FALSE),IF($B$2="Disability",VLOOKUP(B29,Table4[],3,FALSE),IF($B$2="Transgender",VLOOKUP(B29,Table5[],3,FALSE),IF($B$2="Total Offences",VLOOKUP(B29,Table6[],3,FALSE),""))))))</f>
        <v>918</v>
      </c>
      <c r="J29" s="74">
        <f t="shared" si="2"/>
        <v>89.534770311128455</v>
      </c>
      <c r="K29" s="56">
        <f t="shared" si="3"/>
        <v>5</v>
      </c>
      <c r="L29" s="56"/>
      <c r="M29" s="71">
        <v>1033300</v>
      </c>
      <c r="N29" s="71">
        <f>IF($B$2="Race",VLOOKUP(B29,Table1[],4,FALSE),IF($B$2="Religion",VLOOKUP(B29,Table3[],4,FALSE),IF($B$2="Sexual Orientation",VLOOKUP(B29,Table2[],4,FALSE),IF($B$2="Disability",VLOOKUP(B29,Table4[],4,FALSE),IF($B$2="Transgender",VLOOKUP(B29,Table5[],4,FALSE),IF($B$2="Total Offences",VLOOKUP(B29,Table6[],4,FALSE),""))))))</f>
        <v>871</v>
      </c>
      <c r="O29" s="74">
        <f t="shared" si="4"/>
        <v>84.293041711022937</v>
      </c>
      <c r="P29" s="56">
        <f t="shared" si="5"/>
        <v>8</v>
      </c>
      <c r="Q29" s="56"/>
      <c r="R29" s="71">
        <v>1043400</v>
      </c>
      <c r="S29" s="71">
        <f>IF($B$2="Race",VLOOKUP(B29,Table1[],5,FALSE),IF($B$2="Religion",VLOOKUP(B29,Table3[],5,FALSE),IF($B$2="Sexual Orientation",VLOOKUP(B29,Table2[],5,FALSE),IF($B$2="Disability",VLOOKUP(B29,Table4[],5,FALSE),IF($B$2="Transgender",VLOOKUP(B29,Table5[],5,FALSE),IF($B$2="Total Offences",VLOOKUP(B29,Table6[],5,FALSE),""))))))</f>
        <v>982</v>
      </c>
      <c r="T29" s="74">
        <f t="shared" si="6"/>
        <v>94.115391987732423</v>
      </c>
      <c r="U29" s="56">
        <f t="shared" si="7"/>
        <v>8</v>
      </c>
      <c r="V29" s="56"/>
      <c r="W29" s="71">
        <v>1055800</v>
      </c>
      <c r="X29" s="71">
        <f>IF($B$2="Race",VLOOKUP(B29,Table1[],6,FALSE),IF($B$2="Religion",VLOOKUP(B29,Table3[],6,FALSE),IF($B$2="Sexual Orientation",VLOOKUP(B29,Table2[],6,FALSE),IF($B$2="Disability",VLOOKUP(B29,Table4[],6,FALSE),IF($B$2="Transgender",VLOOKUP(B29,Table5[],6,FALSE),IF($B$2="Total Offences",VLOOKUP(B29,Table6[],6,FALSE),""))))))</f>
        <v>772</v>
      </c>
      <c r="Y29" s="74">
        <f t="shared" si="8"/>
        <v>73.119909073688191</v>
      </c>
      <c r="Z29" s="56">
        <f t="shared" si="9"/>
        <v>19</v>
      </c>
      <c r="AA29" s="56"/>
      <c r="AB29" s="71">
        <v>1068900</v>
      </c>
      <c r="AC29" s="71">
        <f>IF($B$2="Race",VLOOKUP(B29,Table1[],7,FALSE),IF($B$2="Religion",VLOOKUP(B29,Table3[],7,FALSE),IF($B$2="Sexual Orientation",VLOOKUP(B29,Table2[],7,FALSE),IF($B$2="Disability",VLOOKUP(B29,Table4[],7,FALSE),IF($B$2="Transgender",VLOOKUP(B29,Table5[],7,FALSE),IF($B$2="Total Offences",VLOOKUP(B29,Table6[],7,FALSE),""))))))</f>
        <v>1136</v>
      </c>
      <c r="AD29" s="74">
        <f t="shared" si="10"/>
        <v>106.2774815230611</v>
      </c>
      <c r="AE29" s="56">
        <f t="shared" si="11"/>
        <v>21</v>
      </c>
      <c r="AF29" s="56"/>
      <c r="AG29" s="71">
        <v>1083200</v>
      </c>
      <c r="AH29" s="71">
        <f>IF($B$2="Race",VLOOKUP(B29,Table1[],8,FALSE),IF($B$2="Religion",VLOOKUP(B29,Table3[],8,FALSE),IF($B$2="Sexual Orientation",VLOOKUP(B29,Table2[],8,FALSE),IF($B$2="Disability",VLOOKUP(B29,Table4[],8,FALSE),IF($B$2="Transgender",VLOOKUP(B29,Table5[],8,FALSE),IF($B$2="Total Offences",VLOOKUP(B29,Table6[],8,FALSE),""))))))</f>
        <v>1437</v>
      </c>
      <c r="AI29" s="74">
        <f t="shared" si="12"/>
        <v>132.66248153618906</v>
      </c>
      <c r="AJ29" s="56">
        <f t="shared" si="13"/>
        <v>20</v>
      </c>
      <c r="AK29" s="56"/>
      <c r="AL29" s="71">
        <v>1093200</v>
      </c>
      <c r="AM29" s="71">
        <f>IF($B$2="Race",VLOOKUP(B29,Table1[],9,FALSE),IF($B$2="Religion",VLOOKUP(B29,Table3[],9,FALSE),IF($B$2="Sexual Orientation",VLOOKUP(B29,Table2[],9,FALSE),IF($B$2="Disability",VLOOKUP(B29,Table4[],9,FALSE),IF($B$2="Transgender",VLOOKUP(B29,Table5[],9,FALSE),IF($B$2="Total Offences",VLOOKUP(B29,Table6[],9,FALSE),""))))))</f>
        <v>1628</v>
      </c>
      <c r="AN29" s="74">
        <f t="shared" si="14"/>
        <v>148.92060007317966</v>
      </c>
      <c r="AO29" s="56">
        <f t="shared" si="15"/>
        <v>17</v>
      </c>
      <c r="AP29" s="56"/>
      <c r="AQ29" s="71">
        <v>1100300</v>
      </c>
      <c r="AR29" s="71">
        <f>IF($B$2="Race",VLOOKUP(B29,Table1[],10,FALSE),IF($B$2="Religion",VLOOKUP(B29,Table3[],10,FALSE),IF($B$2="Sexual Orientation",VLOOKUP(B29,Table2[],10,FALSE),IF($B$2="Disability",VLOOKUP(B29,Table4[],10,FALSE),IF($B$2="Transgender",VLOOKUP(B29,Table5[],10,FALSE),IF($B$2="Total Offences",VLOOKUP(B29,Table6[],10,FALSE),""))))))</f>
        <v>1980</v>
      </c>
      <c r="AS29" s="74">
        <f t="shared" si="16"/>
        <v>179.95092247568846</v>
      </c>
      <c r="AT29" s="56">
        <f t="shared" si="17"/>
        <v>12</v>
      </c>
      <c r="AU29" s="56"/>
      <c r="AV29" s="71">
        <v>1107600</v>
      </c>
      <c r="AW29" s="71">
        <f>IF($B$2="Race",VLOOKUP(B29,Table1[],11,FALSE),IF($B$2="Religion",VLOOKUP(B29,Table3[],11,FALSE),IF($B$2="Sexual Orientation",VLOOKUP(B29,Table2[],11,FALSE),IF($B$2="Disability",VLOOKUP(B29,Table4[],11,FALSE),IF($B$2="Transgender",VLOOKUP(B29,Table5[],11,FALSE),IF($B$2="Total Offences",VLOOKUP(B29,Table6[],11,FALSE),""))))))</f>
        <v>2892</v>
      </c>
      <c r="AX29" s="74">
        <f t="shared" si="18"/>
        <v>261.10509209100758</v>
      </c>
      <c r="AY29" s="56">
        <f t="shared" si="19"/>
        <v>5</v>
      </c>
      <c r="AZ29" s="56"/>
    </row>
    <row r="30" spans="1:52" ht="13.5" customHeight="1" x14ac:dyDescent="0.35">
      <c r="A30" s="56"/>
      <c r="B30" s="56" t="s">
        <v>30</v>
      </c>
      <c r="C30" s="71">
        <v>714800</v>
      </c>
      <c r="D30" s="57" t="str">
        <f>IF($B$2="Race",VLOOKUP(B30,Table1[],2,FALSE),IF($B$2="Religion",VLOOKUP(B30,Table3[],2,FALSE),IF($B$2="Sexual Orientation",VLOOKUP(B30,Table2[],2,FALSE),IF($B$2="Disability",VLOOKUP(B30,Table4[],2,FALSE),IF($B$2="Transgender",VLOOKUP(B30,Table5[],2,FALSE),IF($B$2="Total Offences",VLOOKUP(B30,Table6[],2,FALSE),""))))))</f>
        <v>N/A</v>
      </c>
      <c r="E30" s="72" t="str">
        <f t="shared" si="0"/>
        <v>N/A</v>
      </c>
      <c r="F30" s="73" t="str">
        <f t="shared" si="1"/>
        <v>N/A</v>
      </c>
      <c r="G30" s="56"/>
      <c r="H30" s="71">
        <v>719200</v>
      </c>
      <c r="I30" s="71">
        <f>IF($B$2="Race",VLOOKUP(B30,Table1[],3,FALSE),IF($B$2="Religion",VLOOKUP(B30,Table3[],3,FALSE),IF($B$2="Sexual Orientation",VLOOKUP(B30,Table2[],3,FALSE),IF($B$2="Disability",VLOOKUP(B30,Table4[],3,FALSE),IF($B$2="Transgender",VLOOKUP(B30,Table5[],3,FALSE),IF($B$2="Total Offences",VLOOKUP(B30,Table6[],3,FALSE),""))))))</f>
        <v>249</v>
      </c>
      <c r="J30" s="74">
        <f t="shared" si="2"/>
        <v>34.621802002224698</v>
      </c>
      <c r="K30" s="56">
        <f t="shared" si="3"/>
        <v>37</v>
      </c>
      <c r="L30" s="56"/>
      <c r="M30" s="71">
        <v>724500</v>
      </c>
      <c r="N30" s="71">
        <f>IF($B$2="Race",VLOOKUP(B30,Table1[],4,FALSE),IF($B$2="Religion",VLOOKUP(B30,Table3[],4,FALSE),IF($B$2="Sexual Orientation",VLOOKUP(B30,Table2[],4,FALSE),IF($B$2="Disability",VLOOKUP(B30,Table4[],4,FALSE),IF($B$2="Transgender",VLOOKUP(B30,Table5[],4,FALSE),IF($B$2="Total Offences",VLOOKUP(B30,Table6[],4,FALSE),""))))))</f>
        <v>256</v>
      </c>
      <c r="O30" s="74">
        <f t="shared" si="4"/>
        <v>35.33471359558316</v>
      </c>
      <c r="P30" s="56">
        <f t="shared" si="5"/>
        <v>36</v>
      </c>
      <c r="Q30" s="56"/>
      <c r="R30" s="71">
        <v>731900</v>
      </c>
      <c r="S30" s="71">
        <f>IF($B$2="Race",VLOOKUP(B30,Table1[],5,FALSE),IF($B$2="Religion",VLOOKUP(B30,Table3[],5,FALSE),IF($B$2="Sexual Orientation",VLOOKUP(B30,Table2[],5,FALSE),IF($B$2="Disability",VLOOKUP(B30,Table4[],5,FALSE),IF($B$2="Transgender",VLOOKUP(B30,Table5[],5,FALSE),IF($B$2="Total Offences",VLOOKUP(B30,Table6[],5,FALSE),""))))))</f>
        <v>217</v>
      </c>
      <c r="T30" s="74">
        <f t="shared" si="6"/>
        <v>29.648859133761441</v>
      </c>
      <c r="U30" s="56">
        <f t="shared" si="7"/>
        <v>40</v>
      </c>
      <c r="V30" s="56"/>
      <c r="W30" s="71">
        <v>737400</v>
      </c>
      <c r="X30" s="71">
        <f>IF($B$2="Race",VLOOKUP(B30,Table1[],6,FALSE),IF($B$2="Religion",VLOOKUP(B30,Table3[],6,FALSE),IF($B$2="Sexual Orientation",VLOOKUP(B30,Table2[],6,FALSE),IF($B$2="Disability",VLOOKUP(B30,Table4[],6,FALSE),IF($B$2="Transgender",VLOOKUP(B30,Table5[],6,FALSE),IF($B$2="Total Offences",VLOOKUP(B30,Table6[],6,FALSE),""))))))</f>
        <v>299</v>
      </c>
      <c r="Y30" s="74">
        <f t="shared" si="8"/>
        <v>40.547870897748844</v>
      </c>
      <c r="Z30" s="56">
        <f t="shared" si="9"/>
        <v>39</v>
      </c>
      <c r="AA30" s="56"/>
      <c r="AB30" s="71">
        <v>744800</v>
      </c>
      <c r="AC30" s="71">
        <f>IF($B$2="Race",VLOOKUP(B30,Table1[],7,FALSE),IF($B$2="Religion",VLOOKUP(B30,Table3[],7,FALSE),IF($B$2="Sexual Orientation",VLOOKUP(B30,Table2[],7,FALSE),IF($B$2="Disability",VLOOKUP(B30,Table4[],7,FALSE),IF($B$2="Transgender",VLOOKUP(B30,Table5[],7,FALSE),IF($B$2="Total Offences",VLOOKUP(B30,Table6[],7,FALSE),""))))))</f>
        <v>376</v>
      </c>
      <c r="AD30" s="74">
        <f t="shared" si="10"/>
        <v>50.483351235230934</v>
      </c>
      <c r="AE30" s="56">
        <f t="shared" si="11"/>
        <v>40</v>
      </c>
      <c r="AF30" s="56"/>
      <c r="AG30" s="71">
        <v>751200</v>
      </c>
      <c r="AH30" s="71">
        <f>IF($B$2="Race",VLOOKUP(B30,Table1[],8,FALSE),IF($B$2="Religion",VLOOKUP(B30,Table3[],8,FALSE),IF($B$2="Sexual Orientation",VLOOKUP(B30,Table2[],8,FALSE),IF($B$2="Disability",VLOOKUP(B30,Table4[],8,FALSE),IF($B$2="Transgender",VLOOKUP(B30,Table5[],8,FALSE),IF($B$2="Total Offences",VLOOKUP(B30,Table6[],8,FALSE),""))))))</f>
        <v>416</v>
      </c>
      <c r="AI30" s="74">
        <f t="shared" si="12"/>
        <v>55.378061767838126</v>
      </c>
      <c r="AJ30" s="56">
        <f t="shared" si="13"/>
        <v>40</v>
      </c>
      <c r="AK30" s="56"/>
      <c r="AL30" s="71">
        <v>755800</v>
      </c>
      <c r="AM30" s="71">
        <f>IF($B$2="Race",VLOOKUP(B30,Table1[],9,FALSE),IF($B$2="Religion",VLOOKUP(B30,Table3[],9,FALSE),IF($B$2="Sexual Orientation",VLOOKUP(B30,Table2[],9,FALSE),IF($B$2="Disability",VLOOKUP(B30,Table4[],9,FALSE),IF($B$2="Transgender",VLOOKUP(B30,Table5[],9,FALSE),IF($B$2="Total Offences",VLOOKUP(B30,Table6[],9,FALSE),""))))))</f>
        <v>643</v>
      </c>
      <c r="AN30" s="74">
        <f t="shared" si="14"/>
        <v>85.07541677692511</v>
      </c>
      <c r="AO30" s="56">
        <f t="shared" si="15"/>
        <v>39</v>
      </c>
      <c r="AP30" s="56"/>
      <c r="AQ30" s="71">
        <v>761200</v>
      </c>
      <c r="AR30" s="71">
        <f>IF($B$2="Race",VLOOKUP(B30,Table1[],10,FALSE),IF($B$2="Religion",VLOOKUP(B30,Table3[],10,FALSE),IF($B$2="Sexual Orientation",VLOOKUP(B30,Table2[],10,FALSE),IF($B$2="Disability",VLOOKUP(B30,Table4[],10,FALSE),IF($B$2="Transgender",VLOOKUP(B30,Table5[],10,FALSE),IF($B$2="Total Offences",VLOOKUP(B30,Table6[],10,FALSE),""))))))</f>
        <v>759</v>
      </c>
      <c r="AS30" s="74">
        <f t="shared" si="16"/>
        <v>99.710982658959537</v>
      </c>
      <c r="AT30" s="56">
        <f t="shared" si="17"/>
        <v>38</v>
      </c>
      <c r="AU30" s="56"/>
      <c r="AV30" s="71">
        <v>766300</v>
      </c>
      <c r="AW30" s="71">
        <f>IF($B$2="Race",VLOOKUP(B30,Table1[],11,FALSE),IF($B$2="Religion",VLOOKUP(B30,Table3[],11,FALSE),IF($B$2="Sexual Orientation",VLOOKUP(B30,Table2[],11,FALSE),IF($B$2="Disability",VLOOKUP(B30,Table4[],11,FALSE),IF($B$2="Transgender",VLOOKUP(B30,Table5[],11,FALSE),IF($B$2="Total Offences",VLOOKUP(B30,Table6[],11,FALSE),""))))))</f>
        <v>664</v>
      </c>
      <c r="AX30" s="74">
        <f t="shared" si="18"/>
        <v>86.650137022054025</v>
      </c>
      <c r="AY30" s="56">
        <f t="shared" si="19"/>
        <v>41</v>
      </c>
      <c r="AZ30" s="56"/>
    </row>
    <row r="31" spans="1:52" x14ac:dyDescent="0.35">
      <c r="A31" s="56"/>
      <c r="B31" s="56" t="s">
        <v>32</v>
      </c>
      <c r="C31" s="71">
        <v>1380800</v>
      </c>
      <c r="D31" s="57" t="str">
        <f>IF($B$2="Race",VLOOKUP(B31,Table1[],2,FALSE),IF($B$2="Religion",VLOOKUP(B31,Table3[],2,FALSE),IF($B$2="Sexual Orientation",VLOOKUP(B31,Table2[],2,FALSE),IF($B$2="Disability",VLOOKUP(B31,Table4[],2,FALSE),IF($B$2="Transgender",VLOOKUP(B31,Table5[],2,FALSE),IF($B$2="Total Offences",VLOOKUP(B31,Table6[],2,FALSE),""))))))</f>
        <v>N/A</v>
      </c>
      <c r="E31" s="72" t="str">
        <f t="shared" si="0"/>
        <v>N/A</v>
      </c>
      <c r="F31" s="73" t="str">
        <f t="shared" si="1"/>
        <v>N/A</v>
      </c>
      <c r="G31" s="56"/>
      <c r="H31" s="71">
        <v>1386400</v>
      </c>
      <c r="I31" s="71">
        <f>IF($B$2="Race",VLOOKUP(B31,Table1[],3,FALSE),IF($B$2="Religion",VLOOKUP(B31,Table3[],3,FALSE),IF($B$2="Sexual Orientation",VLOOKUP(B31,Table2[],3,FALSE),IF($B$2="Disability",VLOOKUP(B31,Table4[],3,FALSE),IF($B$2="Transgender",VLOOKUP(B31,Table5[],3,FALSE),IF($B$2="Total Offences",VLOOKUP(B31,Table6[],3,FALSE),""))))))</f>
        <v>1318</v>
      </c>
      <c r="J31" s="74">
        <f t="shared" si="2"/>
        <v>95.066358915175996</v>
      </c>
      <c r="K31" s="56">
        <f t="shared" si="3"/>
        <v>4</v>
      </c>
      <c r="L31" s="56"/>
      <c r="M31" s="71">
        <v>1388100</v>
      </c>
      <c r="N31" s="71">
        <f>IF($B$2="Race",VLOOKUP(B31,Table1[],4,FALSE),IF($B$2="Religion",VLOOKUP(B31,Table3[],4,FALSE),IF($B$2="Sexual Orientation",VLOOKUP(B31,Table2[],4,FALSE),IF($B$2="Disability",VLOOKUP(B31,Table4[],4,FALSE),IF($B$2="Transgender",VLOOKUP(B31,Table5[],4,FALSE),IF($B$2="Total Offences",VLOOKUP(B31,Table6[],4,FALSE),""))))))</f>
        <v>1679</v>
      </c>
      <c r="O31" s="74">
        <f t="shared" si="4"/>
        <v>120.95670340753549</v>
      </c>
      <c r="P31" s="56">
        <f t="shared" si="5"/>
        <v>2</v>
      </c>
      <c r="Q31" s="56"/>
      <c r="R31" s="71">
        <v>1393500</v>
      </c>
      <c r="S31" s="71">
        <f>IF($B$2="Race",VLOOKUP(B31,Table1[],5,FALSE),IF($B$2="Religion",VLOOKUP(B31,Table3[],5,FALSE),IF($B$2="Sexual Orientation",VLOOKUP(B31,Table2[],5,FALSE),IF($B$2="Disability",VLOOKUP(B31,Table4[],5,FALSE),IF($B$2="Transgender",VLOOKUP(B31,Table5[],5,FALSE),IF($B$2="Total Offences",VLOOKUP(B31,Table6[],5,FALSE),""))))))</f>
        <v>1914</v>
      </c>
      <c r="T31" s="74">
        <f t="shared" si="6"/>
        <v>137.35199138858988</v>
      </c>
      <c r="U31" s="56">
        <f t="shared" si="7"/>
        <v>3</v>
      </c>
      <c r="V31" s="56"/>
      <c r="W31" s="71">
        <v>1401500</v>
      </c>
      <c r="X31" s="71">
        <f>IF($B$2="Race",VLOOKUP(B31,Table1[],6,FALSE),IF($B$2="Religion",VLOOKUP(B31,Table3[],6,FALSE),IF($B$2="Sexual Orientation",VLOOKUP(B31,Table2[],6,FALSE),IF($B$2="Disability",VLOOKUP(B31,Table4[],6,FALSE),IF($B$2="Transgender",VLOOKUP(B31,Table5[],6,FALSE),IF($B$2="Total Offences",VLOOKUP(B31,Table6[],6,FALSE),""))))))</f>
        <v>2245</v>
      </c>
      <c r="Y31" s="74">
        <f t="shared" si="8"/>
        <v>160.18551551908669</v>
      </c>
      <c r="Z31" s="56">
        <f t="shared" si="9"/>
        <v>4</v>
      </c>
      <c r="AA31" s="56"/>
      <c r="AB31" s="71">
        <v>1411200</v>
      </c>
      <c r="AC31" s="71">
        <f>IF($B$2="Race",VLOOKUP(B31,Table1[],7,FALSE),IF($B$2="Religion",VLOOKUP(B31,Table3[],7,FALSE),IF($B$2="Sexual Orientation",VLOOKUP(B31,Table2[],7,FALSE),IF($B$2="Disability",VLOOKUP(B31,Table4[],7,FALSE),IF($B$2="Transgender",VLOOKUP(B31,Table5[],7,FALSE),IF($B$2="Total Offences",VLOOKUP(B31,Table6[],7,FALSE),""))))))</f>
        <v>2871</v>
      </c>
      <c r="AD31" s="74">
        <f t="shared" si="10"/>
        <v>203.44387755102042</v>
      </c>
      <c r="AE31" s="56">
        <f t="shared" si="11"/>
        <v>3</v>
      </c>
      <c r="AF31" s="56"/>
      <c r="AG31" s="71">
        <v>1416800</v>
      </c>
      <c r="AH31" s="71">
        <f>IF($B$2="Race",VLOOKUP(B31,Table1[],8,FALSE),IF($B$2="Religion",VLOOKUP(B31,Table3[],8,FALSE),IF($B$2="Sexual Orientation",VLOOKUP(B31,Table2[],8,FALSE),IF($B$2="Disability",VLOOKUP(B31,Table4[],8,FALSE),IF($B$2="Transgender",VLOOKUP(B31,Table5[],8,FALSE),IF($B$2="Total Offences",VLOOKUP(B31,Table6[],8,FALSE),""))))))</f>
        <v>2656</v>
      </c>
      <c r="AI31" s="74">
        <f t="shared" si="12"/>
        <v>187.46470920383965</v>
      </c>
      <c r="AJ31" s="56">
        <f t="shared" si="13"/>
        <v>4</v>
      </c>
      <c r="AK31" s="56"/>
      <c r="AL31" s="71">
        <v>1423100</v>
      </c>
      <c r="AM31" s="71">
        <f>IF($B$2="Race",VLOOKUP(B31,Table1[],9,FALSE),IF($B$2="Religion",VLOOKUP(B31,Table3[],9,FALSE),IF($B$2="Sexual Orientation",VLOOKUP(B31,Table2[],9,FALSE),IF($B$2="Disability",VLOOKUP(B31,Table4[],9,FALSE),IF($B$2="Transgender",VLOOKUP(B31,Table5[],9,FALSE),IF($B$2="Total Offences",VLOOKUP(B31,Table6[],9,FALSE),""))))))</f>
        <v>2944</v>
      </c>
      <c r="AN31" s="74">
        <f t="shared" si="14"/>
        <v>206.87232098938938</v>
      </c>
      <c r="AO31" s="56">
        <f t="shared" si="15"/>
        <v>5</v>
      </c>
      <c r="AP31" s="56"/>
      <c r="AQ31" s="71">
        <v>1429900</v>
      </c>
      <c r="AR31" s="71">
        <f>IF($B$2="Race",VLOOKUP(B31,Table1[],10,FALSE),IF($B$2="Religion",VLOOKUP(B31,Table3[],10,FALSE),IF($B$2="Sexual Orientation",VLOOKUP(B31,Table2[],10,FALSE),IF($B$2="Disability",VLOOKUP(B31,Table4[],10,FALSE),IF($B$2="Transgender",VLOOKUP(B31,Table5[],10,FALSE),IF($B$2="Total Offences",VLOOKUP(B31,Table6[],10,FALSE),""))))))</f>
        <v>3140</v>
      </c>
      <c r="AS31" s="74">
        <f t="shared" si="16"/>
        <v>219.59577592838659</v>
      </c>
      <c r="AT31" s="56">
        <f t="shared" si="17"/>
        <v>4</v>
      </c>
      <c r="AU31" s="56"/>
      <c r="AV31" s="71">
        <v>1434300</v>
      </c>
      <c r="AW31" s="71">
        <f>IF($B$2="Race",VLOOKUP(B31,Table1[],11,FALSE),IF($B$2="Religion",VLOOKUP(B31,Table3[],11,FALSE),IF($B$2="Sexual Orientation",VLOOKUP(B31,Table2[],11,FALSE),IF($B$2="Disability",VLOOKUP(B31,Table4[],11,FALSE),IF($B$2="Transgender",VLOOKUP(B31,Table5[],11,FALSE),IF($B$2="Total Offences",VLOOKUP(B31,Table6[],11,FALSE),""))))))</f>
        <v>3630</v>
      </c>
      <c r="AX31" s="74">
        <f t="shared" si="18"/>
        <v>253.08512863417695</v>
      </c>
      <c r="AY31" s="56">
        <f t="shared" si="19"/>
        <v>6</v>
      </c>
      <c r="AZ31" s="56"/>
    </row>
    <row r="32" spans="1:52" x14ac:dyDescent="0.35">
      <c r="A32" s="56"/>
      <c r="B32" s="56" t="s">
        <v>33</v>
      </c>
      <c r="C32" s="71">
        <v>8204400</v>
      </c>
      <c r="D32" s="57" t="str" cm="1">
        <f t="array" ref="D32">_xlfn.XLOOKUP($B$2,Table9[[#All],[Metropolitan Police ]],Table9[[#All],[2011/12]])</f>
        <v>N/A</v>
      </c>
      <c r="E32" s="72" t="str">
        <f t="shared" si="0"/>
        <v>N/A</v>
      </c>
      <c r="F32" s="73" t="str">
        <f t="shared" si="1"/>
        <v>N/A</v>
      </c>
      <c r="G32" s="56"/>
      <c r="H32" s="71">
        <v>8308800</v>
      </c>
      <c r="I32" s="71" cm="1">
        <f t="array" ref="I32">_xlfn.XLOOKUP($B$2,Table9[[#All],[Metropolitan Police ]],Table9[[#All],[2012/13]])</f>
        <v>10449</v>
      </c>
      <c r="J32" s="74">
        <f t="shared" si="2"/>
        <v>125.75823223570191</v>
      </c>
      <c r="K32" s="56">
        <f t="shared" si="3"/>
        <v>1</v>
      </c>
      <c r="L32" s="56"/>
      <c r="M32" s="71">
        <v>8417500</v>
      </c>
      <c r="N32" s="71" cm="1">
        <f t="array" ref="N32">_xlfn.XLOOKUP($B$2,Table9[[#All],[Metropolitan Police ]],Table9[[#All],[2013/14]])</f>
        <v>10821</v>
      </c>
      <c r="O32" s="74">
        <f t="shared" si="4"/>
        <v>128.55360855360854</v>
      </c>
      <c r="P32" s="56">
        <f t="shared" si="5"/>
        <v>1</v>
      </c>
      <c r="Q32" s="56"/>
      <c r="R32" s="71">
        <v>8539400</v>
      </c>
      <c r="S32" s="71" cm="1">
        <f t="array" ref="S32">_xlfn.XLOOKUP($B$2,Table9[[#All],[Metropolitan Police ]],Table9[[#All],[2014/15]])</f>
        <v>13954</v>
      </c>
      <c r="T32" s="74">
        <f t="shared" si="6"/>
        <v>163.40726514743423</v>
      </c>
      <c r="U32" s="56">
        <f t="shared" si="7"/>
        <v>1</v>
      </c>
      <c r="V32" s="56"/>
      <c r="W32" s="71">
        <v>8666900</v>
      </c>
      <c r="X32" s="71" cm="1">
        <f t="array" ref="X32">_xlfn.XLOOKUP($B$2,Table9[[#All],[Metropolitan Police ]],Table9[[#All],[2015/16]])</f>
        <v>16566</v>
      </c>
      <c r="Y32" s="74">
        <f t="shared" si="8"/>
        <v>191.14100774209925</v>
      </c>
      <c r="Z32" s="56">
        <f t="shared" si="9"/>
        <v>1</v>
      </c>
      <c r="AA32" s="56"/>
      <c r="AB32" s="71">
        <v>8769700</v>
      </c>
      <c r="AC32" s="71" cm="1">
        <f t="array" ref="AC32">_xlfn.XLOOKUP($B$2,Table9[[#All],[Metropolitan Police ]],Table9[[#All],[2016/17]])</f>
        <v>19914</v>
      </c>
      <c r="AD32" s="74">
        <f t="shared" si="10"/>
        <v>227.07732305552071</v>
      </c>
      <c r="AE32" s="56">
        <f t="shared" si="11"/>
        <v>1</v>
      </c>
      <c r="AF32" s="56"/>
      <c r="AG32" s="71">
        <v>8825000</v>
      </c>
      <c r="AH32" s="71" cm="1">
        <f t="array" ref="AH32">_xlfn.XLOOKUP($B$2,Table9[[#All],[Metropolitan Police ]],Table9[[#All],[2017/18]])</f>
        <v>19520</v>
      </c>
      <c r="AI32" s="74">
        <f t="shared" si="12"/>
        <v>221.1898016997167</v>
      </c>
      <c r="AJ32" s="56">
        <f t="shared" si="13"/>
        <v>3</v>
      </c>
      <c r="AK32" s="56"/>
      <c r="AL32" s="71">
        <v>8908100</v>
      </c>
      <c r="AM32" s="71" cm="1">
        <f t="array" ref="AM32">_xlfn.XLOOKUP($B$2,Table9[[#All],[Metropolitan Police ]],Table9[[#All],[2018/19]])</f>
        <v>20006</v>
      </c>
      <c r="AN32" s="74">
        <f t="shared" si="14"/>
        <v>224.58212188906722</v>
      </c>
      <c r="AO32" s="56">
        <f t="shared" si="15"/>
        <v>4</v>
      </c>
      <c r="AP32" s="56"/>
      <c r="AQ32" s="71">
        <v>8962000</v>
      </c>
      <c r="AR32" s="71" cm="1">
        <f t="array" ref="AR32">_xlfn.XLOOKUP($B$2,Table9[[#All],[Metropolitan Police ]],Table9[[#All],[2019/20]])</f>
        <v>22272</v>
      </c>
      <c r="AS32" s="74">
        <f t="shared" si="16"/>
        <v>248.51595625976344</v>
      </c>
      <c r="AT32" s="56">
        <f t="shared" si="17"/>
        <v>2</v>
      </c>
      <c r="AU32" s="56"/>
      <c r="AV32" s="71">
        <v>9002500</v>
      </c>
      <c r="AW32" s="71" cm="1">
        <f t="array" ref="AW32">_xlfn.XLOOKUP($B$2,Table9[[#All],[Metropolitan Police ]],Table9[[#All],[2020/21]])</f>
        <v>24372</v>
      </c>
      <c r="AX32" s="74">
        <f t="shared" si="18"/>
        <v>270.72479866703696</v>
      </c>
      <c r="AY32" s="56">
        <f t="shared" si="19"/>
        <v>4</v>
      </c>
      <c r="AZ32" s="56"/>
    </row>
    <row r="33" spans="1:52" x14ac:dyDescent="0.35">
      <c r="A33" s="56"/>
      <c r="B33" s="56" t="s">
        <v>34</v>
      </c>
      <c r="C33" s="71">
        <v>859400</v>
      </c>
      <c r="D33" s="57" t="str">
        <f>IF($B$2="Race",VLOOKUP(B33,Table1[],2,FALSE),IF($B$2="Religion",VLOOKUP(B33,Table3[],2,FALSE),IF($B$2="Sexual Orientation",VLOOKUP(B33,Table2[],2,FALSE),IF($B$2="Disability",VLOOKUP(B33,Table4[],2,FALSE),IF($B$2="Transgender",VLOOKUP(B33,Table5[],2,FALSE),IF($B$2="Total Offences",VLOOKUP(B33,Table6[],2,FALSE),""))))))</f>
        <v>N/A</v>
      </c>
      <c r="E33" s="72" t="str">
        <f t="shared" si="0"/>
        <v>N/A</v>
      </c>
      <c r="F33" s="73" t="str">
        <f t="shared" si="1"/>
        <v>N/A</v>
      </c>
      <c r="G33" s="56"/>
      <c r="H33" s="71">
        <v>864800</v>
      </c>
      <c r="I33" s="71">
        <f>IF($B$2="Race",VLOOKUP(B33,Table1[],3,FALSE),IF($B$2="Religion",VLOOKUP(B33,Table3[],3,FALSE),IF($B$2="Sexual Orientation",VLOOKUP(B33,Table2[],3,FALSE),IF($B$2="Disability",VLOOKUP(B33,Table4[],3,FALSE),IF($B$2="Transgender",VLOOKUP(B33,Table5[],3,FALSE),IF($B$2="Total Offences",VLOOKUP(B33,Table6[],3,FALSE),""))))))</f>
        <v>411</v>
      </c>
      <c r="J33" s="74">
        <f t="shared" si="2"/>
        <v>47.525439407955595</v>
      </c>
      <c r="K33" s="56">
        <f t="shared" si="3"/>
        <v>28</v>
      </c>
      <c r="L33" s="56"/>
      <c r="M33" s="71">
        <v>870300</v>
      </c>
      <c r="N33" s="71">
        <f>IF($B$2="Race",VLOOKUP(B33,Table1[],4,FALSE),IF($B$2="Religion",VLOOKUP(B33,Table3[],4,FALSE),IF($B$2="Sexual Orientation",VLOOKUP(B33,Table2[],4,FALSE),IF($B$2="Disability",VLOOKUP(B33,Table4[],4,FALSE),IF($B$2="Transgender",VLOOKUP(B33,Table5[],4,FALSE),IF($B$2="Total Offences",VLOOKUP(B33,Table6[],4,FALSE),""))))))</f>
        <v>395</v>
      </c>
      <c r="O33" s="74">
        <f t="shared" si="4"/>
        <v>45.386648282201541</v>
      </c>
      <c r="P33" s="56">
        <f t="shared" si="5"/>
        <v>29</v>
      </c>
      <c r="Q33" s="56"/>
      <c r="R33" s="71">
        <v>877400</v>
      </c>
      <c r="S33" s="71">
        <f>IF($B$2="Race",VLOOKUP(B33,Table1[],5,FALSE),IF($B$2="Religion",VLOOKUP(B33,Table3[],5,FALSE),IF($B$2="Sexual Orientation",VLOOKUP(B33,Table2[],5,FALSE),IF($B$2="Disability",VLOOKUP(B33,Table4[],5,FALSE),IF($B$2="Transgender",VLOOKUP(B33,Table5[],5,FALSE),IF($B$2="Total Offences",VLOOKUP(B33,Table6[],5,FALSE),""))))))</f>
        <v>570</v>
      </c>
      <c r="T33" s="74">
        <f t="shared" si="6"/>
        <v>64.964668338272162</v>
      </c>
      <c r="U33" s="56">
        <f t="shared" si="7"/>
        <v>18</v>
      </c>
      <c r="V33" s="56"/>
      <c r="W33" s="71">
        <v>884700</v>
      </c>
      <c r="X33" s="71">
        <f>IF($B$2="Race",VLOOKUP(B33,Table1[],6,FALSE),IF($B$2="Religion",VLOOKUP(B33,Table3[],6,FALSE),IF($B$2="Sexual Orientation",VLOOKUP(B33,Table2[],6,FALSE),IF($B$2="Disability",VLOOKUP(B33,Table4[],6,FALSE),IF($B$2="Transgender",VLOOKUP(B33,Table5[],6,FALSE),IF($B$2="Total Offences",VLOOKUP(B33,Table6[],6,FALSE),""))))))</f>
        <v>630</v>
      </c>
      <c r="Y33" s="74">
        <f t="shared" si="8"/>
        <v>71.210579857578836</v>
      </c>
      <c r="Z33" s="56">
        <f t="shared" si="9"/>
        <v>21</v>
      </c>
      <c r="AA33" s="56"/>
      <c r="AB33" s="71">
        <v>891700</v>
      </c>
      <c r="AC33" s="71">
        <f>IF($B$2="Race",VLOOKUP(B33,Table1[],7,FALSE),IF($B$2="Religion",VLOOKUP(B33,Table3[],7,FALSE),IF($B$2="Sexual Orientation",VLOOKUP(B33,Table2[],7,FALSE),IF($B$2="Disability",VLOOKUP(B33,Table4[],7,FALSE),IF($B$2="Transgender",VLOOKUP(B33,Table5[],7,FALSE),IF($B$2="Total Offences",VLOOKUP(B33,Table6[],7,FALSE),""))))))</f>
        <v>1081</v>
      </c>
      <c r="AD33" s="74">
        <f t="shared" si="10"/>
        <v>121.22911293035774</v>
      </c>
      <c r="AE33" s="56">
        <f t="shared" si="11"/>
        <v>11</v>
      </c>
      <c r="AF33" s="56"/>
      <c r="AG33" s="71">
        <v>898400</v>
      </c>
      <c r="AH33" s="71">
        <f>IF($B$2="Race",VLOOKUP(B33,Table1[],8,FALSE),IF($B$2="Religion",VLOOKUP(B33,Table3[],8,FALSE),IF($B$2="Sexual Orientation",VLOOKUP(B33,Table2[],8,FALSE),IF($B$2="Disability",VLOOKUP(B33,Table4[],8,FALSE),IF($B$2="Transgender",VLOOKUP(B33,Table5[],8,FALSE),IF($B$2="Total Offences",VLOOKUP(B33,Table6[],8,FALSE),""))))))</f>
        <v>1204</v>
      </c>
      <c r="AI33" s="74">
        <f t="shared" si="12"/>
        <v>134.0160284951024</v>
      </c>
      <c r="AJ33" s="56">
        <f t="shared" si="13"/>
        <v>19</v>
      </c>
      <c r="AK33" s="56"/>
      <c r="AL33" s="71">
        <v>903700</v>
      </c>
      <c r="AM33" s="71">
        <f>IF($B$2="Race",VLOOKUP(B33,Table1[],9,FALSE),IF($B$2="Religion",VLOOKUP(B33,Table3[],9,FALSE),IF($B$2="Sexual Orientation",VLOOKUP(B33,Table2[],9,FALSE),IF($B$2="Disability",VLOOKUP(B33,Table4[],9,FALSE),IF($B$2="Transgender",VLOOKUP(B33,Table5[],9,FALSE),IF($B$2="Total Offences",VLOOKUP(B33,Table6[],9,FALSE),""))))))</f>
        <v>1022</v>
      </c>
      <c r="AN33" s="74">
        <f t="shared" si="14"/>
        <v>113.09062742060419</v>
      </c>
      <c r="AO33" s="56">
        <f t="shared" si="15"/>
        <v>31</v>
      </c>
      <c r="AP33" s="56"/>
      <c r="AQ33" s="71">
        <v>907800</v>
      </c>
      <c r="AR33" s="71">
        <f>IF($B$2="Race",VLOOKUP(B33,Table1[],10,FALSE),IF($B$2="Religion",VLOOKUP(B33,Table3[],10,FALSE),IF($B$2="Sexual Orientation",VLOOKUP(B33,Table2[],10,FALSE),IF($B$2="Disability",VLOOKUP(B33,Table4[],10,FALSE),IF($B$2="Transgender",VLOOKUP(B33,Table5[],10,FALSE),IF($B$2="Total Offences",VLOOKUP(B33,Table6[],10,FALSE),""))))))</f>
        <v>1037</v>
      </c>
      <c r="AS33" s="74">
        <f t="shared" si="16"/>
        <v>114.23220973782772</v>
      </c>
      <c r="AT33" s="56">
        <f t="shared" si="17"/>
        <v>32</v>
      </c>
      <c r="AU33" s="56"/>
      <c r="AV33" s="71">
        <v>914000</v>
      </c>
      <c r="AW33" s="71">
        <f>IF($B$2="Race",VLOOKUP(B33,Table1[],11,FALSE),IF($B$2="Religion",VLOOKUP(B33,Table3[],11,FALSE),IF($B$2="Sexual Orientation",VLOOKUP(B33,Table2[],11,FALSE),IF($B$2="Disability",VLOOKUP(B33,Table4[],11,FALSE),IF($B$2="Transgender",VLOOKUP(B33,Table5[],11,FALSE),IF($B$2="Total Offences",VLOOKUP(B33,Table6[],11,FALSE),""))))))</f>
        <v>1297</v>
      </c>
      <c r="AX33" s="74">
        <f t="shared" si="18"/>
        <v>141.90371991247264</v>
      </c>
      <c r="AY33" s="56">
        <f t="shared" si="19"/>
        <v>26</v>
      </c>
      <c r="AZ33" s="56"/>
    </row>
    <row r="34" spans="1:52" x14ac:dyDescent="0.35">
      <c r="A34" s="56"/>
      <c r="B34" s="56" t="s">
        <v>35</v>
      </c>
      <c r="C34" s="71">
        <v>688400</v>
      </c>
      <c r="D34" s="57" t="str">
        <f>IF($B$2="Race",VLOOKUP(B34,Table1[],2,FALSE),IF($B$2="Religion",VLOOKUP(B34,Table3[],2,FALSE),IF($B$2="Sexual Orientation",VLOOKUP(B34,Table2[],2,FALSE),IF($B$2="Disability",VLOOKUP(B34,Table4[],2,FALSE),IF($B$2="Transgender",VLOOKUP(B34,Table5[],2,FALSE),IF($B$2="Total Offences",VLOOKUP(B34,Table6[],2,FALSE),""))))))</f>
        <v>N/A</v>
      </c>
      <c r="E34" s="72" t="str">
        <f t="shared" si="0"/>
        <v>N/A</v>
      </c>
      <c r="F34" s="73" t="str">
        <f t="shared" si="1"/>
        <v>N/A</v>
      </c>
      <c r="G34" s="56"/>
      <c r="H34" s="71">
        <v>689900</v>
      </c>
      <c r="I34" s="71">
        <f>IF($B$2="Race",VLOOKUP(B34,Table1[],3,FALSE),IF($B$2="Religion",VLOOKUP(B34,Table3[],3,FALSE),IF($B$2="Sexual Orientation",VLOOKUP(B34,Table2[],3,FALSE),IF($B$2="Disability",VLOOKUP(B34,Table4[],3,FALSE),IF($B$2="Transgender",VLOOKUP(B34,Table5[],3,FALSE),IF($B$2="Total Offences",VLOOKUP(B34,Table6[],3,FALSE),""))))))</f>
        <v>418</v>
      </c>
      <c r="J34" s="74">
        <f t="shared" si="2"/>
        <v>60.588491085664586</v>
      </c>
      <c r="K34" s="56">
        <f t="shared" si="3"/>
        <v>15</v>
      </c>
      <c r="L34" s="56"/>
      <c r="M34" s="71">
        <v>691200</v>
      </c>
      <c r="N34" s="71">
        <f>IF($B$2="Race",VLOOKUP(B34,Table1[],4,FALSE),IF($B$2="Religion",VLOOKUP(B34,Table3[],4,FALSE),IF($B$2="Sexual Orientation",VLOOKUP(B34,Table2[],4,FALSE),IF($B$2="Disability",VLOOKUP(B34,Table4[],4,FALSE),IF($B$2="Transgender",VLOOKUP(B34,Table5[],4,FALSE),IF($B$2="Total Offences",VLOOKUP(B34,Table6[],4,FALSE),""))))))</f>
        <v>389</v>
      </c>
      <c r="O34" s="74">
        <f t="shared" si="4"/>
        <v>56.278935185185183</v>
      </c>
      <c r="P34" s="56">
        <f t="shared" si="5"/>
        <v>21</v>
      </c>
      <c r="Q34" s="56"/>
      <c r="R34" s="71">
        <v>693100</v>
      </c>
      <c r="S34" s="71">
        <f>IF($B$2="Race",VLOOKUP(B34,Table1[],5,FALSE),IF($B$2="Religion",VLOOKUP(B34,Table3[],5,FALSE),IF($B$2="Sexual Orientation",VLOOKUP(B34,Table2[],5,FALSE),IF($B$2="Disability",VLOOKUP(B34,Table4[],5,FALSE),IF($B$2="Transgender",VLOOKUP(B34,Table5[],5,FALSE),IF($B$2="Total Offences",VLOOKUP(B34,Table6[],5,FALSE),""))))))</f>
        <v>392</v>
      </c>
      <c r="T34" s="74">
        <f t="shared" si="6"/>
        <v>56.557495310921951</v>
      </c>
      <c r="U34" s="56">
        <f t="shared" si="7"/>
        <v>25</v>
      </c>
      <c r="V34" s="56"/>
      <c r="W34" s="71">
        <v>693400</v>
      </c>
      <c r="X34" s="71">
        <f>IF($B$2="Race",VLOOKUP(B34,Table1[],6,FALSE),IF($B$2="Religion",VLOOKUP(B34,Table3[],6,FALSE),IF($B$2="Sexual Orientation",VLOOKUP(B34,Table2[],6,FALSE),IF($B$2="Disability",VLOOKUP(B34,Table4[],6,FALSE),IF($B$2="Transgender",VLOOKUP(B34,Table5[],6,FALSE),IF($B$2="Total Offences",VLOOKUP(B34,Table6[],6,FALSE),""))))))</f>
        <v>385</v>
      </c>
      <c r="Y34" s="74">
        <f t="shared" si="8"/>
        <v>55.523507355062009</v>
      </c>
      <c r="Z34" s="56">
        <f t="shared" si="9"/>
        <v>34</v>
      </c>
      <c r="AA34" s="56"/>
      <c r="AB34" s="71">
        <v>694800</v>
      </c>
      <c r="AC34" s="71">
        <f>IF($B$2="Race",VLOOKUP(B34,Table1[],7,FALSE),IF($B$2="Religion",VLOOKUP(B34,Table3[],7,FALSE),IF($B$2="Sexual Orientation",VLOOKUP(B34,Table2[],7,FALSE),IF($B$2="Disability",VLOOKUP(B34,Table4[],7,FALSE),IF($B$2="Transgender",VLOOKUP(B34,Table5[],7,FALSE),IF($B$2="Total Offences",VLOOKUP(B34,Table6[],7,FALSE),""))))))</f>
        <v>465</v>
      </c>
      <c r="AD34" s="74">
        <f t="shared" si="10"/>
        <v>66.925734024179619</v>
      </c>
      <c r="AE34" s="56">
        <f t="shared" si="11"/>
        <v>34</v>
      </c>
      <c r="AF34" s="56"/>
      <c r="AG34" s="71">
        <v>696300</v>
      </c>
      <c r="AH34" s="71">
        <f>IF($B$2="Race",VLOOKUP(B34,Table1[],8,FALSE),IF($B$2="Religion",VLOOKUP(B34,Table3[],8,FALSE),IF($B$2="Sexual Orientation",VLOOKUP(B34,Table2[],8,FALSE),IF($B$2="Disability",VLOOKUP(B34,Table4[],8,FALSE),IF($B$2="Transgender",VLOOKUP(B34,Table5[],8,FALSE),IF($B$2="Total Offences",VLOOKUP(B34,Table6[],8,FALSE),""))))))</f>
        <v>681</v>
      </c>
      <c r="AI34" s="74">
        <f t="shared" si="12"/>
        <v>97.802671262386909</v>
      </c>
      <c r="AJ34" s="56">
        <f t="shared" si="13"/>
        <v>33</v>
      </c>
      <c r="AK34" s="56"/>
      <c r="AL34" s="71">
        <v>698400</v>
      </c>
      <c r="AM34" s="71">
        <f>IF($B$2="Race",VLOOKUP(B34,Table1[],9,FALSE),IF($B$2="Religion",VLOOKUP(B34,Table3[],9,FALSE),IF($B$2="Sexual Orientation",VLOOKUP(B34,Table2[],9,FALSE),IF($B$2="Disability",VLOOKUP(B34,Table4[],9,FALSE),IF($B$2="Transgender",VLOOKUP(B34,Table5[],9,FALSE),IF($B$2="Total Offences",VLOOKUP(B34,Table6[],9,FALSE),""))))))</f>
        <v>940</v>
      </c>
      <c r="AN34" s="74">
        <f t="shared" si="14"/>
        <v>134.59335624284077</v>
      </c>
      <c r="AO34" s="56">
        <f t="shared" si="15"/>
        <v>24</v>
      </c>
      <c r="AP34" s="56"/>
      <c r="AQ34" s="71">
        <v>699600</v>
      </c>
      <c r="AR34" s="71">
        <f>IF($B$2="Race",VLOOKUP(B34,Table1[],10,FALSE),IF($B$2="Religion",VLOOKUP(B34,Table3[],10,FALSE),IF($B$2="Sexual Orientation",VLOOKUP(B34,Table2[],10,FALSE),IF($B$2="Disability",VLOOKUP(B34,Table4[],10,FALSE),IF($B$2="Transgender",VLOOKUP(B34,Table5[],10,FALSE),IF($B$2="Total Offences",VLOOKUP(B34,Table6[],10,FALSE),""))))))</f>
        <v>928</v>
      </c>
      <c r="AS34" s="74">
        <f t="shared" si="16"/>
        <v>132.64722698684963</v>
      </c>
      <c r="AT34" s="56">
        <f t="shared" si="17"/>
        <v>26</v>
      </c>
      <c r="AU34" s="56"/>
      <c r="AV34" s="71">
        <v>703400</v>
      </c>
      <c r="AW34" s="71">
        <f>IF($B$2="Race",VLOOKUP(B34,Table1[],11,FALSE),IF($B$2="Religion",VLOOKUP(B34,Table3[],11,FALSE),IF($B$2="Sexual Orientation",VLOOKUP(B34,Table2[],11,FALSE),IF($B$2="Disability",VLOOKUP(B34,Table4[],11,FALSE),IF($B$2="Transgender",VLOOKUP(B34,Table5[],11,FALSE),IF($B$2="Total Offences",VLOOKUP(B34,Table6[],11,FALSE),""))))))</f>
        <v>1144</v>
      </c>
      <c r="AX34" s="74">
        <f t="shared" si="18"/>
        <v>162.63861245379584</v>
      </c>
      <c r="AY34" s="56">
        <f t="shared" si="19"/>
        <v>21</v>
      </c>
      <c r="AZ34" s="56"/>
    </row>
    <row r="35" spans="1:52" x14ac:dyDescent="0.35">
      <c r="A35" s="56"/>
      <c r="B35" s="56" t="s">
        <v>36</v>
      </c>
      <c r="C35" s="71">
        <v>799000</v>
      </c>
      <c r="D35" s="57" t="str">
        <f>IF($B$2="Race",VLOOKUP(B35,Table1[],2,FALSE),IF($B$2="Religion",VLOOKUP(B35,Table3[],2,FALSE),IF($B$2="Sexual Orientation",VLOOKUP(B35,Table2[],2,FALSE),IF($B$2="Disability",VLOOKUP(B35,Table4[],2,FALSE),IF($B$2="Transgender",VLOOKUP(B35,Table5[],2,FALSE),IF($B$2="Total Offences",VLOOKUP(B35,Table6[],2,FALSE),""))))))</f>
        <v>N/A</v>
      </c>
      <c r="E35" s="72" t="str">
        <f t="shared" si="0"/>
        <v>N/A</v>
      </c>
      <c r="F35" s="73" t="str">
        <f t="shared" si="1"/>
        <v>N/A</v>
      </c>
      <c r="G35" s="56"/>
      <c r="H35" s="71">
        <v>803100</v>
      </c>
      <c r="I35" s="71">
        <f>IF($B$2="Race",VLOOKUP(B35,Table1[],3,FALSE),IF($B$2="Religion",VLOOKUP(B35,Table3[],3,FALSE),IF($B$2="Sexual Orientation",VLOOKUP(B35,Table2[],3,FALSE),IF($B$2="Disability",VLOOKUP(B35,Table4[],3,FALSE),IF($B$2="Transgender",VLOOKUP(B35,Table5[],3,FALSE),IF($B$2="Total Offences",VLOOKUP(B35,Table6[],3,FALSE),""))))))</f>
        <v>192</v>
      </c>
      <c r="J35" s="74">
        <f t="shared" si="2"/>
        <v>23.907358983937243</v>
      </c>
      <c r="K35" s="56">
        <f t="shared" si="3"/>
        <v>41</v>
      </c>
      <c r="L35" s="56"/>
      <c r="M35" s="71">
        <v>806800</v>
      </c>
      <c r="N35" s="71">
        <f>IF($B$2="Race",VLOOKUP(B35,Table1[],4,FALSE),IF($B$2="Religion",VLOOKUP(B35,Table3[],4,FALSE),IF($B$2="Sexual Orientation",VLOOKUP(B35,Table2[],4,FALSE),IF($B$2="Disability",VLOOKUP(B35,Table4[],4,FALSE),IF($B$2="Transgender",VLOOKUP(B35,Table5[],4,FALSE),IF($B$2="Total Offences",VLOOKUP(B35,Table6[],4,FALSE),""))))))</f>
        <v>199</v>
      </c>
      <c r="O35" s="74">
        <f t="shared" si="4"/>
        <v>24.665344571145265</v>
      </c>
      <c r="P35" s="56">
        <f t="shared" si="5"/>
        <v>41</v>
      </c>
      <c r="Q35" s="56"/>
      <c r="R35" s="71">
        <v>808400</v>
      </c>
      <c r="S35" s="71">
        <f>IF($B$2="Race",VLOOKUP(B35,Table1[],5,FALSE),IF($B$2="Religion",VLOOKUP(B35,Table3[],5,FALSE),IF($B$2="Sexual Orientation",VLOOKUP(B35,Table2[],5,FALSE),IF($B$2="Disability",VLOOKUP(B35,Table4[],5,FALSE),IF($B$2="Transgender",VLOOKUP(B35,Table5[],5,FALSE),IF($B$2="Total Offences",VLOOKUP(B35,Table6[],5,FALSE),""))))))</f>
        <v>225</v>
      </c>
      <c r="T35" s="74">
        <f t="shared" si="6"/>
        <v>27.832756061355763</v>
      </c>
      <c r="U35" s="56">
        <f t="shared" si="7"/>
        <v>41</v>
      </c>
      <c r="V35" s="56"/>
      <c r="W35" s="71">
        <v>811800</v>
      </c>
      <c r="X35" s="71">
        <f>IF($B$2="Race",VLOOKUP(B35,Table1[],6,FALSE),IF($B$2="Religion",VLOOKUP(B35,Table3[],6,FALSE),IF($B$2="Sexual Orientation",VLOOKUP(B35,Table2[],6,FALSE),IF($B$2="Disability",VLOOKUP(B35,Table4[],6,FALSE),IF($B$2="Transgender",VLOOKUP(B35,Table5[],6,FALSE),IF($B$2="Total Offences",VLOOKUP(B35,Table6[],6,FALSE),""))))))</f>
        <v>246</v>
      </c>
      <c r="Y35" s="74">
        <f t="shared" si="8"/>
        <v>30.303030303030305</v>
      </c>
      <c r="Z35" s="56">
        <f t="shared" si="9"/>
        <v>41</v>
      </c>
      <c r="AA35" s="56"/>
      <c r="AB35" s="71">
        <v>816500</v>
      </c>
      <c r="AC35" s="71">
        <f>IF($B$2="Race",VLOOKUP(B35,Table1[],7,FALSE),IF($B$2="Religion",VLOOKUP(B35,Table3[],7,FALSE),IF($B$2="Sexual Orientation",VLOOKUP(B35,Table2[],7,FALSE),IF($B$2="Disability",VLOOKUP(B35,Table4[],7,FALSE),IF($B$2="Transgender",VLOOKUP(B35,Table5[],7,FALSE),IF($B$2="Total Offences",VLOOKUP(B35,Table6[],7,FALSE),""))))))</f>
        <v>317</v>
      </c>
      <c r="AD35" s="74">
        <f t="shared" si="10"/>
        <v>38.824249846907534</v>
      </c>
      <c r="AE35" s="56">
        <f t="shared" si="11"/>
        <v>41</v>
      </c>
      <c r="AF35" s="56"/>
      <c r="AG35" s="71">
        <v>819800</v>
      </c>
      <c r="AH35" s="71">
        <f>IF($B$2="Race",VLOOKUP(B35,Table1[],8,FALSE),IF($B$2="Religion",VLOOKUP(B35,Table3[],8,FALSE),IF($B$2="Sexual Orientation",VLOOKUP(B35,Table2[],8,FALSE),IF($B$2="Disability",VLOOKUP(B35,Table4[],8,FALSE),IF($B$2="Transgender",VLOOKUP(B35,Table5[],8,FALSE),IF($B$2="Total Offences",VLOOKUP(B35,Table6[],8,FALSE),""))))))</f>
        <v>384</v>
      </c>
      <c r="AI35" s="74">
        <f t="shared" si="12"/>
        <v>46.840692851915101</v>
      </c>
      <c r="AJ35" s="56">
        <f t="shared" si="13"/>
        <v>41</v>
      </c>
      <c r="AK35" s="56"/>
      <c r="AL35" s="71">
        <v>824400</v>
      </c>
      <c r="AM35" s="71">
        <f>IF($B$2="Race",VLOOKUP(B35,Table1[],9,FALSE),IF($B$2="Religion",VLOOKUP(B35,Table3[],9,FALSE),IF($B$2="Sexual Orientation",VLOOKUP(B35,Table2[],9,FALSE),IF($B$2="Disability",VLOOKUP(B35,Table4[],9,FALSE),IF($B$2="Transgender",VLOOKUP(B35,Table5[],9,FALSE),IF($B$2="Total Offences",VLOOKUP(B35,Table6[],9,FALSE),""))))))</f>
        <v>546</v>
      </c>
      <c r="AN35" s="74">
        <f t="shared" si="14"/>
        <v>66.229985443959237</v>
      </c>
      <c r="AO35" s="56">
        <f t="shared" si="15"/>
        <v>42</v>
      </c>
      <c r="AP35" s="56"/>
      <c r="AQ35" s="71">
        <v>828700</v>
      </c>
      <c r="AR35" s="71">
        <f>IF($B$2="Race",VLOOKUP(B35,Table1[],10,FALSE),IF($B$2="Religion",VLOOKUP(B35,Table3[],10,FALSE),IF($B$2="Sexual Orientation",VLOOKUP(B35,Table2[],10,FALSE),IF($B$2="Disability",VLOOKUP(B35,Table4[],10,FALSE),IF($B$2="Transgender",VLOOKUP(B35,Table5[],10,FALSE),IF($B$2="Total Offences",VLOOKUP(B35,Table6[],10,FALSE),""))))))</f>
        <v>646</v>
      </c>
      <c r="AS35" s="74">
        <f t="shared" si="16"/>
        <v>77.953421020876064</v>
      </c>
      <c r="AT35" s="56">
        <f t="shared" si="17"/>
        <v>41</v>
      </c>
      <c r="AU35" s="56"/>
      <c r="AV35" s="71">
        <v>831600</v>
      </c>
      <c r="AW35" s="71">
        <f>IF($B$2="Race",VLOOKUP(B35,Table1[],11,FALSE),IF($B$2="Religion",VLOOKUP(B35,Table3[],11,FALSE),IF($B$2="Sexual Orientation",VLOOKUP(B35,Table2[],11,FALSE),IF($B$2="Disability",VLOOKUP(B35,Table4[],11,FALSE),IF($B$2="Transgender",VLOOKUP(B35,Table5[],11,FALSE),IF($B$2="Total Offences",VLOOKUP(B35,Table6[],11,FALSE),""))))))</f>
        <v>684</v>
      </c>
      <c r="AX35" s="74">
        <f t="shared" si="18"/>
        <v>82.251082251082252</v>
      </c>
      <c r="AY35" s="56">
        <f t="shared" si="19"/>
        <v>42</v>
      </c>
      <c r="AZ35" s="56"/>
    </row>
    <row r="36" spans="1:52" x14ac:dyDescent="0.35">
      <c r="A36" s="56"/>
      <c r="B36" s="56" t="s">
        <v>37</v>
      </c>
      <c r="C36" s="71">
        <v>693900</v>
      </c>
      <c r="D36" s="57" t="str">
        <f>IF($B$2="Race",VLOOKUP(B36,Table1[],2,FALSE),IF($B$2="Religion",VLOOKUP(B36,Table3[],2,FALSE),IF($B$2="Sexual Orientation",VLOOKUP(B36,Table2[],2,FALSE),IF($B$2="Disability",VLOOKUP(B36,Table4[],2,FALSE),IF($B$2="Transgender",VLOOKUP(B36,Table5[],2,FALSE),IF($B$2="Total Offences",VLOOKUP(B36,Table6[],2,FALSE),""))))))</f>
        <v>N/A</v>
      </c>
      <c r="E36" s="72" t="str">
        <f t="shared" si="0"/>
        <v>N/A</v>
      </c>
      <c r="F36" s="73" t="str">
        <f t="shared" si="1"/>
        <v>N/A</v>
      </c>
      <c r="G36" s="56"/>
      <c r="H36" s="71">
        <v>700300</v>
      </c>
      <c r="I36" s="71">
        <f>IF($B$2="Race",VLOOKUP(B36,Table1[],3,FALSE),IF($B$2="Religion",VLOOKUP(B36,Table3[],3,FALSE),IF($B$2="Sexual Orientation",VLOOKUP(B36,Table2[],3,FALSE),IF($B$2="Disability",VLOOKUP(B36,Table4[],3,FALSE),IF($B$2="Transgender",VLOOKUP(B36,Table5[],3,FALSE),IF($B$2="Total Offences",VLOOKUP(B36,Table6[],3,FALSE),""))))))</f>
        <v>460</v>
      </c>
      <c r="J36" s="74">
        <f t="shared" si="2"/>
        <v>65.68613451377982</v>
      </c>
      <c r="K36" s="56">
        <f t="shared" si="3"/>
        <v>12</v>
      </c>
      <c r="L36" s="56"/>
      <c r="M36" s="71">
        <v>705700</v>
      </c>
      <c r="N36" s="71">
        <f>IF($B$2="Race",VLOOKUP(B36,Table1[],4,FALSE),IF($B$2="Religion",VLOOKUP(B36,Table3[],4,FALSE),IF($B$2="Sexual Orientation",VLOOKUP(B36,Table2[],4,FALSE),IF($B$2="Disability",VLOOKUP(B36,Table4[],4,FALSE),IF($B$2="Transgender",VLOOKUP(B36,Table5[],4,FALSE),IF($B$2="Total Offences",VLOOKUP(B36,Table6[],4,FALSE),""))))))</f>
        <v>385</v>
      </c>
      <c r="O36" s="74">
        <f t="shared" si="4"/>
        <v>54.555760238061502</v>
      </c>
      <c r="P36" s="56">
        <f t="shared" si="5"/>
        <v>24</v>
      </c>
      <c r="Q36" s="56"/>
      <c r="R36" s="71">
        <v>713400</v>
      </c>
      <c r="S36" s="71">
        <f>IF($B$2="Race",VLOOKUP(B36,Table1[],5,FALSE),IF($B$2="Religion",VLOOKUP(B36,Table3[],5,FALSE),IF($B$2="Sexual Orientation",VLOOKUP(B36,Table2[],5,FALSE),IF($B$2="Disability",VLOOKUP(B36,Table4[],5,FALSE),IF($B$2="Transgender",VLOOKUP(B36,Table5[],5,FALSE),IF($B$2="Total Offences",VLOOKUP(B36,Table6[],5,FALSE),""))))))</f>
        <v>534</v>
      </c>
      <c r="T36" s="74">
        <f t="shared" si="6"/>
        <v>74.852817493692172</v>
      </c>
      <c r="U36" s="56">
        <f t="shared" si="7"/>
        <v>14</v>
      </c>
      <c r="V36" s="56"/>
      <c r="W36" s="71">
        <v>722200</v>
      </c>
      <c r="X36" s="71">
        <f>IF($B$2="Race",VLOOKUP(B36,Table1[],6,FALSE),IF($B$2="Religion",VLOOKUP(B36,Table3[],6,FALSE),IF($B$2="Sexual Orientation",VLOOKUP(B36,Table2[],6,FALSE),IF($B$2="Disability",VLOOKUP(B36,Table4[],6,FALSE),IF($B$2="Transgender",VLOOKUP(B36,Table5[],6,FALSE),IF($B$2="Total Offences",VLOOKUP(B36,Table6[],6,FALSE),""))))))</f>
        <v>551</v>
      </c>
      <c r="Y36" s="74">
        <f t="shared" si="8"/>
        <v>76.294655220160621</v>
      </c>
      <c r="Z36" s="56">
        <f t="shared" si="9"/>
        <v>17</v>
      </c>
      <c r="AA36" s="56"/>
      <c r="AB36" s="71">
        <v>732500</v>
      </c>
      <c r="AC36" s="71">
        <f>IF($B$2="Race",VLOOKUP(B36,Table1[],7,FALSE),IF($B$2="Religion",VLOOKUP(B36,Table3[],7,FALSE),IF($B$2="Sexual Orientation",VLOOKUP(B36,Table2[],7,FALSE),IF($B$2="Disability",VLOOKUP(B36,Table4[],7,FALSE),IF($B$2="Transgender",VLOOKUP(B36,Table5[],7,FALSE),IF($B$2="Total Offences",VLOOKUP(B36,Table6[],7,FALSE),""))))))</f>
        <v>583</v>
      </c>
      <c r="AD36" s="74">
        <f t="shared" si="10"/>
        <v>79.590443686006822</v>
      </c>
      <c r="AE36" s="56">
        <f t="shared" si="11"/>
        <v>29</v>
      </c>
      <c r="AF36" s="56"/>
      <c r="AG36" s="71">
        <v>741200</v>
      </c>
      <c r="AH36" s="71">
        <f>IF($B$2="Race",VLOOKUP(B36,Table1[],8,FALSE),IF($B$2="Religion",VLOOKUP(B36,Table3[],8,FALSE),IF($B$2="Sexual Orientation",VLOOKUP(B36,Table2[],8,FALSE),IF($B$2="Disability",VLOOKUP(B36,Table4[],8,FALSE),IF($B$2="Transgender",VLOOKUP(B36,Table5[],8,FALSE),IF($B$2="Total Offences",VLOOKUP(B36,Table6[],8,FALSE),""))))))</f>
        <v>744</v>
      </c>
      <c r="AI36" s="74">
        <f t="shared" si="12"/>
        <v>100.37776578521317</v>
      </c>
      <c r="AJ36" s="56">
        <f t="shared" si="13"/>
        <v>31</v>
      </c>
      <c r="AK36" s="56"/>
      <c r="AL36" s="71">
        <v>747600</v>
      </c>
      <c r="AM36" s="71">
        <f>IF($B$2="Race",VLOOKUP(B36,Table1[],9,FALSE),IF($B$2="Religion",VLOOKUP(B36,Table3[],9,FALSE),IF($B$2="Sexual Orientation",VLOOKUP(B36,Table2[],9,FALSE),IF($B$2="Disability",VLOOKUP(B36,Table4[],9,FALSE),IF($B$2="Transgender",VLOOKUP(B36,Table5[],9,FALSE),IF($B$2="Total Offences",VLOOKUP(B36,Table6[],9,FALSE),""))))))</f>
        <v>818</v>
      </c>
      <c r="AN36" s="74">
        <f t="shared" si="14"/>
        <v>109.41680042803638</v>
      </c>
      <c r="AO36" s="56">
        <f t="shared" si="15"/>
        <v>32</v>
      </c>
      <c r="AP36" s="56"/>
      <c r="AQ36" s="71">
        <v>753300</v>
      </c>
      <c r="AR36" s="71">
        <f>IF($B$2="Race",VLOOKUP(B36,Table1[],10,FALSE),IF($B$2="Religion",VLOOKUP(B36,Table3[],10,FALSE),IF($B$2="Sexual Orientation",VLOOKUP(B36,Table2[],10,FALSE),IF($B$2="Disability",VLOOKUP(B36,Table4[],10,FALSE),IF($B$2="Transgender",VLOOKUP(B36,Table5[],10,FALSE),IF($B$2="Total Offences",VLOOKUP(B36,Table6[],10,FALSE),""))))))</f>
        <v>1162</v>
      </c>
      <c r="AS36" s="74">
        <f t="shared" si="16"/>
        <v>154.25461303597504</v>
      </c>
      <c r="AT36" s="56">
        <f t="shared" si="17"/>
        <v>19</v>
      </c>
      <c r="AU36" s="56"/>
      <c r="AV36" s="71">
        <v>757200</v>
      </c>
      <c r="AW36" s="71">
        <f>IF($B$2="Race",VLOOKUP(B36,Table1[],11,FALSE),IF($B$2="Religion",VLOOKUP(B36,Table3[],11,FALSE),IF($B$2="Sexual Orientation",VLOOKUP(B36,Table2[],11,FALSE),IF($B$2="Disability",VLOOKUP(B36,Table4[],11,FALSE),IF($B$2="Transgender",VLOOKUP(B36,Table5[],11,FALSE),IF($B$2="Total Offences",VLOOKUP(B36,Table6[],11,FALSE),""))))))</f>
        <v>1587</v>
      </c>
      <c r="AX36" s="74">
        <f t="shared" si="18"/>
        <v>209.5879556259905</v>
      </c>
      <c r="AY36" s="56">
        <f t="shared" si="19"/>
        <v>8</v>
      </c>
      <c r="AZ36" s="56"/>
    </row>
    <row r="37" spans="1:52" x14ac:dyDescent="0.35">
      <c r="A37" s="56"/>
      <c r="B37" s="56" t="s">
        <v>38</v>
      </c>
      <c r="C37" s="71">
        <v>1420400</v>
      </c>
      <c r="D37" s="57" t="str">
        <f>IF($B$2="Race",VLOOKUP(B37,Table1[],2,FALSE),IF($B$2="Religion",VLOOKUP(B37,Table3[],2,FALSE),IF($B$2="Sexual Orientation",VLOOKUP(B37,Table2[],2,FALSE),IF($B$2="Disability",VLOOKUP(B37,Table4[],2,FALSE),IF($B$2="Transgender",VLOOKUP(B37,Table5[],2,FALSE),IF($B$2="Total Offences",VLOOKUP(B37,Table6[],2,FALSE),""))))))</f>
        <v>N/A</v>
      </c>
      <c r="E37" s="72" t="str">
        <f t="shared" si="0"/>
        <v>N/A</v>
      </c>
      <c r="F37" s="73" t="str">
        <f t="shared" si="1"/>
        <v>N/A</v>
      </c>
      <c r="G37" s="56"/>
      <c r="H37" s="71">
        <v>1424200</v>
      </c>
      <c r="I37" s="71">
        <f>IF($B$2="Race",VLOOKUP(B37,Table1[],3,FALSE),IF($B$2="Religion",VLOOKUP(B37,Table3[],3,FALSE),IF($B$2="Sexual Orientation",VLOOKUP(B37,Table2[],3,FALSE),IF($B$2="Disability",VLOOKUP(B37,Table4[],3,FALSE),IF($B$2="Transgender",VLOOKUP(B37,Table5[],3,FALSE),IF($B$2="Total Offences",VLOOKUP(B37,Table6[],3,FALSE),""))))))</f>
        <v>573</v>
      </c>
      <c r="J37" s="74">
        <f t="shared" si="2"/>
        <v>40.23311332677995</v>
      </c>
      <c r="K37" s="56">
        <f t="shared" si="3"/>
        <v>35</v>
      </c>
      <c r="L37" s="56"/>
      <c r="M37" s="71">
        <v>1428900</v>
      </c>
      <c r="N37" s="71">
        <f>IF($B$2="Race",VLOOKUP(B37,Table1[],4,FALSE),IF($B$2="Religion",VLOOKUP(B37,Table3[],4,FALSE),IF($B$2="Sexual Orientation",VLOOKUP(B37,Table2[],4,FALSE),IF($B$2="Disability",VLOOKUP(B37,Table4[],4,FALSE),IF($B$2="Transgender",VLOOKUP(B37,Table5[],4,FALSE),IF($B$2="Total Offences",VLOOKUP(B37,Table6[],4,FALSE),""))))))</f>
        <v>674</v>
      </c>
      <c r="O37" s="74">
        <f t="shared" si="4"/>
        <v>47.169151095248097</v>
      </c>
      <c r="P37" s="56">
        <f t="shared" si="5"/>
        <v>28</v>
      </c>
      <c r="Q37" s="56"/>
      <c r="R37" s="71">
        <v>1434200</v>
      </c>
      <c r="S37" s="71">
        <f>IF($B$2="Race",VLOOKUP(B37,Table1[],5,FALSE),IF($B$2="Religion",VLOOKUP(B37,Table3[],5,FALSE),IF($B$2="Sexual Orientation",VLOOKUP(B37,Table2[],5,FALSE),IF($B$2="Disability",VLOOKUP(B37,Table4[],5,FALSE),IF($B$2="Transgender",VLOOKUP(B37,Table5[],5,FALSE),IF($B$2="Total Offences",VLOOKUP(B37,Table6[],5,FALSE),""))))))</f>
        <v>912</v>
      </c>
      <c r="T37" s="74">
        <f t="shared" si="6"/>
        <v>63.589457537303026</v>
      </c>
      <c r="U37" s="56">
        <f t="shared" si="7"/>
        <v>21</v>
      </c>
      <c r="V37" s="56"/>
      <c r="W37" s="71">
        <v>1437000</v>
      </c>
      <c r="X37" s="71">
        <f>IF($B$2="Race",VLOOKUP(B37,Table1[],6,FALSE),IF($B$2="Religion",VLOOKUP(B37,Table3[],6,FALSE),IF($B$2="Sexual Orientation",VLOOKUP(B37,Table2[],6,FALSE),IF($B$2="Disability",VLOOKUP(B37,Table4[],6,FALSE),IF($B$2="Transgender",VLOOKUP(B37,Table5[],6,FALSE),IF($B$2="Total Offences",VLOOKUP(B37,Table6[],6,FALSE),""))))))</f>
        <v>1295</v>
      </c>
      <c r="Y37" s="74">
        <f t="shared" si="8"/>
        <v>90.118302018093246</v>
      </c>
      <c r="Z37" s="56">
        <f t="shared" si="9"/>
        <v>12</v>
      </c>
      <c r="AA37" s="56"/>
      <c r="AB37" s="71">
        <v>1443900</v>
      </c>
      <c r="AC37" s="71">
        <f>IF($B$2="Race",VLOOKUP(B37,Table1[],7,FALSE),IF($B$2="Religion",VLOOKUP(B37,Table3[],7,FALSE),IF($B$2="Sexual Orientation",VLOOKUP(B37,Table2[],7,FALSE),IF($B$2="Disability",VLOOKUP(B37,Table4[],7,FALSE),IF($B$2="Transgender",VLOOKUP(B37,Table5[],7,FALSE),IF($B$2="Total Offences",VLOOKUP(B37,Table6[],7,FALSE),""))))))</f>
        <v>2187</v>
      </c>
      <c r="AD37" s="74">
        <f t="shared" si="10"/>
        <v>151.46478287970081</v>
      </c>
      <c r="AE37" s="56">
        <f t="shared" si="11"/>
        <v>6</v>
      </c>
      <c r="AF37" s="56"/>
      <c r="AG37" s="71">
        <v>1448600</v>
      </c>
      <c r="AH37" s="71">
        <f>IF($B$2="Race",VLOOKUP(B37,Table1[],8,FALSE),IF($B$2="Religion",VLOOKUP(B37,Table3[],8,FALSE),IF($B$2="Sexual Orientation",VLOOKUP(B37,Table2[],8,FALSE),IF($B$2="Disability",VLOOKUP(B37,Table4[],8,FALSE),IF($B$2="Transgender",VLOOKUP(B37,Table5[],8,FALSE),IF($B$2="Total Offences",VLOOKUP(B37,Table6[],8,FALSE),""))))))</f>
        <v>2559</v>
      </c>
      <c r="AI37" s="74">
        <f t="shared" si="12"/>
        <v>176.65332044732844</v>
      </c>
      <c r="AJ37" s="56">
        <f t="shared" si="13"/>
        <v>7</v>
      </c>
      <c r="AK37" s="56"/>
      <c r="AL37" s="71">
        <v>1456600</v>
      </c>
      <c r="AM37" s="71">
        <f>IF($B$2="Race",VLOOKUP(B37,Table1[],9,FALSE),IF($B$2="Religion",VLOOKUP(B37,Table3[],9,FALSE),IF($B$2="Sexual Orientation",VLOOKUP(B37,Table2[],9,FALSE),IF($B$2="Disability",VLOOKUP(B37,Table4[],9,FALSE),IF($B$2="Transgender",VLOOKUP(B37,Table5[],9,FALSE),IF($B$2="Total Offences",VLOOKUP(B37,Table6[],9,FALSE),""))))))</f>
        <v>2703</v>
      </c>
      <c r="AN37" s="74">
        <f t="shared" si="14"/>
        <v>185.56913359879169</v>
      </c>
      <c r="AO37" s="56">
        <f t="shared" si="15"/>
        <v>9</v>
      </c>
      <c r="AP37" s="56"/>
      <c r="AQ37" s="71">
        <v>1463900</v>
      </c>
      <c r="AR37" s="71">
        <f>IF($B$2="Race",VLOOKUP(B37,Table1[],10,FALSE),IF($B$2="Religion",VLOOKUP(B37,Table3[],10,FALSE),IF($B$2="Sexual Orientation",VLOOKUP(B37,Table2[],10,FALSE),IF($B$2="Disability",VLOOKUP(B37,Table4[],10,FALSE),IF($B$2="Transgender",VLOOKUP(B37,Table5[],10,FALSE),IF($B$2="Total Offences",VLOOKUP(B37,Table6[],10,FALSE),""))))))</f>
        <v>2852</v>
      </c>
      <c r="AS37" s="74">
        <f t="shared" si="16"/>
        <v>194.82205068652232</v>
      </c>
      <c r="AT37" s="56">
        <f t="shared" si="17"/>
        <v>7</v>
      </c>
      <c r="AU37" s="56"/>
      <c r="AV37" s="71">
        <v>1470400</v>
      </c>
      <c r="AW37" s="71">
        <f>IF($B$2="Race",VLOOKUP(B37,Table1[],11,FALSE),IF($B$2="Religion",VLOOKUP(B37,Table3[],11,FALSE),IF($B$2="Sexual Orientation",VLOOKUP(B37,Table2[],11,FALSE),IF($B$2="Disability",VLOOKUP(B37,Table4[],11,FALSE),IF($B$2="Transgender",VLOOKUP(B37,Table5[],11,FALSE),IF($B$2="Total Offences",VLOOKUP(B37,Table6[],11,FALSE),""))))))</f>
        <v>3076</v>
      </c>
      <c r="AX37" s="74">
        <f t="shared" si="18"/>
        <v>209.19477693144722</v>
      </c>
      <c r="AY37" s="56">
        <f t="shared" si="19"/>
        <v>9</v>
      </c>
      <c r="AZ37" s="56"/>
    </row>
    <row r="38" spans="1:52" x14ac:dyDescent="0.35">
      <c r="A38" s="56"/>
      <c r="B38" s="56" t="s">
        <v>39</v>
      </c>
      <c r="C38" s="71">
        <v>1090600</v>
      </c>
      <c r="D38" s="57" t="str">
        <f>IF($B$2="Race",VLOOKUP(B38,Table1[],2,FALSE),IF($B$2="Religion",VLOOKUP(B38,Table3[],2,FALSE),IF($B$2="Sexual Orientation",VLOOKUP(B38,Table2[],2,FALSE),IF($B$2="Disability",VLOOKUP(B38,Table4[],2,FALSE),IF($B$2="Transgender",VLOOKUP(B38,Table5[],2,FALSE),IF($B$2="Total Offences",VLOOKUP(B38,Table6[],2,FALSE),""))))))</f>
        <v>N/A</v>
      </c>
      <c r="E38" s="72" t="str">
        <f t="shared" si="0"/>
        <v>N/A</v>
      </c>
      <c r="F38" s="73" t="str">
        <f t="shared" si="1"/>
        <v>N/A</v>
      </c>
      <c r="G38" s="56"/>
      <c r="H38" s="71">
        <v>1098600</v>
      </c>
      <c r="I38" s="71">
        <f>IF($B$2="Race",VLOOKUP(B38,Table1[],3,FALSE),IF($B$2="Religion",VLOOKUP(B38,Table3[],3,FALSE),IF($B$2="Sexual Orientation",VLOOKUP(B38,Table2[],3,FALSE),IF($B$2="Disability",VLOOKUP(B38,Table4[],3,FALSE),IF($B$2="Transgender",VLOOKUP(B38,Table5[],3,FALSE),IF($B$2="Total Offences",VLOOKUP(B38,Table6[],3,FALSE),""))))))</f>
        <v>594</v>
      </c>
      <c r="J38" s="74">
        <f t="shared" si="2"/>
        <v>54.068814855270347</v>
      </c>
      <c r="K38" s="56">
        <f t="shared" si="3"/>
        <v>20</v>
      </c>
      <c r="L38" s="56"/>
      <c r="M38" s="71">
        <v>1107100</v>
      </c>
      <c r="N38" s="71">
        <f>IF($B$2="Race",VLOOKUP(B38,Table1[],4,FALSE),IF($B$2="Religion",VLOOKUP(B38,Table3[],4,FALSE),IF($B$2="Sexual Orientation",VLOOKUP(B38,Table2[],4,FALSE),IF($B$2="Disability",VLOOKUP(B38,Table4[],4,FALSE),IF($B$2="Transgender",VLOOKUP(B38,Table5[],4,FALSE),IF($B$2="Total Offences",VLOOKUP(B38,Table6[],4,FALSE),""))))))</f>
        <v>828</v>
      </c>
      <c r="O38" s="74">
        <f t="shared" si="4"/>
        <v>74.789991870653054</v>
      </c>
      <c r="P38" s="56">
        <f t="shared" si="5"/>
        <v>11</v>
      </c>
      <c r="Q38" s="56"/>
      <c r="R38" s="71">
        <v>1116000</v>
      </c>
      <c r="S38" s="71">
        <f>IF($B$2="Race",VLOOKUP(B38,Table1[],5,FALSE),IF($B$2="Religion",VLOOKUP(B38,Table3[],5,FALSE),IF($B$2="Sexual Orientation",VLOOKUP(B38,Table2[],5,FALSE),IF($B$2="Disability",VLOOKUP(B38,Table4[],5,FALSE),IF($B$2="Transgender",VLOOKUP(B38,Table5[],5,FALSE),IF($B$2="Total Offences",VLOOKUP(B38,Table6[],5,FALSE),""))))))</f>
        <v>796</v>
      </c>
      <c r="T38" s="74">
        <f t="shared" si="6"/>
        <v>71.326164874551978</v>
      </c>
      <c r="U38" s="56">
        <f t="shared" si="7"/>
        <v>16</v>
      </c>
      <c r="V38" s="56"/>
      <c r="W38" s="71">
        <v>1125200</v>
      </c>
      <c r="X38" s="71">
        <f>IF($B$2="Race",VLOOKUP(B38,Table1[],6,FALSE),IF($B$2="Religion",VLOOKUP(B38,Table3[],6,FALSE),IF($B$2="Sexual Orientation",VLOOKUP(B38,Table2[],6,FALSE),IF($B$2="Disability",VLOOKUP(B38,Table4[],6,FALSE),IF($B$2="Transgender",VLOOKUP(B38,Table5[],6,FALSE),IF($B$2="Total Offences",VLOOKUP(B38,Table6[],6,FALSE),""))))))</f>
        <v>911</v>
      </c>
      <c r="Y38" s="74">
        <f t="shared" si="8"/>
        <v>80.96338428723783</v>
      </c>
      <c r="Z38" s="56">
        <f t="shared" si="9"/>
        <v>16</v>
      </c>
      <c r="AA38" s="56"/>
      <c r="AB38" s="71">
        <v>1136300</v>
      </c>
      <c r="AC38" s="71">
        <f>IF($B$2="Race",VLOOKUP(B38,Table1[],7,FALSE),IF($B$2="Religion",VLOOKUP(B38,Table3[],7,FALSE),IF($B$2="Sexual Orientation",VLOOKUP(B38,Table2[],7,FALSE),IF($B$2="Disability",VLOOKUP(B38,Table4[],7,FALSE),IF($B$2="Transgender",VLOOKUP(B38,Table5[],7,FALSE),IF($B$2="Total Offences",VLOOKUP(B38,Table6[],7,FALSE),""))))))</f>
        <v>1264</v>
      </c>
      <c r="AD38" s="74">
        <f t="shared" si="10"/>
        <v>111.23822934084309</v>
      </c>
      <c r="AE38" s="56">
        <f t="shared" si="11"/>
        <v>18</v>
      </c>
      <c r="AF38" s="56"/>
      <c r="AG38" s="71">
        <v>1147100</v>
      </c>
      <c r="AH38" s="71">
        <f>IF($B$2="Race",VLOOKUP(B38,Table1[],8,FALSE),IF($B$2="Religion",VLOOKUP(B38,Table3[],8,FALSE),IF($B$2="Sexual Orientation",VLOOKUP(B38,Table2[],8,FALSE),IF($B$2="Disability",VLOOKUP(B38,Table4[],8,FALSE),IF($B$2="Transgender",VLOOKUP(B38,Table5[],8,FALSE),IF($B$2="Total Offences",VLOOKUP(B38,Table6[],8,FALSE),""))))))</f>
        <v>1509</v>
      </c>
      <c r="AI38" s="74">
        <f t="shared" si="12"/>
        <v>131.54912387760439</v>
      </c>
      <c r="AJ38" s="56">
        <f t="shared" si="13"/>
        <v>21</v>
      </c>
      <c r="AK38" s="56"/>
      <c r="AL38" s="71">
        <v>1154200</v>
      </c>
      <c r="AM38" s="71">
        <f>IF($B$2="Race",VLOOKUP(B38,Table1[],9,FALSE),IF($B$2="Religion",VLOOKUP(B38,Table3[],9,FALSE),IF($B$2="Sexual Orientation",VLOOKUP(B38,Table2[],9,FALSE),IF($B$2="Disability",VLOOKUP(B38,Table4[],9,FALSE),IF($B$2="Transgender",VLOOKUP(B38,Table5[],9,FALSE),IF($B$2="Total Offences",VLOOKUP(B38,Table6[],9,FALSE),""))))))</f>
        <v>1495</v>
      </c>
      <c r="AN38" s="74">
        <f t="shared" si="14"/>
        <v>129.5269450701785</v>
      </c>
      <c r="AO38" s="56">
        <f t="shared" si="15"/>
        <v>25</v>
      </c>
      <c r="AP38" s="56"/>
      <c r="AQ38" s="71">
        <v>1161100</v>
      </c>
      <c r="AR38" s="71">
        <f>IF($B$2="Race",VLOOKUP(B38,Table1[],10,FALSE),IF($B$2="Religion",VLOOKUP(B38,Table3[],10,FALSE),IF($B$2="Sexual Orientation",VLOOKUP(B38,Table2[],10,FALSE),IF($B$2="Disability",VLOOKUP(B38,Table4[],10,FALSE),IF($B$2="Transgender",VLOOKUP(B38,Table5[],10,FALSE),IF($B$2="Total Offences",VLOOKUP(B38,Table6[],10,FALSE),""))))))</f>
        <v>1683</v>
      </c>
      <c r="AS38" s="74">
        <f t="shared" si="16"/>
        <v>144.94875549048317</v>
      </c>
      <c r="AT38" s="56">
        <f t="shared" si="17"/>
        <v>22</v>
      </c>
      <c r="AU38" s="56"/>
      <c r="AV38" s="71">
        <v>1170500</v>
      </c>
      <c r="AW38" s="71">
        <f>IF($B$2="Race",VLOOKUP(B38,Table1[],11,FALSE),IF($B$2="Religion",VLOOKUP(B38,Table3[],11,FALSE),IF($B$2="Sexual Orientation",VLOOKUP(B38,Table2[],11,FALSE),IF($B$2="Disability",VLOOKUP(B38,Table4[],11,FALSE),IF($B$2="Transgender",VLOOKUP(B38,Table5[],11,FALSE),IF($B$2="Total Offences",VLOOKUP(B38,Table6[],11,FALSE),""))))))</f>
        <v>1635</v>
      </c>
      <c r="AX38" s="74">
        <f t="shared" si="18"/>
        <v>139.68389577103804</v>
      </c>
      <c r="AY38" s="56">
        <f t="shared" si="19"/>
        <v>27</v>
      </c>
      <c r="AZ38" s="56"/>
    </row>
    <row r="39" spans="1:52" x14ac:dyDescent="0.35">
      <c r="A39" s="56"/>
      <c r="B39" s="56" t="s">
        <v>40</v>
      </c>
      <c r="C39" s="71">
        <v>1283400</v>
      </c>
      <c r="D39" s="57" t="str">
        <f>IF($B$2="Race",VLOOKUP(B39,Table1[],2,FALSE),IF($B$2="Religion",VLOOKUP(B39,Table3[],2,FALSE),IF($B$2="Sexual Orientation",VLOOKUP(B39,Table2[],2,FALSE),IF($B$2="Disability",VLOOKUP(B39,Table4[],2,FALSE),IF($B$2="Transgender",VLOOKUP(B39,Table5[],2,FALSE),IF($B$2="Total Offences",VLOOKUP(B39,Table6[],2,FALSE),""))))))</f>
        <v>N/A</v>
      </c>
      <c r="E39" s="72" t="str">
        <f t="shared" si="0"/>
        <v>N/A</v>
      </c>
      <c r="F39" s="73" t="str">
        <f t="shared" si="1"/>
        <v>N/A</v>
      </c>
      <c r="G39" s="56"/>
      <c r="H39" s="71">
        <v>1289600</v>
      </c>
      <c r="I39" s="71">
        <f>IF($B$2="Race",VLOOKUP(B39,Table1[],3,FALSE),IF($B$2="Religion",VLOOKUP(B39,Table3[],3,FALSE),IF($B$2="Sexual Orientation",VLOOKUP(B39,Table2[],3,FALSE),IF($B$2="Disability",VLOOKUP(B39,Table4[],3,FALSE),IF($B$2="Transgender",VLOOKUP(B39,Table5[],3,FALSE),IF($B$2="Total Offences",VLOOKUP(B39,Table6[],3,FALSE),""))))))</f>
        <v>1019</v>
      </c>
      <c r="J39" s="74">
        <f t="shared" si="2"/>
        <v>79.016749379652609</v>
      </c>
      <c r="K39" s="56">
        <f t="shared" si="3"/>
        <v>8</v>
      </c>
      <c r="L39" s="56"/>
      <c r="M39" s="71">
        <v>1295300</v>
      </c>
      <c r="N39" s="71">
        <f>IF($B$2="Race",VLOOKUP(B39,Table1[],4,FALSE),IF($B$2="Religion",VLOOKUP(B39,Table3[],4,FALSE),IF($B$2="Sexual Orientation",VLOOKUP(B39,Table2[],4,FALSE),IF($B$2="Disability",VLOOKUP(B39,Table4[],4,FALSE),IF($B$2="Transgender",VLOOKUP(B39,Table5[],4,FALSE),IF($B$2="Total Offences",VLOOKUP(B39,Table6[],4,FALSE),""))))))</f>
        <v>1160</v>
      </c>
      <c r="O39" s="74">
        <f t="shared" si="4"/>
        <v>89.554543349031107</v>
      </c>
      <c r="P39" s="56">
        <f t="shared" si="5"/>
        <v>5</v>
      </c>
      <c r="Q39" s="56"/>
      <c r="R39" s="71">
        <v>1301500</v>
      </c>
      <c r="S39" s="71">
        <f>IF($B$2="Race",VLOOKUP(B39,Table1[],5,FALSE),IF($B$2="Religion",VLOOKUP(B39,Table3[],5,FALSE),IF($B$2="Sexual Orientation",VLOOKUP(B39,Table2[],5,FALSE),IF($B$2="Disability",VLOOKUP(B39,Table4[],5,FALSE),IF($B$2="Transgender",VLOOKUP(B39,Table5[],5,FALSE),IF($B$2="Total Offences",VLOOKUP(B39,Table6[],5,FALSE),""))))))</f>
        <v>1501</v>
      </c>
      <c r="T39" s="74">
        <f t="shared" si="6"/>
        <v>115.32846715328468</v>
      </c>
      <c r="U39" s="56">
        <f t="shared" si="7"/>
        <v>5</v>
      </c>
      <c r="V39" s="56"/>
      <c r="W39" s="71">
        <v>1307600</v>
      </c>
      <c r="X39" s="71">
        <f>IF($B$2="Race",VLOOKUP(B39,Table1[],6,FALSE),IF($B$2="Religion",VLOOKUP(B39,Table3[],6,FALSE),IF($B$2="Sexual Orientation",VLOOKUP(B39,Table2[],6,FALSE),IF($B$2="Disability",VLOOKUP(B39,Table4[],6,FALSE),IF($B$2="Transgender",VLOOKUP(B39,Table5[],6,FALSE),IF($B$2="Total Offences",VLOOKUP(B39,Table6[],6,FALSE),""))))))</f>
        <v>1693</v>
      </c>
      <c r="Y39" s="74">
        <f t="shared" si="8"/>
        <v>129.47384521260324</v>
      </c>
      <c r="Z39" s="56">
        <f t="shared" si="9"/>
        <v>6</v>
      </c>
      <c r="AA39" s="56"/>
      <c r="AB39" s="71">
        <v>1317500</v>
      </c>
      <c r="AC39" s="71">
        <f>IF($B$2="Race",VLOOKUP(B39,Table1[],7,FALSE),IF($B$2="Religion",VLOOKUP(B39,Table3[],7,FALSE),IF($B$2="Sexual Orientation",VLOOKUP(B39,Table2[],7,FALSE),IF($B$2="Disability",VLOOKUP(B39,Table4[],7,FALSE),IF($B$2="Transgender",VLOOKUP(B39,Table5[],7,FALSE),IF($B$2="Total Offences",VLOOKUP(B39,Table6[],7,FALSE),""))))))</f>
        <v>1900</v>
      </c>
      <c r="AD39" s="74">
        <f t="shared" si="10"/>
        <v>144.21252371916509</v>
      </c>
      <c r="AE39" s="56">
        <f t="shared" si="11"/>
        <v>8</v>
      </c>
      <c r="AF39" s="56"/>
      <c r="AG39" s="71">
        <v>1324400</v>
      </c>
      <c r="AH39" s="71">
        <f>IF($B$2="Race",VLOOKUP(B39,Table1[],8,FALSE),IF($B$2="Religion",VLOOKUP(B39,Table3[],8,FALSE),IF($B$2="Sexual Orientation",VLOOKUP(B39,Table2[],8,FALSE),IF($B$2="Disability",VLOOKUP(B39,Table4[],8,FALSE),IF($B$2="Transgender",VLOOKUP(B39,Table5[],8,FALSE),IF($B$2="Total Offences",VLOOKUP(B39,Table6[],8,FALSE),""))))))</f>
        <v>1800</v>
      </c>
      <c r="AI39" s="74">
        <f t="shared" si="12"/>
        <v>135.9106010268801</v>
      </c>
      <c r="AJ39" s="56">
        <f t="shared" si="13"/>
        <v>18</v>
      </c>
      <c r="AK39" s="56"/>
      <c r="AL39" s="71">
        <v>1331000</v>
      </c>
      <c r="AM39" s="71">
        <f>IF($B$2="Race",VLOOKUP(B39,Table1[],9,FALSE),IF($B$2="Religion",VLOOKUP(B39,Table3[],9,FALSE),IF($B$2="Sexual Orientation",VLOOKUP(B39,Table2[],9,FALSE),IF($B$2="Disability",VLOOKUP(B39,Table4[],9,FALSE),IF($B$2="Transgender",VLOOKUP(B39,Table5[],9,FALSE),IF($B$2="Total Offences",VLOOKUP(B39,Table6[],9,FALSE),""))))))</f>
        <v>1906</v>
      </c>
      <c r="AN39" s="74">
        <f t="shared" si="14"/>
        <v>143.20060105184072</v>
      </c>
      <c r="AO39" s="56">
        <f t="shared" si="15"/>
        <v>19</v>
      </c>
      <c r="AP39" s="56"/>
      <c r="AQ39" s="71">
        <v>1339400</v>
      </c>
      <c r="AR39" s="71">
        <f>IF($B$2="Race",VLOOKUP(B39,Table1[],10,FALSE),IF($B$2="Religion",VLOOKUP(B39,Table3[],10,FALSE),IF($B$2="Sexual Orientation",VLOOKUP(B39,Table2[],10,FALSE),IF($B$2="Disability",VLOOKUP(B39,Table4[],10,FALSE),IF($B$2="Transgender",VLOOKUP(B39,Table5[],10,FALSE),IF($B$2="Total Offences",VLOOKUP(B39,Table6[],10,FALSE),""))))))</f>
        <v>2007</v>
      </c>
      <c r="AS39" s="74">
        <f t="shared" si="16"/>
        <v>149.84321337912499</v>
      </c>
      <c r="AT39" s="56">
        <f t="shared" si="17"/>
        <v>20</v>
      </c>
      <c r="AU39" s="56"/>
      <c r="AV39" s="71">
        <v>1345300</v>
      </c>
      <c r="AW39" s="71">
        <f>IF($B$2="Race",VLOOKUP(B39,Table1[],11,FALSE),IF($B$2="Religion",VLOOKUP(B39,Table3[],11,FALSE),IF($B$2="Sexual Orientation",VLOOKUP(B39,Table2[],11,FALSE),IF($B$2="Disability",VLOOKUP(B39,Table4[],11,FALSE),IF($B$2="Transgender",VLOOKUP(B39,Table5[],11,FALSE),IF($B$2="Total Offences",VLOOKUP(B39,Table6[],11,FALSE),""))))))</f>
        <v>2148</v>
      </c>
      <c r="AX39" s="74">
        <f t="shared" si="18"/>
        <v>159.66698877573776</v>
      </c>
      <c r="AY39" s="56">
        <f t="shared" si="19"/>
        <v>23</v>
      </c>
      <c r="AZ39" s="56"/>
    </row>
    <row r="40" spans="1:52" x14ac:dyDescent="0.35">
      <c r="A40" s="56"/>
      <c r="B40" s="56" t="s">
        <v>41</v>
      </c>
      <c r="C40" s="71">
        <v>1343900</v>
      </c>
      <c r="D40" s="57" t="str">
        <f>IF($B$2="Race",VLOOKUP(B40,Table1[],2,FALSE),IF($B$2="Religion",VLOOKUP(B40,Table3[],2,FALSE),IF($B$2="Sexual Orientation",VLOOKUP(B40,Table2[],2,FALSE),IF($B$2="Disability",VLOOKUP(B40,Table4[],2,FALSE),IF($B$2="Transgender",VLOOKUP(B40,Table5[],2,FALSE),IF($B$2="Total Offences",VLOOKUP(B40,Table6[],2,FALSE),""))))))</f>
        <v>N/A</v>
      </c>
      <c r="E40" s="72" t="str">
        <f t="shared" si="0"/>
        <v>N/A</v>
      </c>
      <c r="F40" s="73" t="str">
        <f t="shared" si="1"/>
        <v>N/A</v>
      </c>
      <c r="G40" s="56"/>
      <c r="H40" s="71">
        <v>1352400</v>
      </c>
      <c r="I40" s="71">
        <f>IF($B$2="Race",VLOOKUP(B40,Table1[],3,FALSE),IF($B$2="Religion",VLOOKUP(B40,Table3[],3,FALSE),IF($B$2="Sexual Orientation",VLOOKUP(B40,Table2[],3,FALSE),IF($B$2="Disability",VLOOKUP(B40,Table4[],3,FALSE),IF($B$2="Transgender",VLOOKUP(B40,Table5[],3,FALSE),IF($B$2="Total Offences",VLOOKUP(B40,Table6[],3,FALSE),""))))))</f>
        <v>575</v>
      </c>
      <c r="J40" s="74">
        <f t="shared" si="2"/>
        <v>42.517006802721085</v>
      </c>
      <c r="K40" s="56">
        <f t="shared" si="3"/>
        <v>32</v>
      </c>
      <c r="L40" s="56"/>
      <c r="M40" s="71">
        <v>1358500</v>
      </c>
      <c r="N40" s="71">
        <f>IF($B$2="Race",VLOOKUP(B40,Table1[],4,FALSE),IF($B$2="Religion",VLOOKUP(B40,Table3[],4,FALSE),IF($B$2="Sexual Orientation",VLOOKUP(B40,Table2[],4,FALSE),IF($B$2="Disability",VLOOKUP(B40,Table4[],4,FALSE),IF($B$2="Transgender",VLOOKUP(B40,Table5[],4,FALSE),IF($B$2="Total Offences",VLOOKUP(B40,Table6[],4,FALSE),""))))))</f>
        <v>663</v>
      </c>
      <c r="O40" s="74">
        <f t="shared" si="4"/>
        <v>48.803827751196167</v>
      </c>
      <c r="P40" s="56">
        <f t="shared" si="5"/>
        <v>25</v>
      </c>
      <c r="Q40" s="56"/>
      <c r="R40" s="71">
        <v>1366100</v>
      </c>
      <c r="S40" s="71">
        <f>IF($B$2="Race",VLOOKUP(B40,Table1[],5,FALSE),IF($B$2="Religion",VLOOKUP(B40,Table3[],5,FALSE),IF($B$2="Sexual Orientation",VLOOKUP(B40,Table2[],5,FALSE),IF($B$2="Disability",VLOOKUP(B40,Table4[],5,FALSE),IF($B$2="Transgender",VLOOKUP(B40,Table5[],5,FALSE),IF($B$2="Total Offences",VLOOKUP(B40,Table6[],5,FALSE),""))))))</f>
        <v>757</v>
      </c>
      <c r="T40" s="74">
        <f t="shared" si="6"/>
        <v>55.413220115657708</v>
      </c>
      <c r="U40" s="56">
        <f t="shared" si="7"/>
        <v>28</v>
      </c>
      <c r="V40" s="56"/>
      <c r="W40" s="71">
        <v>1375500</v>
      </c>
      <c r="X40" s="71">
        <f>IF($B$2="Race",VLOOKUP(B40,Table1[],6,FALSE),IF($B$2="Religion",VLOOKUP(B40,Table3[],6,FALSE),IF($B$2="Sexual Orientation",VLOOKUP(B40,Table2[],6,FALSE),IF($B$2="Disability",VLOOKUP(B40,Table4[],6,FALSE),IF($B$2="Transgender",VLOOKUP(B40,Table5[],6,FALSE),IF($B$2="Total Offences",VLOOKUP(B40,Table6[],6,FALSE),""))))))</f>
        <v>974</v>
      </c>
      <c r="Y40" s="74">
        <f t="shared" si="8"/>
        <v>70.810614322064708</v>
      </c>
      <c r="Z40" s="56">
        <f t="shared" si="9"/>
        <v>22</v>
      </c>
      <c r="AA40" s="56"/>
      <c r="AB40" s="71">
        <v>1385400</v>
      </c>
      <c r="AC40" s="71">
        <f>IF($B$2="Race",VLOOKUP(B40,Table1[],7,FALSE),IF($B$2="Religion",VLOOKUP(B40,Table3[],7,FALSE),IF($B$2="Sexual Orientation",VLOOKUP(B40,Table2[],7,FALSE),IF($B$2="Disability",VLOOKUP(B40,Table4[],7,FALSE),IF($B$2="Transgender",VLOOKUP(B40,Table5[],7,FALSE),IF($B$2="Total Offences",VLOOKUP(B40,Table6[],7,FALSE),""))))))</f>
        <v>1591</v>
      </c>
      <c r="AD40" s="74">
        <f t="shared" si="10"/>
        <v>114.84047928396132</v>
      </c>
      <c r="AE40" s="56">
        <f t="shared" si="11"/>
        <v>15</v>
      </c>
      <c r="AF40" s="56"/>
      <c r="AG40" s="71">
        <v>1393400</v>
      </c>
      <c r="AH40" s="71">
        <f>IF($B$2="Race",VLOOKUP(B40,Table1[],8,FALSE),IF($B$2="Religion",VLOOKUP(B40,Table3[],8,FALSE),IF($B$2="Sexual Orientation",VLOOKUP(B40,Table2[],8,FALSE),IF($B$2="Disability",VLOOKUP(B40,Table4[],8,FALSE),IF($B$2="Transgender",VLOOKUP(B40,Table5[],8,FALSE),IF($B$2="Total Offences",VLOOKUP(B40,Table6[],8,FALSE),""))))))</f>
        <v>2219</v>
      </c>
      <c r="AI40" s="74">
        <f t="shared" si="12"/>
        <v>159.25075355246162</v>
      </c>
      <c r="AJ40" s="56">
        <f t="shared" si="13"/>
        <v>9</v>
      </c>
      <c r="AK40" s="56"/>
      <c r="AL40" s="71">
        <v>1402900</v>
      </c>
      <c r="AM40" s="71">
        <f>IF($B$2="Race",VLOOKUP(B40,Table1[],9,FALSE),IF($B$2="Religion",VLOOKUP(B40,Table3[],9,FALSE),IF($B$2="Sexual Orientation",VLOOKUP(B40,Table2[],9,FALSE),IF($B$2="Disability",VLOOKUP(B40,Table4[],9,FALSE),IF($B$2="Transgender",VLOOKUP(B40,Table5[],9,FALSE),IF($B$2="Total Offences",VLOOKUP(B40,Table6[],9,FALSE),""))))))</f>
        <v>2618</v>
      </c>
      <c r="AN40" s="74">
        <f t="shared" si="14"/>
        <v>186.61344358115332</v>
      </c>
      <c r="AO40" s="56">
        <f t="shared" si="15"/>
        <v>8</v>
      </c>
      <c r="AP40" s="56"/>
      <c r="AQ40" s="71">
        <v>1409000</v>
      </c>
      <c r="AR40" s="71">
        <f>IF($B$2="Race",VLOOKUP(B40,Table1[],10,FALSE),IF($B$2="Religion",VLOOKUP(B40,Table3[],10,FALSE),IF($B$2="Sexual Orientation",VLOOKUP(B40,Table2[],10,FALSE),IF($B$2="Disability",VLOOKUP(B40,Table4[],10,FALSE),IF($B$2="Transgender",VLOOKUP(B40,Table5[],10,FALSE),IF($B$2="Total Offences",VLOOKUP(B40,Table6[],10,FALSE),""))))))</f>
        <v>2931</v>
      </c>
      <c r="AS40" s="74">
        <f t="shared" si="16"/>
        <v>208.01987224982258</v>
      </c>
      <c r="AT40" s="56">
        <f t="shared" si="17"/>
        <v>6</v>
      </c>
      <c r="AU40" s="56"/>
      <c r="AV40" s="71">
        <v>1415100</v>
      </c>
      <c r="AW40" s="71">
        <f>IF($B$2="Race",VLOOKUP(B40,Table1[],11,FALSE),IF($B$2="Religion",VLOOKUP(B40,Table3[],11,FALSE),IF($B$2="Sexual Orientation",VLOOKUP(B40,Table2[],11,FALSE),IF($B$2="Disability",VLOOKUP(B40,Table4[],11,FALSE),IF($B$2="Transgender",VLOOKUP(B40,Table5[],11,FALSE),IF($B$2="Total Offences",VLOOKUP(B40,Table6[],11,FALSE),""))))))</f>
        <v>3383</v>
      </c>
      <c r="AX40" s="74">
        <f t="shared" si="18"/>
        <v>239.06437707582504</v>
      </c>
      <c r="AY40" s="56">
        <f t="shared" si="19"/>
        <v>7</v>
      </c>
      <c r="AZ40" s="56"/>
    </row>
    <row r="41" spans="1:52" x14ac:dyDescent="0.35">
      <c r="A41" s="56"/>
      <c r="B41" s="56" t="s">
        <v>42</v>
      </c>
      <c r="C41" s="71">
        <v>1098300</v>
      </c>
      <c r="D41" s="57" t="str">
        <f>IF($B$2="Race",VLOOKUP(B41,Table1[],2,FALSE),IF($B$2="Religion",VLOOKUP(B41,Table3[],2,FALSE),IF($B$2="Sexual Orientation",VLOOKUP(B41,Table2[],2,FALSE),IF($B$2="Disability",VLOOKUP(B41,Table4[],2,FALSE),IF($B$2="Transgender",VLOOKUP(B41,Table5[],2,FALSE),IF($B$2="Total Offences",VLOOKUP(B41,Table6[],2,FALSE),""))))))</f>
        <v>N/A</v>
      </c>
      <c r="E41" s="72" t="str">
        <f t="shared" si="0"/>
        <v>N/A</v>
      </c>
      <c r="F41" s="73" t="str">
        <f t="shared" si="1"/>
        <v>N/A</v>
      </c>
      <c r="G41" s="56"/>
      <c r="H41" s="71">
        <v>1101800</v>
      </c>
      <c r="I41" s="71">
        <f>IF($B$2="Race",VLOOKUP(B41,Table1[],3,FALSE),IF($B$2="Religion",VLOOKUP(B41,Table3[],3,FALSE),IF($B$2="Sexual Orientation",VLOOKUP(B41,Table2[],3,FALSE),IF($B$2="Disability",VLOOKUP(B41,Table4[],3,FALSE),IF($B$2="Transgender",VLOOKUP(B41,Table5[],3,FALSE),IF($B$2="Total Offences",VLOOKUP(B41,Table6[],3,FALSE),""))))))</f>
        <v>793</v>
      </c>
      <c r="J41" s="74">
        <f t="shared" si="2"/>
        <v>71.973134870212377</v>
      </c>
      <c r="K41" s="56">
        <f t="shared" si="3"/>
        <v>10</v>
      </c>
      <c r="L41" s="56"/>
      <c r="M41" s="71">
        <v>1107000</v>
      </c>
      <c r="N41" s="71">
        <f>IF($B$2="Race",VLOOKUP(B41,Table1[],4,FALSE),IF($B$2="Religion",VLOOKUP(B41,Table3[],4,FALSE),IF($B$2="Sexual Orientation",VLOOKUP(B41,Table2[],4,FALSE),IF($B$2="Disability",VLOOKUP(B41,Table4[],4,FALSE),IF($B$2="Transgender",VLOOKUP(B41,Table5[],4,FALSE),IF($B$2="Total Offences",VLOOKUP(B41,Table6[],4,FALSE),""))))))</f>
        <v>832</v>
      </c>
      <c r="O41" s="74">
        <f t="shared" si="4"/>
        <v>75.158084914182467</v>
      </c>
      <c r="P41" s="56">
        <f t="shared" si="5"/>
        <v>10</v>
      </c>
      <c r="Q41" s="56"/>
      <c r="R41" s="71">
        <v>1110800</v>
      </c>
      <c r="S41" s="71">
        <f>IF($B$2="Race",VLOOKUP(B41,Table1[],5,FALSE),IF($B$2="Religion",VLOOKUP(B41,Table3[],5,FALSE),IF($B$2="Sexual Orientation",VLOOKUP(B41,Table2[],5,FALSE),IF($B$2="Disability",VLOOKUP(B41,Table4[],5,FALSE),IF($B$2="Transgender",VLOOKUP(B41,Table5[],5,FALSE),IF($B$2="Total Offences",VLOOKUP(B41,Table6[],5,FALSE),""))))))</f>
        <v>845</v>
      </c>
      <c r="T41" s="74">
        <f t="shared" si="6"/>
        <v>76.071299963989915</v>
      </c>
      <c r="U41" s="56">
        <f t="shared" si="7"/>
        <v>13</v>
      </c>
      <c r="V41" s="56"/>
      <c r="W41" s="71">
        <v>1113900</v>
      </c>
      <c r="X41" s="71">
        <f>IF($B$2="Race",VLOOKUP(B41,Table1[],6,FALSE),IF($B$2="Religion",VLOOKUP(B41,Table3[],6,FALSE),IF($B$2="Sexual Orientation",VLOOKUP(B41,Table2[],6,FALSE),IF($B$2="Disability",VLOOKUP(B41,Table4[],6,FALSE),IF($B$2="Transgender",VLOOKUP(B41,Table5[],6,FALSE),IF($B$2="Total Offences",VLOOKUP(B41,Table6[],6,FALSE),""))))))</f>
        <v>1081</v>
      </c>
      <c r="Y41" s="74">
        <f t="shared" si="8"/>
        <v>97.046413502109701</v>
      </c>
      <c r="Z41" s="56">
        <f t="shared" si="9"/>
        <v>10</v>
      </c>
      <c r="AA41" s="56"/>
      <c r="AB41" s="71">
        <v>1120100</v>
      </c>
      <c r="AC41" s="71">
        <f>IF($B$2="Race",VLOOKUP(B41,Table1[],7,FALSE),IF($B$2="Religion",VLOOKUP(B41,Table3[],7,FALSE),IF($B$2="Sexual Orientation",VLOOKUP(B41,Table2[],7,FALSE),IF($B$2="Disability",VLOOKUP(B41,Table4[],7,FALSE),IF($B$2="Transgender",VLOOKUP(B41,Table5[],7,FALSE),IF($B$2="Total Offences",VLOOKUP(B41,Table6[],7,FALSE),""))))))</f>
        <v>1412</v>
      </c>
      <c r="AD41" s="74">
        <f t="shared" si="10"/>
        <v>126.06017319882153</v>
      </c>
      <c r="AE41" s="56">
        <f t="shared" si="11"/>
        <v>10</v>
      </c>
      <c r="AF41" s="56"/>
      <c r="AG41" s="71">
        <v>1126200</v>
      </c>
      <c r="AH41" s="71">
        <f>IF($B$2="Race",VLOOKUP(B41,Table1[],8,FALSE),IF($B$2="Religion",VLOOKUP(B41,Table3[],8,FALSE),IF($B$2="Sexual Orientation",VLOOKUP(B41,Table2[],8,FALSE),IF($B$2="Disability",VLOOKUP(B41,Table4[],8,FALSE),IF($B$2="Transgender",VLOOKUP(B41,Table5[],8,FALSE),IF($B$2="Total Offences",VLOOKUP(B41,Table6[],8,FALSE),""))))))</f>
        <v>1578</v>
      </c>
      <c r="AI41" s="74">
        <f t="shared" si="12"/>
        <v>140.11720831113479</v>
      </c>
      <c r="AJ41" s="56">
        <f t="shared" si="13"/>
        <v>13</v>
      </c>
      <c r="AK41" s="56"/>
      <c r="AL41" s="71">
        <v>1131100</v>
      </c>
      <c r="AM41" s="71">
        <f>IF($B$2="Race",VLOOKUP(B41,Table1[],9,FALSE),IF($B$2="Religion",VLOOKUP(B41,Table3[],9,FALSE),IF($B$2="Sexual Orientation",VLOOKUP(B41,Table2[],9,FALSE),IF($B$2="Disability",VLOOKUP(B41,Table4[],9,FALSE),IF($B$2="Transgender",VLOOKUP(B41,Table5[],9,FALSE),IF($B$2="Total Offences",VLOOKUP(B41,Table6[],9,FALSE),""))))))</f>
        <v>1570</v>
      </c>
      <c r="AN41" s="74">
        <f t="shared" si="14"/>
        <v>138.80293519582708</v>
      </c>
      <c r="AO41" s="56">
        <f t="shared" si="15"/>
        <v>21</v>
      </c>
      <c r="AP41" s="56"/>
      <c r="AQ41" s="71">
        <v>1135900</v>
      </c>
      <c r="AR41" s="71">
        <f>IF($B$2="Race",VLOOKUP(B41,Table1[],10,FALSE),IF($B$2="Religion",VLOOKUP(B41,Table3[],10,FALSE),IF($B$2="Sexual Orientation",VLOOKUP(B41,Table2[],10,FALSE),IF($B$2="Disability",VLOOKUP(B41,Table4[],10,FALSE),IF($B$2="Transgender",VLOOKUP(B41,Table5[],10,FALSE),IF($B$2="Total Offences",VLOOKUP(B41,Table6[],10,FALSE),""))))))</f>
        <v>1353</v>
      </c>
      <c r="AS41" s="74">
        <f t="shared" si="16"/>
        <v>119.1125979399595</v>
      </c>
      <c r="AT41" s="56">
        <f t="shared" si="17"/>
        <v>30</v>
      </c>
      <c r="AU41" s="56"/>
      <c r="AV41" s="71">
        <v>1139800</v>
      </c>
      <c r="AW41" s="71">
        <f>IF($B$2="Race",VLOOKUP(B41,Table1[],11,FALSE),IF($B$2="Religion",VLOOKUP(B41,Table3[],11,FALSE),IF($B$2="Sexual Orientation",VLOOKUP(B41,Table2[],11,FALSE),IF($B$2="Disability",VLOOKUP(B41,Table4[],11,FALSE),IF($B$2="Transgender",VLOOKUP(B41,Table5[],11,FALSE),IF($B$2="Total Offences",VLOOKUP(B41,Table6[],11,FALSE),""))))))</f>
        <v>1367</v>
      </c>
      <c r="AX41" s="74">
        <f t="shared" si="18"/>
        <v>119.93332163537463</v>
      </c>
      <c r="AY41" s="56">
        <f t="shared" si="19"/>
        <v>36</v>
      </c>
      <c r="AZ41" s="56"/>
    </row>
    <row r="42" spans="1:52" x14ac:dyDescent="0.35">
      <c r="A42" s="56"/>
      <c r="B42" s="56" t="s">
        <v>43</v>
      </c>
      <c r="C42" s="71">
        <v>730100</v>
      </c>
      <c r="D42" s="57" t="str">
        <f>IF($B$2="Race",VLOOKUP(B42,Table1[],2,FALSE),IF($B$2="Religion",VLOOKUP(B42,Table3[],2,FALSE),IF($B$2="Sexual Orientation",VLOOKUP(B42,Table2[],2,FALSE),IF($B$2="Disability",VLOOKUP(B42,Table4[],2,FALSE),IF($B$2="Transgender",VLOOKUP(B42,Table5[],2,FALSE),IF($B$2="Total Offences",VLOOKUP(B42,Table6[],2,FALSE),""))))))</f>
        <v>N/A</v>
      </c>
      <c r="E42" s="72" t="str">
        <f t="shared" si="0"/>
        <v>N/A</v>
      </c>
      <c r="F42" s="73" t="str">
        <f t="shared" si="1"/>
        <v>N/A</v>
      </c>
      <c r="G42" s="56"/>
      <c r="H42" s="71">
        <v>732800</v>
      </c>
      <c r="I42" s="71">
        <f>IF($B$2="Race",VLOOKUP(B42,Table1[],3,FALSE),IF($B$2="Religion",VLOOKUP(B42,Table3[],3,FALSE),IF($B$2="Sexual Orientation",VLOOKUP(B42,Table2[],3,FALSE),IF($B$2="Disability",VLOOKUP(B42,Table4[],3,FALSE),IF($B$2="Transgender",VLOOKUP(B42,Table5[],3,FALSE),IF($B$2="Total Offences",VLOOKUP(B42,Table6[],3,FALSE),""))))))</f>
        <v>604</v>
      </c>
      <c r="J42" s="74">
        <f t="shared" si="2"/>
        <v>82.423580786026193</v>
      </c>
      <c r="K42" s="56">
        <f t="shared" si="3"/>
        <v>7</v>
      </c>
      <c r="L42" s="56"/>
      <c r="M42" s="71">
        <v>735800</v>
      </c>
      <c r="N42" s="71">
        <f>IF($B$2="Race",VLOOKUP(B42,Table1[],4,FALSE),IF($B$2="Religion",VLOOKUP(B42,Table3[],4,FALSE),IF($B$2="Sexual Orientation",VLOOKUP(B42,Table2[],4,FALSE),IF($B$2="Disability",VLOOKUP(B42,Table4[],4,FALSE),IF($B$2="Transgender",VLOOKUP(B42,Table5[],4,FALSE),IF($B$2="Total Offences",VLOOKUP(B42,Table6[],4,FALSE),""))))))</f>
        <v>571</v>
      </c>
      <c r="O42" s="74">
        <f t="shared" si="4"/>
        <v>77.602609404729549</v>
      </c>
      <c r="P42" s="56">
        <f t="shared" si="5"/>
        <v>9</v>
      </c>
      <c r="Q42" s="56"/>
      <c r="R42" s="71">
        <v>742500</v>
      </c>
      <c r="S42" s="71">
        <f>IF($B$2="Race",VLOOKUP(B42,Table1[],5,FALSE),IF($B$2="Religion",VLOOKUP(B42,Table3[],5,FALSE),IF($B$2="Sexual Orientation",VLOOKUP(B42,Table2[],5,FALSE),IF($B$2="Disability",VLOOKUP(B42,Table4[],5,FALSE),IF($B$2="Transgender",VLOOKUP(B42,Table5[],5,FALSE),IF($B$2="Total Offences",VLOOKUP(B42,Table6[],5,FALSE),""))))))</f>
        <v>440</v>
      </c>
      <c r="T42" s="74">
        <f t="shared" si="6"/>
        <v>59.25925925925926</v>
      </c>
      <c r="U42" s="56">
        <f t="shared" si="7"/>
        <v>23</v>
      </c>
      <c r="V42" s="56"/>
      <c r="W42" s="71">
        <v>747700</v>
      </c>
      <c r="X42" s="71">
        <f>IF($B$2="Race",VLOOKUP(B42,Table1[],6,FALSE),IF($B$2="Religion",VLOOKUP(B42,Table3[],6,FALSE),IF($B$2="Sexual Orientation",VLOOKUP(B42,Table2[],6,FALSE),IF($B$2="Disability",VLOOKUP(B42,Table4[],6,FALSE),IF($B$2="Transgender",VLOOKUP(B42,Table5[],6,FALSE),IF($B$2="Total Offences",VLOOKUP(B42,Table6[],6,FALSE),""))))))</f>
        <v>463</v>
      </c>
      <c r="Y42" s="74">
        <f t="shared" si="8"/>
        <v>61.923231242476923</v>
      </c>
      <c r="Z42" s="56">
        <f t="shared" si="9"/>
        <v>29</v>
      </c>
      <c r="AA42" s="56"/>
      <c r="AB42" s="71">
        <v>751200</v>
      </c>
      <c r="AC42" s="71">
        <f>IF($B$2="Race",VLOOKUP(B42,Table1[],7,FALSE),IF($B$2="Religion",VLOOKUP(B42,Table3[],7,FALSE),IF($B$2="Sexual Orientation",VLOOKUP(B42,Table2[],7,FALSE),IF($B$2="Disability",VLOOKUP(B42,Table4[],7,FALSE),IF($B$2="Transgender",VLOOKUP(B42,Table5[],7,FALSE),IF($B$2="Total Offences",VLOOKUP(B42,Table6[],7,FALSE),""))))))</f>
        <v>796</v>
      </c>
      <c r="AD42" s="74">
        <f t="shared" si="10"/>
        <v>105.96379126730565</v>
      </c>
      <c r="AE42" s="56">
        <f t="shared" si="11"/>
        <v>23</v>
      </c>
      <c r="AF42" s="56"/>
      <c r="AG42" s="71">
        <v>757000</v>
      </c>
      <c r="AH42" s="71">
        <f>IF($B$2="Race",VLOOKUP(B42,Table1[],8,FALSE),IF($B$2="Religion",VLOOKUP(B42,Table3[],8,FALSE),IF($B$2="Sexual Orientation",VLOOKUP(B42,Table2[],8,FALSE),IF($B$2="Disability",VLOOKUP(B42,Table4[],8,FALSE),IF($B$2="Transgender",VLOOKUP(B42,Table5[],8,FALSE),IF($B$2="Total Offences",VLOOKUP(B42,Table6[],8,FALSE),""))))))</f>
        <v>1118</v>
      </c>
      <c r="AI42" s="74">
        <f t="shared" si="12"/>
        <v>147.68824306472919</v>
      </c>
      <c r="AJ42" s="56">
        <f t="shared" si="13"/>
        <v>11</v>
      </c>
      <c r="AK42" s="56"/>
      <c r="AL42" s="71">
        <v>758600</v>
      </c>
      <c r="AM42" s="71">
        <f>IF($B$2="Race",VLOOKUP(B42,Table1[],9,FALSE),IF($B$2="Religion",VLOOKUP(B42,Table3[],9,FALSE),IF($B$2="Sexual Orientation",VLOOKUP(B42,Table2[],9,FALSE),IF($B$2="Disability",VLOOKUP(B42,Table4[],9,FALSE),IF($B$2="Transgender",VLOOKUP(B42,Table5[],9,FALSE),IF($B$2="Total Offences",VLOOKUP(B42,Table6[],9,FALSE),""))))))</f>
        <v>951</v>
      </c>
      <c r="AN42" s="74">
        <f t="shared" si="14"/>
        <v>125.36250988663326</v>
      </c>
      <c r="AO42" s="56">
        <f t="shared" si="15"/>
        <v>26</v>
      </c>
      <c r="AP42" s="56"/>
      <c r="AQ42" s="71">
        <v>761400</v>
      </c>
      <c r="AR42" s="71">
        <f>IF($B$2="Race",VLOOKUP(B42,Table1[],10,FALSE),IF($B$2="Religion",VLOOKUP(B42,Table3[],10,FALSE),IF($B$2="Sexual Orientation",VLOOKUP(B42,Table2[],10,FALSE),IF($B$2="Disability",VLOOKUP(B42,Table4[],10,FALSE),IF($B$2="Transgender",VLOOKUP(B42,Table5[],10,FALSE),IF($B$2="Total Offences",VLOOKUP(B42,Table6[],10,FALSE),""))))))</f>
        <v>866</v>
      </c>
      <c r="AS42" s="74">
        <f t="shared" si="16"/>
        <v>113.7378513265038</v>
      </c>
      <c r="AT42" s="56">
        <f t="shared" si="17"/>
        <v>33</v>
      </c>
      <c r="AU42" s="56"/>
      <c r="AV42" s="71">
        <v>761200</v>
      </c>
      <c r="AW42" s="71">
        <f>IF($B$2="Race",VLOOKUP(B42,Table1[],11,FALSE),IF($B$2="Religion",VLOOKUP(B42,Table3[],11,FALSE),IF($B$2="Sexual Orientation",VLOOKUP(B42,Table2[],11,FALSE),IF($B$2="Disability",VLOOKUP(B42,Table4[],11,FALSE),IF($B$2="Transgender",VLOOKUP(B42,Table5[],11,FALSE),IF($B$2="Total Offences",VLOOKUP(B42,Table6[],11,FALSE),""))))))</f>
        <v>962</v>
      </c>
      <c r="AX42" s="74">
        <f t="shared" si="18"/>
        <v>126.37940094587492</v>
      </c>
      <c r="AY42" s="56">
        <f t="shared" si="19"/>
        <v>33</v>
      </c>
      <c r="AZ42" s="56"/>
    </row>
    <row r="43" spans="1:52" x14ac:dyDescent="0.35">
      <c r="A43" s="56"/>
      <c r="B43" s="56" t="s">
        <v>44</v>
      </c>
      <c r="C43" s="71">
        <v>1135500</v>
      </c>
      <c r="D43" s="57" t="str">
        <f>IF($B$2="Race",VLOOKUP(B43,Table1[],2,FALSE),IF($B$2="Religion",VLOOKUP(B43,Table3[],2,FALSE),IF($B$2="Sexual Orientation",VLOOKUP(B43,Table2[],2,FALSE),IF($B$2="Disability",VLOOKUP(B43,Table4[],2,FALSE),IF($B$2="Transgender",VLOOKUP(B43,Table5[],2,FALSE),IF($B$2="Total Offences",VLOOKUP(B43,Table6[],2,FALSE),""))))))</f>
        <v>N/A</v>
      </c>
      <c r="E43" s="72" t="str">
        <f t="shared" si="0"/>
        <v>N/A</v>
      </c>
      <c r="F43" s="73" t="str">
        <f t="shared" si="1"/>
        <v>N/A</v>
      </c>
      <c r="G43" s="56"/>
      <c r="H43" s="71">
        <v>1144000</v>
      </c>
      <c r="I43" s="71">
        <f>IF($B$2="Race",VLOOKUP(B43,Table1[],3,FALSE),IF($B$2="Religion",VLOOKUP(B43,Table3[],3,FALSE),IF($B$2="Sexual Orientation",VLOOKUP(B43,Table2[],3,FALSE),IF($B$2="Disability",VLOOKUP(B43,Table4[],3,FALSE),IF($B$2="Transgender",VLOOKUP(B43,Table5[],3,FALSE),IF($B$2="Total Offences",VLOOKUP(B43,Table6[],3,FALSE),""))))))</f>
        <v>566</v>
      </c>
      <c r="J43" s="74">
        <f t="shared" si="2"/>
        <v>49.475524475524473</v>
      </c>
      <c r="K43" s="56">
        <f t="shared" si="3"/>
        <v>24</v>
      </c>
      <c r="L43" s="56"/>
      <c r="M43" s="71">
        <v>1154100</v>
      </c>
      <c r="N43" s="71">
        <f>IF($B$2="Race",VLOOKUP(B43,Table1[],4,FALSE),IF($B$2="Religion",VLOOKUP(B43,Table3[],4,FALSE),IF($B$2="Sexual Orientation",VLOOKUP(B43,Table2[],4,FALSE),IF($B$2="Disability",VLOOKUP(B43,Table4[],4,FALSE),IF($B$2="Transgender",VLOOKUP(B43,Table5[],4,FALSE),IF($B$2="Total Offences",VLOOKUP(B43,Table6[],4,FALSE),""))))))</f>
        <v>449</v>
      </c>
      <c r="O43" s="74">
        <f t="shared" si="4"/>
        <v>38.904774282991077</v>
      </c>
      <c r="P43" s="56">
        <f t="shared" si="5"/>
        <v>34</v>
      </c>
      <c r="Q43" s="56"/>
      <c r="R43" s="71">
        <v>1164100</v>
      </c>
      <c r="S43" s="71">
        <f>IF($B$2="Race",VLOOKUP(B43,Table1[],5,FALSE),IF($B$2="Religion",VLOOKUP(B43,Table3[],5,FALSE),IF($B$2="Sexual Orientation",VLOOKUP(B43,Table2[],5,FALSE),IF($B$2="Disability",VLOOKUP(B43,Table4[],5,FALSE),IF($B$2="Transgender",VLOOKUP(B43,Table5[],5,FALSE),IF($B$2="Total Offences",VLOOKUP(B43,Table6[],5,FALSE),""))))))</f>
        <v>684</v>
      </c>
      <c r="T43" s="74">
        <f t="shared" si="6"/>
        <v>58.757838673653467</v>
      </c>
      <c r="U43" s="56">
        <f t="shared" si="7"/>
        <v>24</v>
      </c>
      <c r="V43" s="56"/>
      <c r="W43" s="71">
        <v>1172400</v>
      </c>
      <c r="X43" s="71">
        <f>IF($B$2="Race",VLOOKUP(B43,Table1[],6,FALSE),IF($B$2="Religion",VLOOKUP(B43,Table3[],6,FALSE),IF($B$2="Sexual Orientation",VLOOKUP(B43,Table2[],6,FALSE),IF($B$2="Disability",VLOOKUP(B43,Table4[],6,FALSE),IF($B$2="Transgender",VLOOKUP(B43,Table5[],6,FALSE),IF($B$2="Total Offences",VLOOKUP(B43,Table6[],6,FALSE),""))))))</f>
        <v>979</v>
      </c>
      <c r="Y43" s="74">
        <f t="shared" si="8"/>
        <v>83.503923575571477</v>
      </c>
      <c r="Z43" s="56">
        <f t="shared" si="9"/>
        <v>14</v>
      </c>
      <c r="AA43" s="56"/>
      <c r="AB43" s="71">
        <v>1181000</v>
      </c>
      <c r="AC43" s="71">
        <f>IF($B$2="Race",VLOOKUP(B43,Table1[],7,FALSE),IF($B$2="Religion",VLOOKUP(B43,Table3[],7,FALSE),IF($B$2="Sexual Orientation",VLOOKUP(B43,Table2[],7,FALSE),IF($B$2="Disability",VLOOKUP(B43,Table4[],7,FALSE),IF($B$2="Transgender",VLOOKUP(B43,Table5[],7,FALSE),IF($B$2="Total Offences",VLOOKUP(B43,Table6[],7,FALSE),""))))))</f>
        <v>1393</v>
      </c>
      <c r="AD43" s="74">
        <f t="shared" si="10"/>
        <v>117.95088907705335</v>
      </c>
      <c r="AE43" s="56">
        <f t="shared" si="11"/>
        <v>13</v>
      </c>
      <c r="AF43" s="56"/>
      <c r="AG43" s="71">
        <v>1185300</v>
      </c>
      <c r="AH43" s="71">
        <f>IF($B$2="Race",VLOOKUP(B43,Table1[],8,FALSE),IF($B$2="Religion",VLOOKUP(B43,Table3[],8,FALSE),IF($B$2="Sexual Orientation",VLOOKUP(B43,Table2[],8,FALSE),IF($B$2="Disability",VLOOKUP(B43,Table4[],8,FALSE),IF($B$2="Transgender",VLOOKUP(B43,Table5[],8,FALSE),IF($B$2="Total Offences",VLOOKUP(B43,Table6[],8,FALSE),""))))))</f>
        <v>1631</v>
      </c>
      <c r="AI43" s="74">
        <f t="shared" si="12"/>
        <v>137.6022947776934</v>
      </c>
      <c r="AJ43" s="56">
        <f t="shared" si="13"/>
        <v>15</v>
      </c>
      <c r="AK43" s="56"/>
      <c r="AL43" s="71">
        <v>1189900</v>
      </c>
      <c r="AM43" s="71">
        <f>IF($B$2="Race",VLOOKUP(B43,Table1[],9,FALSE),IF($B$2="Religion",VLOOKUP(B43,Table3[],9,FALSE),IF($B$2="Sexual Orientation",VLOOKUP(B43,Table2[],9,FALSE),IF($B$2="Disability",VLOOKUP(B43,Table4[],9,FALSE),IF($B$2="Transgender",VLOOKUP(B43,Table5[],9,FALSE),IF($B$2="Total Offences",VLOOKUP(B43,Table6[],9,FALSE),""))))))</f>
        <v>1802</v>
      </c>
      <c r="AN43" s="74">
        <f t="shared" si="14"/>
        <v>151.44129758803263</v>
      </c>
      <c r="AO43" s="56">
        <f t="shared" si="15"/>
        <v>15</v>
      </c>
      <c r="AP43" s="56"/>
      <c r="AQ43" s="71">
        <v>1196200</v>
      </c>
      <c r="AR43" s="71">
        <f>IF($B$2="Race",VLOOKUP(B43,Table1[],10,FALSE),IF($B$2="Religion",VLOOKUP(B43,Table3[],10,FALSE),IF($B$2="Sexual Orientation",VLOOKUP(B43,Table2[],10,FALSE),IF($B$2="Disability",VLOOKUP(B43,Table4[],10,FALSE),IF($B$2="Transgender",VLOOKUP(B43,Table5[],10,FALSE),IF($B$2="Total Offences",VLOOKUP(B43,Table6[],10,FALSE),""))))))</f>
        <v>1931</v>
      </c>
      <c r="AS43" s="74">
        <f t="shared" si="16"/>
        <v>161.42785487376693</v>
      </c>
      <c r="AT43" s="56">
        <f t="shared" si="17"/>
        <v>15</v>
      </c>
      <c r="AU43" s="56"/>
      <c r="AV43" s="71">
        <v>1199900</v>
      </c>
      <c r="AW43" s="71">
        <f>IF($B$2="Race",VLOOKUP(B43,Table1[],11,FALSE),IF($B$2="Religion",VLOOKUP(B43,Table3[],11,FALSE),IF($B$2="Sexual Orientation",VLOOKUP(B43,Table2[],11,FALSE),IF($B$2="Disability",VLOOKUP(B43,Table4[],11,FALSE),IF($B$2="Transgender",VLOOKUP(B43,Table5[],11,FALSE),IF($B$2="Total Offences",VLOOKUP(B43,Table6[],11,FALSE),""))))))</f>
        <v>2022</v>
      </c>
      <c r="AX43" s="74">
        <f t="shared" si="18"/>
        <v>168.51404283690306</v>
      </c>
      <c r="AY43" s="56">
        <f t="shared" si="19"/>
        <v>20</v>
      </c>
      <c r="AZ43" s="56"/>
    </row>
    <row r="44" spans="1:52" x14ac:dyDescent="0.35">
      <c r="A44" s="56"/>
      <c r="B44" s="56" t="s">
        <v>45</v>
      </c>
      <c r="C44" s="71">
        <v>1609100</v>
      </c>
      <c r="D44" s="57" t="str">
        <f>IF($B$2="Race",VLOOKUP(B44,Table1[],2,FALSE),IF($B$2="Religion",VLOOKUP(B44,Table3[],2,FALSE),IF($B$2="Sexual Orientation",VLOOKUP(B44,Table2[],2,FALSE),IF($B$2="Disability",VLOOKUP(B44,Table4[],2,FALSE),IF($B$2="Transgender",VLOOKUP(B44,Table5[],2,FALSE),IF($B$2="Total Offences",VLOOKUP(B44,Table6[],2,FALSE),""))))))</f>
        <v>N/A</v>
      </c>
      <c r="E44" s="72" t="str">
        <f t="shared" si="0"/>
        <v>N/A</v>
      </c>
      <c r="F44" s="73" t="str">
        <f t="shared" si="1"/>
        <v>N/A</v>
      </c>
      <c r="G44" s="56"/>
      <c r="H44" s="71">
        <v>1622800</v>
      </c>
      <c r="I44" s="71">
        <f>IF($B$2="Race",VLOOKUP(B44,Table1[],3,FALSE),IF($B$2="Religion",VLOOKUP(B44,Table3[],3,FALSE),IF($B$2="Sexual Orientation",VLOOKUP(B44,Table2[],3,FALSE),IF($B$2="Disability",VLOOKUP(B44,Table4[],3,FALSE),IF($B$2="Transgender",VLOOKUP(B44,Table5[],3,FALSE),IF($B$2="Total Offences",VLOOKUP(B44,Table6[],3,FALSE),""))))))</f>
        <v>766</v>
      </c>
      <c r="J44" s="74">
        <f t="shared" si="2"/>
        <v>47.202366280502829</v>
      </c>
      <c r="K44" s="56">
        <f t="shared" si="3"/>
        <v>30</v>
      </c>
      <c r="L44" s="56"/>
      <c r="M44" s="71">
        <v>1635800</v>
      </c>
      <c r="N44" s="71">
        <f>IF($B$2="Race",VLOOKUP(B44,Table1[],4,FALSE),IF($B$2="Religion",VLOOKUP(B44,Table3[],4,FALSE),IF($B$2="Sexual Orientation",VLOOKUP(B44,Table2[],4,FALSE),IF($B$2="Disability",VLOOKUP(B44,Table4[],4,FALSE),IF($B$2="Transgender",VLOOKUP(B44,Table5[],4,FALSE),IF($B$2="Total Offences",VLOOKUP(B44,Table6[],4,FALSE),""))))))</f>
        <v>1031</v>
      </c>
      <c r="O44" s="74">
        <f t="shared" si="4"/>
        <v>63.027264946815016</v>
      </c>
      <c r="P44" s="56">
        <f t="shared" si="5"/>
        <v>15</v>
      </c>
      <c r="Q44" s="56"/>
      <c r="R44" s="71">
        <v>1651700</v>
      </c>
      <c r="S44" s="71">
        <f>IF($B$2="Race",VLOOKUP(B44,Table1[],5,FALSE),IF($B$2="Religion",VLOOKUP(B44,Table3[],5,FALSE),IF($B$2="Sexual Orientation",VLOOKUP(B44,Table2[],5,FALSE),IF($B$2="Disability",VLOOKUP(B44,Table4[],5,FALSE),IF($B$2="Transgender",VLOOKUP(B44,Table5[],5,FALSE),IF($B$2="Total Offences",VLOOKUP(B44,Table6[],5,FALSE),""))))))</f>
        <v>1365</v>
      </c>
      <c r="T44" s="74">
        <f t="shared" si="6"/>
        <v>82.642126294121212</v>
      </c>
      <c r="U44" s="56">
        <f t="shared" si="7"/>
        <v>10</v>
      </c>
      <c r="V44" s="56"/>
      <c r="W44" s="71">
        <v>1667600</v>
      </c>
      <c r="X44" s="71">
        <f>IF($B$2="Race",VLOOKUP(B44,Table1[],6,FALSE),IF($B$2="Religion",VLOOKUP(B44,Table3[],6,FALSE),IF($B$2="Sexual Orientation",VLOOKUP(B44,Table2[],6,FALSE),IF($B$2="Disability",VLOOKUP(B44,Table4[],6,FALSE),IF($B$2="Transgender",VLOOKUP(B44,Table5[],6,FALSE),IF($B$2="Total Offences",VLOOKUP(B44,Table6[],6,FALSE),""))))))</f>
        <v>1740</v>
      </c>
      <c r="Y44" s="74">
        <f t="shared" si="8"/>
        <v>104.34156872151596</v>
      </c>
      <c r="Z44" s="56">
        <f t="shared" si="9"/>
        <v>8</v>
      </c>
      <c r="AA44" s="56"/>
      <c r="AB44" s="71">
        <v>1683600</v>
      </c>
      <c r="AC44" s="71">
        <f>IF($B$2="Race",VLOOKUP(B44,Table1[],7,FALSE),IF($B$2="Religion",VLOOKUP(B44,Table3[],7,FALSE),IF($B$2="Sexual Orientation",VLOOKUP(B44,Table2[],7,FALSE),IF($B$2="Disability",VLOOKUP(B44,Table4[],7,FALSE),IF($B$2="Transgender",VLOOKUP(B44,Table5[],7,FALSE),IF($B$2="Total Offences",VLOOKUP(B44,Table6[],7,FALSE),""))))))</f>
        <v>2006</v>
      </c>
      <c r="AD44" s="74">
        <f t="shared" si="10"/>
        <v>119.14944167260632</v>
      </c>
      <c r="AE44" s="56">
        <f t="shared" si="11"/>
        <v>12</v>
      </c>
      <c r="AF44" s="56"/>
      <c r="AG44" s="71">
        <v>1692800</v>
      </c>
      <c r="AH44" s="71">
        <f>IF($B$2="Race",VLOOKUP(B44,Table1[],8,FALSE),IF($B$2="Religion",VLOOKUP(B44,Table3[],8,FALSE),IF($B$2="Sexual Orientation",VLOOKUP(B44,Table2[],8,FALSE),IF($B$2="Disability",VLOOKUP(B44,Table4[],8,FALSE),IF($B$2="Transgender",VLOOKUP(B44,Table5[],8,FALSE),IF($B$2="Total Offences",VLOOKUP(B44,Table6[],8,FALSE),""))))))</f>
        <v>2187</v>
      </c>
      <c r="AI44" s="74">
        <f t="shared" si="12"/>
        <v>129.19423440453687</v>
      </c>
      <c r="AJ44" s="56">
        <f t="shared" si="13"/>
        <v>23</v>
      </c>
      <c r="AK44" s="56"/>
      <c r="AL44" s="71">
        <v>1703800</v>
      </c>
      <c r="AM44" s="71">
        <f>IF($B$2="Race",VLOOKUP(B44,Table1[],9,FALSE),IF($B$2="Religion",VLOOKUP(B44,Table3[],9,FALSE),IF($B$2="Sexual Orientation",VLOOKUP(B44,Table2[],9,FALSE),IF($B$2="Disability",VLOOKUP(B44,Table4[],9,FALSE),IF($B$2="Transgender",VLOOKUP(B44,Table5[],9,FALSE),IF($B$2="Total Offences",VLOOKUP(B44,Table6[],9,FALSE),""))))))</f>
        <v>2371</v>
      </c>
      <c r="AN44" s="74">
        <f t="shared" si="14"/>
        <v>139.15952576593497</v>
      </c>
      <c r="AO44" s="56">
        <f t="shared" si="15"/>
        <v>20</v>
      </c>
      <c r="AP44" s="56"/>
      <c r="AQ44" s="71">
        <v>1712100</v>
      </c>
      <c r="AR44" s="71">
        <f>IF($B$2="Race",VLOOKUP(B44,Table1[],10,FALSE),IF($B$2="Religion",VLOOKUP(B44,Table3[],10,FALSE),IF($B$2="Sexual Orientation",VLOOKUP(B44,Table2[],10,FALSE),IF($B$2="Disability",VLOOKUP(B44,Table4[],10,FALSE),IF($B$2="Transgender",VLOOKUP(B44,Table5[],10,FALSE),IF($B$2="Total Offences",VLOOKUP(B44,Table6[],10,FALSE),""))))))</f>
        <v>2872</v>
      </c>
      <c r="AS44" s="74">
        <f t="shared" si="16"/>
        <v>167.74721102739326</v>
      </c>
      <c r="AT44" s="56">
        <f t="shared" si="17"/>
        <v>13</v>
      </c>
      <c r="AU44" s="56"/>
      <c r="AV44" s="71">
        <v>1718200</v>
      </c>
      <c r="AW44" s="71">
        <f>IF($B$2="Race",VLOOKUP(B44,Table1[],11,FALSE),IF($B$2="Religion",VLOOKUP(B44,Table3[],11,FALSE),IF($B$2="Sexual Orientation",VLOOKUP(B44,Table2[],11,FALSE),IF($B$2="Disability",VLOOKUP(B44,Table4[],11,FALSE),IF($B$2="Transgender",VLOOKUP(B44,Table5[],11,FALSE),IF($B$2="Total Offences",VLOOKUP(B44,Table6[],11,FALSE),""))))))</f>
        <v>2696</v>
      </c>
      <c r="AX44" s="74">
        <f t="shared" si="18"/>
        <v>156.90839250378303</v>
      </c>
      <c r="AY44" s="56">
        <f t="shared" si="19"/>
        <v>25</v>
      </c>
      <c r="AZ44" s="56"/>
    </row>
    <row r="45" spans="1:52" x14ac:dyDescent="0.35">
      <c r="A45" s="56"/>
      <c r="B45" s="56" t="s">
        <v>46</v>
      </c>
      <c r="C45" s="71">
        <v>2275200</v>
      </c>
      <c r="D45" s="57" t="str">
        <f>IF($B$2="Race",VLOOKUP(B45,Table1[],2,FALSE),IF($B$2="Religion",VLOOKUP(B45,Table3[],2,FALSE),IF($B$2="Sexual Orientation",VLOOKUP(B45,Table2[],2,FALSE),IF($B$2="Disability",VLOOKUP(B45,Table4[],2,FALSE),IF($B$2="Transgender",VLOOKUP(B45,Table5[],2,FALSE),IF($B$2="Total Offences",VLOOKUP(B45,Table6[],2,FALSE),""))))))</f>
        <v>N/A</v>
      </c>
      <c r="E45" s="72" t="str">
        <f t="shared" si="0"/>
        <v>N/A</v>
      </c>
      <c r="F45" s="73" t="str">
        <f t="shared" si="1"/>
        <v>N/A</v>
      </c>
      <c r="G45" s="56"/>
      <c r="H45" s="71">
        <v>2294600</v>
      </c>
      <c r="I45" s="71">
        <f>IF($B$2="Race",VLOOKUP(B45,Table1[],3,FALSE),IF($B$2="Religion",VLOOKUP(B45,Table3[],3,FALSE),IF($B$2="Sexual Orientation",VLOOKUP(B45,Table2[],3,FALSE),IF($B$2="Disability",VLOOKUP(B45,Table4[],3,FALSE),IF($B$2="Transgender",VLOOKUP(B45,Table5[],3,FALSE),IF($B$2="Total Offences",VLOOKUP(B45,Table6[],3,FALSE),""))))))</f>
        <v>1323</v>
      </c>
      <c r="J45" s="74">
        <f t="shared" si="2"/>
        <v>57.657107992678462</v>
      </c>
      <c r="K45" s="56">
        <f t="shared" si="3"/>
        <v>17</v>
      </c>
      <c r="L45" s="56"/>
      <c r="M45" s="71">
        <v>2314100</v>
      </c>
      <c r="N45" s="71">
        <f>IF($B$2="Race",VLOOKUP(B45,Table1[],4,FALSE),IF($B$2="Religion",VLOOKUP(B45,Table3[],4,FALSE),IF($B$2="Sexual Orientation",VLOOKUP(B45,Table2[],4,FALSE),IF($B$2="Disability",VLOOKUP(B45,Table4[],4,FALSE),IF($B$2="Transgender",VLOOKUP(B45,Table5[],4,FALSE),IF($B$2="Total Offences",VLOOKUP(B45,Table6[],4,FALSE),""))))))</f>
        <v>1309</v>
      </c>
      <c r="O45" s="74">
        <f t="shared" si="4"/>
        <v>56.566267663454468</v>
      </c>
      <c r="P45" s="56">
        <f t="shared" si="5"/>
        <v>20</v>
      </c>
      <c r="Q45" s="56"/>
      <c r="R45" s="71">
        <v>2336600</v>
      </c>
      <c r="S45" s="71">
        <f>IF($B$2="Race",VLOOKUP(B45,Table1[],5,FALSE),IF($B$2="Religion",VLOOKUP(B45,Table3[],5,FALSE),IF($B$2="Sexual Orientation",VLOOKUP(B45,Table2[],5,FALSE),IF($B$2="Disability",VLOOKUP(B45,Table4[],5,FALSE),IF($B$2="Transgender",VLOOKUP(B45,Table5[],5,FALSE),IF($B$2="Total Offences",VLOOKUP(B45,Table6[],5,FALSE),""))))))</f>
        <v>1236</v>
      </c>
      <c r="T45" s="74">
        <f t="shared" si="6"/>
        <v>52.897372250278188</v>
      </c>
      <c r="U45" s="56">
        <f t="shared" si="7"/>
        <v>30</v>
      </c>
      <c r="V45" s="56"/>
      <c r="W45" s="71">
        <v>2357800</v>
      </c>
      <c r="X45" s="71">
        <f>IF($B$2="Race",VLOOKUP(B45,Table1[],6,FALSE),IF($B$2="Religion",VLOOKUP(B45,Table3[],6,FALSE),IF($B$2="Sexual Orientation",VLOOKUP(B45,Table2[],6,FALSE),IF($B$2="Disability",VLOOKUP(B45,Table4[],6,FALSE),IF($B$2="Transgender",VLOOKUP(B45,Table5[],6,FALSE),IF($B$2="Total Offences",VLOOKUP(B45,Table6[],6,FALSE),""))))))</f>
        <v>1616</v>
      </c>
      <c r="Y45" s="74">
        <f t="shared" si="8"/>
        <v>68.538468063448974</v>
      </c>
      <c r="Z45" s="56">
        <f t="shared" si="9"/>
        <v>23</v>
      </c>
      <c r="AA45" s="56"/>
      <c r="AB45" s="71">
        <v>2379300</v>
      </c>
      <c r="AC45" s="71">
        <f>IF($B$2="Race",VLOOKUP(B45,Table1[],7,FALSE),IF($B$2="Religion",VLOOKUP(B45,Table3[],7,FALSE),IF($B$2="Sexual Orientation",VLOOKUP(B45,Table2[],7,FALSE),IF($B$2="Disability",VLOOKUP(B45,Table4[],7,FALSE),IF($B$2="Transgender",VLOOKUP(B45,Table5[],7,FALSE),IF($B$2="Total Offences",VLOOKUP(B45,Table6[],7,FALSE),""))))))</f>
        <v>1775</v>
      </c>
      <c r="AD45" s="74">
        <f t="shared" si="10"/>
        <v>74.601773630899842</v>
      </c>
      <c r="AE45" s="56">
        <f t="shared" si="11"/>
        <v>31</v>
      </c>
      <c r="AF45" s="56"/>
      <c r="AG45" s="71">
        <v>2391700</v>
      </c>
      <c r="AH45" s="71">
        <f>IF($B$2="Race",VLOOKUP(B45,Table1[],8,FALSE),IF($B$2="Religion",VLOOKUP(B45,Table3[],8,FALSE),IF($B$2="Sexual Orientation",VLOOKUP(B45,Table2[],8,FALSE),IF($B$2="Disability",VLOOKUP(B45,Table4[],8,FALSE),IF($B$2="Transgender",VLOOKUP(B45,Table5[],8,FALSE),IF($B$2="Total Offences",VLOOKUP(B45,Table6[],8,FALSE),""))))))</f>
        <v>2396</v>
      </c>
      <c r="AI45" s="74">
        <f t="shared" si="12"/>
        <v>100.1797884350044</v>
      </c>
      <c r="AJ45" s="56">
        <f t="shared" si="13"/>
        <v>32</v>
      </c>
      <c r="AK45" s="56"/>
      <c r="AL45" s="71">
        <v>2407600</v>
      </c>
      <c r="AM45" s="71">
        <f>IF($B$2="Race",VLOOKUP(B45,Table1[],9,FALSE),IF($B$2="Religion",VLOOKUP(B45,Table3[],9,FALSE),IF($B$2="Sexual Orientation",VLOOKUP(B45,Table2[],9,FALSE),IF($B$2="Disability",VLOOKUP(B45,Table4[],9,FALSE),IF($B$2="Transgender",VLOOKUP(B45,Table5[],9,FALSE),IF($B$2="Total Offences",VLOOKUP(B45,Table6[],9,FALSE),""))))))</f>
        <v>3624</v>
      </c>
      <c r="AN45" s="74">
        <f t="shared" si="14"/>
        <v>150.52334274796476</v>
      </c>
      <c r="AO45" s="56">
        <f t="shared" si="15"/>
        <v>16</v>
      </c>
      <c r="AP45" s="56"/>
      <c r="AQ45" s="71">
        <v>2420000</v>
      </c>
      <c r="AR45" s="71">
        <f>IF($B$2="Race",VLOOKUP(B45,Table1[],10,FALSE),IF($B$2="Religion",VLOOKUP(B45,Table3[],10,FALSE),IF($B$2="Sexual Orientation",VLOOKUP(B45,Table2[],10,FALSE),IF($B$2="Disability",VLOOKUP(B45,Table4[],10,FALSE),IF($B$2="Transgender",VLOOKUP(B45,Table5[],10,FALSE),IF($B$2="Total Offences",VLOOKUP(B45,Table6[],10,FALSE),""))))))</f>
        <v>3799</v>
      </c>
      <c r="AS45" s="74">
        <f t="shared" si="16"/>
        <v>156.98347107438016</v>
      </c>
      <c r="AT45" s="56">
        <f t="shared" si="17"/>
        <v>17</v>
      </c>
      <c r="AU45" s="56"/>
      <c r="AV45" s="71">
        <v>2431900</v>
      </c>
      <c r="AW45" s="71">
        <f>IF($B$2="Race",VLOOKUP(B45,Table1[],11,FALSE),IF($B$2="Religion",VLOOKUP(B45,Table3[],11,FALSE),IF($B$2="Sexual Orientation",VLOOKUP(B45,Table2[],11,FALSE),IF($B$2="Disability",VLOOKUP(B45,Table4[],11,FALSE),IF($B$2="Transgender",VLOOKUP(B45,Table5[],11,FALSE),IF($B$2="Total Offences",VLOOKUP(B45,Table6[],11,FALSE),""))))))</f>
        <v>4132</v>
      </c>
      <c r="AX45" s="74">
        <f t="shared" si="18"/>
        <v>169.90830215058185</v>
      </c>
      <c r="AY45" s="56">
        <f t="shared" si="19"/>
        <v>19</v>
      </c>
      <c r="AZ45" s="56"/>
    </row>
    <row r="46" spans="1:52" x14ac:dyDescent="0.35">
      <c r="A46" s="56"/>
      <c r="B46" s="56" t="s">
        <v>47</v>
      </c>
      <c r="C46" s="71">
        <v>546500</v>
      </c>
      <c r="D46" s="57" t="str">
        <f>IF($B$2="Race",VLOOKUP(B46,Table1[],2,FALSE),IF($B$2="Religion",VLOOKUP(B46,Table3[],2,FALSE),IF($B$2="Sexual Orientation",VLOOKUP(B46,Table2[],2,FALSE),IF($B$2="Disability",VLOOKUP(B46,Table4[],2,FALSE),IF($B$2="Transgender",VLOOKUP(B46,Table5[],2,FALSE),IF($B$2="Total Offences",VLOOKUP(B46,Table6[],2,FALSE),""))))))</f>
        <v>N/A</v>
      </c>
      <c r="E46" s="72" t="str">
        <f t="shared" si="0"/>
        <v>N/A</v>
      </c>
      <c r="F46" s="73" t="str">
        <f t="shared" si="1"/>
        <v>N/A</v>
      </c>
      <c r="G46" s="56"/>
      <c r="H46" s="71">
        <v>548300</v>
      </c>
      <c r="I46" s="71">
        <f>IF($B$2="Race",VLOOKUP(B46,Table1[],3,FALSE),IF($B$2="Religion",VLOOKUP(B46,Table3[],3,FALSE),IF($B$2="Sexual Orientation",VLOOKUP(B46,Table2[],3,FALSE),IF($B$2="Disability",VLOOKUP(B46,Table4[],3,FALSE),IF($B$2="Transgender",VLOOKUP(B46,Table5[],3,FALSE),IF($B$2="Total Offences",VLOOKUP(B46,Table6[],3,FALSE),""))))))</f>
        <v>268</v>
      </c>
      <c r="J46" s="74">
        <f t="shared" si="2"/>
        <v>48.878351267554258</v>
      </c>
      <c r="K46" s="56">
        <f t="shared" si="3"/>
        <v>27</v>
      </c>
      <c r="L46" s="56"/>
      <c r="M46" s="71">
        <v>549500</v>
      </c>
      <c r="N46" s="71">
        <f>IF($B$2="Race",VLOOKUP(B46,Table1[],4,FALSE),IF($B$2="Religion",VLOOKUP(B46,Table3[],4,FALSE),IF($B$2="Sexual Orientation",VLOOKUP(B46,Table2[],4,FALSE),IF($B$2="Disability",VLOOKUP(B46,Table4[],4,FALSE),IF($B$2="Transgender",VLOOKUP(B46,Table5[],4,FALSE),IF($B$2="Total Offences",VLOOKUP(B46,Table6[],4,FALSE),""))))))</f>
        <v>194</v>
      </c>
      <c r="O46" s="74">
        <f t="shared" si="4"/>
        <v>35.304822565969069</v>
      </c>
      <c r="P46" s="56">
        <f t="shared" si="5"/>
        <v>37</v>
      </c>
      <c r="Q46" s="56"/>
      <c r="R46" s="71">
        <v>552500</v>
      </c>
      <c r="S46" s="71">
        <f>IF($B$2="Race",VLOOKUP(B46,Table1[],5,FALSE),IF($B$2="Religion",VLOOKUP(B46,Table3[],5,FALSE),IF($B$2="Sexual Orientation",VLOOKUP(B46,Table2[],5,FALSE),IF($B$2="Disability",VLOOKUP(B46,Table4[],5,FALSE),IF($B$2="Transgender",VLOOKUP(B46,Table5[],5,FALSE),IF($B$2="Total Offences",VLOOKUP(B46,Table6[],5,FALSE),""))))))</f>
        <v>173</v>
      </c>
      <c r="T46" s="74">
        <f t="shared" si="6"/>
        <v>31.312217194570138</v>
      </c>
      <c r="U46" s="56">
        <f t="shared" si="7"/>
        <v>39</v>
      </c>
      <c r="V46" s="56"/>
      <c r="W46" s="71">
        <v>555200</v>
      </c>
      <c r="X46" s="71">
        <f>IF($B$2="Race",VLOOKUP(B46,Table1[],6,FALSE),IF($B$2="Religion",VLOOKUP(B46,Table3[],6,FALSE),IF($B$2="Sexual Orientation",VLOOKUP(B46,Table2[],6,FALSE),IF($B$2="Disability",VLOOKUP(B46,Table4[],6,FALSE),IF($B$2="Transgender",VLOOKUP(B46,Table5[],6,FALSE),IF($B$2="Total Offences",VLOOKUP(B46,Table6[],6,FALSE),""))))))</f>
        <v>339</v>
      </c>
      <c r="Y46" s="74">
        <f t="shared" si="8"/>
        <v>61.059077809798268</v>
      </c>
      <c r="Z46" s="56">
        <f t="shared" si="9"/>
        <v>30</v>
      </c>
      <c r="AA46" s="56"/>
      <c r="AB46" s="71">
        <v>559000</v>
      </c>
      <c r="AC46" s="71">
        <f>IF($B$2="Race",VLOOKUP(B46,Table1[],7,FALSE),IF($B$2="Religion",VLOOKUP(B46,Table3[],7,FALSE),IF($B$2="Sexual Orientation",VLOOKUP(B46,Table2[],7,FALSE),IF($B$2="Disability",VLOOKUP(B46,Table4[],7,FALSE),IF($B$2="Transgender",VLOOKUP(B46,Table5[],7,FALSE),IF($B$2="Total Offences",VLOOKUP(B46,Table6[],7,FALSE),""))))))</f>
        <v>539</v>
      </c>
      <c r="AD46" s="74">
        <f t="shared" si="10"/>
        <v>96.422182468694089</v>
      </c>
      <c r="AE46" s="56">
        <f t="shared" si="11"/>
        <v>24</v>
      </c>
      <c r="AF46" s="56"/>
      <c r="AG46" s="71">
        <v>564600</v>
      </c>
      <c r="AH46" s="71">
        <f>IF($B$2="Race",VLOOKUP(B46,Table1[],8,FALSE),IF($B$2="Religion",VLOOKUP(B46,Table3[],8,FALSE),IF($B$2="Sexual Orientation",VLOOKUP(B46,Table2[],8,FALSE),IF($B$2="Disability",VLOOKUP(B46,Table4[],8,FALSE),IF($B$2="Transgender",VLOOKUP(B46,Table5[],8,FALSE),IF($B$2="Total Offences",VLOOKUP(B46,Table6[],8,FALSE),""))))))</f>
        <v>676</v>
      </c>
      <c r="AI46" s="74">
        <f t="shared" si="12"/>
        <v>119.73078285511868</v>
      </c>
      <c r="AJ46" s="56">
        <f t="shared" si="13"/>
        <v>26</v>
      </c>
      <c r="AK46" s="56"/>
      <c r="AL46" s="71">
        <v>571000</v>
      </c>
      <c r="AM46" s="71">
        <f>IF($B$2="Race",VLOOKUP(B46,Table1[],9,FALSE),IF($B$2="Religion",VLOOKUP(B46,Table3[],9,FALSE),IF($B$2="Sexual Orientation",VLOOKUP(B46,Table2[],9,FALSE),IF($B$2="Disability",VLOOKUP(B46,Table4[],9,FALSE),IF($B$2="Transgender",VLOOKUP(B46,Table5[],9,FALSE),IF($B$2="Total Offences",VLOOKUP(B46,Table6[],9,FALSE),""))))))</f>
        <v>681</v>
      </c>
      <c r="AN46" s="74">
        <f t="shared" si="14"/>
        <v>119.2644483362522</v>
      </c>
      <c r="AO46" s="56">
        <f t="shared" si="15"/>
        <v>29</v>
      </c>
      <c r="AP46" s="56"/>
      <c r="AQ46" s="71">
        <v>577900</v>
      </c>
      <c r="AR46" s="71">
        <f>IF($B$2="Race",VLOOKUP(B46,Table1[],10,FALSE),IF($B$2="Religion",VLOOKUP(B46,Table3[],10,FALSE),IF($B$2="Sexual Orientation",VLOOKUP(B46,Table2[],10,FALSE),IF($B$2="Disability",VLOOKUP(B46,Table4[],10,FALSE),IF($B$2="Transgender",VLOOKUP(B46,Table5[],10,FALSE),IF($B$2="Total Offences",VLOOKUP(B46,Table6[],10,FALSE),""))))))</f>
        <v>630</v>
      </c>
      <c r="AS46" s="74">
        <f t="shared" si="16"/>
        <v>109.01540058833709</v>
      </c>
      <c r="AT46" s="56">
        <f t="shared" si="17"/>
        <v>34</v>
      </c>
      <c r="AU46" s="56"/>
      <c r="AV46" s="71">
        <v>583800</v>
      </c>
      <c r="AW46" s="71">
        <f>IF($B$2="Race",VLOOKUP(B46,Table1[],11,FALSE),IF($B$2="Religion",VLOOKUP(B46,Table3[],11,FALSE),IF($B$2="Sexual Orientation",VLOOKUP(B46,Table2[],11,FALSE),IF($B$2="Disability",VLOOKUP(B46,Table4[],11,FALSE),IF($B$2="Transgender",VLOOKUP(B46,Table5[],11,FALSE),IF($B$2="Total Offences",VLOOKUP(B46,Table6[],11,FALSE),""))))))</f>
        <v>779</v>
      </c>
      <c r="AX46" s="74">
        <f t="shared" si="18"/>
        <v>133.43610825625214</v>
      </c>
      <c r="AY46" s="56">
        <f t="shared" si="19"/>
        <v>30</v>
      </c>
      <c r="AZ46" s="56"/>
    </row>
    <row r="47" spans="1:52" x14ac:dyDescent="0.35">
      <c r="A47" s="56"/>
      <c r="B47" s="56" t="s">
        <v>48</v>
      </c>
      <c r="C47" s="71">
        <v>1224000</v>
      </c>
      <c r="D47" s="57" t="str">
        <f>IF($B$2="Race",VLOOKUP(B47,Table1[],2,FALSE),IF($B$2="Religion",VLOOKUP(B47,Table3[],2,FALSE),IF($B$2="Sexual Orientation",VLOOKUP(B47,Table2[],2,FALSE),IF($B$2="Disability",VLOOKUP(B47,Table4[],2,FALSE),IF($B$2="Transgender",VLOOKUP(B47,Table5[],2,FALSE),IF($B$2="Total Offences",VLOOKUP(B47,Table6[],2,FALSE),""))))))</f>
        <v>N/A</v>
      </c>
      <c r="E47" s="72" t="str">
        <f t="shared" si="0"/>
        <v>N/A</v>
      </c>
      <c r="F47" s="73" t="str">
        <f t="shared" si="1"/>
        <v>N/A</v>
      </c>
      <c r="G47" s="56"/>
      <c r="H47" s="71">
        <v>1230700</v>
      </c>
      <c r="I47" s="71">
        <f>IF($B$2="Race",VLOOKUP(B47,Table1[],3,FALSE),IF($B$2="Religion",VLOOKUP(B47,Table3[],3,FALSE),IF($B$2="Sexual Orientation",VLOOKUP(B47,Table2[],3,FALSE),IF($B$2="Disability",VLOOKUP(B47,Table4[],3,FALSE),IF($B$2="Transgender",VLOOKUP(B47,Table5[],3,FALSE),IF($B$2="Total Offences",VLOOKUP(B47,Table6[],3,FALSE),""))))))</f>
        <v>608</v>
      </c>
      <c r="J47" s="74">
        <f t="shared" si="2"/>
        <v>49.402778906313479</v>
      </c>
      <c r="K47" s="56">
        <f t="shared" si="3"/>
        <v>25</v>
      </c>
      <c r="L47" s="56"/>
      <c r="M47" s="71">
        <v>1236700</v>
      </c>
      <c r="N47" s="71">
        <f>IF($B$2="Race",VLOOKUP(B47,Table1[],4,FALSE),IF($B$2="Religion",VLOOKUP(B47,Table3[],4,FALSE),IF($B$2="Sexual Orientation",VLOOKUP(B47,Table2[],4,FALSE),IF($B$2="Disability",VLOOKUP(B47,Table4[],4,FALSE),IF($B$2="Transgender",VLOOKUP(B47,Table5[],4,FALSE),IF($B$2="Total Offences",VLOOKUP(B47,Table6[],4,FALSE),""))))))</f>
        <v>544</v>
      </c>
      <c r="O47" s="74">
        <f t="shared" si="4"/>
        <v>43.988032667583084</v>
      </c>
      <c r="P47" s="56">
        <f t="shared" si="5"/>
        <v>30</v>
      </c>
      <c r="Q47" s="56"/>
      <c r="R47" s="71">
        <v>1244300</v>
      </c>
      <c r="S47" s="71">
        <f>IF($B$2="Race",VLOOKUP(B47,Table1[],5,FALSE),IF($B$2="Religion",VLOOKUP(B47,Table3[],5,FALSE),IF($B$2="Sexual Orientation",VLOOKUP(B47,Table2[],5,FALSE),IF($B$2="Disability",VLOOKUP(B47,Table4[],5,FALSE),IF($B$2="Transgender",VLOOKUP(B47,Table5[],5,FALSE),IF($B$2="Total Offences",VLOOKUP(B47,Table6[],5,FALSE),""))))))</f>
        <v>588</v>
      </c>
      <c r="T47" s="74">
        <f t="shared" si="6"/>
        <v>47.255485011653143</v>
      </c>
      <c r="U47" s="56">
        <f t="shared" si="7"/>
        <v>32</v>
      </c>
      <c r="V47" s="56"/>
      <c r="W47" s="71">
        <v>1251500</v>
      </c>
      <c r="X47" s="71">
        <f>IF($B$2="Race",VLOOKUP(B47,Table1[],6,FALSE),IF($B$2="Religion",VLOOKUP(B47,Table3[],6,FALSE),IF($B$2="Sexual Orientation",VLOOKUP(B47,Table2[],6,FALSE),IF($B$2="Disability",VLOOKUP(B47,Table4[],6,FALSE),IF($B$2="Transgender",VLOOKUP(B47,Table5[],6,FALSE),IF($B$2="Total Offences",VLOOKUP(B47,Table6[],6,FALSE),""))))))</f>
        <v>797</v>
      </c>
      <c r="Y47" s="74">
        <f t="shared" si="8"/>
        <v>63.683579704354777</v>
      </c>
      <c r="Z47" s="56">
        <f t="shared" si="9"/>
        <v>28</v>
      </c>
      <c r="AA47" s="56"/>
      <c r="AB47" s="71">
        <v>1261100</v>
      </c>
      <c r="AC47" s="71">
        <f>IF($B$2="Race",VLOOKUP(B47,Table1[],7,FALSE),IF($B$2="Religion",VLOOKUP(B47,Table3[],7,FALSE),IF($B$2="Sexual Orientation",VLOOKUP(B47,Table2[],7,FALSE),IF($B$2="Disability",VLOOKUP(B47,Table4[],7,FALSE),IF($B$2="Transgender",VLOOKUP(B47,Table5[],7,FALSE),IF($B$2="Total Offences",VLOOKUP(B47,Table6[],7,FALSE),""))))))</f>
        <v>1152</v>
      </c>
      <c r="AD47" s="74">
        <f t="shared" si="10"/>
        <v>91.348822456585523</v>
      </c>
      <c r="AE47" s="56">
        <f t="shared" si="11"/>
        <v>27</v>
      </c>
      <c r="AF47" s="56"/>
      <c r="AG47" s="71">
        <v>1272600</v>
      </c>
      <c r="AH47" s="71">
        <f>IF($B$2="Race",VLOOKUP(B47,Table1[],8,FALSE),IF($B$2="Religion",VLOOKUP(B47,Table3[],8,FALSE),IF($B$2="Sexual Orientation",VLOOKUP(B47,Table2[],8,FALSE),IF($B$2="Disability",VLOOKUP(B47,Table4[],8,FALSE),IF($B$2="Transgender",VLOOKUP(B47,Table5[],8,FALSE),IF($B$2="Total Offences",VLOOKUP(B47,Table6[],8,FALSE),""))))))</f>
        <v>1330</v>
      </c>
      <c r="AI47" s="74">
        <f t="shared" si="12"/>
        <v>104.51045104510452</v>
      </c>
      <c r="AJ47" s="56">
        <f t="shared" si="13"/>
        <v>30</v>
      </c>
      <c r="AK47" s="56"/>
      <c r="AL47" s="71">
        <v>1282200</v>
      </c>
      <c r="AM47" s="71">
        <f>IF($B$2="Race",VLOOKUP(B47,Table1[],9,FALSE),IF($B$2="Religion",VLOOKUP(B47,Table3[],9,FALSE),IF($B$2="Sexual Orientation",VLOOKUP(B47,Table2[],9,FALSE),IF($B$2="Disability",VLOOKUP(B47,Table4[],9,FALSE),IF($B$2="Transgender",VLOOKUP(B47,Table5[],9,FALSE),IF($B$2="Total Offences",VLOOKUP(B47,Table6[],9,FALSE),""))))))</f>
        <v>1242</v>
      </c>
      <c r="AN47" s="74">
        <f t="shared" si="14"/>
        <v>96.86476368741225</v>
      </c>
      <c r="AO47" s="56">
        <f t="shared" si="15"/>
        <v>34</v>
      </c>
      <c r="AP47" s="56"/>
      <c r="AQ47" s="71">
        <v>1291600</v>
      </c>
      <c r="AR47" s="71">
        <f>IF($B$2="Race",VLOOKUP(B47,Table1[],10,FALSE),IF($B$2="Religion",VLOOKUP(B47,Table3[],10,FALSE),IF($B$2="Sexual Orientation",VLOOKUP(B47,Table2[],10,FALSE),IF($B$2="Disability",VLOOKUP(B47,Table4[],10,FALSE),IF($B$2="Transgender",VLOOKUP(B47,Table5[],10,FALSE),IF($B$2="Total Offences",VLOOKUP(B47,Table6[],10,FALSE),""))))))</f>
        <v>1545</v>
      </c>
      <c r="AS47" s="74">
        <f t="shared" si="16"/>
        <v>119.61907711365747</v>
      </c>
      <c r="AT47" s="56">
        <f t="shared" si="17"/>
        <v>29</v>
      </c>
      <c r="AU47" s="56"/>
      <c r="AV47" s="71">
        <v>1298400</v>
      </c>
      <c r="AW47" s="71">
        <f>IF($B$2="Race",VLOOKUP(B47,Table1[],11,FALSE),IF($B$2="Religion",VLOOKUP(B47,Table3[],11,FALSE),IF($B$2="Sexual Orientation",VLOOKUP(B47,Table2[],11,FALSE),IF($B$2="Disability",VLOOKUP(B47,Table4[],11,FALSE),IF($B$2="Transgender",VLOOKUP(B47,Table5[],11,FALSE),IF($B$2="Total Offences",VLOOKUP(B47,Table6[],11,FALSE),""))))))</f>
        <v>1573</v>
      </c>
      <c r="AX47" s="74">
        <f t="shared" si="18"/>
        <v>121.14910659272952</v>
      </c>
      <c r="AY47" s="56">
        <f t="shared" si="19"/>
        <v>35</v>
      </c>
      <c r="AZ47" s="56"/>
    </row>
    <row r="48" spans="1:52" x14ac:dyDescent="0.35">
      <c r="A48" s="56"/>
      <c r="B48" s="56" t="s">
        <v>7</v>
      </c>
      <c r="C48" s="71">
        <v>2739800</v>
      </c>
      <c r="D48" s="57" t="str">
        <f>IF($B$2="Race",VLOOKUP(B48,Table1[],2,FALSE),IF($B$2="Religion",VLOOKUP(B48,Table3[],2,FALSE),IF($B$2="Sexual Orientation",VLOOKUP(B48,Table2[],2,FALSE),IF($B$2="Disability",VLOOKUP(B48,Table4[],2,FALSE),IF($B$2="Transgender",VLOOKUP(B48,Table5[],2,FALSE),IF($B$2="Total Offences",VLOOKUP(B48,Table6[],2,FALSE),""))))))</f>
        <v>N/A</v>
      </c>
      <c r="E48" s="72" t="str">
        <f t="shared" si="0"/>
        <v>N/A</v>
      </c>
      <c r="F48" s="73" t="str">
        <f t="shared" si="1"/>
        <v>N/A</v>
      </c>
      <c r="G48" s="56"/>
      <c r="H48" s="71">
        <v>2761900</v>
      </c>
      <c r="I48" s="71">
        <f>IF($B$2="Race",VLOOKUP(B48,Table1[],3,FALSE),IF($B$2="Religion",VLOOKUP(B48,Table3[],3,FALSE),IF($B$2="Sexual Orientation",VLOOKUP(B48,Table2[],3,FALSE),IF($B$2="Disability",VLOOKUP(B48,Table4[],3,FALSE),IF($B$2="Transgender",VLOOKUP(B48,Table5[],3,FALSE),IF($B$2="Total Offences",VLOOKUP(B48,Table6[],3,FALSE),""))))))</f>
        <v>2664</v>
      </c>
      <c r="J48" s="74">
        <f t="shared" si="2"/>
        <v>96.455338716101238</v>
      </c>
      <c r="K48" s="56">
        <f t="shared" si="3"/>
        <v>3</v>
      </c>
      <c r="L48" s="56"/>
      <c r="M48" s="71">
        <v>2781800</v>
      </c>
      <c r="N48" s="71">
        <f>IF($B$2="Race",VLOOKUP(B48,Table1[],4,FALSE),IF($B$2="Religion",VLOOKUP(B48,Table3[],4,FALSE),IF($B$2="Sexual Orientation",VLOOKUP(B48,Table2[],4,FALSE),IF($B$2="Disability",VLOOKUP(B48,Table4[],4,FALSE),IF($B$2="Transgender",VLOOKUP(B48,Table5[],4,FALSE),IF($B$2="Total Offences",VLOOKUP(B48,Table6[],4,FALSE),""))))))</f>
        <v>2969</v>
      </c>
      <c r="O48" s="74">
        <f t="shared" si="4"/>
        <v>106.72945574807679</v>
      </c>
      <c r="P48" s="56">
        <f t="shared" si="5"/>
        <v>4</v>
      </c>
      <c r="Q48" s="56"/>
      <c r="R48" s="71">
        <v>2805900</v>
      </c>
      <c r="S48" s="71">
        <f>IF($B$2="Race",VLOOKUP(B48,Table1[],5,FALSE),IF($B$2="Religion",VLOOKUP(B48,Table3[],5,FALSE),IF($B$2="Sexual Orientation",VLOOKUP(B48,Table2[],5,FALSE),IF($B$2="Disability",VLOOKUP(B48,Table4[],5,FALSE),IF($B$2="Transgender",VLOOKUP(B48,Table5[],5,FALSE),IF($B$2="Total Offences",VLOOKUP(B48,Table6[],5,FALSE),""))))))</f>
        <v>3414</v>
      </c>
      <c r="T48" s="74">
        <f t="shared" si="6"/>
        <v>121.67219074093875</v>
      </c>
      <c r="U48" s="56">
        <f t="shared" si="7"/>
        <v>4</v>
      </c>
      <c r="V48" s="56"/>
      <c r="W48" s="71">
        <v>2834500</v>
      </c>
      <c r="X48" s="71">
        <f>IF($B$2="Race",VLOOKUP(B48,Table1[],6,FALSE),IF($B$2="Religion",VLOOKUP(B48,Table3[],6,FALSE),IF($B$2="Sexual Orientation",VLOOKUP(B48,Table2[],6,FALSE),IF($B$2="Disability",VLOOKUP(B48,Table4[],6,FALSE),IF($B$2="Transgender",VLOOKUP(B48,Table5[],6,FALSE),IF($B$2="Total Offences",VLOOKUP(B48,Table6[],6,FALSE),""))))))</f>
        <v>3780</v>
      </c>
      <c r="Y48" s="74">
        <f t="shared" si="8"/>
        <v>133.35685306050451</v>
      </c>
      <c r="Z48" s="56">
        <f t="shared" si="9"/>
        <v>5</v>
      </c>
      <c r="AA48" s="56"/>
      <c r="AB48" s="71">
        <v>2870600</v>
      </c>
      <c r="AC48" s="71">
        <f>IF($B$2="Race",VLOOKUP(B48,Table1[],7,FALSE),IF($B$2="Religion",VLOOKUP(B48,Table3[],7,FALSE),IF($B$2="Sexual Orientation",VLOOKUP(B48,Table2[],7,FALSE),IF($B$2="Disability",VLOOKUP(B48,Table4[],7,FALSE),IF($B$2="Transgender",VLOOKUP(B48,Table5[],7,FALSE),IF($B$2="Total Offences",VLOOKUP(B48,Table6[],7,FALSE),""))))))</f>
        <v>4244</v>
      </c>
      <c r="AD48" s="74">
        <f t="shared" si="10"/>
        <v>147.84365637845747</v>
      </c>
      <c r="AE48" s="56">
        <f t="shared" si="11"/>
        <v>7</v>
      </c>
      <c r="AF48" s="56"/>
      <c r="AG48" s="71">
        <v>2897300</v>
      </c>
      <c r="AH48" s="71">
        <f>IF($B$2="Race",VLOOKUP(B48,Table1[],8,FALSE),IF($B$2="Religion",VLOOKUP(B48,Table3[],8,FALSE),IF($B$2="Sexual Orientation",VLOOKUP(B48,Table2[],8,FALSE),IF($B$2="Disability",VLOOKUP(B48,Table4[],8,FALSE),IF($B$2="Transgender",VLOOKUP(B48,Table5[],8,FALSE),IF($B$2="Total Offences",VLOOKUP(B48,Table6[],8,FALSE),""))))))</f>
        <v>4678</v>
      </c>
      <c r="AI48" s="74">
        <f t="shared" si="12"/>
        <v>161.4606702792255</v>
      </c>
      <c r="AJ48" s="56">
        <f t="shared" si="13"/>
        <v>8</v>
      </c>
      <c r="AK48" s="56"/>
      <c r="AL48" s="71">
        <v>2916500</v>
      </c>
      <c r="AM48" s="71">
        <f>IF($B$2="Race",VLOOKUP(B48,Table1[],9,FALSE),IF($B$2="Religion",VLOOKUP(B48,Table3[],9,FALSE),IF($B$2="Sexual Orientation",VLOOKUP(B48,Table2[],9,FALSE),IF($B$2="Disability",VLOOKUP(B48,Table4[],9,FALSE),IF($B$2="Transgender",VLOOKUP(B48,Table5[],9,FALSE),IF($B$2="Total Offences",VLOOKUP(B48,Table6[],9,FALSE),""))))))</f>
        <v>5715</v>
      </c>
      <c r="AN48" s="74">
        <f t="shared" si="14"/>
        <v>195.95405451740098</v>
      </c>
      <c r="AO48" s="56">
        <f t="shared" si="15"/>
        <v>6</v>
      </c>
      <c r="AP48" s="56"/>
      <c r="AQ48" s="71">
        <v>2928600</v>
      </c>
      <c r="AR48" s="71">
        <f>IF($B$2="Race",VLOOKUP(B48,Table1[],10,FALSE),IF($B$2="Religion",VLOOKUP(B48,Table3[],10,FALSE),IF($B$2="Sexual Orientation",VLOOKUP(B48,Table2[],10,FALSE),IF($B$2="Disability",VLOOKUP(B48,Table4[],10,FALSE),IF($B$2="Transgender",VLOOKUP(B48,Table5[],10,FALSE),IF($B$2="Total Offences",VLOOKUP(B48,Table6[],10,FALSE),""))))))</f>
        <v>6716</v>
      </c>
      <c r="AS48" s="74">
        <f t="shared" si="16"/>
        <v>229.32459195520042</v>
      </c>
      <c r="AT48" s="56">
        <f t="shared" si="17"/>
        <v>3</v>
      </c>
      <c r="AU48" s="56"/>
      <c r="AV48" s="71">
        <v>2939900</v>
      </c>
      <c r="AW48" s="71">
        <f>IF($B$2="Race",VLOOKUP(B48,Table1[],11,FALSE),IF($B$2="Religion",VLOOKUP(B48,Table3[],11,FALSE),IF($B$2="Sexual Orientation",VLOOKUP(B48,Table2[],11,FALSE),IF($B$2="Disability",VLOOKUP(B48,Table4[],11,FALSE),IF($B$2="Transgender",VLOOKUP(B48,Table5[],11,FALSE),IF($B$2="Total Offences",VLOOKUP(B48,Table6[],11,FALSE),""))))))</f>
        <v>9468</v>
      </c>
      <c r="AX48" s="74">
        <f t="shared" si="18"/>
        <v>322.05177046838332</v>
      </c>
      <c r="AY48" s="56">
        <f t="shared" si="19"/>
        <v>2</v>
      </c>
      <c r="AZ48" s="56"/>
    </row>
    <row r="49" spans="1:52" x14ac:dyDescent="0.35">
      <c r="A49" s="56"/>
      <c r="B49" s="56" t="s">
        <v>49</v>
      </c>
      <c r="C49" s="71">
        <v>2227400</v>
      </c>
      <c r="D49" s="57" t="str">
        <f>IF($B$2="Race",VLOOKUP(B49,Table1[],2,FALSE),IF($B$2="Religion",VLOOKUP(B49,Table3[],2,FALSE),IF($B$2="Sexual Orientation",VLOOKUP(B49,Table2[],2,FALSE),IF($B$2="Disability",VLOOKUP(B49,Table4[],2,FALSE),IF($B$2="Transgender",VLOOKUP(B49,Table5[],2,FALSE),IF($B$2="Total Offences",VLOOKUP(B49,Table6[],2,FALSE),""))))))</f>
        <v>N/A</v>
      </c>
      <c r="E49" s="72" t="str">
        <f t="shared" si="0"/>
        <v>N/A</v>
      </c>
      <c r="F49" s="73" t="str">
        <f t="shared" si="1"/>
        <v>N/A</v>
      </c>
      <c r="G49" s="56"/>
      <c r="H49" s="71">
        <v>2240400</v>
      </c>
      <c r="I49" s="71">
        <f>IF($B$2="Race",VLOOKUP(B49,Table1[],3,FALSE),IF($B$2="Religion",VLOOKUP(B49,Table3[],3,FALSE),IF($B$2="Sexual Orientation",VLOOKUP(B49,Table2[],3,FALSE),IF($B$2="Disability",VLOOKUP(B49,Table4[],3,FALSE),IF($B$2="Transgender",VLOOKUP(B49,Table5[],3,FALSE),IF($B$2="Total Offences",VLOOKUP(B49,Table6[],3,FALSE),""))))))</f>
        <v>1955</v>
      </c>
      <c r="J49" s="74">
        <f t="shared" si="2"/>
        <v>87.261203356543476</v>
      </c>
      <c r="K49" s="56">
        <f t="shared" si="3"/>
        <v>6</v>
      </c>
      <c r="L49" s="56"/>
      <c r="M49" s="71">
        <v>2250600</v>
      </c>
      <c r="N49" s="71">
        <f>IF($B$2="Race",VLOOKUP(B49,Table1[],4,FALSE),IF($B$2="Religion",VLOOKUP(B49,Table3[],4,FALSE),IF($B$2="Sexual Orientation",VLOOKUP(B49,Table2[],4,FALSE),IF($B$2="Disability",VLOOKUP(B49,Table4[],4,FALSE),IF($B$2="Transgender",VLOOKUP(B49,Table5[],4,FALSE),IF($B$2="Total Offences",VLOOKUP(B49,Table6[],4,FALSE),""))))))</f>
        <v>1919</v>
      </c>
      <c r="O49" s="74">
        <f t="shared" si="4"/>
        <v>85.266151248555943</v>
      </c>
      <c r="P49" s="56">
        <f t="shared" si="5"/>
        <v>7</v>
      </c>
      <c r="Q49" s="56"/>
      <c r="R49" s="71">
        <v>2261800</v>
      </c>
      <c r="S49" s="71">
        <f>IF($B$2="Race",VLOOKUP(B49,Table1[],5,FALSE),IF($B$2="Religion",VLOOKUP(B49,Table3[],5,FALSE),IF($B$2="Sexual Orientation",VLOOKUP(B49,Table2[],5,FALSE),IF($B$2="Disability",VLOOKUP(B49,Table4[],5,FALSE),IF($B$2="Transgender",VLOOKUP(B49,Table5[],5,FALSE),IF($B$2="Total Offences",VLOOKUP(B49,Table6[],5,FALSE),""))))))</f>
        <v>2160</v>
      </c>
      <c r="T49" s="74">
        <f t="shared" si="6"/>
        <v>95.499159961092928</v>
      </c>
      <c r="U49" s="56">
        <f t="shared" si="7"/>
        <v>7</v>
      </c>
      <c r="V49" s="56"/>
      <c r="W49" s="71">
        <v>2277800</v>
      </c>
      <c r="X49" s="71">
        <f>IF($B$2="Race",VLOOKUP(B49,Table1[],6,FALSE),IF($B$2="Religion",VLOOKUP(B49,Table3[],6,FALSE),IF($B$2="Sexual Orientation",VLOOKUP(B49,Table2[],6,FALSE),IF($B$2="Disability",VLOOKUP(B49,Table4[],6,FALSE),IF($B$2="Transgender",VLOOKUP(B49,Table5[],6,FALSE),IF($B$2="Total Offences",VLOOKUP(B49,Table6[],6,FALSE),""))))))</f>
        <v>3657</v>
      </c>
      <c r="Y49" s="74">
        <f t="shared" si="8"/>
        <v>160.54965317411538</v>
      </c>
      <c r="Z49" s="56">
        <f t="shared" si="9"/>
        <v>3</v>
      </c>
      <c r="AA49" s="56"/>
      <c r="AB49" s="71">
        <v>2295000</v>
      </c>
      <c r="AC49" s="71">
        <f>IF($B$2="Race",VLOOKUP(B49,Table1[],7,FALSE),IF($B$2="Religion",VLOOKUP(B49,Table3[],7,FALSE),IF($B$2="Sexual Orientation",VLOOKUP(B49,Table2[],7,FALSE),IF($B$2="Disability",VLOOKUP(B49,Table4[],7,FALSE),IF($B$2="Transgender",VLOOKUP(B49,Table5[],7,FALSE),IF($B$2="Total Offences",VLOOKUP(B49,Table6[],7,FALSE),""))))))</f>
        <v>5155</v>
      </c>
      <c r="AD49" s="74">
        <f t="shared" si="10"/>
        <v>224.6187363834423</v>
      </c>
      <c r="AE49" s="56">
        <f t="shared" si="11"/>
        <v>2</v>
      </c>
      <c r="AF49" s="56"/>
      <c r="AG49" s="71">
        <v>2307000</v>
      </c>
      <c r="AH49" s="71">
        <f>IF($B$2="Race",VLOOKUP(B49,Table1[],8,FALSE),IF($B$2="Religion",VLOOKUP(B49,Table3[],8,FALSE),IF($B$2="Sexual Orientation",VLOOKUP(B49,Table2[],8,FALSE),IF($B$2="Disability",VLOOKUP(B49,Table4[],8,FALSE),IF($B$2="Transgender",VLOOKUP(B49,Table5[],8,FALSE),IF($B$2="Total Offences",VLOOKUP(B49,Table6[],8,FALSE),""))))))</f>
        <v>6106</v>
      </c>
      <c r="AI49" s="74">
        <f t="shared" si="12"/>
        <v>264.6727351538795</v>
      </c>
      <c r="AJ49" s="56">
        <f t="shared" si="13"/>
        <v>2</v>
      </c>
      <c r="AK49" s="56"/>
      <c r="AL49" s="71">
        <v>2320200</v>
      </c>
      <c r="AM49" s="71">
        <f>IF($B$2="Race",VLOOKUP(B49,Table1[],9,FALSE),IF($B$2="Religion",VLOOKUP(B49,Table3[],9,FALSE),IF($B$2="Sexual Orientation",VLOOKUP(B49,Table2[],9,FALSE),IF($B$2="Disability",VLOOKUP(B49,Table4[],9,FALSE),IF($B$2="Transgender",VLOOKUP(B49,Table5[],9,FALSE),IF($B$2="Total Offences",VLOOKUP(B49,Table6[],9,FALSE),""))))))</f>
        <v>8217</v>
      </c>
      <c r="AN49" s="74">
        <f t="shared" si="14"/>
        <v>354.15050426687355</v>
      </c>
      <c r="AO49" s="56">
        <f t="shared" si="15"/>
        <v>1</v>
      </c>
      <c r="AP49" s="56"/>
      <c r="AQ49" s="71">
        <v>2332500</v>
      </c>
      <c r="AR49" s="71">
        <f>IF($B$2="Race",VLOOKUP(B49,Table1[],10,FALSE),IF($B$2="Religion",VLOOKUP(B49,Table3[],10,FALSE),IF($B$2="Sexual Orientation",VLOOKUP(B49,Table2[],10,FALSE),IF($B$2="Disability",VLOOKUP(B49,Table4[],10,FALSE),IF($B$2="Transgender",VLOOKUP(B49,Table5[],10,FALSE),IF($B$2="Total Offences",VLOOKUP(B49,Table6[],10,FALSE),""))))))</f>
        <v>8363</v>
      </c>
      <c r="AS49" s="74">
        <f t="shared" si="16"/>
        <v>358.54233654876742</v>
      </c>
      <c r="AT49" s="56">
        <f t="shared" si="17"/>
        <v>1</v>
      </c>
      <c r="AU49" s="56"/>
      <c r="AV49" s="71">
        <v>2345200</v>
      </c>
      <c r="AW49" s="71">
        <f>IF($B$2="Race",VLOOKUP(B49,Table1[],11,FALSE),IF($B$2="Religion",VLOOKUP(B49,Table3[],11,FALSE),IF($B$2="Sexual Orientation",VLOOKUP(B49,Table2[],11,FALSE),IF($B$2="Disability",VLOOKUP(B49,Table4[],11,FALSE),IF($B$2="Transgender",VLOOKUP(B49,Table5[],11,FALSE),IF($B$2="Total Offences",VLOOKUP(B49,Table6[],11,FALSE),""))))))</f>
        <v>8770</v>
      </c>
      <c r="AX49" s="74">
        <f t="shared" si="18"/>
        <v>373.95531297970319</v>
      </c>
      <c r="AY49" s="56">
        <f t="shared" si="19"/>
        <v>1</v>
      </c>
      <c r="AZ49" s="56"/>
    </row>
    <row r="50" spans="1:52" ht="14.4" customHeight="1" x14ac:dyDescent="0.35">
      <c r="A50" s="56"/>
      <c r="B50" s="56" t="s">
        <v>50</v>
      </c>
      <c r="C50" s="71">
        <v>684000</v>
      </c>
      <c r="D50" s="57" t="str">
        <f>IF($B$2="Race",VLOOKUP(B50,Table1[],2,FALSE),IF($B$2="Religion",VLOOKUP(B50,Table3[],2,FALSE),IF($B$2="Sexual Orientation",VLOOKUP(B50,Table2[],2,FALSE),IF($B$2="Disability",VLOOKUP(B50,Table4[],2,FALSE),IF($B$2="Transgender",VLOOKUP(B50,Table5[],2,FALSE),IF($B$2="Total Offences",VLOOKUP(B50,Table6[],2,FALSE),""))))))</f>
        <v>N/A</v>
      </c>
      <c r="E50" s="72" t="str">
        <f t="shared" si="0"/>
        <v>N/A</v>
      </c>
      <c r="F50" s="73" t="str">
        <f t="shared" si="1"/>
        <v>N/A</v>
      </c>
      <c r="G50" s="56"/>
      <c r="H50" s="71">
        <v>688800</v>
      </c>
      <c r="I50" s="71">
        <f>IF($B$2="Race",VLOOKUP(B50,Table1[],3,FALSE),IF($B$2="Religion",VLOOKUP(B50,Table3[],3,FALSE),IF($B$2="Sexual Orientation",VLOOKUP(B50,Table2[],3,FALSE),IF($B$2="Disability",VLOOKUP(B50,Table4[],3,FALSE),IF($B$2="Transgender",VLOOKUP(B50,Table5[],3,FALSE),IF($B$2="Total Offences",VLOOKUP(B50,Table6[],3,FALSE),""))))))</f>
        <v>339</v>
      </c>
      <c r="J50" s="74">
        <f t="shared" si="2"/>
        <v>49.21602787456446</v>
      </c>
      <c r="K50" s="56">
        <f t="shared" si="3"/>
        <v>26</v>
      </c>
      <c r="L50" s="56"/>
      <c r="M50" s="71">
        <v>693900</v>
      </c>
      <c r="N50" s="71">
        <f>IF($B$2="Race",VLOOKUP(B50,Table1[],4,FALSE),IF($B$2="Religion",VLOOKUP(B50,Table3[],4,FALSE),IF($B$2="Sexual Orientation",VLOOKUP(B50,Table2[],4,FALSE),IF($B$2="Disability",VLOOKUP(B50,Table4[],4,FALSE),IF($B$2="Transgender",VLOOKUP(B50,Table5[],4,FALSE),IF($B$2="Total Offences",VLOOKUP(B50,Table6[],4,FALSE),""))))))</f>
        <v>286</v>
      </c>
      <c r="O50" s="74">
        <f t="shared" si="4"/>
        <v>41.216313589854451</v>
      </c>
      <c r="P50" s="56">
        <f t="shared" si="5"/>
        <v>32</v>
      </c>
      <c r="Q50" s="56"/>
      <c r="R50" s="71">
        <v>700600</v>
      </c>
      <c r="S50" s="71">
        <f>IF($B$2="Race",VLOOKUP(B50,Table1[],5,FALSE),IF($B$2="Religion",VLOOKUP(B50,Table3[],5,FALSE),IF($B$2="Sexual Orientation",VLOOKUP(B50,Table2[],5,FALSE),IF($B$2="Disability",VLOOKUP(B50,Table4[],5,FALSE),IF($B$2="Transgender",VLOOKUP(B50,Table5[],5,FALSE),IF($B$2="Total Offences",VLOOKUP(B50,Table6[],5,FALSE),""))))))</f>
        <v>295</v>
      </c>
      <c r="T50" s="74">
        <f t="shared" si="6"/>
        <v>42.106765629460462</v>
      </c>
      <c r="U50" s="56">
        <f t="shared" si="7"/>
        <v>36</v>
      </c>
      <c r="V50" s="56"/>
      <c r="W50" s="71">
        <v>706100</v>
      </c>
      <c r="X50" s="71">
        <f>IF($B$2="Race",VLOOKUP(B50,Table1[],6,FALSE),IF($B$2="Religion",VLOOKUP(B50,Table3[],6,FALSE),IF($B$2="Sexual Orientation",VLOOKUP(B50,Table2[],6,FALSE),IF($B$2="Disability",VLOOKUP(B50,Table4[],6,FALSE),IF($B$2="Transgender",VLOOKUP(B50,Table5[],6,FALSE),IF($B$2="Total Offences",VLOOKUP(B50,Table6[],6,FALSE),""))))))</f>
        <v>467</v>
      </c>
      <c r="Y50" s="74">
        <f t="shared" si="8"/>
        <v>66.137940801586183</v>
      </c>
      <c r="Z50" s="56">
        <f t="shared" si="9"/>
        <v>25</v>
      </c>
      <c r="AA50" s="56"/>
      <c r="AB50" s="71">
        <v>710800</v>
      </c>
      <c r="AC50" s="71">
        <f>IF($B$2="Race",VLOOKUP(B50,Table1[],7,FALSE),IF($B$2="Religion",VLOOKUP(B50,Table3[],7,FALSE),IF($B$2="Sexual Orientation",VLOOKUP(B50,Table2[],7,FALSE),IF($B$2="Disability",VLOOKUP(B50,Table4[],7,FALSE),IF($B$2="Transgender",VLOOKUP(B50,Table5[],7,FALSE),IF($B$2="Total Offences",VLOOKUP(B50,Table6[],7,FALSE),""))))))</f>
        <v>541</v>
      </c>
      <c r="AD50" s="74">
        <f t="shared" si="10"/>
        <v>76.111423747889702</v>
      </c>
      <c r="AE50" s="56">
        <f t="shared" si="11"/>
        <v>30</v>
      </c>
      <c r="AF50" s="56"/>
      <c r="AG50" s="71">
        <v>716400</v>
      </c>
      <c r="AH50" s="71">
        <f>IF($B$2="Race",VLOOKUP(B50,Table1[],8,FALSE),IF($B$2="Religion",VLOOKUP(B50,Table3[],8,FALSE),IF($B$2="Sexual Orientation",VLOOKUP(B50,Table2[],8,FALSE),IF($B$2="Disability",VLOOKUP(B50,Table4[],8,FALSE),IF($B$2="Transgender",VLOOKUP(B50,Table5[],8,FALSE),IF($B$2="Total Offences",VLOOKUP(B50,Table6[],8,FALSE),""))))))</f>
        <v>554</v>
      </c>
      <c r="AI50" s="74">
        <f t="shared" si="12"/>
        <v>77.331099944165274</v>
      </c>
      <c r="AJ50" s="56">
        <f t="shared" si="13"/>
        <v>37</v>
      </c>
      <c r="AK50" s="56"/>
      <c r="AL50" s="71">
        <v>720100</v>
      </c>
      <c r="AM50" s="71">
        <f>IF($B$2="Race",VLOOKUP(B50,Table1[],9,FALSE),IF($B$2="Religion",VLOOKUP(B50,Table3[],9,FALSE),IF($B$2="Sexual Orientation",VLOOKUP(B50,Table2[],9,FALSE),IF($B$2="Disability",VLOOKUP(B50,Table4[],9,FALSE),IF($B$2="Transgender",VLOOKUP(B50,Table5[],9,FALSE),IF($B$2="Total Offences",VLOOKUP(B50,Table6[],9,FALSE),""))))))</f>
        <v>679</v>
      </c>
      <c r="AN50" s="74">
        <f t="shared" si="14"/>
        <v>94.292459380641574</v>
      </c>
      <c r="AO50" s="56">
        <f t="shared" si="15"/>
        <v>36</v>
      </c>
      <c r="AP50" s="56"/>
      <c r="AQ50" s="71">
        <v>722200</v>
      </c>
      <c r="AR50" s="71">
        <f>IF($B$2="Race",VLOOKUP(B50,Table1[],10,FALSE),IF($B$2="Religion",VLOOKUP(B50,Table3[],10,FALSE),IF($B$2="Sexual Orientation",VLOOKUP(B50,Table2[],10,FALSE),IF($B$2="Disability",VLOOKUP(B50,Table4[],10,FALSE),IF($B$2="Transgender",VLOOKUP(B50,Table5[],10,FALSE),IF($B$2="Total Offences",VLOOKUP(B50,Table6[],10,FALSE),""))))))</f>
        <v>724</v>
      </c>
      <c r="AS50" s="74">
        <f t="shared" si="16"/>
        <v>100.24923843810578</v>
      </c>
      <c r="AT50" s="56">
        <f t="shared" si="17"/>
        <v>37</v>
      </c>
      <c r="AU50" s="56"/>
      <c r="AV50" s="71">
        <v>727000</v>
      </c>
      <c r="AW50" s="71">
        <f>IF($B$2="Race",VLOOKUP(B50,Table1[],11,FALSE),IF($B$2="Religion",VLOOKUP(B50,Table3[],11,FALSE),IF($B$2="Sexual Orientation",VLOOKUP(B50,Table2[],11,FALSE),IF($B$2="Disability",VLOOKUP(B50,Table4[],11,FALSE),IF($B$2="Transgender",VLOOKUP(B50,Table5[],11,FALSE),IF($B$2="Total Offences",VLOOKUP(B50,Table6[],11,FALSE),""))))))</f>
        <v>753</v>
      </c>
      <c r="AX50" s="74">
        <f t="shared" si="18"/>
        <v>103.57634112792297</v>
      </c>
      <c r="AY50" s="56">
        <f t="shared" si="19"/>
        <v>39</v>
      </c>
      <c r="AZ50" s="56"/>
    </row>
    <row r="51" spans="1:52" ht="6" customHeight="1" x14ac:dyDescent="0.35">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row>
    <row r="52" spans="1:52" ht="13.5" customHeight="1" x14ac:dyDescent="0.35">
      <c r="B52" s="29" t="s">
        <v>195</v>
      </c>
      <c r="C52" s="29"/>
      <c r="D52" s="29"/>
      <c r="E52" s="29"/>
      <c r="F52" s="29"/>
      <c r="G52" s="29"/>
      <c r="H52" s="29"/>
      <c r="I52" s="29"/>
      <c r="J52" s="29"/>
      <c r="K52" s="29"/>
      <c r="L52" s="29"/>
      <c r="M52" s="29"/>
      <c r="N52" s="29"/>
      <c r="O52" s="29"/>
      <c r="P52" s="29"/>
      <c r="Q52" s="29"/>
      <c r="R52" s="29"/>
      <c r="S52" s="29"/>
      <c r="T52" s="29"/>
      <c r="U52" s="29"/>
      <c r="V52" s="29"/>
      <c r="W52" s="29"/>
      <c r="X52" s="29"/>
    </row>
    <row r="53" spans="1:52" x14ac:dyDescent="0.35">
      <c r="B53" s="29" t="s">
        <v>170</v>
      </c>
      <c r="C53" s="29"/>
      <c r="D53" s="29"/>
      <c r="E53" s="29"/>
      <c r="F53" s="29"/>
      <c r="G53" s="29"/>
      <c r="H53" s="29"/>
      <c r="I53" s="29"/>
      <c r="J53" s="29"/>
      <c r="K53" s="29"/>
      <c r="L53" s="29"/>
      <c r="M53" s="29"/>
      <c r="N53" s="29"/>
      <c r="O53" s="29"/>
      <c r="P53" s="29"/>
      <c r="Q53" s="29"/>
      <c r="R53" s="29"/>
      <c r="S53" s="29"/>
      <c r="T53" s="29"/>
      <c r="U53" s="29"/>
      <c r="V53" s="29"/>
      <c r="W53" s="29"/>
      <c r="X53" s="29"/>
    </row>
    <row r="54" spans="1:52" ht="7.2" customHeight="1" x14ac:dyDescent="0.35">
      <c r="B54" s="29"/>
      <c r="C54" s="29"/>
      <c r="D54" s="29"/>
      <c r="E54" s="29"/>
      <c r="F54" s="29"/>
      <c r="G54" s="29"/>
      <c r="H54" s="29"/>
      <c r="I54" s="29"/>
      <c r="J54" s="29"/>
      <c r="K54" s="29"/>
      <c r="L54" s="29"/>
      <c r="M54" s="29"/>
      <c r="N54" s="29"/>
      <c r="O54" s="29"/>
      <c r="P54" s="29"/>
      <c r="Q54" s="29"/>
      <c r="R54" s="29"/>
      <c r="S54" s="29"/>
      <c r="T54" s="29"/>
      <c r="U54" s="29"/>
      <c r="V54" s="29"/>
      <c r="W54" s="29"/>
      <c r="X54" s="29"/>
    </row>
    <row r="55" spans="1:52" x14ac:dyDescent="0.35">
      <c r="B55" s="29" t="s">
        <v>147</v>
      </c>
      <c r="C55" s="29"/>
      <c r="D55" s="29"/>
      <c r="E55" s="29"/>
      <c r="F55" s="29"/>
      <c r="G55" s="29"/>
      <c r="H55" s="29"/>
      <c r="I55" s="29"/>
      <c r="J55" s="29"/>
      <c r="K55" s="29"/>
      <c r="L55" s="29"/>
      <c r="M55" s="29"/>
      <c r="N55" s="29"/>
      <c r="O55" s="29"/>
      <c r="P55" s="29"/>
      <c r="Q55" s="29"/>
      <c r="R55" s="29"/>
      <c r="S55" s="29"/>
      <c r="T55" s="29"/>
      <c r="U55" s="29"/>
      <c r="V55" s="29"/>
      <c r="W55" s="29"/>
      <c r="X55" s="29"/>
    </row>
    <row r="56" spans="1:52" x14ac:dyDescent="0.35">
      <c r="B56" s="29" t="s">
        <v>148</v>
      </c>
      <c r="C56" s="29"/>
      <c r="D56" s="29"/>
      <c r="E56" s="29"/>
      <c r="F56" s="29"/>
      <c r="G56" s="29"/>
      <c r="H56" s="29"/>
      <c r="I56" s="29"/>
      <c r="J56" s="29"/>
      <c r="K56" s="29"/>
      <c r="L56" s="29"/>
      <c r="M56" s="29"/>
      <c r="N56" s="29"/>
      <c r="O56" s="29"/>
      <c r="P56" s="29"/>
      <c r="Q56" s="29"/>
      <c r="R56" s="29"/>
      <c r="S56" s="29"/>
      <c r="T56" s="29"/>
      <c r="U56" s="29"/>
      <c r="V56" s="29"/>
      <c r="W56" s="29"/>
      <c r="X56" s="29"/>
    </row>
    <row r="57" spans="1:52" x14ac:dyDescent="0.35">
      <c r="B57" s="29" t="s">
        <v>167</v>
      </c>
      <c r="C57" s="29"/>
      <c r="D57" s="29"/>
      <c r="E57" s="29"/>
      <c r="F57" s="29"/>
      <c r="G57" s="29"/>
      <c r="H57" s="29"/>
      <c r="I57" s="29"/>
      <c r="J57" s="29"/>
      <c r="K57" s="29"/>
      <c r="L57" s="29"/>
      <c r="M57" s="29"/>
      <c r="N57" s="29"/>
      <c r="O57" s="29"/>
      <c r="P57" s="29"/>
      <c r="Q57" s="29"/>
      <c r="R57" s="29"/>
      <c r="S57" s="29"/>
      <c r="T57" s="29"/>
      <c r="U57" s="29"/>
      <c r="V57" s="29"/>
      <c r="W57" s="29"/>
      <c r="X57" s="29"/>
    </row>
    <row r="58" spans="1:52" x14ac:dyDescent="0.35">
      <c r="B58" s="29" t="s">
        <v>205</v>
      </c>
      <c r="C58" s="29"/>
      <c r="D58" s="29"/>
      <c r="E58" s="29"/>
      <c r="F58" s="29"/>
      <c r="G58" s="29"/>
      <c r="H58" s="29"/>
      <c r="I58" s="29"/>
      <c r="J58" s="29"/>
      <c r="K58" s="29"/>
      <c r="L58" s="29"/>
      <c r="M58" s="29"/>
      <c r="N58" s="29"/>
      <c r="O58" s="29"/>
      <c r="P58" s="29"/>
      <c r="Q58" s="29"/>
      <c r="R58" s="29"/>
      <c r="S58" s="29"/>
      <c r="T58" s="29"/>
      <c r="U58" s="29"/>
      <c r="V58" s="29"/>
      <c r="W58" s="29"/>
      <c r="X58" s="29"/>
    </row>
    <row r="59" spans="1:52" x14ac:dyDescent="0.35">
      <c r="B59" s="29" t="s">
        <v>206</v>
      </c>
      <c r="C59" s="29"/>
      <c r="D59" s="29"/>
      <c r="E59" s="29"/>
      <c r="F59" s="29"/>
      <c r="G59" s="29"/>
      <c r="H59" s="29"/>
      <c r="I59" s="29"/>
      <c r="J59" s="29"/>
      <c r="K59" s="29"/>
      <c r="L59" s="29"/>
      <c r="M59" s="29"/>
      <c r="N59" s="29"/>
      <c r="O59" s="29"/>
      <c r="P59" s="29"/>
      <c r="Q59" s="29"/>
      <c r="R59" s="29"/>
      <c r="S59" s="29"/>
      <c r="T59" s="29"/>
      <c r="U59" s="29"/>
      <c r="V59" s="29"/>
      <c r="W59" s="29"/>
      <c r="X59" s="29"/>
    </row>
    <row r="60" spans="1:52" x14ac:dyDescent="0.35">
      <c r="B60" s="29" t="s">
        <v>295</v>
      </c>
      <c r="C60" s="29"/>
      <c r="D60" s="29"/>
      <c r="E60" s="29"/>
      <c r="F60" s="29"/>
      <c r="G60" s="29"/>
      <c r="H60" s="29"/>
      <c r="I60" s="29"/>
      <c r="J60" s="29"/>
      <c r="K60" s="29"/>
      <c r="L60" s="29"/>
      <c r="M60" s="29"/>
      <c r="N60" s="29"/>
      <c r="O60" s="29"/>
      <c r="P60" s="29"/>
      <c r="Q60" s="29"/>
      <c r="R60" s="29"/>
      <c r="S60" s="29"/>
      <c r="T60" s="29"/>
      <c r="U60" s="29"/>
      <c r="V60" s="29"/>
      <c r="W60" s="29"/>
      <c r="X60" s="29"/>
    </row>
    <row r="61" spans="1:52" ht="7.2" customHeight="1" x14ac:dyDescent="0.35">
      <c r="B61" s="29"/>
      <c r="C61" s="29"/>
      <c r="D61" s="29"/>
      <c r="E61" s="29"/>
      <c r="F61" s="29"/>
      <c r="G61" s="29"/>
      <c r="H61" s="29"/>
      <c r="I61" s="29"/>
      <c r="J61" s="29"/>
      <c r="K61" s="29"/>
      <c r="L61" s="29"/>
      <c r="M61" s="29"/>
      <c r="N61" s="29"/>
      <c r="O61" s="29"/>
      <c r="P61" s="29"/>
      <c r="Q61" s="29"/>
      <c r="R61" s="29"/>
      <c r="S61" s="29"/>
      <c r="T61" s="29"/>
      <c r="U61" s="29"/>
      <c r="V61" s="29"/>
      <c r="W61" s="29"/>
      <c r="X61" s="29"/>
    </row>
    <row r="62" spans="1:52" x14ac:dyDescent="0.35">
      <c r="B62" s="29" t="s">
        <v>70</v>
      </c>
      <c r="C62" s="29"/>
      <c r="D62" s="29"/>
      <c r="E62" s="29"/>
      <c r="F62" s="29"/>
      <c r="G62" s="29"/>
      <c r="H62" s="29"/>
      <c r="I62" s="29"/>
      <c r="J62" s="29"/>
      <c r="K62" s="29"/>
      <c r="L62" s="29"/>
      <c r="M62" s="29"/>
      <c r="N62" s="29"/>
      <c r="O62" s="29"/>
      <c r="P62" s="29"/>
      <c r="Q62" s="29"/>
      <c r="R62" s="29"/>
      <c r="S62" s="29"/>
      <c r="T62" s="29"/>
      <c r="U62" s="29"/>
      <c r="V62" s="29"/>
      <c r="W62" s="29"/>
      <c r="X62" s="29"/>
    </row>
    <row r="63" spans="1:52" x14ac:dyDescent="0.35">
      <c r="B63" s="64" t="s">
        <v>196</v>
      </c>
      <c r="C63" s="29"/>
      <c r="D63" s="29"/>
      <c r="E63" s="29"/>
      <c r="F63" s="29"/>
      <c r="G63" s="29"/>
      <c r="H63" s="29"/>
      <c r="I63" s="29"/>
      <c r="J63" s="29"/>
      <c r="K63" s="29"/>
      <c r="L63" s="29"/>
      <c r="M63" s="29"/>
      <c r="N63" s="29"/>
      <c r="O63" s="29"/>
      <c r="P63" s="29"/>
      <c r="Q63" s="29"/>
      <c r="R63" s="29"/>
      <c r="S63" s="29"/>
      <c r="T63" s="29"/>
      <c r="U63" s="29"/>
      <c r="V63" s="29"/>
      <c r="W63" s="29"/>
      <c r="X63" s="29"/>
    </row>
    <row r="64" spans="1:52" x14ac:dyDescent="0.35">
      <c r="B64" s="29" t="s">
        <v>166</v>
      </c>
      <c r="C64" s="29"/>
      <c r="D64" s="29"/>
      <c r="E64" s="29"/>
      <c r="F64" s="29"/>
      <c r="G64" s="29"/>
      <c r="H64" s="29"/>
      <c r="I64" s="29"/>
      <c r="J64" s="29"/>
      <c r="K64" s="29"/>
      <c r="L64" s="29"/>
      <c r="M64" s="29"/>
      <c r="N64" s="29"/>
      <c r="O64" s="29"/>
      <c r="P64" s="29"/>
      <c r="Q64" s="29"/>
      <c r="R64" s="29"/>
      <c r="S64" s="29"/>
      <c r="T64" s="29"/>
      <c r="U64" s="29"/>
      <c r="V64" s="29"/>
      <c r="W64" s="29"/>
      <c r="X64" s="29"/>
    </row>
    <row r="65" spans="2:24" ht="13.5" customHeight="1" x14ac:dyDescent="0.35">
      <c r="B65" s="64" t="s">
        <v>299</v>
      </c>
      <c r="C65" s="29"/>
      <c r="D65" s="29"/>
      <c r="E65" s="29"/>
      <c r="F65" s="29"/>
      <c r="G65" s="29"/>
      <c r="H65" s="29"/>
      <c r="I65" s="29"/>
      <c r="J65" s="29"/>
      <c r="K65" s="29"/>
      <c r="L65" s="29"/>
      <c r="M65" s="29"/>
      <c r="N65" s="29"/>
      <c r="O65" s="29"/>
      <c r="P65" s="29"/>
      <c r="Q65" s="29"/>
      <c r="R65" s="29"/>
      <c r="S65" s="29"/>
      <c r="T65" s="29"/>
      <c r="U65" s="29"/>
      <c r="V65" s="29"/>
      <c r="W65" s="29"/>
      <c r="X65" s="29"/>
    </row>
    <row r="70" spans="2:24" x14ac:dyDescent="0.35">
      <c r="C70" s="5"/>
    </row>
    <row r="71" spans="2:24" x14ac:dyDescent="0.35">
      <c r="C71" s="6"/>
    </row>
  </sheetData>
  <mergeCells count="10">
    <mergeCell ref="AV6:AY6"/>
    <mergeCell ref="AQ6:AT6"/>
    <mergeCell ref="AL6:AO6"/>
    <mergeCell ref="AG6:AJ6"/>
    <mergeCell ref="C6:F6"/>
    <mergeCell ref="H6:K6"/>
    <mergeCell ref="M6:P6"/>
    <mergeCell ref="R6:U6"/>
    <mergeCell ref="W6:Z6"/>
    <mergeCell ref="AB6:AE6"/>
  </mergeCells>
  <conditionalFormatting sqref="E10:E50">
    <cfRule type="expression" dxfId="19" priority="18">
      <formula>$B$2="Transgender"</formula>
    </cfRule>
    <cfRule type="expression" dxfId="18" priority="19">
      <formula>IFL6="Transgender"</formula>
    </cfRule>
  </conditionalFormatting>
  <conditionalFormatting sqref="J9:J50">
    <cfRule type="expression" dxfId="17" priority="17">
      <formula>$B$2="Transgender"</formula>
    </cfRule>
  </conditionalFormatting>
  <conditionalFormatting sqref="O9:O50">
    <cfRule type="expression" dxfId="16" priority="14">
      <formula>$B$2="Transgender"</formula>
    </cfRule>
  </conditionalFormatting>
  <conditionalFormatting sqref="T9:T50">
    <cfRule type="expression" dxfId="15" priority="13">
      <formula>$B$2="Transgender"</formula>
    </cfRule>
  </conditionalFormatting>
  <conditionalFormatting sqref="Y9:Y50">
    <cfRule type="expression" dxfId="14" priority="12">
      <formula>$B$2="Transgender"</formula>
    </cfRule>
  </conditionalFormatting>
  <conditionalFormatting sqref="AD9:AD50">
    <cfRule type="expression" dxfId="13" priority="11">
      <formula>$B$2="Transgender"</formula>
    </cfRule>
  </conditionalFormatting>
  <conditionalFormatting sqref="AI9:AI50">
    <cfRule type="expression" dxfId="12" priority="10">
      <formula>$B$2="Transgender"</formula>
    </cfRule>
  </conditionalFormatting>
  <conditionalFormatting sqref="E8">
    <cfRule type="expression" dxfId="11" priority="9">
      <formula>B2="Transgender"</formula>
    </cfRule>
  </conditionalFormatting>
  <conditionalFormatting sqref="J8">
    <cfRule type="expression" dxfId="10" priority="8">
      <formula>B2="Transgender"</formula>
    </cfRule>
  </conditionalFormatting>
  <conditionalFormatting sqref="O8">
    <cfRule type="expression" dxfId="9" priority="7">
      <formula>B2="Transgender"</formula>
    </cfRule>
  </conditionalFormatting>
  <conditionalFormatting sqref="T8">
    <cfRule type="expression" dxfId="8" priority="6">
      <formula>B2="Transgender"</formula>
    </cfRule>
  </conditionalFormatting>
  <conditionalFormatting sqref="Y8">
    <cfRule type="expression" dxfId="7" priority="5">
      <formula>B2="Transgender"</formula>
    </cfRule>
  </conditionalFormatting>
  <conditionalFormatting sqref="AD8">
    <cfRule type="expression" dxfId="6" priority="4">
      <formula>B2="Transgender"</formula>
    </cfRule>
  </conditionalFormatting>
  <conditionalFormatting sqref="AI8">
    <cfRule type="expression" dxfId="5" priority="3">
      <formula>B2="Transgender"</formula>
    </cfRule>
  </conditionalFormatting>
  <conditionalFormatting sqref="E9">
    <cfRule type="expression" dxfId="4" priority="20">
      <formula>$B$2="Transgender"</formula>
    </cfRule>
    <cfRule type="expression" dxfId="3" priority="21">
      <formula>IFL2="Transgender"</formula>
    </cfRule>
  </conditionalFormatting>
  <conditionalFormatting sqref="AN8">
    <cfRule type="expression" dxfId="2" priority="1">
      <formula>G2="Transgender"</formula>
    </cfRule>
  </conditionalFormatting>
  <conditionalFormatting sqref="AN9:AN50">
    <cfRule type="expression" dxfId="1" priority="2">
      <formula>$B$2="Transgender"</formula>
    </cfRule>
  </conditionalFormatting>
  <dataValidations count="1">
    <dataValidation type="list" allowBlank="1" showInputMessage="1" showErrorMessage="1" sqref="B2" xr:uid="{BF85D2AE-21FE-4AE2-8C4F-6CBCD7B384E7}">
      <formula1>HateCrime</formula1>
    </dataValidation>
  </dataValidations>
  <hyperlinks>
    <hyperlink ref="B63" r:id="rId1" xr:uid="{ED229356-4B09-4307-8966-4F1D746B74E6}"/>
    <hyperlink ref="B65" r:id="rId2" xr:uid="{17D92E64-F868-43B7-8B4C-BA4E8881DE1B}"/>
  </hyperlinks>
  <pageMargins left="0.7" right="0.7" top="0.75" bottom="0.75" header="0.3" footer="0.3"/>
  <pageSetup paperSize="9" orientation="portrait" horizontalDpi="1200" verticalDpi="1200" r:id="rId3"/>
  <ignoredErrors>
    <ignoredError sqref="X32 AC32 AH32 AM32 S32 N32 I32 D32 AW32 AR32"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AD57"/>
  <sheetViews>
    <sheetView showGridLines="0" workbookViewId="0">
      <pane xSplit="1" ySplit="4" topLeftCell="B20" activePane="bottomRight" state="frozen"/>
      <selection pane="topRight" activeCell="B1" sqref="B1"/>
      <selection pane="bottomLeft" activeCell="A5" sqref="A5"/>
      <selection pane="bottomRight" activeCell="B49" sqref="B49:N57"/>
    </sheetView>
  </sheetViews>
  <sheetFormatPr defaultRowHeight="15" x14ac:dyDescent="0.35"/>
  <cols>
    <col min="1" max="1" width="1.09765625" customWidth="1"/>
    <col min="2" max="2" width="23.8984375" customWidth="1"/>
    <col min="3" max="3" width="15.69921875" customWidth="1"/>
    <col min="4" max="4" width="1.09765625" customWidth="1"/>
    <col min="6" max="6" width="10.3984375" customWidth="1"/>
    <col min="8" max="8" width="1.09765625" customWidth="1"/>
    <col min="10" max="10" width="10.59765625" customWidth="1"/>
    <col min="12" max="12" width="1.09765625" customWidth="1"/>
    <col min="14" max="14" width="10.3984375" customWidth="1"/>
    <col min="16" max="16" width="1.09765625" customWidth="1"/>
    <col min="18" max="18" width="10.59765625" customWidth="1"/>
    <col min="20" max="20" width="1.09765625" customWidth="1"/>
    <col min="22" max="22" width="10.3984375" customWidth="1"/>
    <col min="24" max="24" width="1.296875" customWidth="1"/>
  </cols>
  <sheetData>
    <row r="1" spans="1:27" ht="22.2" x14ac:dyDescent="0.5">
      <c r="A1" s="16"/>
      <c r="B1" s="34" t="s">
        <v>143</v>
      </c>
      <c r="C1" s="35"/>
      <c r="D1" s="35"/>
      <c r="E1" s="35"/>
      <c r="F1" s="35"/>
      <c r="G1" s="35"/>
      <c r="H1" s="35"/>
      <c r="I1" s="35"/>
      <c r="J1" s="35"/>
      <c r="K1" s="35"/>
      <c r="L1" s="35"/>
      <c r="M1" s="35"/>
      <c r="N1" s="16"/>
      <c r="O1" s="16"/>
      <c r="P1" s="16"/>
      <c r="Q1" s="16"/>
      <c r="R1" s="16"/>
      <c r="S1" s="16"/>
      <c r="T1" s="16"/>
      <c r="U1" s="16"/>
      <c r="V1" s="16"/>
      <c r="W1" s="16"/>
      <c r="X1" s="16"/>
    </row>
    <row r="2" spans="1:27" ht="16.8" thickBot="1" x14ac:dyDescent="0.4">
      <c r="A2" s="14"/>
      <c r="B2" s="14"/>
      <c r="C2" s="14"/>
      <c r="D2" s="14"/>
      <c r="E2" s="157" t="s">
        <v>55</v>
      </c>
      <c r="F2" s="157"/>
      <c r="G2" s="157"/>
      <c r="H2" s="14"/>
      <c r="I2" s="157" t="s">
        <v>57</v>
      </c>
      <c r="J2" s="157"/>
      <c r="K2" s="157"/>
      <c r="L2" s="14"/>
      <c r="M2" s="157" t="s">
        <v>58</v>
      </c>
      <c r="N2" s="157"/>
      <c r="O2" s="157"/>
      <c r="P2" s="14"/>
      <c r="Q2" s="157" t="s">
        <v>59</v>
      </c>
      <c r="R2" s="157"/>
      <c r="S2" s="157"/>
      <c r="T2" s="14"/>
      <c r="U2" s="157" t="s">
        <v>145</v>
      </c>
      <c r="V2" s="157"/>
      <c r="W2" s="157"/>
      <c r="X2" s="14"/>
    </row>
    <row r="3" spans="1:27" ht="45" x14ac:dyDescent="0.35">
      <c r="A3" s="14"/>
      <c r="B3" s="14"/>
      <c r="C3" s="15" t="s">
        <v>144</v>
      </c>
      <c r="D3" s="14"/>
      <c r="E3" s="15" t="s">
        <v>56</v>
      </c>
      <c r="F3" s="15" t="s">
        <v>71</v>
      </c>
      <c r="G3" s="15" t="s">
        <v>65</v>
      </c>
      <c r="H3" s="15"/>
      <c r="I3" s="15" t="s">
        <v>56</v>
      </c>
      <c r="J3" s="15" t="s">
        <v>71</v>
      </c>
      <c r="K3" s="15" t="s">
        <v>66</v>
      </c>
      <c r="L3" s="14"/>
      <c r="M3" s="15" t="s">
        <v>56</v>
      </c>
      <c r="N3" s="15" t="s">
        <v>71</v>
      </c>
      <c r="O3" s="15" t="s">
        <v>65</v>
      </c>
      <c r="P3" s="14"/>
      <c r="Q3" s="15" t="s">
        <v>56</v>
      </c>
      <c r="R3" s="15" t="s">
        <v>71</v>
      </c>
      <c r="S3" s="15" t="s">
        <v>65</v>
      </c>
      <c r="T3" s="14"/>
      <c r="U3" s="15" t="s">
        <v>56</v>
      </c>
      <c r="V3" s="15" t="s">
        <v>71</v>
      </c>
      <c r="W3" s="15" t="s">
        <v>67</v>
      </c>
      <c r="X3" s="14"/>
      <c r="Y3" s="3"/>
      <c r="Z3" s="3"/>
      <c r="AA3" s="3"/>
    </row>
    <row r="4" spans="1:27" ht="16.2" x14ac:dyDescent="0.35">
      <c r="A4" s="12"/>
      <c r="B4" s="13" t="s">
        <v>146</v>
      </c>
      <c r="C4" s="17">
        <v>56171100</v>
      </c>
      <c r="D4" s="18"/>
      <c r="E4" s="19">
        <v>35944</v>
      </c>
      <c r="F4" s="37">
        <v>63.990201366895079</v>
      </c>
      <c r="G4" s="20"/>
      <c r="H4" s="13"/>
      <c r="I4" s="13">
        <v>1618</v>
      </c>
      <c r="J4" s="37">
        <v>2.8804848044635052</v>
      </c>
      <c r="K4" s="20"/>
      <c r="L4" s="13"/>
      <c r="M4" s="19">
        <v>4345</v>
      </c>
      <c r="N4" s="37">
        <v>7.7352944841742461</v>
      </c>
      <c r="O4" s="13"/>
      <c r="P4" s="13"/>
      <c r="Q4" s="19">
        <v>1748</v>
      </c>
      <c r="R4" s="37">
        <v>3.1119205427702141</v>
      </c>
      <c r="S4" s="13"/>
      <c r="T4" s="13"/>
      <c r="U4" s="13">
        <v>313</v>
      </c>
      <c r="V4" s="20">
        <v>0.55722604684615396</v>
      </c>
      <c r="W4" s="12"/>
      <c r="X4" s="12"/>
    </row>
    <row r="5" spans="1:27" x14ac:dyDescent="0.35">
      <c r="A5" s="12"/>
      <c r="B5" s="12" t="s">
        <v>8</v>
      </c>
      <c r="C5" s="21">
        <v>1601700</v>
      </c>
      <c r="D5" s="21"/>
      <c r="E5" s="21">
        <v>1241</v>
      </c>
      <c r="F5" s="23">
        <v>77.480177311606425</v>
      </c>
      <c r="G5" s="23">
        <f t="shared" ref="G5:G46" si="0">RANK(F5,$F$5:$F$46,0)</f>
        <v>7</v>
      </c>
      <c r="H5" s="12"/>
      <c r="I5" s="12">
        <v>48</v>
      </c>
      <c r="J5" s="23">
        <v>2.9968158831241802</v>
      </c>
      <c r="K5" s="23">
        <f t="shared" ref="K5:K46" si="1">RANK(J5,$J$5:$J$46)</f>
        <v>9</v>
      </c>
      <c r="L5" s="12"/>
      <c r="M5" s="21">
        <v>150</v>
      </c>
      <c r="N5" s="23">
        <v>9.3650496347630643</v>
      </c>
      <c r="O5" s="12">
        <f t="shared" ref="O5:O46" si="2">RANK(N5,$N$5:$N$46,0)</f>
        <v>7</v>
      </c>
      <c r="P5" s="12"/>
      <c r="Q5" s="21">
        <v>113</v>
      </c>
      <c r="R5" s="23">
        <v>7.0550040581881746</v>
      </c>
      <c r="S5" s="12">
        <f t="shared" ref="S5:S46" si="3">RANK(R5,$R$5:$R$46,0)</f>
        <v>6</v>
      </c>
      <c r="T5" s="12"/>
      <c r="U5" s="12">
        <v>16</v>
      </c>
      <c r="V5" s="22">
        <v>0.99893862770805997</v>
      </c>
      <c r="W5" s="12">
        <f t="shared" ref="W5:W46" si="4">RANK(V5,$V$5:$V$46,0)</f>
        <v>5</v>
      </c>
      <c r="X5" s="12"/>
    </row>
    <row r="6" spans="1:27" x14ac:dyDescent="0.35">
      <c r="A6" s="12"/>
      <c r="B6" s="12" t="s">
        <v>9</v>
      </c>
      <c r="C6" s="21">
        <v>617000</v>
      </c>
      <c r="D6" s="21"/>
      <c r="E6" s="21">
        <v>266</v>
      </c>
      <c r="F6" s="23">
        <v>43.111831442463533</v>
      </c>
      <c r="G6" s="23">
        <f t="shared" si="0"/>
        <v>26</v>
      </c>
      <c r="H6" s="12"/>
      <c r="I6" s="12">
        <v>11</v>
      </c>
      <c r="J6" s="23">
        <v>1.7828200972447326</v>
      </c>
      <c r="K6" s="23">
        <f t="shared" si="1"/>
        <v>19</v>
      </c>
      <c r="L6" s="12"/>
      <c r="M6" s="21">
        <v>20</v>
      </c>
      <c r="N6" s="23">
        <v>3.2414910858995141</v>
      </c>
      <c r="O6" s="12">
        <f t="shared" si="2"/>
        <v>35</v>
      </c>
      <c r="P6" s="12"/>
      <c r="Q6" s="21">
        <v>6</v>
      </c>
      <c r="R6" s="23">
        <v>0.97244732576985415</v>
      </c>
      <c r="S6" s="12">
        <f t="shared" si="3"/>
        <v>37</v>
      </c>
      <c r="T6" s="12"/>
      <c r="U6" s="12">
        <v>1</v>
      </c>
      <c r="V6" s="22">
        <v>0.16207455429497569</v>
      </c>
      <c r="W6" s="12">
        <f t="shared" si="4"/>
        <v>33</v>
      </c>
      <c r="X6" s="12"/>
    </row>
    <row r="7" spans="1:27" x14ac:dyDescent="0.35">
      <c r="A7" s="12"/>
      <c r="B7" s="12" t="s">
        <v>11</v>
      </c>
      <c r="C7" s="21">
        <v>806700</v>
      </c>
      <c r="D7" s="21"/>
      <c r="E7" s="21">
        <v>338</v>
      </c>
      <c r="F7" s="23">
        <v>41.899095078715753</v>
      </c>
      <c r="G7" s="23">
        <f t="shared" si="0"/>
        <v>28</v>
      </c>
      <c r="H7" s="12"/>
      <c r="I7" s="12">
        <v>10</v>
      </c>
      <c r="J7" s="23">
        <v>1.2396181975951408</v>
      </c>
      <c r="K7" s="23">
        <f t="shared" si="1"/>
        <v>22</v>
      </c>
      <c r="L7" s="12"/>
      <c r="M7" s="21">
        <v>26</v>
      </c>
      <c r="N7" s="23">
        <v>3.2230073137473658</v>
      </c>
      <c r="O7" s="12">
        <f t="shared" si="2"/>
        <v>36</v>
      </c>
      <c r="P7" s="12"/>
      <c r="Q7" s="21">
        <v>6</v>
      </c>
      <c r="R7" s="23">
        <v>0.74377091855708444</v>
      </c>
      <c r="S7" s="12">
        <f t="shared" si="3"/>
        <v>39</v>
      </c>
      <c r="T7" s="12"/>
      <c r="U7" s="12">
        <v>1</v>
      </c>
      <c r="V7" s="22">
        <v>0.12396181975951406</v>
      </c>
      <c r="W7" s="12">
        <f t="shared" si="4"/>
        <v>35</v>
      </c>
      <c r="X7" s="12"/>
    </row>
    <row r="8" spans="1:27" x14ac:dyDescent="0.35">
      <c r="A8" s="12"/>
      <c r="B8" s="12" t="s">
        <v>12</v>
      </c>
      <c r="C8" s="21">
        <v>1028600</v>
      </c>
      <c r="D8" s="21"/>
      <c r="E8" s="21">
        <v>293</v>
      </c>
      <c r="F8" s="23">
        <v>28.485319852226326</v>
      </c>
      <c r="G8" s="23">
        <f t="shared" si="0"/>
        <v>39</v>
      </c>
      <c r="H8" s="12"/>
      <c r="I8" s="12">
        <v>1</v>
      </c>
      <c r="J8" s="23">
        <v>9.7219521679953347E-2</v>
      </c>
      <c r="K8" s="23">
        <f t="shared" si="1"/>
        <v>42</v>
      </c>
      <c r="L8" s="12"/>
      <c r="M8" s="21">
        <v>58</v>
      </c>
      <c r="N8" s="23">
        <v>5.6387322574372938</v>
      </c>
      <c r="O8" s="12">
        <f t="shared" si="2"/>
        <v>21</v>
      </c>
      <c r="P8" s="12"/>
      <c r="Q8" s="21">
        <v>7</v>
      </c>
      <c r="R8" s="23">
        <v>0.68053665175967337</v>
      </c>
      <c r="S8" s="12">
        <f t="shared" si="3"/>
        <v>40</v>
      </c>
      <c r="T8" s="12"/>
      <c r="U8" s="12">
        <v>5</v>
      </c>
      <c r="V8" s="22">
        <v>0.48609760839976668</v>
      </c>
      <c r="W8" s="12">
        <f t="shared" si="4"/>
        <v>19</v>
      </c>
      <c r="X8" s="12"/>
    </row>
    <row r="9" spans="1:27" x14ac:dyDescent="0.35">
      <c r="A9" s="12"/>
      <c r="B9" s="12" t="s">
        <v>13</v>
      </c>
      <c r="C9" s="21">
        <v>557500</v>
      </c>
      <c r="D9" s="21"/>
      <c r="E9" s="21">
        <v>307</v>
      </c>
      <c r="F9" s="23">
        <v>55.067264573991032</v>
      </c>
      <c r="G9" s="23">
        <f t="shared" si="0"/>
        <v>13</v>
      </c>
      <c r="H9" s="12"/>
      <c r="I9" s="12">
        <v>1</v>
      </c>
      <c r="J9" s="23">
        <v>0.17937219730941703</v>
      </c>
      <c r="K9" s="23">
        <f t="shared" si="1"/>
        <v>39</v>
      </c>
      <c r="L9" s="12"/>
      <c r="M9" s="21">
        <v>25</v>
      </c>
      <c r="N9" s="23">
        <v>4.4843049327354256</v>
      </c>
      <c r="O9" s="12">
        <f t="shared" si="2"/>
        <v>29</v>
      </c>
      <c r="P9" s="12"/>
      <c r="Q9" s="21">
        <v>15</v>
      </c>
      <c r="R9" s="23">
        <v>2.6905829596412558</v>
      </c>
      <c r="S9" s="12">
        <f t="shared" si="3"/>
        <v>16</v>
      </c>
      <c r="T9" s="12"/>
      <c r="U9" s="12">
        <v>0</v>
      </c>
      <c r="V9" s="22">
        <v>0</v>
      </c>
      <c r="W9" s="12">
        <f t="shared" si="4"/>
        <v>37</v>
      </c>
      <c r="X9" s="12"/>
    </row>
    <row r="10" spans="1:27" x14ac:dyDescent="0.35">
      <c r="A10" s="12"/>
      <c r="B10" s="12" t="s">
        <v>14</v>
      </c>
      <c r="C10" s="21">
        <v>499800</v>
      </c>
      <c r="D10" s="21"/>
      <c r="E10" s="21">
        <v>194</v>
      </c>
      <c r="F10" s="23">
        <v>38.815526210484194</v>
      </c>
      <c r="G10" s="23">
        <f t="shared" si="0"/>
        <v>31</v>
      </c>
      <c r="H10" s="12"/>
      <c r="I10" s="12">
        <v>16</v>
      </c>
      <c r="J10" s="23">
        <v>3.2012805122048822</v>
      </c>
      <c r="K10" s="23">
        <f t="shared" si="1"/>
        <v>8</v>
      </c>
      <c r="L10" s="12"/>
      <c r="M10" s="21">
        <v>45</v>
      </c>
      <c r="N10" s="23">
        <v>9.0036014405762295</v>
      </c>
      <c r="O10" s="12">
        <f t="shared" si="2"/>
        <v>10</v>
      </c>
      <c r="P10" s="12"/>
      <c r="Q10" s="21">
        <v>17</v>
      </c>
      <c r="R10" s="23">
        <v>3.4013605442176869</v>
      </c>
      <c r="S10" s="12">
        <f t="shared" si="3"/>
        <v>13</v>
      </c>
      <c r="T10" s="12"/>
      <c r="U10" s="12">
        <v>9</v>
      </c>
      <c r="V10" s="22">
        <v>1.8007202881152462</v>
      </c>
      <c r="W10" s="12">
        <f t="shared" si="4"/>
        <v>2</v>
      </c>
      <c r="X10" s="12"/>
    </row>
    <row r="11" spans="1:27" x14ac:dyDescent="0.35">
      <c r="A11" s="12"/>
      <c r="B11" s="12" t="s">
        <v>15</v>
      </c>
      <c r="C11" s="21">
        <v>1019500</v>
      </c>
      <c r="D11" s="21"/>
      <c r="E11" s="21">
        <v>440</v>
      </c>
      <c r="F11" s="23">
        <v>43.158410985777344</v>
      </c>
      <c r="G11" s="23">
        <f t="shared" si="0"/>
        <v>24</v>
      </c>
      <c r="H11" s="12"/>
      <c r="I11" s="12">
        <v>1</v>
      </c>
      <c r="J11" s="23">
        <v>9.8087297694948505E-2</v>
      </c>
      <c r="K11" s="23">
        <f t="shared" si="1"/>
        <v>41</v>
      </c>
      <c r="L11" s="12"/>
      <c r="M11" s="21">
        <v>54</v>
      </c>
      <c r="N11" s="23">
        <v>5.2967140755272197</v>
      </c>
      <c r="O11" s="12">
        <f t="shared" si="2"/>
        <v>22</v>
      </c>
      <c r="P11" s="12"/>
      <c r="Q11" s="21">
        <v>12</v>
      </c>
      <c r="R11" s="23">
        <v>1.1770475723393821</v>
      </c>
      <c r="S11" s="12">
        <f t="shared" si="3"/>
        <v>35</v>
      </c>
      <c r="T11" s="12"/>
      <c r="U11" s="12">
        <v>0</v>
      </c>
      <c r="V11" s="22">
        <v>0</v>
      </c>
      <c r="W11" s="12">
        <f t="shared" si="4"/>
        <v>37</v>
      </c>
      <c r="X11" s="12"/>
    </row>
    <row r="12" spans="1:27" x14ac:dyDescent="0.35">
      <c r="A12" s="12"/>
      <c r="B12" s="12" t="s">
        <v>54</v>
      </c>
      <c r="C12" s="21">
        <v>1671700</v>
      </c>
      <c r="D12" s="21"/>
      <c r="E12" s="21">
        <v>737</v>
      </c>
      <c r="F12" s="23">
        <v>44.08685768977687</v>
      </c>
      <c r="G12" s="23">
        <f t="shared" si="0"/>
        <v>23</v>
      </c>
      <c r="H12" s="12"/>
      <c r="I12" s="12">
        <v>11</v>
      </c>
      <c r="J12" s="23">
        <v>0.65801280133995332</v>
      </c>
      <c r="K12" s="23">
        <f t="shared" si="1"/>
        <v>33</v>
      </c>
      <c r="L12" s="12"/>
      <c r="M12" s="21">
        <v>53</v>
      </c>
      <c r="N12" s="23">
        <v>3.1704253155470479</v>
      </c>
      <c r="O12" s="12">
        <f t="shared" si="2"/>
        <v>38</v>
      </c>
      <c r="P12" s="12"/>
      <c r="Q12" s="21">
        <v>7</v>
      </c>
      <c r="R12" s="23">
        <v>0.41873541903451572</v>
      </c>
      <c r="S12" s="12">
        <f t="shared" si="3"/>
        <v>42</v>
      </c>
      <c r="T12" s="12"/>
      <c r="U12" s="12">
        <v>3</v>
      </c>
      <c r="V12" s="22">
        <v>0.1794580367290782</v>
      </c>
      <c r="W12" s="12">
        <f t="shared" si="4"/>
        <v>32</v>
      </c>
      <c r="X12" s="12"/>
    </row>
    <row r="13" spans="1:27" x14ac:dyDescent="0.35">
      <c r="A13" s="12"/>
      <c r="B13" s="12" t="s">
        <v>17</v>
      </c>
      <c r="C13" s="21">
        <v>745400</v>
      </c>
      <c r="D13" s="21"/>
      <c r="E13" s="21">
        <v>226</v>
      </c>
      <c r="F13" s="23">
        <v>30.319291655486985</v>
      </c>
      <c r="G13" s="23">
        <f t="shared" si="0"/>
        <v>37</v>
      </c>
      <c r="H13" s="12"/>
      <c r="I13" s="12">
        <v>1</v>
      </c>
      <c r="J13" s="23">
        <v>0.13415615776764153</v>
      </c>
      <c r="K13" s="23">
        <f t="shared" si="1"/>
        <v>40</v>
      </c>
      <c r="L13" s="12"/>
      <c r="M13" s="21">
        <v>26</v>
      </c>
      <c r="N13" s="23">
        <v>3.4880601019586801</v>
      </c>
      <c r="O13" s="12">
        <f t="shared" si="2"/>
        <v>32</v>
      </c>
      <c r="P13" s="12"/>
      <c r="Q13" s="21">
        <v>9</v>
      </c>
      <c r="R13" s="23">
        <v>1.2074054199087738</v>
      </c>
      <c r="S13" s="12">
        <f t="shared" si="3"/>
        <v>34</v>
      </c>
      <c r="T13" s="12"/>
      <c r="U13" s="12">
        <v>2</v>
      </c>
      <c r="V13" s="22">
        <v>0.26831231553528306</v>
      </c>
      <c r="W13" s="12">
        <f t="shared" si="4"/>
        <v>27</v>
      </c>
      <c r="X13" s="12"/>
    </row>
    <row r="14" spans="1:27" x14ac:dyDescent="0.35">
      <c r="A14" s="12"/>
      <c r="B14" s="12" t="s">
        <v>18</v>
      </c>
      <c r="C14" s="21">
        <v>618600</v>
      </c>
      <c r="D14" s="21"/>
      <c r="E14" s="21">
        <v>227</v>
      </c>
      <c r="F14" s="23">
        <v>36.695764629809247</v>
      </c>
      <c r="G14" s="23">
        <f t="shared" si="0"/>
        <v>32</v>
      </c>
      <c r="H14" s="12"/>
      <c r="I14" s="12">
        <v>23</v>
      </c>
      <c r="J14" s="23">
        <v>3.7180730682185579</v>
      </c>
      <c r="K14" s="23">
        <f t="shared" si="1"/>
        <v>6</v>
      </c>
      <c r="L14" s="12"/>
      <c r="M14" s="21">
        <v>31</v>
      </c>
      <c r="N14" s="23">
        <v>5.0113158745554474</v>
      </c>
      <c r="O14" s="12">
        <f t="shared" si="2"/>
        <v>23</v>
      </c>
      <c r="P14" s="12"/>
      <c r="Q14" s="21">
        <v>13</v>
      </c>
      <c r="R14" s="23">
        <v>2.1015195602974459</v>
      </c>
      <c r="S14" s="12">
        <f t="shared" si="3"/>
        <v>20</v>
      </c>
      <c r="T14" s="12"/>
      <c r="U14" s="12">
        <v>4</v>
      </c>
      <c r="V14" s="22">
        <v>0.64662140316844485</v>
      </c>
      <c r="W14" s="12">
        <f t="shared" si="4"/>
        <v>11</v>
      </c>
      <c r="X14" s="12"/>
    </row>
    <row r="15" spans="1:27" x14ac:dyDescent="0.35">
      <c r="A15" s="12"/>
      <c r="B15" s="12" t="s">
        <v>19</v>
      </c>
      <c r="C15" s="21">
        <v>515000</v>
      </c>
      <c r="D15" s="21"/>
      <c r="E15" s="21">
        <v>80</v>
      </c>
      <c r="F15" s="23">
        <v>15.533980582524272</v>
      </c>
      <c r="G15" s="23">
        <f t="shared" si="0"/>
        <v>42</v>
      </c>
      <c r="H15" s="12"/>
      <c r="I15" s="12">
        <v>4</v>
      </c>
      <c r="J15" s="23">
        <v>0.77669902912621358</v>
      </c>
      <c r="K15" s="23">
        <f t="shared" si="1"/>
        <v>30</v>
      </c>
      <c r="L15" s="12"/>
      <c r="M15" s="21">
        <v>22</v>
      </c>
      <c r="N15" s="23">
        <v>4.2718446601941746</v>
      </c>
      <c r="O15" s="12">
        <f t="shared" si="2"/>
        <v>30</v>
      </c>
      <c r="P15" s="12"/>
      <c r="Q15" s="21">
        <v>8</v>
      </c>
      <c r="R15" s="23">
        <v>1.5533980582524272</v>
      </c>
      <c r="S15" s="12">
        <f t="shared" si="3"/>
        <v>26</v>
      </c>
      <c r="T15" s="12"/>
      <c r="U15" s="12">
        <v>0</v>
      </c>
      <c r="V15" s="22">
        <v>0</v>
      </c>
      <c r="W15" s="12">
        <f t="shared" si="4"/>
        <v>37</v>
      </c>
      <c r="X15" s="12"/>
    </row>
    <row r="16" spans="1:27" x14ac:dyDescent="0.35">
      <c r="A16" s="12"/>
      <c r="B16" s="12" t="s">
        <v>20</v>
      </c>
      <c r="C16" s="21">
        <v>1729200</v>
      </c>
      <c r="D16" s="21"/>
      <c r="E16" s="21">
        <v>739</v>
      </c>
      <c r="F16" s="23">
        <v>42.736525560953041</v>
      </c>
      <c r="G16" s="23">
        <f t="shared" si="0"/>
        <v>27</v>
      </c>
      <c r="H16" s="12"/>
      <c r="I16" s="12">
        <v>16</v>
      </c>
      <c r="J16" s="23">
        <v>0.92528336803145961</v>
      </c>
      <c r="K16" s="23">
        <f t="shared" si="1"/>
        <v>25</v>
      </c>
      <c r="L16" s="12"/>
      <c r="M16" s="21">
        <v>85</v>
      </c>
      <c r="N16" s="23">
        <v>4.9155678926671289</v>
      </c>
      <c r="O16" s="12">
        <f t="shared" si="2"/>
        <v>25</v>
      </c>
      <c r="P16" s="12"/>
      <c r="Q16" s="21">
        <v>36</v>
      </c>
      <c r="R16" s="23">
        <v>2.0818875780707842</v>
      </c>
      <c r="S16" s="12">
        <f t="shared" si="3"/>
        <v>21</v>
      </c>
      <c r="T16" s="12"/>
      <c r="U16" s="12">
        <v>23</v>
      </c>
      <c r="V16" s="22">
        <v>1.3300948415452232</v>
      </c>
      <c r="W16" s="12">
        <f t="shared" si="4"/>
        <v>3</v>
      </c>
      <c r="X16" s="12"/>
    </row>
    <row r="17" spans="1:30" x14ac:dyDescent="0.35">
      <c r="A17" s="12"/>
      <c r="B17" s="12" t="s">
        <v>21</v>
      </c>
      <c r="C17" s="21">
        <v>598300</v>
      </c>
      <c r="D17" s="21"/>
      <c r="E17" s="21">
        <v>212</v>
      </c>
      <c r="F17" s="23">
        <v>35.43372889854588</v>
      </c>
      <c r="G17" s="23">
        <f t="shared" si="0"/>
        <v>33</v>
      </c>
      <c r="H17" s="12"/>
      <c r="I17" s="12">
        <v>13</v>
      </c>
      <c r="J17" s="23">
        <v>2.1728229984957377</v>
      </c>
      <c r="K17" s="23">
        <f t="shared" si="1"/>
        <v>12</v>
      </c>
      <c r="L17" s="12"/>
      <c r="M17" s="21">
        <v>28</v>
      </c>
      <c r="N17" s="23">
        <v>4.6799264582985121</v>
      </c>
      <c r="O17" s="12">
        <f t="shared" si="2"/>
        <v>28</v>
      </c>
      <c r="P17" s="12"/>
      <c r="Q17" s="21">
        <v>5</v>
      </c>
      <c r="R17" s="23">
        <v>0.83570115326759153</v>
      </c>
      <c r="S17" s="12">
        <f t="shared" si="3"/>
        <v>38</v>
      </c>
      <c r="T17" s="12"/>
      <c r="U17" s="12">
        <v>3</v>
      </c>
      <c r="V17" s="22">
        <v>0.50142069196055494</v>
      </c>
      <c r="W17" s="12">
        <f t="shared" si="4"/>
        <v>17</v>
      </c>
      <c r="X17" s="12"/>
    </row>
    <row r="18" spans="1:30" x14ac:dyDescent="0.35">
      <c r="A18" s="12"/>
      <c r="B18" s="12" t="s">
        <v>22</v>
      </c>
      <c r="C18" s="21">
        <v>2685400</v>
      </c>
      <c r="D18" s="21"/>
      <c r="E18" s="21">
        <v>2975</v>
      </c>
      <c r="F18" s="23">
        <v>110.78424070901913</v>
      </c>
      <c r="G18" s="23">
        <f t="shared" si="0"/>
        <v>1</v>
      </c>
      <c r="H18" s="12"/>
      <c r="I18" s="12">
        <v>180</v>
      </c>
      <c r="J18" s="23">
        <v>6.7029120428986371</v>
      </c>
      <c r="K18" s="23">
        <f t="shared" si="1"/>
        <v>3</v>
      </c>
      <c r="L18" s="12"/>
      <c r="M18" s="21">
        <v>301</v>
      </c>
      <c r="N18" s="23">
        <v>11.208758471736054</v>
      </c>
      <c r="O18" s="12">
        <f t="shared" si="2"/>
        <v>2</v>
      </c>
      <c r="P18" s="12"/>
      <c r="Q18" s="21">
        <v>72</v>
      </c>
      <c r="R18" s="23">
        <v>2.6811648171594546</v>
      </c>
      <c r="S18" s="12">
        <f t="shared" si="3"/>
        <v>17</v>
      </c>
      <c r="T18" s="12"/>
      <c r="U18" s="12">
        <v>17</v>
      </c>
      <c r="V18" s="22">
        <v>0.63305280405153797</v>
      </c>
      <c r="W18" s="12">
        <f t="shared" si="4"/>
        <v>12</v>
      </c>
      <c r="X18" s="12"/>
    </row>
    <row r="19" spans="1:30" x14ac:dyDescent="0.35">
      <c r="A19" s="12"/>
      <c r="B19" s="12" t="s">
        <v>23</v>
      </c>
      <c r="C19" s="21">
        <v>577100</v>
      </c>
      <c r="D19" s="21"/>
      <c r="E19" s="21">
        <v>183</v>
      </c>
      <c r="F19" s="23">
        <v>31.710275515508574</v>
      </c>
      <c r="G19" s="23">
        <f t="shared" si="0"/>
        <v>36</v>
      </c>
      <c r="H19" s="12"/>
      <c r="I19" s="12">
        <v>7</v>
      </c>
      <c r="J19" s="23">
        <v>1.2129613585167214</v>
      </c>
      <c r="K19" s="23">
        <f t="shared" si="1"/>
        <v>23</v>
      </c>
      <c r="L19" s="12"/>
      <c r="M19" s="21">
        <v>41</v>
      </c>
      <c r="N19" s="23">
        <v>7.1044879570265111</v>
      </c>
      <c r="O19" s="12">
        <f t="shared" si="2"/>
        <v>14</v>
      </c>
      <c r="P19" s="12"/>
      <c r="Q19" s="21">
        <v>7</v>
      </c>
      <c r="R19" s="23">
        <v>1.2129613585167214</v>
      </c>
      <c r="S19" s="12">
        <f t="shared" si="3"/>
        <v>33</v>
      </c>
      <c r="T19" s="12"/>
      <c r="U19" s="12">
        <v>3</v>
      </c>
      <c r="V19" s="22">
        <v>0.51984058222145202</v>
      </c>
      <c r="W19" s="12">
        <f t="shared" si="4"/>
        <v>16</v>
      </c>
      <c r="X19" s="12"/>
    </row>
    <row r="20" spans="1:30" x14ac:dyDescent="0.35">
      <c r="A20" s="12"/>
      <c r="B20" s="12" t="s">
        <v>24</v>
      </c>
      <c r="C20" s="21">
        <v>1902000</v>
      </c>
      <c r="D20" s="21"/>
      <c r="E20" s="21">
        <v>946</v>
      </c>
      <c r="F20" s="23">
        <v>49.737118822292331</v>
      </c>
      <c r="G20" s="23">
        <f t="shared" si="0"/>
        <v>17</v>
      </c>
      <c r="H20" s="12"/>
      <c r="I20" s="12">
        <v>19</v>
      </c>
      <c r="J20" s="23">
        <v>0.99894847528916919</v>
      </c>
      <c r="K20" s="23">
        <f t="shared" si="1"/>
        <v>24</v>
      </c>
      <c r="L20" s="12"/>
      <c r="M20" s="21">
        <v>198</v>
      </c>
      <c r="N20" s="23">
        <v>10.410094637223976</v>
      </c>
      <c r="O20" s="12">
        <f t="shared" si="2"/>
        <v>3</v>
      </c>
      <c r="P20" s="12"/>
      <c r="Q20" s="21">
        <v>40</v>
      </c>
      <c r="R20" s="23">
        <v>2.1030494216614093</v>
      </c>
      <c r="S20" s="12">
        <f t="shared" si="3"/>
        <v>19</v>
      </c>
      <c r="T20" s="12"/>
      <c r="U20" s="12">
        <v>0</v>
      </c>
      <c r="V20" s="22">
        <v>0</v>
      </c>
      <c r="W20" s="12">
        <f t="shared" si="4"/>
        <v>37</v>
      </c>
      <c r="X20" s="12"/>
    </row>
    <row r="21" spans="1:30" x14ac:dyDescent="0.35">
      <c r="A21" s="12"/>
      <c r="B21" s="12" t="s">
        <v>25</v>
      </c>
      <c r="C21" s="21">
        <v>1119800</v>
      </c>
      <c r="D21" s="21"/>
      <c r="E21" s="21">
        <v>667</v>
      </c>
      <c r="F21" s="23">
        <v>59.564207894266836</v>
      </c>
      <c r="G21" s="23">
        <f t="shared" si="0"/>
        <v>9</v>
      </c>
      <c r="H21" s="12"/>
      <c r="I21" s="12">
        <v>21</v>
      </c>
      <c r="J21" s="23">
        <v>1.8753348812287911</v>
      </c>
      <c r="K21" s="23">
        <f t="shared" si="1"/>
        <v>17</v>
      </c>
      <c r="L21" s="12"/>
      <c r="M21" s="21">
        <v>43</v>
      </c>
      <c r="N21" s="23">
        <v>3.8399714234684765</v>
      </c>
      <c r="O21" s="12">
        <f t="shared" si="2"/>
        <v>31</v>
      </c>
      <c r="P21" s="12"/>
      <c r="Q21" s="21">
        <v>18</v>
      </c>
      <c r="R21" s="23">
        <v>1.6074298981961064</v>
      </c>
      <c r="S21" s="12">
        <f t="shared" si="3"/>
        <v>25</v>
      </c>
      <c r="T21" s="12"/>
      <c r="U21" s="12">
        <v>6</v>
      </c>
      <c r="V21" s="22">
        <v>0.53580996606536879</v>
      </c>
      <c r="W21" s="12">
        <f t="shared" si="4"/>
        <v>15</v>
      </c>
      <c r="X21" s="12"/>
    </row>
    <row r="22" spans="1:30" x14ac:dyDescent="0.35">
      <c r="A22" s="12"/>
      <c r="B22" s="12" t="s">
        <v>26</v>
      </c>
      <c r="C22" s="21">
        <v>918000</v>
      </c>
      <c r="D22" s="21"/>
      <c r="E22" s="21">
        <v>415</v>
      </c>
      <c r="F22" s="23">
        <v>45.206971677559913</v>
      </c>
      <c r="G22" s="23">
        <f t="shared" si="0"/>
        <v>22</v>
      </c>
      <c r="H22" s="12"/>
      <c r="I22" s="12">
        <v>6</v>
      </c>
      <c r="J22" s="23">
        <v>0.65359477124183007</v>
      </c>
      <c r="K22" s="23">
        <f t="shared" si="1"/>
        <v>34</v>
      </c>
      <c r="L22" s="12"/>
      <c r="M22" s="21">
        <v>56</v>
      </c>
      <c r="N22" s="23">
        <v>6.1002178649237475</v>
      </c>
      <c r="O22" s="12">
        <f t="shared" si="2"/>
        <v>19</v>
      </c>
      <c r="P22" s="12"/>
      <c r="Q22" s="21">
        <v>14</v>
      </c>
      <c r="R22" s="23">
        <v>1.5250544662309369</v>
      </c>
      <c r="S22" s="12">
        <f t="shared" si="3"/>
        <v>28</v>
      </c>
      <c r="T22" s="12"/>
      <c r="U22" s="12">
        <v>3</v>
      </c>
      <c r="V22" s="22">
        <v>0.32679738562091504</v>
      </c>
      <c r="W22" s="12">
        <f t="shared" si="4"/>
        <v>25</v>
      </c>
      <c r="X22" s="12"/>
    </row>
    <row r="23" spans="1:30" x14ac:dyDescent="0.35">
      <c r="A23" s="12"/>
      <c r="B23" s="12" t="s">
        <v>27</v>
      </c>
      <c r="C23" s="21">
        <v>1731400</v>
      </c>
      <c r="D23" s="21"/>
      <c r="E23" s="21">
        <v>747</v>
      </c>
      <c r="F23" s="23">
        <v>43.144276308189902</v>
      </c>
      <c r="G23" s="23">
        <f t="shared" si="0"/>
        <v>25</v>
      </c>
      <c r="H23" s="12"/>
      <c r="I23" s="12">
        <v>15</v>
      </c>
      <c r="J23" s="23">
        <v>0.8663509298833314</v>
      </c>
      <c r="K23" s="23">
        <f t="shared" si="1"/>
        <v>28</v>
      </c>
      <c r="L23" s="12"/>
      <c r="M23" s="21">
        <v>59</v>
      </c>
      <c r="N23" s="23">
        <v>3.4076469908744365</v>
      </c>
      <c r="O23" s="12">
        <f t="shared" si="2"/>
        <v>34</v>
      </c>
      <c r="P23" s="12"/>
      <c r="Q23" s="21">
        <v>34</v>
      </c>
      <c r="R23" s="23">
        <v>1.9637287744022178</v>
      </c>
      <c r="S23" s="12">
        <f t="shared" si="3"/>
        <v>22</v>
      </c>
      <c r="T23" s="12"/>
      <c r="U23" s="12">
        <v>10</v>
      </c>
      <c r="V23" s="22">
        <v>0.57756728658888756</v>
      </c>
      <c r="W23" s="12">
        <f t="shared" si="4"/>
        <v>13</v>
      </c>
      <c r="X23" s="12"/>
    </row>
    <row r="24" spans="1:30" x14ac:dyDescent="0.35">
      <c r="A24" s="12"/>
      <c r="B24" s="12" t="s">
        <v>28</v>
      </c>
      <c r="C24" s="21">
        <v>1461400</v>
      </c>
      <c r="D24" s="21"/>
      <c r="E24" s="21">
        <v>766</v>
      </c>
      <c r="F24" s="23">
        <v>52.415491993978371</v>
      </c>
      <c r="G24" s="23">
        <f t="shared" si="0"/>
        <v>15</v>
      </c>
      <c r="H24" s="12"/>
      <c r="I24" s="12">
        <v>60</v>
      </c>
      <c r="J24" s="23">
        <v>4.1056521144108391</v>
      </c>
      <c r="K24" s="23">
        <f t="shared" si="1"/>
        <v>5</v>
      </c>
      <c r="L24" s="12"/>
      <c r="M24" s="21">
        <v>92</v>
      </c>
      <c r="N24" s="23">
        <v>6.2953332420966195</v>
      </c>
      <c r="O24" s="12">
        <f t="shared" si="2"/>
        <v>18</v>
      </c>
      <c r="P24" s="12"/>
      <c r="Q24" s="21">
        <v>40</v>
      </c>
      <c r="R24" s="23">
        <v>2.7371014096072259</v>
      </c>
      <c r="S24" s="12">
        <f t="shared" si="3"/>
        <v>15</v>
      </c>
      <c r="T24" s="12"/>
      <c r="U24" s="12">
        <v>13</v>
      </c>
      <c r="V24" s="22">
        <v>0.88955795812234839</v>
      </c>
      <c r="W24" s="12">
        <f t="shared" si="4"/>
        <v>7</v>
      </c>
      <c r="X24" s="12"/>
    </row>
    <row r="25" spans="1:30" x14ac:dyDescent="0.35">
      <c r="A25" s="12"/>
      <c r="B25" s="12" t="s">
        <v>29</v>
      </c>
      <c r="C25" s="21">
        <v>1018400</v>
      </c>
      <c r="D25" s="21"/>
      <c r="E25" s="21">
        <v>880</v>
      </c>
      <c r="F25" s="23">
        <v>86.410054988216814</v>
      </c>
      <c r="G25" s="23">
        <f t="shared" si="0"/>
        <v>4</v>
      </c>
      <c r="H25" s="12"/>
      <c r="I25" s="12">
        <v>77</v>
      </c>
      <c r="J25" s="23">
        <v>7.5608798114689701</v>
      </c>
      <c r="K25" s="23">
        <f t="shared" si="1"/>
        <v>1</v>
      </c>
      <c r="L25" s="12"/>
      <c r="M25" s="21">
        <v>103</v>
      </c>
      <c r="N25" s="23">
        <v>10.113904163393558</v>
      </c>
      <c r="O25" s="12">
        <f t="shared" si="2"/>
        <v>4</v>
      </c>
      <c r="P25" s="12"/>
      <c r="Q25" s="21">
        <v>97</v>
      </c>
      <c r="R25" s="23">
        <v>9.5247446975648078</v>
      </c>
      <c r="S25" s="12">
        <f t="shared" si="3"/>
        <v>4</v>
      </c>
      <c r="T25" s="12"/>
      <c r="U25" s="12">
        <v>5</v>
      </c>
      <c r="V25" s="22">
        <v>0.49096622152395913</v>
      </c>
      <c r="W25" s="12">
        <f t="shared" si="4"/>
        <v>18</v>
      </c>
      <c r="X25" s="12"/>
    </row>
    <row r="26" spans="1:30" x14ac:dyDescent="0.35">
      <c r="A26" s="12"/>
      <c r="B26" s="12" t="s">
        <v>30</v>
      </c>
      <c r="C26" s="21">
        <v>714800</v>
      </c>
      <c r="D26" s="21"/>
      <c r="E26" s="21">
        <v>205</v>
      </c>
      <c r="F26" s="23">
        <v>28.67935086737549</v>
      </c>
      <c r="G26" s="23">
        <f t="shared" si="0"/>
        <v>38</v>
      </c>
      <c r="H26" s="12"/>
      <c r="I26" s="12">
        <v>19</v>
      </c>
      <c r="J26" s="23">
        <v>2.658086177951875</v>
      </c>
      <c r="K26" s="23">
        <f t="shared" si="1"/>
        <v>11</v>
      </c>
      <c r="L26" s="12"/>
      <c r="M26" s="21">
        <v>23</v>
      </c>
      <c r="N26" s="23">
        <v>3.217683268047006</v>
      </c>
      <c r="O26" s="12">
        <f t="shared" si="2"/>
        <v>37</v>
      </c>
      <c r="P26" s="12"/>
      <c r="Q26" s="21">
        <v>12</v>
      </c>
      <c r="R26" s="23">
        <v>1.6787912702853944</v>
      </c>
      <c r="S26" s="12">
        <f t="shared" si="3"/>
        <v>24</v>
      </c>
      <c r="T26" s="12"/>
      <c r="U26" s="12">
        <v>5</v>
      </c>
      <c r="V26" s="22">
        <v>0.69949636261891446</v>
      </c>
      <c r="W26" s="12">
        <f t="shared" si="4"/>
        <v>10</v>
      </c>
      <c r="X26" s="12"/>
    </row>
    <row r="27" spans="1:30" x14ac:dyDescent="0.35">
      <c r="A27" s="12"/>
      <c r="B27" s="12" t="s">
        <v>32</v>
      </c>
      <c r="C27" s="21">
        <v>1380800</v>
      </c>
      <c r="D27" s="21"/>
      <c r="E27" s="21">
        <v>1107</v>
      </c>
      <c r="F27" s="23">
        <v>80.170915411355736</v>
      </c>
      <c r="G27" s="23">
        <f t="shared" si="0"/>
        <v>6</v>
      </c>
      <c r="H27" s="12"/>
      <c r="I27" s="12">
        <v>30</v>
      </c>
      <c r="J27" s="23">
        <v>2.1726535341830822</v>
      </c>
      <c r="K27" s="23">
        <f t="shared" si="1"/>
        <v>13</v>
      </c>
      <c r="L27" s="12"/>
      <c r="M27" s="21">
        <v>138</v>
      </c>
      <c r="N27" s="23">
        <v>9.9942062572421779</v>
      </c>
      <c r="O27" s="12">
        <f t="shared" si="2"/>
        <v>6</v>
      </c>
      <c r="P27" s="12"/>
      <c r="Q27" s="21">
        <v>134</v>
      </c>
      <c r="R27" s="23">
        <v>9.7045191193511009</v>
      </c>
      <c r="S27" s="12">
        <f t="shared" si="3"/>
        <v>3</v>
      </c>
      <c r="T27" s="12"/>
      <c r="U27" s="12">
        <v>6</v>
      </c>
      <c r="V27" s="22">
        <v>0.43453070683661643</v>
      </c>
      <c r="W27" s="12">
        <f t="shared" si="4"/>
        <v>21</v>
      </c>
      <c r="X27" s="12"/>
    </row>
    <row r="28" spans="1:30" x14ac:dyDescent="0.35">
      <c r="A28" s="12"/>
      <c r="B28" s="12" t="s">
        <v>33</v>
      </c>
      <c r="C28" s="21">
        <v>8204400</v>
      </c>
      <c r="D28" s="21"/>
      <c r="E28" s="21">
        <v>8034</v>
      </c>
      <c r="F28" s="23">
        <f>E28/C28*100000</f>
        <v>97.923065672078408</v>
      </c>
      <c r="G28" s="23">
        <f t="shared" si="0"/>
        <v>2</v>
      </c>
      <c r="H28" s="12"/>
      <c r="I28" s="12">
        <v>610</v>
      </c>
      <c r="J28" s="23">
        <f>I28/C28*100000</f>
        <v>7.4350348593437658</v>
      </c>
      <c r="K28" s="23">
        <f t="shared" si="1"/>
        <v>2</v>
      </c>
      <c r="L28" s="12"/>
      <c r="M28" s="21">
        <v>1239</v>
      </c>
      <c r="N28" s="23">
        <v>15.088595262741279</v>
      </c>
      <c r="O28" s="12">
        <f t="shared" si="2"/>
        <v>1</v>
      </c>
      <c r="P28" s="12"/>
      <c r="Q28" s="21">
        <v>121</v>
      </c>
      <c r="R28" s="23">
        <v>1.4735432016075016</v>
      </c>
      <c r="S28" s="12">
        <f t="shared" si="3"/>
        <v>29</v>
      </c>
      <c r="T28" s="12"/>
      <c r="U28" s="12">
        <v>75</v>
      </c>
      <c r="V28" s="22">
        <v>0.91335322413688125</v>
      </c>
      <c r="W28" s="12">
        <f t="shared" si="4"/>
        <v>6</v>
      </c>
      <c r="X28" s="12"/>
      <c r="AB28" s="5"/>
    </row>
    <row r="29" spans="1:30" x14ac:dyDescent="0.35">
      <c r="A29" s="12"/>
      <c r="B29" s="12" t="s">
        <v>34</v>
      </c>
      <c r="C29" s="21">
        <v>859400</v>
      </c>
      <c r="D29" s="21"/>
      <c r="E29" s="21">
        <v>347</v>
      </c>
      <c r="F29" s="23">
        <v>40.377007214335585</v>
      </c>
      <c r="G29" s="23">
        <f t="shared" si="0"/>
        <v>29</v>
      </c>
      <c r="H29" s="12"/>
      <c r="I29" s="12">
        <v>18</v>
      </c>
      <c r="J29" s="23">
        <v>2.0944845240865719</v>
      </c>
      <c r="K29" s="23">
        <f t="shared" si="1"/>
        <v>14</v>
      </c>
      <c r="L29" s="12"/>
      <c r="M29" s="21">
        <v>62</v>
      </c>
      <c r="N29" s="23">
        <v>7.2143355829648588</v>
      </c>
      <c r="O29" s="12">
        <f t="shared" si="2"/>
        <v>12</v>
      </c>
      <c r="P29" s="12"/>
      <c r="Q29" s="21">
        <v>120</v>
      </c>
      <c r="R29" s="23">
        <v>13.963230160577147</v>
      </c>
      <c r="S29" s="12">
        <f t="shared" si="3"/>
        <v>2</v>
      </c>
      <c r="T29" s="12"/>
      <c r="U29" s="12">
        <v>4</v>
      </c>
      <c r="V29" s="22">
        <v>0.4654410053525716</v>
      </c>
      <c r="W29" s="12">
        <f t="shared" si="4"/>
        <v>20</v>
      </c>
      <c r="X29" s="12"/>
    </row>
    <row r="30" spans="1:30" x14ac:dyDescent="0.35">
      <c r="A30" s="12"/>
      <c r="B30" s="12" t="s">
        <v>35</v>
      </c>
      <c r="C30" s="21">
        <v>688400</v>
      </c>
      <c r="D30" s="21"/>
      <c r="E30" s="21">
        <v>359</v>
      </c>
      <c r="F30" s="23">
        <v>52.149912841371297</v>
      </c>
      <c r="G30" s="23">
        <f t="shared" si="0"/>
        <v>16</v>
      </c>
      <c r="H30" s="12"/>
      <c r="I30" s="12">
        <v>5</v>
      </c>
      <c r="J30" s="23">
        <v>0.72632190586868106</v>
      </c>
      <c r="K30" s="23">
        <f t="shared" si="1"/>
        <v>32</v>
      </c>
      <c r="L30" s="12"/>
      <c r="M30" s="21">
        <v>62</v>
      </c>
      <c r="N30" s="23">
        <v>9.0063916327716438</v>
      </c>
      <c r="O30" s="12">
        <f t="shared" si="2"/>
        <v>9</v>
      </c>
      <c r="P30" s="12"/>
      <c r="Q30" s="21">
        <v>31</v>
      </c>
      <c r="R30" s="23">
        <v>4.5031958163858219</v>
      </c>
      <c r="S30" s="12">
        <f t="shared" si="3"/>
        <v>10</v>
      </c>
      <c r="T30" s="12"/>
      <c r="U30" s="12">
        <v>8</v>
      </c>
      <c r="V30" s="22">
        <v>1.1621150493898895</v>
      </c>
      <c r="W30" s="12">
        <f t="shared" si="4"/>
        <v>4</v>
      </c>
      <c r="X30" s="12"/>
    </row>
    <row r="31" spans="1:30" x14ac:dyDescent="0.35">
      <c r="A31" s="12"/>
      <c r="B31" s="12" t="s">
        <v>36</v>
      </c>
      <c r="C31" s="21">
        <v>799000</v>
      </c>
      <c r="D31" s="21"/>
      <c r="E31" s="21">
        <v>154</v>
      </c>
      <c r="F31" s="23">
        <v>19.27409261576971</v>
      </c>
      <c r="G31" s="23">
        <f t="shared" si="0"/>
        <v>41</v>
      </c>
      <c r="H31" s="12"/>
      <c r="I31" s="12">
        <v>3</v>
      </c>
      <c r="J31" s="23">
        <v>0.37546933667083854</v>
      </c>
      <c r="K31" s="23">
        <f t="shared" si="1"/>
        <v>38</v>
      </c>
      <c r="L31" s="12"/>
      <c r="M31" s="21">
        <v>21</v>
      </c>
      <c r="N31" s="23">
        <v>2.6282853566958697</v>
      </c>
      <c r="O31" s="12">
        <f t="shared" si="2"/>
        <v>39</v>
      </c>
      <c r="P31" s="12"/>
      <c r="Q31" s="21">
        <v>9</v>
      </c>
      <c r="R31" s="23">
        <v>1.1264080100125158</v>
      </c>
      <c r="S31" s="12">
        <f t="shared" si="3"/>
        <v>36</v>
      </c>
      <c r="T31" s="12"/>
      <c r="U31" s="12">
        <v>3</v>
      </c>
      <c r="V31" s="22">
        <v>0.37546933667083854</v>
      </c>
      <c r="W31" s="12">
        <f t="shared" si="4"/>
        <v>23</v>
      </c>
      <c r="X31" s="12"/>
      <c r="AD31" s="5"/>
    </row>
    <row r="32" spans="1:30" x14ac:dyDescent="0.35">
      <c r="A32" s="12"/>
      <c r="B32" s="12" t="s">
        <v>37</v>
      </c>
      <c r="C32" s="21">
        <v>693900</v>
      </c>
      <c r="D32" s="21"/>
      <c r="E32" s="21">
        <v>456</v>
      </c>
      <c r="F32" s="23">
        <v>65.71552096843925</v>
      </c>
      <c r="G32" s="23">
        <f t="shared" si="0"/>
        <v>8</v>
      </c>
      <c r="H32" s="12"/>
      <c r="I32" s="12">
        <v>6</v>
      </c>
      <c r="J32" s="23">
        <v>0.86467790747946394</v>
      </c>
      <c r="K32" s="23">
        <f t="shared" si="1"/>
        <v>29</v>
      </c>
      <c r="L32" s="12"/>
      <c r="M32" s="21">
        <v>49</v>
      </c>
      <c r="N32" s="23">
        <v>7.0615362444156222</v>
      </c>
      <c r="O32" s="12">
        <f t="shared" si="2"/>
        <v>15</v>
      </c>
      <c r="P32" s="12"/>
      <c r="Q32" s="21">
        <v>50</v>
      </c>
      <c r="R32" s="23">
        <v>7.205649228995533</v>
      </c>
      <c r="S32" s="12">
        <f t="shared" si="3"/>
        <v>5</v>
      </c>
      <c r="T32" s="12"/>
      <c r="U32" s="12">
        <v>3</v>
      </c>
      <c r="V32" s="22">
        <v>0.43233895373973197</v>
      </c>
      <c r="W32" s="12">
        <f t="shared" si="4"/>
        <v>22</v>
      </c>
      <c r="X32" s="12"/>
    </row>
    <row r="33" spans="1:24" x14ac:dyDescent="0.35">
      <c r="A33" s="12"/>
      <c r="B33" s="12" t="s">
        <v>38</v>
      </c>
      <c r="C33" s="21">
        <v>1420400</v>
      </c>
      <c r="D33" s="21"/>
      <c r="E33" s="21">
        <v>557</v>
      </c>
      <c r="F33" s="23">
        <v>39.214305829343843</v>
      </c>
      <c r="G33" s="23">
        <f t="shared" si="0"/>
        <v>30</v>
      </c>
      <c r="H33" s="12"/>
      <c r="I33" s="12">
        <v>13</v>
      </c>
      <c r="J33" s="23">
        <v>0.91523514502956915</v>
      </c>
      <c r="K33" s="23">
        <f t="shared" si="1"/>
        <v>26</v>
      </c>
      <c r="L33" s="12"/>
      <c r="M33" s="21">
        <v>33</v>
      </c>
      <c r="N33" s="23">
        <v>2.323289214305829</v>
      </c>
      <c r="O33" s="12">
        <f t="shared" si="2"/>
        <v>42</v>
      </c>
      <c r="P33" s="12"/>
      <c r="Q33" s="21">
        <v>22</v>
      </c>
      <c r="R33" s="23">
        <v>1.5488594762038863</v>
      </c>
      <c r="S33" s="12">
        <f t="shared" si="3"/>
        <v>27</v>
      </c>
      <c r="T33" s="12"/>
      <c r="U33" s="12">
        <v>1</v>
      </c>
      <c r="V33" s="22">
        <v>7.0402703463813013E-2</v>
      </c>
      <c r="W33" s="12">
        <f t="shared" si="4"/>
        <v>36</v>
      </c>
      <c r="X33" s="12"/>
    </row>
    <row r="34" spans="1:24" x14ac:dyDescent="0.35">
      <c r="A34" s="12"/>
      <c r="B34" s="12" t="s">
        <v>39</v>
      </c>
      <c r="C34" s="21">
        <v>1090600</v>
      </c>
      <c r="D34" s="21"/>
      <c r="E34" s="21">
        <v>635</v>
      </c>
      <c r="F34" s="23">
        <v>58.224830368604437</v>
      </c>
      <c r="G34" s="23">
        <f t="shared" si="0"/>
        <v>11</v>
      </c>
      <c r="H34" s="12"/>
      <c r="I34" s="12">
        <v>20</v>
      </c>
      <c r="J34" s="23">
        <v>1.8338529249954154</v>
      </c>
      <c r="K34" s="23">
        <f t="shared" si="1"/>
        <v>18</v>
      </c>
      <c r="L34" s="12"/>
      <c r="M34" s="21">
        <v>78</v>
      </c>
      <c r="N34" s="23">
        <v>7.1520264074821194</v>
      </c>
      <c r="O34" s="12">
        <f t="shared" si="2"/>
        <v>13</v>
      </c>
      <c r="P34" s="12"/>
      <c r="Q34" s="21">
        <v>41</v>
      </c>
      <c r="R34" s="23">
        <v>3.7593984962406015</v>
      </c>
      <c r="S34" s="12">
        <f t="shared" si="3"/>
        <v>11</v>
      </c>
      <c r="T34" s="12"/>
      <c r="U34" s="12">
        <v>0</v>
      </c>
      <c r="V34" s="22">
        <v>0</v>
      </c>
      <c r="W34" s="12">
        <f t="shared" si="4"/>
        <v>37</v>
      </c>
      <c r="X34" s="12"/>
    </row>
    <row r="35" spans="1:24" x14ac:dyDescent="0.35">
      <c r="A35" s="12"/>
      <c r="B35" s="12" t="s">
        <v>40</v>
      </c>
      <c r="C35" s="21">
        <v>1283400</v>
      </c>
      <c r="D35" s="21"/>
      <c r="E35" s="21">
        <v>746</v>
      </c>
      <c r="F35" s="23">
        <v>58.126850553218013</v>
      </c>
      <c r="G35" s="23">
        <f t="shared" si="0"/>
        <v>12</v>
      </c>
      <c r="H35" s="12"/>
      <c r="I35" s="12">
        <v>38</v>
      </c>
      <c r="J35" s="23">
        <v>2.9608851488234378</v>
      </c>
      <c r="K35" s="23">
        <f t="shared" si="1"/>
        <v>10</v>
      </c>
      <c r="L35" s="12"/>
      <c r="M35" s="21">
        <v>119</v>
      </c>
      <c r="N35" s="23">
        <v>9.2722455976312919</v>
      </c>
      <c r="O35" s="12">
        <f t="shared" si="2"/>
        <v>8</v>
      </c>
      <c r="P35" s="12"/>
      <c r="Q35" s="21">
        <v>76</v>
      </c>
      <c r="R35" s="23">
        <v>5.9217702976468756</v>
      </c>
      <c r="S35" s="12">
        <f t="shared" si="3"/>
        <v>8</v>
      </c>
      <c r="T35" s="12"/>
      <c r="U35" s="12">
        <v>10</v>
      </c>
      <c r="V35" s="22">
        <v>0.77918030232195723</v>
      </c>
      <c r="W35" s="12">
        <f t="shared" si="4"/>
        <v>9</v>
      </c>
      <c r="X35" s="12"/>
    </row>
    <row r="36" spans="1:24" x14ac:dyDescent="0.35">
      <c r="A36" s="12"/>
      <c r="B36" s="12" t="s">
        <v>41</v>
      </c>
      <c r="C36" s="21">
        <v>1343900</v>
      </c>
      <c r="D36" s="21"/>
      <c r="E36" s="21">
        <v>443</v>
      </c>
      <c r="F36" s="23">
        <v>32.96376218468636</v>
      </c>
      <c r="G36" s="23">
        <f t="shared" si="0"/>
        <v>34</v>
      </c>
      <c r="H36" s="12"/>
      <c r="I36" s="12">
        <v>6</v>
      </c>
      <c r="J36" s="23">
        <v>0.44646179031177918</v>
      </c>
      <c r="K36" s="23">
        <f t="shared" si="1"/>
        <v>37</v>
      </c>
      <c r="L36" s="12"/>
      <c r="M36" s="21">
        <v>35</v>
      </c>
      <c r="N36" s="23">
        <v>2.6043604434853784</v>
      </c>
      <c r="O36" s="12">
        <f t="shared" si="2"/>
        <v>40</v>
      </c>
      <c r="P36" s="12"/>
      <c r="Q36" s="21">
        <v>9</v>
      </c>
      <c r="R36" s="23">
        <v>0.66969268546766869</v>
      </c>
      <c r="S36" s="12">
        <f t="shared" si="3"/>
        <v>41</v>
      </c>
      <c r="T36" s="12"/>
      <c r="U36" s="12">
        <v>3</v>
      </c>
      <c r="V36" s="22">
        <v>0.22323089515588959</v>
      </c>
      <c r="W36" s="12">
        <f t="shared" si="4"/>
        <v>30</v>
      </c>
      <c r="X36" s="12"/>
    </row>
    <row r="37" spans="1:24" x14ac:dyDescent="0.35">
      <c r="A37" s="12"/>
      <c r="B37" s="12" t="s">
        <v>42</v>
      </c>
      <c r="C37" s="21">
        <v>1098300</v>
      </c>
      <c r="D37" s="21"/>
      <c r="E37" s="21">
        <v>645</v>
      </c>
      <c r="F37" s="23">
        <v>58.727123736683964</v>
      </c>
      <c r="G37" s="23">
        <f t="shared" si="0"/>
        <v>10</v>
      </c>
      <c r="H37" s="12"/>
      <c r="I37" s="12">
        <v>7</v>
      </c>
      <c r="J37" s="23">
        <v>0.63734862970044615</v>
      </c>
      <c r="K37" s="23">
        <f t="shared" si="1"/>
        <v>35</v>
      </c>
      <c r="L37" s="12"/>
      <c r="M37" s="21">
        <v>62</v>
      </c>
      <c r="N37" s="23">
        <v>5.6450878630610948</v>
      </c>
      <c r="O37" s="12">
        <f t="shared" si="2"/>
        <v>20</v>
      </c>
      <c r="P37" s="12"/>
      <c r="Q37" s="21">
        <v>53</v>
      </c>
      <c r="R37" s="23">
        <v>4.8256396248748068</v>
      </c>
      <c r="S37" s="12">
        <f t="shared" si="3"/>
        <v>9</v>
      </c>
      <c r="T37" s="12"/>
      <c r="U37" s="12">
        <v>6</v>
      </c>
      <c r="V37" s="22">
        <v>0.54629882545752517</v>
      </c>
      <c r="W37" s="12">
        <f t="shared" si="4"/>
        <v>14</v>
      </c>
      <c r="X37" s="12"/>
    </row>
    <row r="38" spans="1:24" x14ac:dyDescent="0.35">
      <c r="A38" s="12"/>
      <c r="B38" s="12" t="s">
        <v>43</v>
      </c>
      <c r="C38" s="21">
        <v>730100</v>
      </c>
      <c r="D38" s="21"/>
      <c r="E38" s="21">
        <v>351</v>
      </c>
      <c r="F38" s="23">
        <v>48.075606081358714</v>
      </c>
      <c r="G38" s="23">
        <f t="shared" si="0"/>
        <v>18</v>
      </c>
      <c r="H38" s="12"/>
      <c r="I38" s="12">
        <v>30</v>
      </c>
      <c r="J38" s="23">
        <v>4.1090261607998899</v>
      </c>
      <c r="K38" s="23">
        <f t="shared" si="1"/>
        <v>4</v>
      </c>
      <c r="L38" s="12"/>
      <c r="M38" s="21">
        <v>73</v>
      </c>
      <c r="N38" s="23">
        <v>9.9986303246130674</v>
      </c>
      <c r="O38" s="12">
        <f t="shared" si="2"/>
        <v>5</v>
      </c>
      <c r="P38" s="12"/>
      <c r="Q38" s="21">
        <v>130</v>
      </c>
      <c r="R38" s="23">
        <v>17.805780030132858</v>
      </c>
      <c r="S38" s="12">
        <f t="shared" si="3"/>
        <v>1</v>
      </c>
      <c r="T38" s="12"/>
      <c r="U38" s="12">
        <v>17</v>
      </c>
      <c r="V38" s="22">
        <v>2.3284481577866045</v>
      </c>
      <c r="W38" s="12">
        <f t="shared" si="4"/>
        <v>1</v>
      </c>
      <c r="X38" s="12"/>
    </row>
    <row r="39" spans="1:24" x14ac:dyDescent="0.35">
      <c r="A39" s="12"/>
      <c r="B39" s="12" t="s">
        <v>44</v>
      </c>
      <c r="C39" s="21">
        <v>1135500</v>
      </c>
      <c r="D39" s="21"/>
      <c r="E39" s="21">
        <v>532</v>
      </c>
      <c r="F39" s="23">
        <v>46.851607221488329</v>
      </c>
      <c r="G39" s="23">
        <f t="shared" si="0"/>
        <v>20</v>
      </c>
      <c r="H39" s="12"/>
      <c r="I39" s="12">
        <v>19</v>
      </c>
      <c r="J39" s="23">
        <v>1.6732716864817261</v>
      </c>
      <c r="K39" s="23">
        <f t="shared" si="1"/>
        <v>20</v>
      </c>
      <c r="L39" s="12"/>
      <c r="M39" s="21">
        <v>28</v>
      </c>
      <c r="N39" s="23">
        <v>2.4658740642888595</v>
      </c>
      <c r="O39" s="12">
        <f t="shared" si="2"/>
        <v>41</v>
      </c>
      <c r="P39" s="12"/>
      <c r="Q39" s="21">
        <v>40</v>
      </c>
      <c r="R39" s="23">
        <v>3.5226772346983708</v>
      </c>
      <c r="S39" s="12">
        <f t="shared" si="3"/>
        <v>12</v>
      </c>
      <c r="T39" s="12"/>
      <c r="U39" s="12">
        <v>0</v>
      </c>
      <c r="V39" s="22">
        <v>0</v>
      </c>
      <c r="W39" s="12">
        <f t="shared" si="4"/>
        <v>37</v>
      </c>
      <c r="X39" s="12"/>
    </row>
    <row r="40" spans="1:24" x14ac:dyDescent="0.35">
      <c r="A40" s="12"/>
      <c r="B40" s="12" t="s">
        <v>45</v>
      </c>
      <c r="C40" s="21">
        <v>1609100</v>
      </c>
      <c r="D40" s="21"/>
      <c r="E40" s="21">
        <v>520</v>
      </c>
      <c r="F40" s="23">
        <v>32.316201603380776</v>
      </c>
      <c r="G40" s="23">
        <f t="shared" si="0"/>
        <v>35</v>
      </c>
      <c r="H40" s="12"/>
      <c r="I40" s="12">
        <v>23</v>
      </c>
      <c r="J40" s="23">
        <v>1.4293704555341495</v>
      </c>
      <c r="K40" s="23">
        <f t="shared" si="1"/>
        <v>21</v>
      </c>
      <c r="L40" s="12"/>
      <c r="M40" s="21">
        <v>111</v>
      </c>
      <c r="N40" s="23">
        <v>6.8982661114908952</v>
      </c>
      <c r="O40" s="12">
        <f t="shared" si="2"/>
        <v>16</v>
      </c>
      <c r="P40" s="12"/>
      <c r="Q40" s="21">
        <v>23</v>
      </c>
      <c r="R40" s="23">
        <v>1.4293704555341495</v>
      </c>
      <c r="S40" s="12">
        <f t="shared" si="3"/>
        <v>31</v>
      </c>
      <c r="T40" s="12"/>
      <c r="U40" s="12">
        <v>4</v>
      </c>
      <c r="V40" s="22">
        <v>0.24858616617985207</v>
      </c>
      <c r="W40" s="12">
        <f t="shared" si="4"/>
        <v>28</v>
      </c>
      <c r="X40" s="12"/>
    </row>
    <row r="41" spans="1:24" x14ac:dyDescent="0.35">
      <c r="A41" s="12"/>
      <c r="B41" s="12" t="s">
        <v>46</v>
      </c>
      <c r="C41" s="21">
        <v>2275200</v>
      </c>
      <c r="D41" s="21"/>
      <c r="E41" s="21">
        <v>1237</v>
      </c>
      <c r="F41" s="23">
        <v>54.368846694796062</v>
      </c>
      <c r="G41" s="23">
        <f t="shared" si="0"/>
        <v>14</v>
      </c>
      <c r="H41" s="12"/>
      <c r="I41" s="12">
        <v>77</v>
      </c>
      <c r="J41" s="23">
        <v>3.3843178621659633</v>
      </c>
      <c r="K41" s="23">
        <f t="shared" si="1"/>
        <v>7</v>
      </c>
      <c r="L41" s="12"/>
      <c r="M41" s="21">
        <v>112</v>
      </c>
      <c r="N41" s="23">
        <v>4.9226441631504922</v>
      </c>
      <c r="O41" s="12">
        <f t="shared" si="2"/>
        <v>24</v>
      </c>
      <c r="P41" s="12"/>
      <c r="Q41" s="21">
        <v>32</v>
      </c>
      <c r="R41" s="23">
        <v>1.4064697609001406</v>
      </c>
      <c r="S41" s="12">
        <f t="shared" si="3"/>
        <v>32</v>
      </c>
      <c r="T41" s="12"/>
      <c r="U41" s="12">
        <v>20</v>
      </c>
      <c r="V41" s="22">
        <v>0.8790436005625879</v>
      </c>
      <c r="W41" s="12">
        <f t="shared" si="4"/>
        <v>8</v>
      </c>
      <c r="X41" s="12"/>
    </row>
    <row r="42" spans="1:24" x14ac:dyDescent="0.35">
      <c r="A42" s="12"/>
      <c r="B42" s="12" t="s">
        <v>47</v>
      </c>
      <c r="C42" s="21">
        <v>546500</v>
      </c>
      <c r="D42" s="21"/>
      <c r="E42" s="21">
        <v>262</v>
      </c>
      <c r="F42" s="23">
        <v>47.941445562671547</v>
      </c>
      <c r="G42" s="23">
        <f t="shared" si="0"/>
        <v>19</v>
      </c>
      <c r="H42" s="12"/>
      <c r="I42" s="12">
        <v>5</v>
      </c>
      <c r="J42" s="23">
        <v>0.91491308325709053</v>
      </c>
      <c r="K42" s="23">
        <f t="shared" si="1"/>
        <v>27</v>
      </c>
      <c r="L42" s="12"/>
      <c r="M42" s="21">
        <v>19</v>
      </c>
      <c r="N42" s="23">
        <v>3.4766697163769442</v>
      </c>
      <c r="O42" s="12">
        <f t="shared" si="2"/>
        <v>33</v>
      </c>
      <c r="P42" s="12"/>
      <c r="Q42" s="21">
        <v>8</v>
      </c>
      <c r="R42" s="23">
        <v>1.4638609332113448</v>
      </c>
      <c r="S42" s="12">
        <f t="shared" si="3"/>
        <v>30</v>
      </c>
      <c r="T42" s="12"/>
      <c r="U42" s="12">
        <v>1</v>
      </c>
      <c r="V42" s="22">
        <v>0.1829826166514181</v>
      </c>
      <c r="W42" s="12">
        <f t="shared" si="4"/>
        <v>31</v>
      </c>
      <c r="X42" s="12"/>
    </row>
    <row r="43" spans="1:24" x14ac:dyDescent="0.35">
      <c r="A43" s="12"/>
      <c r="B43" s="12" t="s">
        <v>48</v>
      </c>
      <c r="C43" s="21">
        <v>1224000</v>
      </c>
      <c r="D43" s="21"/>
      <c r="E43" s="21">
        <v>568</v>
      </c>
      <c r="F43" s="23">
        <v>46.405228758169933</v>
      </c>
      <c r="G43" s="23">
        <f t="shared" si="0"/>
        <v>21</v>
      </c>
      <c r="H43" s="12"/>
      <c r="I43" s="12">
        <v>7</v>
      </c>
      <c r="J43" s="23">
        <v>0.57189542483660127</v>
      </c>
      <c r="K43" s="23">
        <f t="shared" si="1"/>
        <v>36</v>
      </c>
      <c r="L43" s="12"/>
      <c r="M43" s="21">
        <v>58</v>
      </c>
      <c r="N43" s="23">
        <v>4.738562091503268</v>
      </c>
      <c r="O43" s="12">
        <f t="shared" si="2"/>
        <v>27</v>
      </c>
      <c r="P43" s="12"/>
      <c r="Q43" s="21">
        <v>36</v>
      </c>
      <c r="R43" s="23">
        <v>2.9411764705882355</v>
      </c>
      <c r="S43" s="12">
        <f t="shared" si="3"/>
        <v>14</v>
      </c>
      <c r="T43" s="12"/>
      <c r="U43" s="12">
        <v>3</v>
      </c>
      <c r="V43" s="22">
        <v>0.24509803921568629</v>
      </c>
      <c r="W43" s="12">
        <f t="shared" si="4"/>
        <v>29</v>
      </c>
      <c r="X43" s="12"/>
    </row>
    <row r="44" spans="1:24" x14ac:dyDescent="0.35">
      <c r="A44" s="12"/>
      <c r="B44" s="12" t="s">
        <v>7</v>
      </c>
      <c r="C44" s="21">
        <v>2739800</v>
      </c>
      <c r="D44" s="21"/>
      <c r="E44" s="21">
        <v>2531</v>
      </c>
      <c r="F44" s="23">
        <v>92.379005766844287</v>
      </c>
      <c r="G44" s="23">
        <f t="shared" si="0"/>
        <v>3</v>
      </c>
      <c r="H44" s="12"/>
      <c r="I44" s="12">
        <v>52</v>
      </c>
      <c r="J44" s="23">
        <v>1.8979487553836047</v>
      </c>
      <c r="K44" s="23">
        <f t="shared" si="1"/>
        <v>16</v>
      </c>
      <c r="L44" s="12"/>
      <c r="M44" s="21">
        <v>210</v>
      </c>
      <c r="N44" s="23">
        <v>7.664793050587634</v>
      </c>
      <c r="O44" s="12">
        <f t="shared" si="2"/>
        <v>11</v>
      </c>
      <c r="P44" s="12"/>
      <c r="Q44" s="21">
        <v>46</v>
      </c>
      <c r="R44" s="23">
        <v>1.6789546682239578</v>
      </c>
      <c r="S44" s="12">
        <f t="shared" si="3"/>
        <v>23</v>
      </c>
      <c r="T44" s="12"/>
      <c r="U44" s="12">
        <v>10</v>
      </c>
      <c r="V44" s="22">
        <v>0.36499014526607781</v>
      </c>
      <c r="W44" s="12">
        <f t="shared" si="4"/>
        <v>24</v>
      </c>
      <c r="X44" s="12"/>
    </row>
    <row r="45" spans="1:24" x14ac:dyDescent="0.35">
      <c r="A45" s="12"/>
      <c r="B45" s="12" t="s">
        <v>49</v>
      </c>
      <c r="C45" s="21">
        <v>2227400</v>
      </c>
      <c r="D45" s="21"/>
      <c r="E45" s="21">
        <v>1842</v>
      </c>
      <c r="F45" s="23">
        <v>82.697315255454797</v>
      </c>
      <c r="G45" s="23">
        <f t="shared" si="0"/>
        <v>5</v>
      </c>
      <c r="H45" s="12"/>
      <c r="I45" s="12">
        <v>43</v>
      </c>
      <c r="J45" s="23">
        <v>1.9305019305019306</v>
      </c>
      <c r="K45" s="23">
        <f t="shared" si="1"/>
        <v>15</v>
      </c>
      <c r="L45" s="12"/>
      <c r="M45" s="21">
        <v>141</v>
      </c>
      <c r="N45" s="23">
        <v>6.3302505162970277</v>
      </c>
      <c r="O45" s="12">
        <f t="shared" si="2"/>
        <v>17</v>
      </c>
      <c r="P45" s="12"/>
      <c r="Q45" s="21">
        <v>137</v>
      </c>
      <c r="R45" s="23">
        <v>6.1506689413666162</v>
      </c>
      <c r="S45" s="12">
        <f t="shared" si="3"/>
        <v>7</v>
      </c>
      <c r="T45" s="12"/>
      <c r="U45" s="12">
        <v>3</v>
      </c>
      <c r="V45" s="22">
        <v>0.13468618119780909</v>
      </c>
      <c r="W45" s="12">
        <f t="shared" si="4"/>
        <v>34</v>
      </c>
      <c r="X45" s="12"/>
    </row>
    <row r="46" spans="1:24" ht="15.75" customHeight="1" x14ac:dyDescent="0.35">
      <c r="A46" s="12"/>
      <c r="B46" s="12" t="s">
        <v>50</v>
      </c>
      <c r="C46" s="21">
        <v>684000</v>
      </c>
      <c r="D46" s="21"/>
      <c r="E46" s="21">
        <v>185</v>
      </c>
      <c r="F46" s="23">
        <v>27.046783625730995</v>
      </c>
      <c r="G46" s="23">
        <f t="shared" si="0"/>
        <v>40</v>
      </c>
      <c r="H46" s="12"/>
      <c r="I46" s="12">
        <v>5</v>
      </c>
      <c r="J46" s="23">
        <v>0.73099415204678364</v>
      </c>
      <c r="K46" s="23">
        <f t="shared" si="1"/>
        <v>31</v>
      </c>
      <c r="L46" s="12"/>
      <c r="M46" s="21">
        <v>33</v>
      </c>
      <c r="N46" s="23">
        <v>4.8245614035087723</v>
      </c>
      <c r="O46" s="12">
        <f t="shared" si="2"/>
        <v>26</v>
      </c>
      <c r="P46" s="12"/>
      <c r="Q46" s="21">
        <v>17</v>
      </c>
      <c r="R46" s="23">
        <v>2.4853801169590644</v>
      </c>
      <c r="S46" s="12">
        <f t="shared" si="3"/>
        <v>18</v>
      </c>
      <c r="T46" s="12"/>
      <c r="U46" s="12">
        <v>2</v>
      </c>
      <c r="V46" s="22">
        <v>0.29239766081871349</v>
      </c>
      <c r="W46" s="12">
        <f t="shared" si="4"/>
        <v>26</v>
      </c>
      <c r="X46" s="12"/>
    </row>
    <row r="47" spans="1:24" ht="2.25" customHeight="1" x14ac:dyDescent="0.35">
      <c r="A47" s="14"/>
      <c r="B47" s="14"/>
      <c r="C47" s="14"/>
      <c r="D47" s="14"/>
      <c r="E47" s="14"/>
      <c r="F47" s="14"/>
      <c r="G47" s="14"/>
      <c r="H47" s="14"/>
      <c r="I47" s="14"/>
      <c r="J47" s="14"/>
      <c r="K47" s="14"/>
      <c r="L47" s="14"/>
      <c r="M47" s="14"/>
      <c r="N47" s="14"/>
      <c r="O47" s="14"/>
      <c r="P47" s="14"/>
      <c r="Q47" s="14"/>
      <c r="R47" s="14"/>
      <c r="S47" s="14"/>
      <c r="T47" s="14"/>
      <c r="U47" s="14"/>
      <c r="V47" s="14"/>
      <c r="W47" s="14"/>
      <c r="X47" s="14"/>
    </row>
    <row r="48" spans="1:24" x14ac:dyDescent="0.35">
      <c r="B48" s="31" t="s">
        <v>69</v>
      </c>
      <c r="C48" s="29"/>
      <c r="D48" s="29"/>
      <c r="E48" s="29"/>
      <c r="F48" s="29"/>
      <c r="G48" s="29"/>
      <c r="H48" s="29"/>
      <c r="I48" s="29"/>
      <c r="J48" s="29"/>
      <c r="K48" s="29"/>
      <c r="L48" s="29"/>
      <c r="M48" s="29"/>
      <c r="N48" s="29"/>
      <c r="O48" s="29"/>
      <c r="P48" s="29"/>
      <c r="Q48" s="29"/>
      <c r="R48" s="29"/>
      <c r="S48" s="29"/>
    </row>
    <row r="49" spans="2:19" x14ac:dyDescent="0.35">
      <c r="B49" s="29" t="s">
        <v>147</v>
      </c>
      <c r="C49" s="29"/>
      <c r="D49" s="29"/>
      <c r="E49" s="29"/>
      <c r="F49" s="29"/>
      <c r="G49" s="29"/>
      <c r="H49" s="29"/>
      <c r="I49" s="29"/>
      <c r="J49" s="29"/>
      <c r="K49" s="29"/>
      <c r="L49" s="29"/>
      <c r="M49" s="29"/>
      <c r="N49" s="29"/>
      <c r="O49" s="29"/>
      <c r="P49" s="29"/>
      <c r="Q49" s="29"/>
      <c r="R49" s="29"/>
      <c r="S49" s="29"/>
    </row>
    <row r="50" spans="2:19" x14ac:dyDescent="0.35">
      <c r="B50" s="29" t="s">
        <v>148</v>
      </c>
      <c r="C50" s="29"/>
      <c r="D50" s="29"/>
      <c r="E50" s="29"/>
      <c r="F50" s="29"/>
      <c r="G50" s="29"/>
      <c r="H50" s="29"/>
      <c r="I50" s="29"/>
      <c r="J50" s="29"/>
      <c r="K50" s="29"/>
      <c r="L50" s="29"/>
      <c r="M50" s="29"/>
      <c r="N50" s="29"/>
      <c r="O50" s="29"/>
      <c r="P50" s="29"/>
      <c r="Q50" s="29"/>
      <c r="R50" s="29"/>
      <c r="S50" s="29"/>
    </row>
    <row r="51" spans="2:19" x14ac:dyDescent="0.35">
      <c r="B51" s="29" t="s">
        <v>149</v>
      </c>
      <c r="C51" s="29"/>
      <c r="D51" s="29"/>
      <c r="E51" s="29"/>
      <c r="F51" s="29"/>
      <c r="G51" s="29"/>
      <c r="H51" s="29"/>
      <c r="I51" s="29"/>
      <c r="J51" s="29"/>
      <c r="K51" s="29"/>
      <c r="L51" s="29"/>
      <c r="M51" s="29"/>
      <c r="N51" s="29"/>
      <c r="O51" s="29"/>
      <c r="P51" s="29"/>
      <c r="Q51" s="29"/>
      <c r="R51" s="29"/>
      <c r="S51" s="29"/>
    </row>
    <row r="52" spans="2:19" x14ac:dyDescent="0.35">
      <c r="B52" s="29" t="s">
        <v>150</v>
      </c>
      <c r="C52" s="29"/>
      <c r="D52" s="29"/>
      <c r="E52" s="29"/>
      <c r="F52" s="29"/>
      <c r="G52" s="29"/>
      <c r="H52" s="29"/>
      <c r="I52" s="29"/>
      <c r="J52" s="29"/>
      <c r="K52" s="29"/>
      <c r="L52" s="29"/>
      <c r="M52" s="29"/>
      <c r="N52" s="29"/>
      <c r="O52" s="29"/>
      <c r="P52" s="29"/>
      <c r="Q52" s="29"/>
      <c r="R52" s="29"/>
      <c r="S52" s="29"/>
    </row>
    <row r="54" spans="2:19" x14ac:dyDescent="0.35">
      <c r="B54" s="31" t="s">
        <v>70</v>
      </c>
    </row>
    <row r="55" spans="2:19" x14ac:dyDescent="0.35">
      <c r="B55" s="30" t="s">
        <v>74</v>
      </c>
    </row>
    <row r="56" spans="2:19" x14ac:dyDescent="0.35">
      <c r="B56" s="29" t="s">
        <v>73</v>
      </c>
    </row>
    <row r="57" spans="2:19" x14ac:dyDescent="0.35">
      <c r="B57" s="30" t="s">
        <v>75</v>
      </c>
    </row>
  </sheetData>
  <mergeCells count="5">
    <mergeCell ref="E2:G2"/>
    <mergeCell ref="I2:K2"/>
    <mergeCell ref="M2:O2"/>
    <mergeCell ref="Q2:S2"/>
    <mergeCell ref="U2:W2"/>
  </mergeCells>
  <hyperlinks>
    <hyperlink ref="B55" r:id="rId1" xr:uid="{00000000-0004-0000-0200-000000000000}"/>
    <hyperlink ref="B57" r:id="rId2" xr:uid="{00000000-0004-0000-0200-000001000000}"/>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AC57"/>
  <sheetViews>
    <sheetView showGridLines="0" workbookViewId="0">
      <pane xSplit="1" ySplit="4" topLeftCell="B14" activePane="bottomRight" state="frozen"/>
      <selection pane="topRight" activeCell="B1" sqref="B1"/>
      <selection pane="bottomLeft" activeCell="A5" sqref="A5"/>
      <selection pane="bottomRight" activeCell="C10" sqref="C10"/>
    </sheetView>
  </sheetViews>
  <sheetFormatPr defaultRowHeight="15" x14ac:dyDescent="0.35"/>
  <cols>
    <col min="1" max="1" width="1.09765625" customWidth="1"/>
    <col min="2" max="2" width="24.69921875" customWidth="1"/>
    <col min="3" max="3" width="16" customWidth="1"/>
    <col min="4" max="4" width="1.09765625" customWidth="1"/>
    <col min="6" max="6" width="10.59765625" customWidth="1"/>
    <col min="8" max="8" width="1.09765625" customWidth="1"/>
    <col min="10" max="10" width="10.3984375" customWidth="1"/>
    <col min="12" max="12" width="1.09765625" customWidth="1"/>
    <col min="14" max="14" width="10.09765625" customWidth="1"/>
    <col min="16" max="16" width="1.09765625" customWidth="1"/>
    <col min="18" max="18" width="10.3984375" customWidth="1"/>
    <col min="20" max="20" width="1.09765625" customWidth="1"/>
    <col min="22" max="22" width="10.09765625" customWidth="1"/>
    <col min="24" max="24" width="1.09765625" customWidth="1"/>
    <col min="26" max="26" width="11.09765625" customWidth="1"/>
    <col min="28" max="28" width="1.09765625" customWidth="1"/>
    <col min="29" max="29" width="0" hidden="1" customWidth="1"/>
  </cols>
  <sheetData>
    <row r="1" spans="1:29" ht="22.2" x14ac:dyDescent="0.5">
      <c r="A1" s="16"/>
      <c r="B1" s="34" t="s">
        <v>151</v>
      </c>
      <c r="C1" s="35"/>
      <c r="D1" s="35"/>
      <c r="E1" s="35"/>
      <c r="F1" s="35"/>
      <c r="G1" s="35"/>
      <c r="H1" s="35"/>
      <c r="I1" s="35"/>
      <c r="J1" s="35"/>
      <c r="K1" s="35"/>
      <c r="L1" s="35"/>
      <c r="M1" s="35"/>
      <c r="N1" s="16"/>
      <c r="O1" s="16"/>
      <c r="P1" s="16"/>
      <c r="Q1" s="16"/>
      <c r="R1" s="16"/>
      <c r="S1" s="16"/>
      <c r="T1" s="16"/>
      <c r="U1" s="16"/>
      <c r="V1" s="16"/>
      <c r="W1" s="16"/>
      <c r="X1" s="16"/>
      <c r="Y1" s="16"/>
      <c r="Z1" s="16"/>
      <c r="AA1" s="16"/>
      <c r="AB1" s="16"/>
    </row>
    <row r="2" spans="1:29" ht="14.25" customHeight="1" thickBot="1" x14ac:dyDescent="0.4">
      <c r="A2" s="14"/>
      <c r="B2" s="14"/>
      <c r="C2" s="14"/>
      <c r="D2" s="14"/>
      <c r="E2" s="157" t="s">
        <v>55</v>
      </c>
      <c r="F2" s="157"/>
      <c r="G2" s="157"/>
      <c r="H2" s="14"/>
      <c r="I2" s="157" t="s">
        <v>57</v>
      </c>
      <c r="J2" s="157"/>
      <c r="K2" s="157"/>
      <c r="L2" s="14"/>
      <c r="M2" s="157" t="s">
        <v>58</v>
      </c>
      <c r="N2" s="157"/>
      <c r="O2" s="157"/>
      <c r="P2" s="14"/>
      <c r="Q2" s="157" t="s">
        <v>59</v>
      </c>
      <c r="R2" s="157"/>
      <c r="S2" s="157"/>
      <c r="T2" s="14"/>
      <c r="U2" s="157" t="s">
        <v>145</v>
      </c>
      <c r="V2" s="157"/>
      <c r="W2" s="157"/>
      <c r="X2" s="14"/>
      <c r="Y2" s="158" t="s">
        <v>62</v>
      </c>
      <c r="Z2" s="158"/>
      <c r="AA2" s="158"/>
      <c r="AB2" s="14"/>
    </row>
    <row r="3" spans="1:29" ht="45" x14ac:dyDescent="0.35">
      <c r="A3" s="14"/>
      <c r="B3" s="14"/>
      <c r="C3" s="15" t="s">
        <v>152</v>
      </c>
      <c r="D3" s="14"/>
      <c r="E3" s="15" t="s">
        <v>56</v>
      </c>
      <c r="F3" s="15" t="s">
        <v>71</v>
      </c>
      <c r="G3" s="15" t="s">
        <v>65</v>
      </c>
      <c r="H3" s="15"/>
      <c r="I3" s="15" t="s">
        <v>56</v>
      </c>
      <c r="J3" s="15" t="s">
        <v>71</v>
      </c>
      <c r="K3" s="15" t="s">
        <v>66</v>
      </c>
      <c r="L3" s="14"/>
      <c r="M3" s="15" t="s">
        <v>56</v>
      </c>
      <c r="N3" s="15" t="s">
        <v>71</v>
      </c>
      <c r="O3" s="15" t="s">
        <v>65</v>
      </c>
      <c r="P3" s="14"/>
      <c r="Q3" s="15" t="s">
        <v>56</v>
      </c>
      <c r="R3" s="15" t="s">
        <v>71</v>
      </c>
      <c r="S3" s="15" t="s">
        <v>65</v>
      </c>
      <c r="T3" s="14"/>
      <c r="U3" s="15" t="s">
        <v>56</v>
      </c>
      <c r="V3" s="15" t="s">
        <v>71</v>
      </c>
      <c r="W3" s="15" t="s">
        <v>67</v>
      </c>
      <c r="X3" s="14"/>
      <c r="Y3" s="24" t="s">
        <v>56</v>
      </c>
      <c r="Z3" s="24" t="s">
        <v>71</v>
      </c>
      <c r="AA3" s="24" t="s">
        <v>65</v>
      </c>
      <c r="AB3" s="14"/>
    </row>
    <row r="4" spans="1:29" ht="16.2" x14ac:dyDescent="0.35">
      <c r="A4" s="13"/>
      <c r="B4" s="13" t="s">
        <v>146</v>
      </c>
      <c r="C4" s="19">
        <f>MROUND(56567796,100)</f>
        <v>56567800</v>
      </c>
      <c r="D4" s="13"/>
      <c r="E4" s="19">
        <v>35845</v>
      </c>
      <c r="F4" s="37">
        <v>63.366442631068743</v>
      </c>
      <c r="G4" s="13"/>
      <c r="H4" s="13"/>
      <c r="I4" s="19">
        <v>1572</v>
      </c>
      <c r="J4" s="37">
        <v>2.7789663221101986</v>
      </c>
      <c r="K4" s="13"/>
      <c r="L4" s="13"/>
      <c r="M4" s="19">
        <v>4241</v>
      </c>
      <c r="N4" s="37">
        <v>7.4971985827413175</v>
      </c>
      <c r="O4" s="13"/>
      <c r="P4" s="13"/>
      <c r="Q4" s="19">
        <v>1911</v>
      </c>
      <c r="R4" s="37">
        <v>3.3782472274507565</v>
      </c>
      <c r="S4" s="13"/>
      <c r="T4" s="13"/>
      <c r="U4" s="13">
        <v>364</v>
      </c>
      <c r="V4" s="20">
        <v>0.64347566237157272</v>
      </c>
      <c r="W4" s="13"/>
      <c r="X4" s="13"/>
      <c r="Y4" s="19">
        <v>42255</v>
      </c>
      <c r="Z4" s="37">
        <f>Y4/C4*100000</f>
        <v>74.697973051806855</v>
      </c>
      <c r="AA4" s="13"/>
      <c r="AB4" s="13"/>
    </row>
    <row r="5" spans="1:29" x14ac:dyDescent="0.35">
      <c r="A5" s="12"/>
      <c r="B5" s="12" t="s">
        <v>8</v>
      </c>
      <c r="C5" s="21">
        <f>MROUND(AC5,100)</f>
        <v>1616100</v>
      </c>
      <c r="D5" s="12"/>
      <c r="E5" s="21">
        <v>1040</v>
      </c>
      <c r="F5" s="23">
        <v>64.353130377585799</v>
      </c>
      <c r="G5" s="12">
        <f t="shared" ref="G5:G46" si="0">RANK(F5,$F$5:$F$46,0)</f>
        <v>7</v>
      </c>
      <c r="H5" s="12"/>
      <c r="I5" s="12">
        <v>53</v>
      </c>
      <c r="J5" s="23">
        <v>3.279534528857738</v>
      </c>
      <c r="K5" s="12">
        <f t="shared" ref="K5:K46" si="1">RANK(J5,$J$5:$J$46,0)</f>
        <v>5</v>
      </c>
      <c r="L5" s="12"/>
      <c r="M5" s="21">
        <v>111</v>
      </c>
      <c r="N5" s="23">
        <v>6.8684591076077153</v>
      </c>
      <c r="O5" s="12">
        <f t="shared" ref="O5:O46" si="2">RANK(N5,$N$5:$N$46,0)</f>
        <v>15</v>
      </c>
      <c r="P5" s="12"/>
      <c r="Q5" s="12">
        <v>75</v>
      </c>
      <c r="R5" s="23">
        <v>4.6408507483835919</v>
      </c>
      <c r="S5" s="12">
        <f>RANK(R5,$R$5:$R$46,0)</f>
        <v>10</v>
      </c>
      <c r="T5" s="12"/>
      <c r="U5" s="12">
        <v>13</v>
      </c>
      <c r="V5" s="22">
        <v>0.80441412971982251</v>
      </c>
      <c r="W5" s="12">
        <f>RANK(V5,$V$5:$V$46,0)</f>
        <v>15</v>
      </c>
      <c r="X5" s="12"/>
      <c r="Y5" s="19">
        <v>1211</v>
      </c>
      <c r="Z5" s="37">
        <v>74.934270083900401</v>
      </c>
      <c r="AA5" s="13">
        <f>RANK(Z5,$Z$5:$Z$46,0)</f>
        <v>9</v>
      </c>
      <c r="AB5" s="12"/>
      <c r="AC5">
        <v>1616083</v>
      </c>
    </row>
    <row r="6" spans="1:29" x14ac:dyDescent="0.35">
      <c r="A6" s="12"/>
      <c r="B6" s="12" t="s">
        <v>9</v>
      </c>
      <c r="C6" s="21">
        <f t="shared" ref="C6:C46" si="3">MROUND(AC6,100)</f>
        <v>624500</v>
      </c>
      <c r="D6" s="12"/>
      <c r="E6" s="21">
        <v>274</v>
      </c>
      <c r="F6" s="23">
        <v>43.878051045866975</v>
      </c>
      <c r="G6" s="12">
        <f t="shared" si="0"/>
        <v>20</v>
      </c>
      <c r="H6" s="12"/>
      <c r="I6" s="12">
        <v>5</v>
      </c>
      <c r="J6" s="23">
        <v>0.80069436215085721</v>
      </c>
      <c r="K6" s="12">
        <f t="shared" si="1"/>
        <v>29</v>
      </c>
      <c r="L6" s="12"/>
      <c r="M6" s="21">
        <v>9</v>
      </c>
      <c r="N6" s="23">
        <v>1.4412498518715431</v>
      </c>
      <c r="O6" s="12">
        <f t="shared" si="2"/>
        <v>42</v>
      </c>
      <c r="P6" s="12"/>
      <c r="Q6" s="12">
        <v>3</v>
      </c>
      <c r="R6" s="23">
        <v>0.48041661729051433</v>
      </c>
      <c r="S6" s="12">
        <f t="shared" ref="S6:S46" si="4">RANK(R6,$R$5:$R$46,0)</f>
        <v>40</v>
      </c>
      <c r="T6" s="12"/>
      <c r="U6" s="12">
        <v>2</v>
      </c>
      <c r="V6" s="22">
        <v>0.32027774486034288</v>
      </c>
      <c r="W6" s="12">
        <f t="shared" ref="W6:W46" si="5">RANK(V6,$V$5:$V$46,0)</f>
        <v>30</v>
      </c>
      <c r="X6" s="12"/>
      <c r="Y6" s="19">
        <v>295</v>
      </c>
      <c r="Z6" s="37">
        <v>47.240967366900577</v>
      </c>
      <c r="AA6" s="13">
        <f t="shared" ref="AA6:AA46" si="6">RANK(Z6,$Z$5:$Z$46,0)</f>
        <v>29</v>
      </c>
      <c r="AB6" s="12"/>
      <c r="AC6">
        <v>624458</v>
      </c>
    </row>
    <row r="7" spans="1:29" x14ac:dyDescent="0.35">
      <c r="A7" s="12"/>
      <c r="B7" s="12" t="s">
        <v>11</v>
      </c>
      <c r="C7" s="21">
        <f t="shared" si="3"/>
        <v>812500</v>
      </c>
      <c r="D7" s="12"/>
      <c r="E7" s="21">
        <v>224</v>
      </c>
      <c r="F7" s="23">
        <v>27.569095044455167</v>
      </c>
      <c r="G7" s="12">
        <f t="shared" si="0"/>
        <v>38</v>
      </c>
      <c r="H7" s="12"/>
      <c r="I7" s="12">
        <v>12</v>
      </c>
      <c r="J7" s="23">
        <v>1.4769158059529552</v>
      </c>
      <c r="K7" s="12">
        <f t="shared" si="1"/>
        <v>19</v>
      </c>
      <c r="L7" s="12"/>
      <c r="M7" s="21">
        <v>15</v>
      </c>
      <c r="N7" s="23">
        <v>1.8461447574411942</v>
      </c>
      <c r="O7" s="12">
        <f t="shared" si="2"/>
        <v>39</v>
      </c>
      <c r="P7" s="12"/>
      <c r="Q7" s="12">
        <v>3</v>
      </c>
      <c r="R7" s="23">
        <v>0.36922895148823881</v>
      </c>
      <c r="S7" s="12">
        <f t="shared" si="4"/>
        <v>42</v>
      </c>
      <c r="T7" s="12"/>
      <c r="U7" s="12">
        <v>3</v>
      </c>
      <c r="V7" s="22">
        <v>0.36922895148823881</v>
      </c>
      <c r="W7" s="12">
        <f t="shared" si="5"/>
        <v>28</v>
      </c>
      <c r="X7" s="12"/>
      <c r="Y7" s="19">
        <v>245</v>
      </c>
      <c r="Z7" s="37">
        <v>30.153697704872837</v>
      </c>
      <c r="AA7" s="13">
        <f t="shared" si="6"/>
        <v>39</v>
      </c>
      <c r="AB7" s="12"/>
      <c r="AC7">
        <v>812504</v>
      </c>
    </row>
    <row r="8" spans="1:29" x14ac:dyDescent="0.35">
      <c r="A8" s="12"/>
      <c r="B8" s="12" t="s">
        <v>12</v>
      </c>
      <c r="C8" s="21">
        <f t="shared" si="3"/>
        <v>1032200</v>
      </c>
      <c r="D8" s="12"/>
      <c r="E8" s="21">
        <v>438</v>
      </c>
      <c r="F8" s="23">
        <v>42.434335771854414</v>
      </c>
      <c r="G8" s="12">
        <f t="shared" si="0"/>
        <v>23</v>
      </c>
      <c r="H8" s="12"/>
      <c r="I8" s="12">
        <v>2</v>
      </c>
      <c r="J8" s="23">
        <v>0.19376409028244021</v>
      </c>
      <c r="K8" s="12">
        <f t="shared" si="1"/>
        <v>39</v>
      </c>
      <c r="L8" s="12"/>
      <c r="M8" s="21">
        <v>63</v>
      </c>
      <c r="N8" s="23">
        <v>6.1035688438968672</v>
      </c>
      <c r="O8" s="12">
        <f t="shared" si="2"/>
        <v>19</v>
      </c>
      <c r="P8" s="12"/>
      <c r="Q8" s="12">
        <v>27</v>
      </c>
      <c r="R8" s="23">
        <v>2.6158152188129433</v>
      </c>
      <c r="S8" s="12">
        <f t="shared" si="4"/>
        <v>25</v>
      </c>
      <c r="T8" s="12"/>
      <c r="U8" s="12">
        <v>10</v>
      </c>
      <c r="V8" s="22">
        <v>0.96882045141220119</v>
      </c>
      <c r="W8" s="12">
        <f t="shared" si="5"/>
        <v>12</v>
      </c>
      <c r="X8" s="12"/>
      <c r="Y8" s="19">
        <v>539</v>
      </c>
      <c r="Z8" s="37">
        <v>52.219422331117642</v>
      </c>
      <c r="AA8" s="13">
        <f t="shared" si="6"/>
        <v>22</v>
      </c>
      <c r="AB8" s="12"/>
      <c r="AC8">
        <v>1032183</v>
      </c>
    </row>
    <row r="9" spans="1:29" x14ac:dyDescent="0.35">
      <c r="A9" s="12"/>
      <c r="B9" s="12" t="s">
        <v>13</v>
      </c>
      <c r="C9" s="21">
        <f t="shared" si="3"/>
        <v>558500</v>
      </c>
      <c r="D9" s="12"/>
      <c r="E9" s="21">
        <v>328</v>
      </c>
      <c r="F9" s="23">
        <v>58.733995881457609</v>
      </c>
      <c r="G9" s="12">
        <f t="shared" si="0"/>
        <v>9</v>
      </c>
      <c r="H9" s="12"/>
      <c r="I9" s="12">
        <v>8</v>
      </c>
      <c r="J9" s="23">
        <v>1.4325364849136002</v>
      </c>
      <c r="K9" s="12">
        <f t="shared" si="1"/>
        <v>21</v>
      </c>
      <c r="L9" s="12"/>
      <c r="M9" s="21">
        <v>9</v>
      </c>
      <c r="N9" s="23">
        <v>1.6116035455278002</v>
      </c>
      <c r="O9" s="12">
        <f t="shared" si="2"/>
        <v>41</v>
      </c>
      <c r="P9" s="12"/>
      <c r="Q9" s="12">
        <v>9</v>
      </c>
      <c r="R9" s="23">
        <v>1.6116035455278002</v>
      </c>
      <c r="S9" s="12">
        <f t="shared" si="4"/>
        <v>33</v>
      </c>
      <c r="T9" s="12"/>
      <c r="U9" s="12">
        <v>7</v>
      </c>
      <c r="V9" s="22">
        <v>1.2534694242994</v>
      </c>
      <c r="W9" s="12">
        <f t="shared" si="5"/>
        <v>5</v>
      </c>
      <c r="X9" s="12"/>
      <c r="Y9" s="19">
        <v>359</v>
      </c>
      <c r="Z9" s="37">
        <v>64.285074760497807</v>
      </c>
      <c r="AA9" s="13">
        <f t="shared" si="6"/>
        <v>13</v>
      </c>
      <c r="AB9" s="12"/>
      <c r="AC9">
        <v>558450</v>
      </c>
    </row>
    <row r="10" spans="1:29" x14ac:dyDescent="0.35">
      <c r="A10" s="12"/>
      <c r="B10" s="12" t="s">
        <v>14</v>
      </c>
      <c r="C10" s="21">
        <f t="shared" si="3"/>
        <v>499200</v>
      </c>
      <c r="D10" s="12"/>
      <c r="E10" s="21">
        <v>142</v>
      </c>
      <c r="F10" s="23">
        <v>28.445227912380684</v>
      </c>
      <c r="G10" s="12">
        <f t="shared" si="0"/>
        <v>36</v>
      </c>
      <c r="H10" s="12"/>
      <c r="I10" s="12">
        <v>15</v>
      </c>
      <c r="J10" s="23">
        <v>3.0047775963782413</v>
      </c>
      <c r="K10" s="12">
        <f t="shared" si="1"/>
        <v>7</v>
      </c>
      <c r="L10" s="12"/>
      <c r="M10" s="21">
        <v>40</v>
      </c>
      <c r="N10" s="23">
        <v>8.0127402570086446</v>
      </c>
      <c r="O10" s="12">
        <f t="shared" si="2"/>
        <v>9</v>
      </c>
      <c r="P10" s="12"/>
      <c r="Q10" s="12">
        <v>20</v>
      </c>
      <c r="R10" s="23">
        <v>4.0063701285043223</v>
      </c>
      <c r="S10" s="12">
        <f t="shared" si="4"/>
        <v>17</v>
      </c>
      <c r="T10" s="12"/>
      <c r="U10" s="12">
        <v>6</v>
      </c>
      <c r="V10" s="22">
        <v>1.2019110385512966</v>
      </c>
      <c r="W10" s="12">
        <f t="shared" si="5"/>
        <v>8</v>
      </c>
      <c r="X10" s="12"/>
      <c r="Y10" s="19">
        <v>206</v>
      </c>
      <c r="Z10" s="37">
        <v>41.265612323594517</v>
      </c>
      <c r="AA10" s="13">
        <f t="shared" si="6"/>
        <v>33</v>
      </c>
      <c r="AB10" s="12"/>
      <c r="AC10">
        <v>499205</v>
      </c>
    </row>
    <row r="11" spans="1:29" x14ac:dyDescent="0.35">
      <c r="A11" s="12"/>
      <c r="B11" s="12" t="s">
        <v>15</v>
      </c>
      <c r="C11" s="21">
        <f t="shared" si="3"/>
        <v>1024300</v>
      </c>
      <c r="D11" s="12"/>
      <c r="E11" s="21">
        <v>400</v>
      </c>
      <c r="F11" s="23">
        <v>39.050754265318631</v>
      </c>
      <c r="G11" s="12">
        <f t="shared" si="0"/>
        <v>29</v>
      </c>
      <c r="H11" s="12"/>
      <c r="I11" s="12">
        <v>10</v>
      </c>
      <c r="J11" s="23">
        <v>0.97626885663296581</v>
      </c>
      <c r="K11" s="12">
        <f t="shared" si="1"/>
        <v>25</v>
      </c>
      <c r="L11" s="12"/>
      <c r="M11" s="21">
        <v>56</v>
      </c>
      <c r="N11" s="23">
        <v>5.4671055971446094</v>
      </c>
      <c r="O11" s="12">
        <f t="shared" si="2"/>
        <v>23</v>
      </c>
      <c r="P11" s="12"/>
      <c r="Q11" s="12">
        <v>45</v>
      </c>
      <c r="R11" s="23">
        <v>4.3932098548483465</v>
      </c>
      <c r="S11" s="12">
        <f t="shared" si="4"/>
        <v>14</v>
      </c>
      <c r="T11" s="12"/>
      <c r="U11" s="12">
        <v>7</v>
      </c>
      <c r="V11" s="22">
        <v>0.68338819964307618</v>
      </c>
      <c r="W11" s="12">
        <f t="shared" si="5"/>
        <v>18</v>
      </c>
      <c r="X11" s="12"/>
      <c r="Y11" s="19">
        <v>511</v>
      </c>
      <c r="Z11" s="37">
        <v>49.887338573944554</v>
      </c>
      <c r="AA11" s="13">
        <f t="shared" si="6"/>
        <v>23</v>
      </c>
      <c r="AB11" s="12"/>
      <c r="AC11">
        <v>1024308</v>
      </c>
    </row>
    <row r="12" spans="1:29" x14ac:dyDescent="0.35">
      <c r="A12" s="12"/>
      <c r="B12" s="12" t="s">
        <v>54</v>
      </c>
      <c r="C12" s="21">
        <f t="shared" si="3"/>
        <v>1682900</v>
      </c>
      <c r="D12" s="12"/>
      <c r="E12" s="21">
        <v>730</v>
      </c>
      <c r="F12" s="23">
        <v>43.378688822678612</v>
      </c>
      <c r="G12" s="12">
        <f t="shared" si="0"/>
        <v>21</v>
      </c>
      <c r="H12" s="12"/>
      <c r="I12" s="12">
        <v>15</v>
      </c>
      <c r="J12" s="23">
        <v>0.89134292101394408</v>
      </c>
      <c r="K12" s="12">
        <f t="shared" si="1"/>
        <v>28</v>
      </c>
      <c r="L12" s="12"/>
      <c r="M12" s="21">
        <v>122</v>
      </c>
      <c r="N12" s="23">
        <v>7.2495890909134122</v>
      </c>
      <c r="O12" s="12">
        <f t="shared" si="2"/>
        <v>14</v>
      </c>
      <c r="P12" s="12"/>
      <c r="Q12" s="12">
        <v>73</v>
      </c>
      <c r="R12" s="23">
        <v>4.3378688822678617</v>
      </c>
      <c r="S12" s="12">
        <f t="shared" si="4"/>
        <v>16</v>
      </c>
      <c r="T12" s="12"/>
      <c r="U12" s="12">
        <v>21</v>
      </c>
      <c r="V12" s="22">
        <v>1.2478800894195219</v>
      </c>
      <c r="W12" s="12">
        <f t="shared" si="5"/>
        <v>6</v>
      </c>
      <c r="X12" s="12"/>
      <c r="Y12" s="19">
        <v>961</v>
      </c>
      <c r="Z12" s="37">
        <v>57.105369806293361</v>
      </c>
      <c r="AA12" s="13">
        <f t="shared" si="6"/>
        <v>18</v>
      </c>
      <c r="AB12" s="12"/>
      <c r="AC12">
        <v>1682854</v>
      </c>
    </row>
    <row r="13" spans="1:29" x14ac:dyDescent="0.35">
      <c r="A13" s="12"/>
      <c r="B13" s="12" t="s">
        <v>17</v>
      </c>
      <c r="C13" s="21">
        <f t="shared" si="3"/>
        <v>749800</v>
      </c>
      <c r="D13" s="12"/>
      <c r="E13" s="21">
        <v>155</v>
      </c>
      <c r="F13" s="23">
        <v>20.673447557465515</v>
      </c>
      <c r="G13" s="12">
        <f t="shared" si="0"/>
        <v>40</v>
      </c>
      <c r="H13" s="12"/>
      <c r="I13" s="12">
        <v>2</v>
      </c>
      <c r="J13" s="23">
        <v>0.26675416203181307</v>
      </c>
      <c r="K13" s="12">
        <f t="shared" si="1"/>
        <v>38</v>
      </c>
      <c r="L13" s="12"/>
      <c r="M13" s="21">
        <v>18</v>
      </c>
      <c r="N13" s="23">
        <v>2.4007874582863176</v>
      </c>
      <c r="O13" s="12">
        <f t="shared" si="2"/>
        <v>37</v>
      </c>
      <c r="P13" s="12"/>
      <c r="Q13" s="12">
        <v>7</v>
      </c>
      <c r="R13" s="23">
        <v>0.93363956711134599</v>
      </c>
      <c r="S13" s="12">
        <f t="shared" si="4"/>
        <v>37</v>
      </c>
      <c r="T13" s="12"/>
      <c r="U13" s="12">
        <v>1</v>
      </c>
      <c r="V13" s="22">
        <v>0.13337708101590653</v>
      </c>
      <c r="W13" s="12">
        <f t="shared" si="5"/>
        <v>35</v>
      </c>
      <c r="X13" s="12"/>
      <c r="Y13" s="19">
        <v>181</v>
      </c>
      <c r="Z13" s="37">
        <v>24.141251663879085</v>
      </c>
      <c r="AA13" s="13">
        <f t="shared" si="6"/>
        <v>40</v>
      </c>
      <c r="AB13" s="12"/>
      <c r="AC13">
        <v>749754</v>
      </c>
    </row>
    <row r="14" spans="1:29" x14ac:dyDescent="0.35">
      <c r="A14" s="12"/>
      <c r="B14" s="12" t="s">
        <v>18</v>
      </c>
      <c r="C14" s="21">
        <f t="shared" si="3"/>
        <v>619800</v>
      </c>
      <c r="D14" s="12"/>
      <c r="E14" s="21">
        <v>169</v>
      </c>
      <c r="F14" s="23">
        <v>27.26844411743825</v>
      </c>
      <c r="G14" s="12">
        <f t="shared" si="0"/>
        <v>39</v>
      </c>
      <c r="H14" s="12"/>
      <c r="I14" s="12">
        <v>22</v>
      </c>
      <c r="J14" s="23">
        <v>3.5497382874771684</v>
      </c>
      <c r="K14" s="12">
        <f t="shared" si="1"/>
        <v>4</v>
      </c>
      <c r="L14" s="12"/>
      <c r="M14" s="21">
        <v>51</v>
      </c>
      <c r="N14" s="23">
        <v>8.228938757333438</v>
      </c>
      <c r="O14" s="12">
        <f t="shared" si="2"/>
        <v>7</v>
      </c>
      <c r="P14" s="12"/>
      <c r="Q14" s="12">
        <v>24</v>
      </c>
      <c r="R14" s="23">
        <v>3.8724417681569112</v>
      </c>
      <c r="S14" s="12">
        <f t="shared" si="4"/>
        <v>18</v>
      </c>
      <c r="T14" s="12"/>
      <c r="U14" s="12">
        <v>8</v>
      </c>
      <c r="V14" s="22">
        <v>1.2908139227189703</v>
      </c>
      <c r="W14" s="12">
        <f t="shared" si="5"/>
        <v>4</v>
      </c>
      <c r="X14" s="12"/>
      <c r="Y14" s="19">
        <v>249</v>
      </c>
      <c r="Z14" s="37">
        <v>40.176583344627957</v>
      </c>
      <c r="AA14" s="13">
        <f t="shared" si="6"/>
        <v>36</v>
      </c>
      <c r="AB14" s="12"/>
      <c r="AC14">
        <v>619764</v>
      </c>
    </row>
    <row r="15" spans="1:29" x14ac:dyDescent="0.35">
      <c r="A15" s="12"/>
      <c r="B15" s="12" t="s">
        <v>19</v>
      </c>
      <c r="C15" s="21">
        <f t="shared" si="3"/>
        <v>516400</v>
      </c>
      <c r="D15" s="12"/>
      <c r="E15" s="21">
        <v>73</v>
      </c>
      <c r="F15" s="23">
        <v>14.135945191261275</v>
      </c>
      <c r="G15" s="12">
        <f t="shared" si="0"/>
        <v>42</v>
      </c>
      <c r="H15" s="12"/>
      <c r="I15" s="12">
        <v>1</v>
      </c>
      <c r="J15" s="23">
        <v>0.19364308481179826</v>
      </c>
      <c r="K15" s="12">
        <f t="shared" si="1"/>
        <v>40</v>
      </c>
      <c r="L15" s="12"/>
      <c r="M15" s="21">
        <v>9</v>
      </c>
      <c r="N15" s="23">
        <v>1.7427877633061848</v>
      </c>
      <c r="O15" s="12">
        <f t="shared" si="2"/>
        <v>40</v>
      </c>
      <c r="P15" s="12"/>
      <c r="Q15" s="12">
        <v>8</v>
      </c>
      <c r="R15" s="23">
        <v>1.5491446784943861</v>
      </c>
      <c r="S15" s="12">
        <f t="shared" si="4"/>
        <v>34</v>
      </c>
      <c r="T15" s="12"/>
      <c r="U15" s="12">
        <v>0</v>
      </c>
      <c r="V15" s="22">
        <v>0</v>
      </c>
      <c r="W15" s="12">
        <f t="shared" si="5"/>
        <v>38</v>
      </c>
      <c r="X15" s="12"/>
      <c r="Y15" s="19">
        <v>91</v>
      </c>
      <c r="Z15" s="37">
        <v>17.621520717873647</v>
      </c>
      <c r="AA15" s="13">
        <f t="shared" si="6"/>
        <v>42</v>
      </c>
      <c r="AB15" s="12"/>
      <c r="AC15">
        <v>516414</v>
      </c>
    </row>
    <row r="16" spans="1:29" x14ac:dyDescent="0.35">
      <c r="A16" s="12"/>
      <c r="B16" s="12" t="s">
        <v>20</v>
      </c>
      <c r="C16" s="21">
        <f t="shared" si="3"/>
        <v>1742000</v>
      </c>
      <c r="D16" s="12"/>
      <c r="E16" s="21">
        <v>840</v>
      </c>
      <c r="F16" s="23">
        <v>48.220104109500966</v>
      </c>
      <c r="G16" s="12">
        <f t="shared" si="0"/>
        <v>14</v>
      </c>
      <c r="H16" s="12"/>
      <c r="I16" s="12">
        <v>17</v>
      </c>
      <c r="J16" s="23">
        <v>0.97588305935894826</v>
      </c>
      <c r="K16" s="12">
        <f t="shared" si="1"/>
        <v>26</v>
      </c>
      <c r="L16" s="12"/>
      <c r="M16" s="21">
        <v>119</v>
      </c>
      <c r="N16" s="23">
        <v>6.8311814155126376</v>
      </c>
      <c r="O16" s="12">
        <f t="shared" si="2"/>
        <v>16</v>
      </c>
      <c r="P16" s="12"/>
      <c r="Q16" s="12">
        <v>64</v>
      </c>
      <c r="R16" s="23">
        <v>3.6739126940572162</v>
      </c>
      <c r="S16" s="12">
        <f t="shared" si="4"/>
        <v>20</v>
      </c>
      <c r="T16" s="12"/>
      <c r="U16" s="12">
        <v>29</v>
      </c>
      <c r="V16" s="22">
        <v>1.664741689494676</v>
      </c>
      <c r="W16" s="12">
        <f t="shared" si="5"/>
        <v>2</v>
      </c>
      <c r="X16" s="12"/>
      <c r="Y16" s="19">
        <v>1068</v>
      </c>
      <c r="Z16" s="37">
        <v>61.308418082079804</v>
      </c>
      <c r="AA16" s="13">
        <f t="shared" si="6"/>
        <v>14</v>
      </c>
      <c r="AB16" s="12"/>
      <c r="AC16">
        <v>1742012</v>
      </c>
    </row>
    <row r="17" spans="1:29" x14ac:dyDescent="0.35">
      <c r="A17" s="12"/>
      <c r="B17" s="12" t="s">
        <v>21</v>
      </c>
      <c r="C17" s="21">
        <f t="shared" si="3"/>
        <v>602200</v>
      </c>
      <c r="D17" s="12"/>
      <c r="E17" s="21">
        <v>182</v>
      </c>
      <c r="F17" s="23">
        <v>30.221714467898561</v>
      </c>
      <c r="G17" s="12">
        <f t="shared" si="0"/>
        <v>35</v>
      </c>
      <c r="H17" s="12"/>
      <c r="I17" s="12">
        <v>4</v>
      </c>
      <c r="J17" s="23">
        <v>0.66421350478897934</v>
      </c>
      <c r="K17" s="12">
        <f t="shared" si="1"/>
        <v>33</v>
      </c>
      <c r="L17" s="12"/>
      <c r="M17" s="21">
        <v>14</v>
      </c>
      <c r="N17" s="23">
        <v>2.3247472667614275</v>
      </c>
      <c r="O17" s="12">
        <f t="shared" si="2"/>
        <v>38</v>
      </c>
      <c r="P17" s="12"/>
      <c r="Q17" s="12">
        <v>4</v>
      </c>
      <c r="R17" s="23">
        <v>0.66421350478897934</v>
      </c>
      <c r="S17" s="12">
        <f t="shared" si="4"/>
        <v>38</v>
      </c>
      <c r="T17" s="12"/>
      <c r="U17" s="12">
        <v>2</v>
      </c>
      <c r="V17" s="22">
        <v>0.33210675239448967</v>
      </c>
      <c r="W17" s="12">
        <f t="shared" si="5"/>
        <v>29</v>
      </c>
      <c r="X17" s="12"/>
      <c r="Y17" s="19">
        <v>201</v>
      </c>
      <c r="Z17" s="37">
        <v>33.376728615646215</v>
      </c>
      <c r="AA17" s="13">
        <f t="shared" si="6"/>
        <v>38</v>
      </c>
      <c r="AB17" s="12"/>
      <c r="AC17">
        <v>602216</v>
      </c>
    </row>
    <row r="18" spans="1:29" x14ac:dyDescent="0.35">
      <c r="A18" s="12"/>
      <c r="B18" s="12" t="s">
        <v>22</v>
      </c>
      <c r="C18" s="21">
        <f t="shared" si="3"/>
        <v>2701400</v>
      </c>
      <c r="D18" s="12"/>
      <c r="E18" s="21">
        <v>2729</v>
      </c>
      <c r="F18" s="23">
        <v>101.02255257226221</v>
      </c>
      <c r="G18" s="12">
        <f t="shared" si="0"/>
        <v>2</v>
      </c>
      <c r="H18" s="12"/>
      <c r="I18" s="12">
        <v>151</v>
      </c>
      <c r="J18" s="23">
        <v>5.5897418242622186</v>
      </c>
      <c r="K18" s="12">
        <f t="shared" si="1"/>
        <v>3</v>
      </c>
      <c r="L18" s="12"/>
      <c r="M18" s="21">
        <v>281</v>
      </c>
      <c r="N18" s="23">
        <v>10.402102335216446</v>
      </c>
      <c r="O18" s="12">
        <f t="shared" si="2"/>
        <v>2</v>
      </c>
      <c r="P18" s="12"/>
      <c r="Q18" s="12">
        <v>67</v>
      </c>
      <c r="R18" s="23">
        <v>2.4802165710302559</v>
      </c>
      <c r="S18" s="12">
        <f t="shared" si="4"/>
        <v>26</v>
      </c>
      <c r="T18" s="12"/>
      <c r="U18" s="12">
        <v>12</v>
      </c>
      <c r="V18" s="22">
        <v>0.44421789331885181</v>
      </c>
      <c r="W18" s="12">
        <f t="shared" si="5"/>
        <v>26</v>
      </c>
      <c r="X18" s="12"/>
      <c r="Y18" s="19">
        <v>3125</v>
      </c>
      <c r="Z18" s="37">
        <v>115.68174305178432</v>
      </c>
      <c r="AA18" s="13">
        <f t="shared" si="6"/>
        <v>2</v>
      </c>
      <c r="AB18" s="12"/>
      <c r="AC18">
        <v>2701377</v>
      </c>
    </row>
    <row r="19" spans="1:29" x14ac:dyDescent="0.35">
      <c r="A19" s="12"/>
      <c r="B19" s="12" t="s">
        <v>23</v>
      </c>
      <c r="C19" s="21">
        <f t="shared" si="3"/>
        <v>578200</v>
      </c>
      <c r="D19" s="12"/>
      <c r="E19" s="21">
        <v>189</v>
      </c>
      <c r="F19" s="23">
        <v>32.688895115345105</v>
      </c>
      <c r="G19" s="12">
        <f t="shared" si="0"/>
        <v>33</v>
      </c>
      <c r="H19" s="12"/>
      <c r="I19" s="12">
        <v>4</v>
      </c>
      <c r="J19" s="23">
        <v>0.69182846804963183</v>
      </c>
      <c r="K19" s="12">
        <f t="shared" si="1"/>
        <v>31</v>
      </c>
      <c r="L19" s="12"/>
      <c r="M19" s="21">
        <v>33</v>
      </c>
      <c r="N19" s="23">
        <v>5.7075848614094626</v>
      </c>
      <c r="O19" s="12">
        <f t="shared" si="2"/>
        <v>22</v>
      </c>
      <c r="P19" s="12"/>
      <c r="Q19" s="12">
        <v>11</v>
      </c>
      <c r="R19" s="23">
        <v>1.9025282871364873</v>
      </c>
      <c r="S19" s="12">
        <f t="shared" si="4"/>
        <v>31</v>
      </c>
      <c r="T19" s="12"/>
      <c r="U19" s="12">
        <v>3</v>
      </c>
      <c r="V19" s="22">
        <v>0.51887135103722382</v>
      </c>
      <c r="W19" s="12">
        <f t="shared" si="5"/>
        <v>25</v>
      </c>
      <c r="X19" s="12"/>
      <c r="Y19" s="19">
        <v>237</v>
      </c>
      <c r="Z19" s="37">
        <v>40.990836731940682</v>
      </c>
      <c r="AA19" s="13">
        <f t="shared" si="6"/>
        <v>34</v>
      </c>
      <c r="AB19" s="12"/>
      <c r="AC19">
        <v>578178</v>
      </c>
    </row>
    <row r="20" spans="1:29" x14ac:dyDescent="0.35">
      <c r="A20" s="12"/>
      <c r="B20" s="12" t="s">
        <v>24</v>
      </c>
      <c r="C20" s="21">
        <f t="shared" si="3"/>
        <v>1915300</v>
      </c>
      <c r="D20" s="12"/>
      <c r="E20" s="21">
        <v>844</v>
      </c>
      <c r="F20" s="23">
        <v>44.067216079730336</v>
      </c>
      <c r="G20" s="12">
        <f t="shared" si="0"/>
        <v>19</v>
      </c>
      <c r="H20" s="12"/>
      <c r="I20" s="12">
        <v>50</v>
      </c>
      <c r="J20" s="23">
        <v>2.6106170663347354</v>
      </c>
      <c r="K20" s="12">
        <f t="shared" si="1"/>
        <v>9</v>
      </c>
      <c r="L20" s="12"/>
      <c r="M20" s="21">
        <v>186</v>
      </c>
      <c r="N20" s="23">
        <v>9.7114954867652159</v>
      </c>
      <c r="O20" s="12">
        <f t="shared" si="2"/>
        <v>5</v>
      </c>
      <c r="P20" s="12"/>
      <c r="Q20" s="12">
        <v>52</v>
      </c>
      <c r="R20" s="23">
        <v>2.7150417489881247</v>
      </c>
      <c r="S20" s="12">
        <f t="shared" si="4"/>
        <v>23</v>
      </c>
      <c r="T20" s="12"/>
      <c r="U20" s="12">
        <v>0</v>
      </c>
      <c r="V20" s="22">
        <v>0</v>
      </c>
      <c r="W20" s="12">
        <f t="shared" si="5"/>
        <v>38</v>
      </c>
      <c r="X20" s="12"/>
      <c r="Y20" s="19">
        <v>1121</v>
      </c>
      <c r="Z20" s="37">
        <v>58.530034627224772</v>
      </c>
      <c r="AA20" s="13">
        <f t="shared" si="6"/>
        <v>16</v>
      </c>
      <c r="AB20" s="12"/>
      <c r="AC20">
        <v>1915256</v>
      </c>
    </row>
    <row r="21" spans="1:29" x14ac:dyDescent="0.35">
      <c r="A21" s="12"/>
      <c r="B21" s="12" t="s">
        <v>25</v>
      </c>
      <c r="C21" s="21">
        <f t="shared" si="3"/>
        <v>1129300</v>
      </c>
      <c r="D21" s="12"/>
      <c r="E21" s="21">
        <v>637</v>
      </c>
      <c r="F21" s="23">
        <v>56.407073110473739</v>
      </c>
      <c r="G21" s="12">
        <f t="shared" si="0"/>
        <v>11</v>
      </c>
      <c r="H21" s="12"/>
      <c r="I21" s="12">
        <v>26</v>
      </c>
      <c r="J21" s="23">
        <v>2.3023295147132141</v>
      </c>
      <c r="K21" s="12">
        <f t="shared" si="1"/>
        <v>11</v>
      </c>
      <c r="L21" s="12"/>
      <c r="M21" s="21">
        <v>51</v>
      </c>
      <c r="N21" s="23">
        <v>4.5161078942451507</v>
      </c>
      <c r="O21" s="12">
        <f t="shared" si="2"/>
        <v>28</v>
      </c>
      <c r="P21" s="12"/>
      <c r="Q21" s="12">
        <v>92</v>
      </c>
      <c r="R21" s="23">
        <v>8.1467044366775259</v>
      </c>
      <c r="S21" s="12">
        <f t="shared" si="4"/>
        <v>3</v>
      </c>
      <c r="T21" s="12"/>
      <c r="U21" s="12">
        <v>8</v>
      </c>
      <c r="V21" s="22">
        <v>0.70840908145021964</v>
      </c>
      <c r="W21" s="12">
        <f t="shared" si="5"/>
        <v>16</v>
      </c>
      <c r="X21" s="12"/>
      <c r="Y21" s="19">
        <v>796</v>
      </c>
      <c r="Z21" s="37">
        <v>70.486703604296864</v>
      </c>
      <c r="AA21" s="13">
        <f t="shared" si="6"/>
        <v>11</v>
      </c>
      <c r="AB21" s="12"/>
      <c r="AC21">
        <v>1129291</v>
      </c>
    </row>
    <row r="22" spans="1:29" x14ac:dyDescent="0.35">
      <c r="A22" s="12"/>
      <c r="B22" s="12" t="s">
        <v>26</v>
      </c>
      <c r="C22" s="21">
        <f t="shared" si="3"/>
        <v>921100</v>
      </c>
      <c r="D22" s="12"/>
      <c r="E22" s="21">
        <v>430</v>
      </c>
      <c r="F22" s="23">
        <v>46.685746298797461</v>
      </c>
      <c r="G22" s="12">
        <f t="shared" si="0"/>
        <v>18</v>
      </c>
      <c r="H22" s="12"/>
      <c r="I22" s="12">
        <v>3</v>
      </c>
      <c r="J22" s="23">
        <v>0.32571450906137767</v>
      </c>
      <c r="K22" s="12">
        <f t="shared" si="1"/>
        <v>37</v>
      </c>
      <c r="L22" s="12"/>
      <c r="M22" s="21">
        <v>50</v>
      </c>
      <c r="N22" s="23">
        <v>5.4285751510229607</v>
      </c>
      <c r="O22" s="12">
        <f t="shared" si="2"/>
        <v>24</v>
      </c>
      <c r="P22" s="12"/>
      <c r="Q22" s="12">
        <v>35</v>
      </c>
      <c r="R22" s="23">
        <v>3.8000026057160725</v>
      </c>
      <c r="S22" s="12">
        <f t="shared" si="4"/>
        <v>19</v>
      </c>
      <c r="T22" s="12"/>
      <c r="U22" s="12">
        <v>5</v>
      </c>
      <c r="V22" s="22">
        <v>0.54285751510229607</v>
      </c>
      <c r="W22" s="12">
        <f t="shared" si="5"/>
        <v>24</v>
      </c>
      <c r="X22" s="12"/>
      <c r="Y22" s="19">
        <v>523</v>
      </c>
      <c r="Z22" s="37">
        <v>56.782896079700166</v>
      </c>
      <c r="AA22" s="13">
        <f t="shared" si="6"/>
        <v>19</v>
      </c>
      <c r="AB22" s="12"/>
      <c r="AC22">
        <v>921052</v>
      </c>
    </row>
    <row r="23" spans="1:29" x14ac:dyDescent="0.35">
      <c r="A23" s="12"/>
      <c r="B23" s="12" t="s">
        <v>27</v>
      </c>
      <c r="C23" s="21">
        <f t="shared" si="3"/>
        <v>1748300</v>
      </c>
      <c r="D23" s="12"/>
      <c r="E23" s="21">
        <v>690</v>
      </c>
      <c r="F23" s="23">
        <v>39.467339632473269</v>
      </c>
      <c r="G23" s="12">
        <f t="shared" si="0"/>
        <v>28</v>
      </c>
      <c r="H23" s="12"/>
      <c r="I23" s="12">
        <v>12</v>
      </c>
      <c r="J23" s="23">
        <v>0.68638851534736123</v>
      </c>
      <c r="K23" s="12">
        <f t="shared" si="1"/>
        <v>32</v>
      </c>
      <c r="L23" s="12"/>
      <c r="M23" s="21">
        <v>80</v>
      </c>
      <c r="N23" s="23">
        <v>4.5759234356490746</v>
      </c>
      <c r="O23" s="12">
        <f t="shared" si="2"/>
        <v>27</v>
      </c>
      <c r="P23" s="12"/>
      <c r="Q23" s="12">
        <v>32</v>
      </c>
      <c r="R23" s="23">
        <v>1.8303693742596299</v>
      </c>
      <c r="S23" s="12">
        <f t="shared" si="4"/>
        <v>32</v>
      </c>
      <c r="T23" s="12"/>
      <c r="U23" s="12">
        <v>1</v>
      </c>
      <c r="V23" s="22">
        <v>5.7199042945613433E-2</v>
      </c>
      <c r="W23" s="12">
        <f t="shared" si="5"/>
        <v>37</v>
      </c>
      <c r="X23" s="12"/>
      <c r="Y23" s="19">
        <v>810</v>
      </c>
      <c r="Z23" s="37">
        <v>46.33122478594688</v>
      </c>
      <c r="AA23" s="13">
        <f t="shared" si="6"/>
        <v>31</v>
      </c>
      <c r="AB23" s="12"/>
      <c r="AC23">
        <v>1748281</v>
      </c>
    </row>
    <row r="24" spans="1:29" x14ac:dyDescent="0.35">
      <c r="A24" s="12"/>
      <c r="B24" s="12" t="s">
        <v>28</v>
      </c>
      <c r="C24" s="21">
        <f t="shared" si="3"/>
        <v>1465300</v>
      </c>
      <c r="D24" s="12"/>
      <c r="E24" s="21">
        <v>625</v>
      </c>
      <c r="F24" s="23">
        <v>42.654516840344485</v>
      </c>
      <c r="G24" s="12">
        <f t="shared" si="0"/>
        <v>22</v>
      </c>
      <c r="H24" s="12"/>
      <c r="I24" s="12">
        <v>47</v>
      </c>
      <c r="J24" s="23">
        <v>3.2076196663939047</v>
      </c>
      <c r="K24" s="12">
        <f t="shared" si="1"/>
        <v>6</v>
      </c>
      <c r="L24" s="12"/>
      <c r="M24" s="21">
        <v>74</v>
      </c>
      <c r="N24" s="23">
        <v>5.0502947938967875</v>
      </c>
      <c r="O24" s="12">
        <f t="shared" si="2"/>
        <v>25</v>
      </c>
      <c r="P24" s="12"/>
      <c r="Q24" s="12">
        <v>65</v>
      </c>
      <c r="R24" s="23">
        <v>4.4360697513958263</v>
      </c>
      <c r="S24" s="12">
        <f t="shared" si="4"/>
        <v>13</v>
      </c>
      <c r="T24" s="12"/>
      <c r="U24" s="12">
        <v>10</v>
      </c>
      <c r="V24" s="22">
        <v>0.68247226944551176</v>
      </c>
      <c r="W24" s="12">
        <f t="shared" si="5"/>
        <v>19</v>
      </c>
      <c r="X24" s="12"/>
      <c r="Y24" s="19">
        <v>777</v>
      </c>
      <c r="Z24" s="37">
        <v>53.028095335916262</v>
      </c>
      <c r="AA24" s="13">
        <f t="shared" si="6"/>
        <v>21</v>
      </c>
      <c r="AB24" s="12"/>
      <c r="AC24">
        <v>1465261</v>
      </c>
    </row>
    <row r="25" spans="1:29" x14ac:dyDescent="0.35">
      <c r="A25" s="12"/>
      <c r="B25" s="12" t="s">
        <v>29</v>
      </c>
      <c r="C25" s="21">
        <f t="shared" si="3"/>
        <v>1025300</v>
      </c>
      <c r="D25" s="12"/>
      <c r="E25" s="21">
        <v>750</v>
      </c>
      <c r="F25" s="23">
        <v>73.14611179651726</v>
      </c>
      <c r="G25" s="12">
        <f t="shared" si="0"/>
        <v>6</v>
      </c>
      <c r="H25" s="12"/>
      <c r="I25" s="12">
        <v>63</v>
      </c>
      <c r="J25" s="23">
        <v>6.1442733909074505</v>
      </c>
      <c r="K25" s="12">
        <f t="shared" si="1"/>
        <v>2</v>
      </c>
      <c r="L25" s="12"/>
      <c r="M25" s="21">
        <v>76</v>
      </c>
      <c r="N25" s="23">
        <v>7.4121393287137494</v>
      </c>
      <c r="O25" s="12">
        <f t="shared" si="2"/>
        <v>12</v>
      </c>
      <c r="P25" s="12"/>
      <c r="Q25" s="12">
        <v>49</v>
      </c>
      <c r="R25" s="23">
        <v>4.778879304039128</v>
      </c>
      <c r="S25" s="12">
        <f t="shared" si="4"/>
        <v>9</v>
      </c>
      <c r="T25" s="12"/>
      <c r="U25" s="12">
        <v>11</v>
      </c>
      <c r="V25" s="22">
        <v>1.0728096396822533</v>
      </c>
      <c r="W25" s="12">
        <f t="shared" si="5"/>
        <v>10</v>
      </c>
      <c r="X25" s="12"/>
      <c r="Y25" s="19">
        <v>918</v>
      </c>
      <c r="Z25" s="37">
        <v>89.530840838937138</v>
      </c>
      <c r="AA25" s="13">
        <f t="shared" si="6"/>
        <v>5</v>
      </c>
      <c r="AB25" s="12"/>
      <c r="AC25">
        <v>1025345</v>
      </c>
    </row>
    <row r="26" spans="1:29" x14ac:dyDescent="0.35">
      <c r="A26" s="12"/>
      <c r="B26" s="12" t="s">
        <v>30</v>
      </c>
      <c r="C26" s="21">
        <f t="shared" si="3"/>
        <v>719200</v>
      </c>
      <c r="D26" s="12"/>
      <c r="E26" s="21">
        <v>199</v>
      </c>
      <c r="F26" s="23">
        <v>27.670248503859934</v>
      </c>
      <c r="G26" s="12">
        <f t="shared" si="0"/>
        <v>37</v>
      </c>
      <c r="H26" s="12"/>
      <c r="I26" s="12">
        <v>11</v>
      </c>
      <c r="J26" s="23">
        <v>1.5295112238314534</v>
      </c>
      <c r="K26" s="12">
        <f t="shared" si="1"/>
        <v>18</v>
      </c>
      <c r="L26" s="12"/>
      <c r="M26" s="21">
        <v>26</v>
      </c>
      <c r="N26" s="23">
        <v>3.615208347237981</v>
      </c>
      <c r="O26" s="12">
        <f t="shared" si="2"/>
        <v>33</v>
      </c>
      <c r="P26" s="12"/>
      <c r="Q26" s="12">
        <v>14</v>
      </c>
      <c r="R26" s="23">
        <v>1.946650648512759</v>
      </c>
      <c r="S26" s="12">
        <f t="shared" si="4"/>
        <v>30</v>
      </c>
      <c r="T26" s="12"/>
      <c r="U26" s="12">
        <v>6</v>
      </c>
      <c r="V26" s="22">
        <v>0.83427884936261099</v>
      </c>
      <c r="W26" s="12">
        <f t="shared" si="5"/>
        <v>13</v>
      </c>
      <c r="X26" s="12"/>
      <c r="Y26" s="19">
        <v>249</v>
      </c>
      <c r="Z26" s="37">
        <v>34.622572248548352</v>
      </c>
      <c r="AA26" s="13">
        <f t="shared" si="6"/>
        <v>37</v>
      </c>
      <c r="AB26" s="12"/>
      <c r="AC26">
        <v>719184</v>
      </c>
    </row>
    <row r="27" spans="1:29" x14ac:dyDescent="0.35">
      <c r="A27" s="12"/>
      <c r="B27" s="12" t="s">
        <v>32</v>
      </c>
      <c r="C27" s="21">
        <f t="shared" si="3"/>
        <v>1386400</v>
      </c>
      <c r="D27" s="12"/>
      <c r="E27" s="21">
        <v>1047</v>
      </c>
      <c r="F27" s="23">
        <v>75.516933969204672</v>
      </c>
      <c r="G27" s="12">
        <f t="shared" si="0"/>
        <v>4</v>
      </c>
      <c r="H27" s="12"/>
      <c r="I27" s="12">
        <v>26</v>
      </c>
      <c r="J27" s="23">
        <v>1.8753011300853117</v>
      </c>
      <c r="K27" s="12">
        <f t="shared" si="1"/>
        <v>14</v>
      </c>
      <c r="L27" s="12"/>
      <c r="M27" s="21">
        <v>141</v>
      </c>
      <c r="N27" s="23">
        <v>10.169902282385729</v>
      </c>
      <c r="O27" s="12">
        <f t="shared" si="2"/>
        <v>3</v>
      </c>
      <c r="P27" s="12"/>
      <c r="Q27" s="12">
        <v>110</v>
      </c>
      <c r="R27" s="23">
        <v>7.9339663195917041</v>
      </c>
      <c r="S27" s="12">
        <f t="shared" si="4"/>
        <v>4</v>
      </c>
      <c r="T27" s="12"/>
      <c r="U27" s="12">
        <v>8</v>
      </c>
      <c r="V27" s="22">
        <v>0.5770157323339421</v>
      </c>
      <c r="W27" s="12">
        <f t="shared" si="5"/>
        <v>22</v>
      </c>
      <c r="X27" s="12"/>
      <c r="Y27" s="19">
        <v>1318</v>
      </c>
      <c r="Z27" s="37">
        <v>95.063341902016958</v>
      </c>
      <c r="AA27" s="13">
        <f t="shared" si="6"/>
        <v>4</v>
      </c>
      <c r="AB27" s="12"/>
      <c r="AC27">
        <v>1386444</v>
      </c>
    </row>
    <row r="28" spans="1:29" x14ac:dyDescent="0.35">
      <c r="A28" s="12"/>
      <c r="B28" s="12" t="s">
        <v>33</v>
      </c>
      <c r="C28" s="21">
        <f t="shared" si="3"/>
        <v>8308800</v>
      </c>
      <c r="D28" s="12"/>
      <c r="E28" s="21">
        <v>9453</v>
      </c>
      <c r="F28" s="23">
        <v>115.1300885964579</v>
      </c>
      <c r="G28" s="12">
        <f t="shared" si="0"/>
        <v>1</v>
      </c>
      <c r="H28" s="12"/>
      <c r="I28" s="12">
        <v>634</v>
      </c>
      <c r="J28" s="23">
        <v>7.7216202443831907</v>
      </c>
      <c r="K28" s="12">
        <f t="shared" si="1"/>
        <v>1</v>
      </c>
      <c r="L28" s="12"/>
      <c r="M28" s="21">
        <v>1142</v>
      </c>
      <c r="N28" s="23">
        <v>13.908659809283288</v>
      </c>
      <c r="O28" s="12">
        <f t="shared" si="2"/>
        <v>1</v>
      </c>
      <c r="P28" s="12"/>
      <c r="Q28" s="12">
        <v>108</v>
      </c>
      <c r="R28" s="23">
        <v>1.3153548681283669</v>
      </c>
      <c r="S28" s="12">
        <f t="shared" si="4"/>
        <v>35</v>
      </c>
      <c r="T28" s="12"/>
      <c r="U28" s="12">
        <v>50</v>
      </c>
      <c r="V28" s="22">
        <v>0.60896058709646617</v>
      </c>
      <c r="W28" s="12">
        <f t="shared" si="5"/>
        <v>21</v>
      </c>
      <c r="X28" s="12"/>
      <c r="Y28" s="19">
        <v>10449</v>
      </c>
      <c r="Z28" s="37">
        <v>127.26058349141951</v>
      </c>
      <c r="AA28" s="13">
        <f t="shared" si="6"/>
        <v>1</v>
      </c>
      <c r="AB28" s="12"/>
      <c r="AC28">
        <v>8308833</v>
      </c>
    </row>
    <row r="29" spans="1:29" x14ac:dyDescent="0.35">
      <c r="A29" s="12"/>
      <c r="B29" s="12" t="s">
        <v>34</v>
      </c>
      <c r="C29" s="21">
        <f t="shared" si="3"/>
        <v>864800</v>
      </c>
      <c r="D29" s="12"/>
      <c r="E29" s="21">
        <v>266</v>
      </c>
      <c r="F29" s="23">
        <v>30.756885321912428</v>
      </c>
      <c r="G29" s="12">
        <f t="shared" si="0"/>
        <v>34</v>
      </c>
      <c r="H29" s="12"/>
      <c r="I29" s="12">
        <v>8</v>
      </c>
      <c r="J29" s="23">
        <v>0.92501910742593774</v>
      </c>
      <c r="K29" s="12">
        <f t="shared" si="1"/>
        <v>27</v>
      </c>
      <c r="L29" s="12"/>
      <c r="M29" s="21">
        <v>50</v>
      </c>
      <c r="N29" s="23">
        <v>5.7813694214121112</v>
      </c>
      <c r="O29" s="12">
        <f t="shared" si="2"/>
        <v>21</v>
      </c>
      <c r="P29" s="12"/>
      <c r="Q29" s="12">
        <v>77</v>
      </c>
      <c r="R29" s="23">
        <v>8.9033089089746511</v>
      </c>
      <c r="S29" s="12">
        <f t="shared" si="4"/>
        <v>2</v>
      </c>
      <c r="T29" s="12"/>
      <c r="U29" s="12">
        <v>10</v>
      </c>
      <c r="V29" s="22">
        <v>1.1562738842824223</v>
      </c>
      <c r="W29" s="12">
        <f t="shared" si="5"/>
        <v>9</v>
      </c>
      <c r="X29" s="12"/>
      <c r="Y29" s="19">
        <v>411</v>
      </c>
      <c r="Z29" s="37">
        <v>47.522856644007554</v>
      </c>
      <c r="AA29" s="13">
        <f t="shared" si="6"/>
        <v>28</v>
      </c>
      <c r="AB29" s="12"/>
      <c r="AC29">
        <v>864847</v>
      </c>
    </row>
    <row r="30" spans="1:29" x14ac:dyDescent="0.35">
      <c r="A30" s="12"/>
      <c r="B30" s="12" t="s">
        <v>35</v>
      </c>
      <c r="C30" s="21">
        <f t="shared" si="3"/>
        <v>689900</v>
      </c>
      <c r="D30" s="12"/>
      <c r="E30" s="21">
        <v>325</v>
      </c>
      <c r="F30" s="23">
        <v>47.106637832572865</v>
      </c>
      <c r="G30" s="12">
        <f t="shared" si="0"/>
        <v>16</v>
      </c>
      <c r="H30" s="12"/>
      <c r="I30" s="12">
        <v>7</v>
      </c>
      <c r="J30" s="23">
        <v>1.0146045071631078</v>
      </c>
      <c r="K30" s="12">
        <f t="shared" si="1"/>
        <v>24</v>
      </c>
      <c r="L30" s="12"/>
      <c r="M30" s="21">
        <v>56</v>
      </c>
      <c r="N30" s="23">
        <v>8.1168360573048624</v>
      </c>
      <c r="O30" s="12">
        <f t="shared" si="2"/>
        <v>8</v>
      </c>
      <c r="P30" s="12"/>
      <c r="Q30" s="12">
        <v>32</v>
      </c>
      <c r="R30" s="23">
        <v>4.6381920327456356</v>
      </c>
      <c r="S30" s="12">
        <f t="shared" si="4"/>
        <v>11</v>
      </c>
      <c r="T30" s="12"/>
      <c r="U30" s="12">
        <v>7</v>
      </c>
      <c r="V30" s="22">
        <v>1.0146045071631078</v>
      </c>
      <c r="W30" s="12">
        <f t="shared" si="5"/>
        <v>11</v>
      </c>
      <c r="X30" s="12"/>
      <c r="Y30" s="19">
        <v>418</v>
      </c>
      <c r="Z30" s="37">
        <v>60.586383427739868</v>
      </c>
      <c r="AA30" s="13">
        <f t="shared" si="6"/>
        <v>15</v>
      </c>
      <c r="AB30" s="12"/>
      <c r="AC30">
        <v>689924</v>
      </c>
    </row>
    <row r="31" spans="1:29" x14ac:dyDescent="0.35">
      <c r="A31" s="12"/>
      <c r="B31" s="12" t="s">
        <v>36</v>
      </c>
      <c r="C31" s="21">
        <f t="shared" si="3"/>
        <v>803100</v>
      </c>
      <c r="D31" s="12"/>
      <c r="E31" s="21">
        <v>164</v>
      </c>
      <c r="F31" s="23">
        <v>20.421504840768296</v>
      </c>
      <c r="G31" s="12">
        <f t="shared" si="0"/>
        <v>41</v>
      </c>
      <c r="H31" s="12"/>
      <c r="I31" s="12">
        <v>1</v>
      </c>
      <c r="J31" s="23">
        <v>0.12452137098029449</v>
      </c>
      <c r="K31" s="12">
        <f t="shared" si="1"/>
        <v>42</v>
      </c>
      <c r="L31" s="12"/>
      <c r="M31" s="21">
        <v>23</v>
      </c>
      <c r="N31" s="23">
        <v>2.8639915325467733</v>
      </c>
      <c r="O31" s="12">
        <f t="shared" si="2"/>
        <v>35</v>
      </c>
      <c r="P31" s="12"/>
      <c r="Q31" s="12">
        <v>3</v>
      </c>
      <c r="R31" s="23">
        <v>0.37356411294088349</v>
      </c>
      <c r="S31" s="12">
        <f t="shared" si="4"/>
        <v>41</v>
      </c>
      <c r="T31" s="12"/>
      <c r="U31" s="12">
        <v>1</v>
      </c>
      <c r="V31" s="22">
        <v>0.12452137098029449</v>
      </c>
      <c r="W31" s="12">
        <f t="shared" si="5"/>
        <v>36</v>
      </c>
      <c r="X31" s="12"/>
      <c r="Y31" s="19">
        <v>192</v>
      </c>
      <c r="Z31" s="37">
        <v>23.908103228216543</v>
      </c>
      <c r="AA31" s="13">
        <f t="shared" si="6"/>
        <v>41</v>
      </c>
      <c r="AB31" s="12"/>
      <c r="AC31">
        <v>803075</v>
      </c>
    </row>
    <row r="32" spans="1:29" x14ac:dyDescent="0.35">
      <c r="A32" s="12"/>
      <c r="B32" s="12" t="s">
        <v>37</v>
      </c>
      <c r="C32" s="21">
        <f t="shared" si="3"/>
        <v>700300</v>
      </c>
      <c r="D32" s="12"/>
      <c r="E32" s="21">
        <v>370</v>
      </c>
      <c r="F32" s="23">
        <v>52.832160792539526</v>
      </c>
      <c r="G32" s="12">
        <f t="shared" si="0"/>
        <v>12</v>
      </c>
      <c r="H32" s="12"/>
      <c r="I32" s="12">
        <v>9</v>
      </c>
      <c r="J32" s="23">
        <v>1.2851066138725831</v>
      </c>
      <c r="K32" s="12">
        <f t="shared" si="1"/>
        <v>23</v>
      </c>
      <c r="L32" s="12"/>
      <c r="M32" s="21">
        <v>42</v>
      </c>
      <c r="N32" s="23">
        <v>5.9971641980720545</v>
      </c>
      <c r="O32" s="12">
        <f t="shared" si="2"/>
        <v>20</v>
      </c>
      <c r="P32" s="12"/>
      <c r="Q32" s="12">
        <v>37</v>
      </c>
      <c r="R32" s="23">
        <v>5.2832160792539522</v>
      </c>
      <c r="S32" s="12">
        <f t="shared" si="4"/>
        <v>8</v>
      </c>
      <c r="T32" s="12"/>
      <c r="U32" s="12">
        <v>2</v>
      </c>
      <c r="V32" s="22">
        <v>0.28557924752724068</v>
      </c>
      <c r="W32" s="12">
        <f t="shared" si="5"/>
        <v>31</v>
      </c>
      <c r="X32" s="12"/>
      <c r="Y32" s="19">
        <v>460</v>
      </c>
      <c r="Z32" s="37">
        <v>65.683226931265352</v>
      </c>
      <c r="AA32" s="13">
        <f t="shared" si="6"/>
        <v>12</v>
      </c>
      <c r="AB32" s="12"/>
      <c r="AC32">
        <v>700331</v>
      </c>
    </row>
    <row r="33" spans="1:29" x14ac:dyDescent="0.35">
      <c r="A33" s="12"/>
      <c r="B33" s="12" t="s">
        <v>38</v>
      </c>
      <c r="C33" s="21">
        <f t="shared" si="3"/>
        <v>1424200</v>
      </c>
      <c r="D33" s="12"/>
      <c r="E33" s="21">
        <v>489</v>
      </c>
      <c r="F33" s="23">
        <v>34.33571623672124</v>
      </c>
      <c r="G33" s="12">
        <f t="shared" si="0"/>
        <v>32</v>
      </c>
      <c r="H33" s="12"/>
      <c r="I33" s="12">
        <v>11</v>
      </c>
      <c r="J33" s="23">
        <v>0.77237807485467014</v>
      </c>
      <c r="K33" s="12">
        <f t="shared" si="1"/>
        <v>30</v>
      </c>
      <c r="L33" s="12"/>
      <c r="M33" s="21">
        <v>37</v>
      </c>
      <c r="N33" s="23">
        <v>2.5979989790566176</v>
      </c>
      <c r="O33" s="12">
        <f t="shared" si="2"/>
        <v>36</v>
      </c>
      <c r="P33" s="12"/>
      <c r="Q33" s="12">
        <v>38</v>
      </c>
      <c r="R33" s="23">
        <v>2.6682151676797692</v>
      </c>
      <c r="S33" s="12">
        <f t="shared" si="4"/>
        <v>24</v>
      </c>
      <c r="T33" s="12"/>
      <c r="U33" s="12">
        <v>4</v>
      </c>
      <c r="V33" s="22">
        <v>0.28086475449260728</v>
      </c>
      <c r="W33" s="12">
        <f t="shared" si="5"/>
        <v>32</v>
      </c>
      <c r="X33" s="12"/>
      <c r="Y33" s="19">
        <v>573</v>
      </c>
      <c r="Z33" s="37">
        <v>40.233876081065993</v>
      </c>
      <c r="AA33" s="13">
        <f t="shared" si="6"/>
        <v>35</v>
      </c>
      <c r="AB33" s="12"/>
      <c r="AC33">
        <v>1424173</v>
      </c>
    </row>
    <row r="34" spans="1:29" x14ac:dyDescent="0.35">
      <c r="A34" s="12"/>
      <c r="B34" s="12" t="s">
        <v>39</v>
      </c>
      <c r="C34" s="21">
        <f t="shared" si="3"/>
        <v>1098600</v>
      </c>
      <c r="D34" s="12"/>
      <c r="E34" s="21">
        <v>513</v>
      </c>
      <c r="F34" s="23">
        <v>46.694519537970017</v>
      </c>
      <c r="G34" s="12">
        <f t="shared" si="0"/>
        <v>17</v>
      </c>
      <c r="H34" s="12"/>
      <c r="I34" s="12">
        <v>17</v>
      </c>
      <c r="J34" s="23">
        <v>1.54738173907503</v>
      </c>
      <c r="K34" s="12">
        <f t="shared" si="1"/>
        <v>17</v>
      </c>
      <c r="L34" s="12"/>
      <c r="M34" s="21">
        <v>49</v>
      </c>
      <c r="N34" s="23">
        <v>4.4601003067456739</v>
      </c>
      <c r="O34" s="12">
        <f t="shared" si="2"/>
        <v>29</v>
      </c>
      <c r="P34" s="12"/>
      <c r="Q34" s="12">
        <v>23</v>
      </c>
      <c r="R34" s="23">
        <v>2.0935164705132756</v>
      </c>
      <c r="S34" s="12">
        <f t="shared" si="4"/>
        <v>27</v>
      </c>
      <c r="T34" s="12"/>
      <c r="U34" s="12">
        <v>0</v>
      </c>
      <c r="V34" s="22">
        <v>0</v>
      </c>
      <c r="W34" s="12">
        <f t="shared" si="5"/>
        <v>38</v>
      </c>
      <c r="X34" s="12"/>
      <c r="Y34" s="19">
        <v>594</v>
      </c>
      <c r="Z34" s="37">
        <v>54.067338412386334</v>
      </c>
      <c r="AA34" s="13">
        <f t="shared" si="6"/>
        <v>20</v>
      </c>
      <c r="AB34" s="12"/>
      <c r="AC34">
        <v>1098630</v>
      </c>
    </row>
    <row r="35" spans="1:29" x14ac:dyDescent="0.35">
      <c r="A35" s="12"/>
      <c r="B35" s="12" t="s">
        <v>40</v>
      </c>
      <c r="C35" s="21">
        <f t="shared" si="3"/>
        <v>1289600</v>
      </c>
      <c r="D35" s="12"/>
      <c r="E35" s="21">
        <v>811</v>
      </c>
      <c r="F35" s="23">
        <v>62.890106711560847</v>
      </c>
      <c r="G35" s="12">
        <f t="shared" si="0"/>
        <v>8</v>
      </c>
      <c r="H35" s="12"/>
      <c r="I35" s="12">
        <v>27</v>
      </c>
      <c r="J35" s="23">
        <v>2.0937520113589922</v>
      </c>
      <c r="K35" s="12">
        <f t="shared" si="1"/>
        <v>13</v>
      </c>
      <c r="L35" s="12"/>
      <c r="M35" s="21">
        <v>121</v>
      </c>
      <c r="N35" s="23">
        <v>9.3831108657199298</v>
      </c>
      <c r="O35" s="12">
        <f t="shared" si="2"/>
        <v>6</v>
      </c>
      <c r="P35" s="12"/>
      <c r="Q35" s="12">
        <v>84</v>
      </c>
      <c r="R35" s="23">
        <v>6.5138951464501975</v>
      </c>
      <c r="S35" s="12">
        <f t="shared" si="4"/>
        <v>5</v>
      </c>
      <c r="T35" s="12"/>
      <c r="U35" s="12">
        <v>9</v>
      </c>
      <c r="V35" s="22">
        <v>0.69791733711966408</v>
      </c>
      <c r="W35" s="12">
        <f t="shared" si="5"/>
        <v>17</v>
      </c>
      <c r="X35" s="12"/>
      <c r="Y35" s="19">
        <v>1019</v>
      </c>
      <c r="Z35" s="37">
        <v>79.019751836104206</v>
      </c>
      <c r="AA35" s="13">
        <f t="shared" si="6"/>
        <v>8</v>
      </c>
      <c r="AB35" s="12"/>
      <c r="AC35">
        <v>1289551</v>
      </c>
    </row>
    <row r="36" spans="1:29" x14ac:dyDescent="0.35">
      <c r="A36" s="12"/>
      <c r="B36" s="12" t="s">
        <v>41</v>
      </c>
      <c r="C36" s="21">
        <f t="shared" si="3"/>
        <v>1352400</v>
      </c>
      <c r="D36" s="12"/>
      <c r="E36" s="21">
        <v>502</v>
      </c>
      <c r="F36" s="23">
        <v>37.119689555170062</v>
      </c>
      <c r="G36" s="12">
        <f t="shared" si="0"/>
        <v>30</v>
      </c>
      <c r="H36" s="12"/>
      <c r="I36" s="12">
        <v>6</v>
      </c>
      <c r="J36" s="23">
        <v>0.44366162814944304</v>
      </c>
      <c r="K36" s="12">
        <f t="shared" si="1"/>
        <v>35</v>
      </c>
      <c r="L36" s="12"/>
      <c r="M36" s="21">
        <v>62</v>
      </c>
      <c r="N36" s="23">
        <v>4.5845034908775775</v>
      </c>
      <c r="O36" s="12">
        <f t="shared" si="2"/>
        <v>26</v>
      </c>
      <c r="P36" s="12"/>
      <c r="Q36" s="12">
        <v>7</v>
      </c>
      <c r="R36" s="23">
        <v>0.51760523284101678</v>
      </c>
      <c r="S36" s="12">
        <f t="shared" si="4"/>
        <v>39</v>
      </c>
      <c r="T36" s="12"/>
      <c r="U36" s="12">
        <v>2</v>
      </c>
      <c r="V36" s="22">
        <v>0.14788720938314767</v>
      </c>
      <c r="W36" s="12">
        <f t="shared" si="5"/>
        <v>33</v>
      </c>
      <c r="X36" s="12"/>
      <c r="Y36" s="19">
        <v>575</v>
      </c>
      <c r="Z36" s="37">
        <v>42.517572697654948</v>
      </c>
      <c r="AA36" s="13">
        <f t="shared" si="6"/>
        <v>32</v>
      </c>
      <c r="AB36" s="12"/>
      <c r="AC36">
        <v>1352382</v>
      </c>
    </row>
    <row r="37" spans="1:29" x14ac:dyDescent="0.35">
      <c r="A37" s="12"/>
      <c r="B37" s="12" t="s">
        <v>42</v>
      </c>
      <c r="C37" s="21">
        <f t="shared" si="3"/>
        <v>1101800</v>
      </c>
      <c r="D37" s="12"/>
      <c r="E37" s="21">
        <v>646</v>
      </c>
      <c r="F37" s="23">
        <v>58.629680958332088</v>
      </c>
      <c r="G37" s="12">
        <f t="shared" si="0"/>
        <v>10</v>
      </c>
      <c r="H37" s="12"/>
      <c r="I37" s="12">
        <v>2</v>
      </c>
      <c r="J37" s="23">
        <v>0.1815160401186752</v>
      </c>
      <c r="K37" s="12">
        <f t="shared" si="1"/>
        <v>41</v>
      </c>
      <c r="L37" s="12"/>
      <c r="M37" s="21">
        <v>83</v>
      </c>
      <c r="N37" s="23">
        <v>7.5329156649250208</v>
      </c>
      <c r="O37" s="12">
        <f t="shared" si="2"/>
        <v>11</v>
      </c>
      <c r="P37" s="12"/>
      <c r="Q37" s="12">
        <v>60</v>
      </c>
      <c r="R37" s="23">
        <v>5.4454812035602558</v>
      </c>
      <c r="S37" s="12">
        <f t="shared" si="4"/>
        <v>6</v>
      </c>
      <c r="T37" s="12"/>
      <c r="U37" s="12">
        <v>7</v>
      </c>
      <c r="V37" s="22">
        <v>0.63530614041536315</v>
      </c>
      <c r="W37" s="12">
        <f t="shared" si="5"/>
        <v>20</v>
      </c>
      <c r="X37" s="12"/>
      <c r="Y37" s="19">
        <v>793</v>
      </c>
      <c r="Z37" s="37">
        <v>71.971109907054711</v>
      </c>
      <c r="AA37" s="13">
        <f t="shared" si="6"/>
        <v>10</v>
      </c>
      <c r="AB37" s="12"/>
      <c r="AC37">
        <v>1101831</v>
      </c>
    </row>
    <row r="38" spans="1:29" x14ac:dyDescent="0.35">
      <c r="A38" s="12"/>
      <c r="B38" s="12" t="s">
        <v>43</v>
      </c>
      <c r="C38" s="21">
        <f t="shared" si="3"/>
        <v>732800</v>
      </c>
      <c r="D38" s="12"/>
      <c r="E38" s="21">
        <v>376</v>
      </c>
      <c r="F38" s="23">
        <v>51.309903630175675</v>
      </c>
      <c r="G38" s="12">
        <f t="shared" si="0"/>
        <v>13</v>
      </c>
      <c r="H38" s="12"/>
      <c r="I38" s="12">
        <v>18</v>
      </c>
      <c r="J38" s="23">
        <v>2.456325173785006</v>
      </c>
      <c r="K38" s="12">
        <f t="shared" si="1"/>
        <v>10</v>
      </c>
      <c r="L38" s="12"/>
      <c r="M38" s="21">
        <v>73</v>
      </c>
      <c r="N38" s="23">
        <v>9.9617632047947478</v>
      </c>
      <c r="O38" s="12">
        <f t="shared" si="2"/>
        <v>4</v>
      </c>
      <c r="P38" s="12"/>
      <c r="Q38" s="12">
        <v>123</v>
      </c>
      <c r="R38" s="23">
        <v>16.784888687530874</v>
      </c>
      <c r="S38" s="12">
        <f t="shared" si="4"/>
        <v>1</v>
      </c>
      <c r="T38" s="12"/>
      <c r="U38" s="12">
        <v>22</v>
      </c>
      <c r="V38" s="22">
        <v>3.0021752124038961</v>
      </c>
      <c r="W38" s="12">
        <f t="shared" si="5"/>
        <v>1</v>
      </c>
      <c r="X38" s="12"/>
      <c r="Y38" s="19">
        <v>604</v>
      </c>
      <c r="Z38" s="37">
        <v>82.423355831452426</v>
      </c>
      <c r="AA38" s="13">
        <f t="shared" si="6"/>
        <v>7</v>
      </c>
      <c r="AB38" s="12"/>
      <c r="AC38">
        <v>732802</v>
      </c>
    </row>
    <row r="39" spans="1:29" x14ac:dyDescent="0.35">
      <c r="A39" s="12"/>
      <c r="B39" s="12" t="s">
        <v>44</v>
      </c>
      <c r="C39" s="21">
        <f t="shared" si="3"/>
        <v>1144000</v>
      </c>
      <c r="D39" s="12"/>
      <c r="E39" s="21">
        <v>479</v>
      </c>
      <c r="F39" s="23">
        <v>41.868945829101278</v>
      </c>
      <c r="G39" s="12">
        <f t="shared" si="0"/>
        <v>25</v>
      </c>
      <c r="H39" s="12"/>
      <c r="I39" s="12">
        <v>19</v>
      </c>
      <c r="J39" s="23">
        <v>1.6607723815301134</v>
      </c>
      <c r="K39" s="12">
        <f t="shared" si="1"/>
        <v>16</v>
      </c>
      <c r="L39" s="12"/>
      <c r="M39" s="21">
        <v>38</v>
      </c>
      <c r="N39" s="23">
        <v>3.3215447630602268</v>
      </c>
      <c r="O39" s="12">
        <f t="shared" si="2"/>
        <v>34</v>
      </c>
      <c r="P39" s="12"/>
      <c r="Q39" s="12">
        <v>41</v>
      </c>
      <c r="R39" s="23">
        <v>3.5837719811965605</v>
      </c>
      <c r="S39" s="12">
        <f t="shared" si="4"/>
        <v>21</v>
      </c>
      <c r="T39" s="12"/>
      <c r="U39" s="12">
        <v>0</v>
      </c>
      <c r="V39" s="22">
        <v>0</v>
      </c>
      <c r="W39" s="12">
        <f t="shared" si="5"/>
        <v>38</v>
      </c>
      <c r="X39" s="12"/>
      <c r="Y39" s="19">
        <v>566</v>
      </c>
      <c r="Z39" s="37">
        <v>49.473535155054961</v>
      </c>
      <c r="AA39" s="13">
        <f t="shared" si="6"/>
        <v>24</v>
      </c>
      <c r="AB39" s="12"/>
      <c r="AC39">
        <v>1144046</v>
      </c>
    </row>
    <row r="40" spans="1:29" x14ac:dyDescent="0.35">
      <c r="A40" s="12"/>
      <c r="B40" s="12" t="s">
        <v>45</v>
      </c>
      <c r="C40" s="21">
        <f t="shared" si="3"/>
        <v>1622800</v>
      </c>
      <c r="D40" s="12"/>
      <c r="E40" s="21">
        <v>564</v>
      </c>
      <c r="F40" s="23">
        <v>34.755344558570151</v>
      </c>
      <c r="G40" s="12">
        <f t="shared" si="0"/>
        <v>31</v>
      </c>
      <c r="H40" s="12"/>
      <c r="I40" s="12">
        <v>35</v>
      </c>
      <c r="J40" s="23">
        <v>2.1568032970743887</v>
      </c>
      <c r="K40" s="12">
        <f t="shared" si="1"/>
        <v>12</v>
      </c>
      <c r="L40" s="12"/>
      <c r="M40" s="21">
        <v>119</v>
      </c>
      <c r="N40" s="23">
        <v>7.3331312100529225</v>
      </c>
      <c r="O40" s="12">
        <f t="shared" si="2"/>
        <v>13</v>
      </c>
      <c r="P40" s="12"/>
      <c r="Q40" s="12">
        <v>48</v>
      </c>
      <c r="R40" s="23">
        <v>2.957901664559162</v>
      </c>
      <c r="S40" s="12">
        <f t="shared" si="4"/>
        <v>22</v>
      </c>
      <c r="T40" s="12"/>
      <c r="U40" s="12">
        <v>20</v>
      </c>
      <c r="V40" s="22">
        <v>1.2324590268996507</v>
      </c>
      <c r="W40" s="12">
        <f t="shared" si="5"/>
        <v>7</v>
      </c>
      <c r="X40" s="12"/>
      <c r="Y40" s="19">
        <v>766</v>
      </c>
      <c r="Z40" s="37">
        <v>47.203180730256626</v>
      </c>
      <c r="AA40" s="13">
        <f t="shared" si="6"/>
        <v>30</v>
      </c>
      <c r="AB40" s="12"/>
      <c r="AC40">
        <v>1622772</v>
      </c>
    </row>
    <row r="41" spans="1:29" x14ac:dyDescent="0.35">
      <c r="A41" s="12"/>
      <c r="B41" s="12" t="s">
        <v>46</v>
      </c>
      <c r="C41" s="21">
        <f t="shared" si="3"/>
        <v>2294600</v>
      </c>
      <c r="D41" s="12"/>
      <c r="E41" s="21">
        <v>1105</v>
      </c>
      <c r="F41" s="23">
        <v>48.157108098108019</v>
      </c>
      <c r="G41" s="12">
        <f t="shared" si="0"/>
        <v>15</v>
      </c>
      <c r="H41" s="12"/>
      <c r="I41" s="12">
        <v>30</v>
      </c>
      <c r="J41" s="23">
        <v>1.3074327990436565</v>
      </c>
      <c r="K41" s="12">
        <f t="shared" si="1"/>
        <v>22</v>
      </c>
      <c r="L41" s="12"/>
      <c r="M41" s="21">
        <v>142</v>
      </c>
      <c r="N41" s="23">
        <v>6.1885152488066408</v>
      </c>
      <c r="O41" s="12">
        <f t="shared" si="2"/>
        <v>18</v>
      </c>
      <c r="P41" s="12"/>
      <c r="Q41" s="12">
        <v>48</v>
      </c>
      <c r="R41" s="23">
        <v>2.0918924784698505</v>
      </c>
      <c r="S41" s="12">
        <f t="shared" si="4"/>
        <v>28</v>
      </c>
      <c r="T41" s="12"/>
      <c r="U41" s="12">
        <v>30</v>
      </c>
      <c r="V41" s="22">
        <v>1.3074327990436565</v>
      </c>
      <c r="W41" s="12">
        <f t="shared" si="5"/>
        <v>3</v>
      </c>
      <c r="X41" s="12"/>
      <c r="Y41" s="19">
        <v>1323</v>
      </c>
      <c r="Z41" s="37">
        <v>57.657786437825258</v>
      </c>
      <c r="AA41" s="13">
        <f t="shared" si="6"/>
        <v>17</v>
      </c>
      <c r="AB41" s="12"/>
      <c r="AC41">
        <v>2294573</v>
      </c>
    </row>
    <row r="42" spans="1:29" x14ac:dyDescent="0.35">
      <c r="A42" s="12"/>
      <c r="B42" s="12" t="s">
        <v>47</v>
      </c>
      <c r="C42" s="21">
        <f t="shared" si="3"/>
        <v>548300</v>
      </c>
      <c r="D42" s="12"/>
      <c r="E42" s="21">
        <v>230</v>
      </c>
      <c r="F42" s="23">
        <v>41.946308724832214</v>
      </c>
      <c r="G42" s="12">
        <f t="shared" si="0"/>
        <v>24</v>
      </c>
      <c r="H42" s="12"/>
      <c r="I42" s="12">
        <v>3</v>
      </c>
      <c r="J42" s="23">
        <v>0.54712576597607243</v>
      </c>
      <c r="K42" s="12">
        <f t="shared" si="1"/>
        <v>34</v>
      </c>
      <c r="L42" s="12"/>
      <c r="M42" s="21">
        <v>21</v>
      </c>
      <c r="N42" s="23">
        <v>3.8298803618325068</v>
      </c>
      <c r="O42" s="12">
        <f t="shared" si="2"/>
        <v>32</v>
      </c>
      <c r="P42" s="12"/>
      <c r="Q42" s="12">
        <v>11</v>
      </c>
      <c r="R42" s="23">
        <v>2.006127808578932</v>
      </c>
      <c r="S42" s="12">
        <f t="shared" si="4"/>
        <v>29</v>
      </c>
      <c r="T42" s="12"/>
      <c r="U42" s="12">
        <v>3</v>
      </c>
      <c r="V42" s="22">
        <v>0.54712576597607243</v>
      </c>
      <c r="W42" s="12">
        <f t="shared" si="5"/>
        <v>23</v>
      </c>
      <c r="X42" s="12"/>
      <c r="Y42" s="19">
        <v>268</v>
      </c>
      <c r="Z42" s="37">
        <v>48.876568427195792</v>
      </c>
      <c r="AA42" s="13">
        <f t="shared" si="6"/>
        <v>27</v>
      </c>
      <c r="AB42" s="12"/>
      <c r="AC42">
        <v>548320</v>
      </c>
    </row>
    <row r="43" spans="1:29" x14ac:dyDescent="0.35">
      <c r="A43" s="12"/>
      <c r="B43" s="12" t="s">
        <v>48</v>
      </c>
      <c r="C43" s="21">
        <f t="shared" si="3"/>
        <v>1230700</v>
      </c>
      <c r="D43" s="12"/>
      <c r="E43" s="21">
        <v>502</v>
      </c>
      <c r="F43" s="23">
        <v>40.788965853460354</v>
      </c>
      <c r="G43" s="12">
        <f t="shared" si="0"/>
        <v>26</v>
      </c>
      <c r="H43" s="12"/>
      <c r="I43" s="12">
        <v>5</v>
      </c>
      <c r="J43" s="23">
        <v>0.40626460013406734</v>
      </c>
      <c r="K43" s="12">
        <f t="shared" si="1"/>
        <v>36</v>
      </c>
      <c r="L43" s="12"/>
      <c r="M43" s="21">
        <v>49</v>
      </c>
      <c r="N43" s="23">
        <v>3.9813930813138594</v>
      </c>
      <c r="O43" s="12">
        <f t="shared" si="2"/>
        <v>31</v>
      </c>
      <c r="P43" s="12"/>
      <c r="Q43" s="12">
        <v>54</v>
      </c>
      <c r="R43" s="23">
        <v>4.3876576814479273</v>
      </c>
      <c r="S43" s="12">
        <f t="shared" si="4"/>
        <v>15</v>
      </c>
      <c r="T43" s="12"/>
      <c r="U43" s="12">
        <v>10</v>
      </c>
      <c r="V43" s="22">
        <v>0.81252920026813469</v>
      </c>
      <c r="W43" s="12">
        <f t="shared" si="5"/>
        <v>14</v>
      </c>
      <c r="X43" s="12"/>
      <c r="Y43" s="19">
        <v>608</v>
      </c>
      <c r="Z43" s="37">
        <v>49.401775376302588</v>
      </c>
      <c r="AA43" s="13">
        <f t="shared" si="6"/>
        <v>25</v>
      </c>
      <c r="AB43" s="12"/>
      <c r="AC43">
        <v>1230725</v>
      </c>
    </row>
    <row r="44" spans="1:29" x14ac:dyDescent="0.35">
      <c r="A44" s="12"/>
      <c r="B44" s="12" t="s">
        <v>7</v>
      </c>
      <c r="C44" s="21">
        <f t="shared" si="3"/>
        <v>2761900</v>
      </c>
      <c r="D44" s="12"/>
      <c r="E44" s="21">
        <v>2460</v>
      </c>
      <c r="F44" s="23">
        <v>89.069538326513722</v>
      </c>
      <c r="G44" s="12">
        <f t="shared" si="0"/>
        <v>3</v>
      </c>
      <c r="H44" s="12"/>
      <c r="I44" s="12">
        <v>82</v>
      </c>
      <c r="J44" s="23">
        <v>2.9689846108837905</v>
      </c>
      <c r="K44" s="12">
        <f t="shared" si="1"/>
        <v>8</v>
      </c>
      <c r="L44" s="12"/>
      <c r="M44" s="21">
        <v>181</v>
      </c>
      <c r="N44" s="23">
        <v>6.5534904215849519</v>
      </c>
      <c r="O44" s="12">
        <f t="shared" si="2"/>
        <v>17</v>
      </c>
      <c r="P44" s="12"/>
      <c r="Q44" s="12">
        <v>33</v>
      </c>
      <c r="R44" s="23">
        <v>1.1948352702337206</v>
      </c>
      <c r="S44" s="12">
        <f t="shared" si="4"/>
        <v>36</v>
      </c>
      <c r="T44" s="12"/>
      <c r="U44" s="12">
        <v>0</v>
      </c>
      <c r="V44" s="22">
        <v>0</v>
      </c>
      <c r="W44" s="12">
        <f t="shared" si="5"/>
        <v>38</v>
      </c>
      <c r="X44" s="12"/>
      <c r="Y44" s="19">
        <v>2664</v>
      </c>
      <c r="Z44" s="37">
        <v>96.45579272432218</v>
      </c>
      <c r="AA44" s="13">
        <f t="shared" si="6"/>
        <v>3</v>
      </c>
      <c r="AB44" s="12"/>
      <c r="AC44">
        <v>2761887</v>
      </c>
    </row>
    <row r="45" spans="1:29" x14ac:dyDescent="0.35">
      <c r="A45" s="12"/>
      <c r="B45" s="12" t="s">
        <v>49</v>
      </c>
      <c r="C45" s="21">
        <f t="shared" si="3"/>
        <v>2240400</v>
      </c>
      <c r="D45" s="12"/>
      <c r="E45" s="21">
        <v>1668</v>
      </c>
      <c r="F45" s="23">
        <v>74.451389670003593</v>
      </c>
      <c r="G45" s="12">
        <f t="shared" si="0"/>
        <v>5</v>
      </c>
      <c r="H45" s="12"/>
      <c r="I45" s="12">
        <v>39</v>
      </c>
      <c r="J45" s="23">
        <v>1.7407699023561991</v>
      </c>
      <c r="K45" s="12">
        <f t="shared" si="1"/>
        <v>15</v>
      </c>
      <c r="L45" s="12"/>
      <c r="M45" s="21">
        <v>169</v>
      </c>
      <c r="N45" s="23">
        <v>7.5433362435435294</v>
      </c>
      <c r="O45" s="12">
        <f t="shared" si="2"/>
        <v>10</v>
      </c>
      <c r="P45" s="12"/>
      <c r="Q45" s="12">
        <v>121</v>
      </c>
      <c r="R45" s="23">
        <v>5.4008502098743616</v>
      </c>
      <c r="S45" s="12">
        <f t="shared" si="4"/>
        <v>7</v>
      </c>
      <c r="T45" s="12"/>
      <c r="U45" s="12">
        <v>9</v>
      </c>
      <c r="V45" s="22">
        <v>0.40171613131296902</v>
      </c>
      <c r="W45" s="12">
        <f t="shared" si="5"/>
        <v>27</v>
      </c>
      <c r="X45" s="12"/>
      <c r="Y45" s="19">
        <v>1955</v>
      </c>
      <c r="Z45" s="37">
        <v>87.261670746317165</v>
      </c>
      <c r="AA45" s="13">
        <f t="shared" si="6"/>
        <v>6</v>
      </c>
      <c r="AB45" s="12"/>
      <c r="AC45">
        <v>2240388</v>
      </c>
    </row>
    <row r="46" spans="1:29" x14ac:dyDescent="0.35">
      <c r="A46" s="12"/>
      <c r="B46" s="12" t="s">
        <v>50</v>
      </c>
      <c r="C46" s="21">
        <f t="shared" si="3"/>
        <v>688800</v>
      </c>
      <c r="D46" s="12"/>
      <c r="E46" s="21">
        <v>278</v>
      </c>
      <c r="F46" s="23">
        <v>40.358171513518535</v>
      </c>
      <c r="G46" s="12">
        <f t="shared" si="0"/>
        <v>27</v>
      </c>
      <c r="H46" s="12"/>
      <c r="I46" s="12">
        <v>10</v>
      </c>
      <c r="J46" s="23">
        <v>1.4517327882560624</v>
      </c>
      <c r="K46" s="12">
        <f t="shared" si="1"/>
        <v>20</v>
      </c>
      <c r="L46" s="12"/>
      <c r="M46" s="21">
        <v>28</v>
      </c>
      <c r="N46" s="23">
        <v>4.064851807116975</v>
      </c>
      <c r="O46" s="12">
        <f t="shared" si="2"/>
        <v>30</v>
      </c>
      <c r="P46" s="12"/>
      <c r="Q46" s="12">
        <v>31</v>
      </c>
      <c r="R46" s="23">
        <v>4.5003716435937937</v>
      </c>
      <c r="S46" s="12">
        <f t="shared" si="4"/>
        <v>12</v>
      </c>
      <c r="T46" s="12"/>
      <c r="U46" s="12">
        <v>1</v>
      </c>
      <c r="V46" s="22">
        <v>0.14517327882560624</v>
      </c>
      <c r="W46" s="12">
        <f t="shared" si="5"/>
        <v>34</v>
      </c>
      <c r="X46" s="12"/>
      <c r="Y46" s="19">
        <v>339</v>
      </c>
      <c r="Z46" s="37">
        <v>49.213741521880522</v>
      </c>
      <c r="AA46" s="13">
        <f t="shared" si="6"/>
        <v>26</v>
      </c>
      <c r="AB46" s="12"/>
      <c r="AC46">
        <v>688832</v>
      </c>
    </row>
    <row r="47" spans="1:29" ht="2.25" customHeight="1" x14ac:dyDescent="0.3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row>
    <row r="48" spans="1:29" x14ac:dyDescent="0.35">
      <c r="B48" s="31" t="s">
        <v>69</v>
      </c>
      <c r="C48" s="29"/>
      <c r="D48" s="29"/>
      <c r="E48" s="29"/>
      <c r="F48" s="29"/>
      <c r="G48" s="29"/>
      <c r="H48" s="29"/>
      <c r="I48" s="29"/>
      <c r="J48" s="29"/>
      <c r="K48" s="29"/>
      <c r="L48" s="29"/>
      <c r="M48" s="29"/>
      <c r="N48" s="29"/>
      <c r="O48" s="29"/>
    </row>
    <row r="49" spans="2:15" x14ac:dyDescent="0.35">
      <c r="B49" s="29" t="s">
        <v>147</v>
      </c>
      <c r="C49" s="29"/>
      <c r="D49" s="29"/>
      <c r="E49" s="29"/>
      <c r="F49" s="29"/>
      <c r="G49" s="29"/>
      <c r="H49" s="29"/>
      <c r="I49" s="29"/>
      <c r="J49" s="29"/>
      <c r="K49" s="29"/>
      <c r="L49" s="29"/>
      <c r="M49" s="29"/>
      <c r="N49" s="29"/>
      <c r="O49" s="29"/>
    </row>
    <row r="50" spans="2:15" x14ac:dyDescent="0.35">
      <c r="B50" s="29" t="s">
        <v>148</v>
      </c>
      <c r="C50" s="29"/>
      <c r="D50" s="29"/>
      <c r="E50" s="29"/>
      <c r="F50" s="29"/>
      <c r="G50" s="29"/>
      <c r="H50" s="29"/>
      <c r="I50" s="29"/>
      <c r="J50" s="29"/>
      <c r="K50" s="29"/>
      <c r="L50" s="29"/>
      <c r="M50" s="29"/>
      <c r="N50" s="29"/>
      <c r="O50" s="29"/>
    </row>
    <row r="51" spans="2:15" x14ac:dyDescent="0.35">
      <c r="B51" s="29" t="s">
        <v>149</v>
      </c>
      <c r="C51" s="29"/>
      <c r="D51" s="29"/>
      <c r="E51" s="29"/>
      <c r="F51" s="29"/>
      <c r="G51" s="29"/>
      <c r="H51" s="29"/>
      <c r="I51" s="29"/>
      <c r="J51" s="29"/>
      <c r="K51" s="29"/>
      <c r="L51" s="29"/>
      <c r="M51" s="29"/>
      <c r="N51" s="29"/>
      <c r="O51" s="29"/>
    </row>
    <row r="52" spans="2:15" x14ac:dyDescent="0.35">
      <c r="B52" s="29" t="s">
        <v>150</v>
      </c>
      <c r="C52" s="29"/>
      <c r="D52" s="29"/>
      <c r="E52" s="29"/>
      <c r="F52" s="29"/>
      <c r="G52" s="29"/>
      <c r="H52" s="29"/>
      <c r="I52" s="29"/>
      <c r="J52" s="29"/>
      <c r="K52" s="29"/>
      <c r="L52" s="29"/>
      <c r="M52" s="29"/>
      <c r="N52" s="29"/>
      <c r="O52" s="29"/>
    </row>
    <row r="54" spans="2:15" x14ac:dyDescent="0.35">
      <c r="B54" s="31" t="s">
        <v>70</v>
      </c>
    </row>
    <row r="55" spans="2:15" x14ac:dyDescent="0.35">
      <c r="B55" s="30" t="s">
        <v>74</v>
      </c>
    </row>
    <row r="56" spans="2:15" x14ac:dyDescent="0.35">
      <c r="B56" s="29" t="s">
        <v>76</v>
      </c>
    </row>
    <row r="57" spans="2:15" x14ac:dyDescent="0.35">
      <c r="B57" s="30" t="s">
        <v>75</v>
      </c>
    </row>
  </sheetData>
  <mergeCells count="6">
    <mergeCell ref="Y2:AA2"/>
    <mergeCell ref="E2:G2"/>
    <mergeCell ref="I2:K2"/>
    <mergeCell ref="M2:O2"/>
    <mergeCell ref="Q2:S2"/>
    <mergeCell ref="U2:W2"/>
  </mergeCells>
  <hyperlinks>
    <hyperlink ref="B55" r:id="rId1" xr:uid="{00000000-0004-0000-0300-000000000000}"/>
    <hyperlink ref="B57" r:id="rId2" xr:uid="{00000000-0004-0000-0300-000001000000}"/>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AD57"/>
  <sheetViews>
    <sheetView showGridLines="0" workbookViewId="0">
      <pane xSplit="1" ySplit="4" topLeftCell="B20" activePane="bottomRight" state="frozen"/>
      <selection pane="topRight" activeCell="B1" sqref="B1"/>
      <selection pane="bottomLeft" activeCell="A5" sqref="A5"/>
      <selection pane="bottomRight" activeCell="C4" sqref="C4:C46"/>
    </sheetView>
  </sheetViews>
  <sheetFormatPr defaultRowHeight="15" x14ac:dyDescent="0.35"/>
  <cols>
    <col min="1" max="1" width="1.09765625" customWidth="1"/>
    <col min="2" max="2" width="23.8984375" customWidth="1"/>
    <col min="3" max="3" width="16.8984375" customWidth="1"/>
    <col min="4" max="4" width="1.09765625" customWidth="1"/>
    <col min="6" max="6" width="11" customWidth="1"/>
    <col min="8" max="8" width="1.09765625" customWidth="1"/>
    <col min="10" max="10" width="10.59765625" customWidth="1"/>
    <col min="12" max="12" width="1.09765625" customWidth="1"/>
    <col min="14" max="14" width="10.09765625" customWidth="1"/>
    <col min="16" max="16" width="1.296875" customWidth="1"/>
    <col min="18" max="18" width="10.69921875" customWidth="1"/>
    <col min="20" max="20" width="1.09765625" customWidth="1"/>
    <col min="22" max="22" width="11.296875" customWidth="1"/>
    <col min="24" max="24" width="1.09765625" customWidth="1"/>
    <col min="26" max="26" width="11.8984375" customWidth="1"/>
    <col min="28" max="28" width="1.09765625" customWidth="1"/>
    <col min="30" max="30" width="0" hidden="1" customWidth="1"/>
  </cols>
  <sheetData>
    <row r="1" spans="1:30" ht="22.2" x14ac:dyDescent="0.5">
      <c r="A1" s="16"/>
      <c r="B1" s="34" t="s">
        <v>153</v>
      </c>
      <c r="C1" s="16"/>
      <c r="D1" s="16"/>
      <c r="E1" s="16"/>
      <c r="F1" s="16"/>
      <c r="G1" s="16"/>
      <c r="H1" s="16"/>
      <c r="I1" s="16"/>
      <c r="J1" s="16"/>
      <c r="K1" s="16"/>
      <c r="L1" s="16"/>
      <c r="M1" s="16"/>
      <c r="N1" s="16"/>
      <c r="O1" s="16"/>
      <c r="P1" s="16"/>
      <c r="Q1" s="16"/>
      <c r="R1" s="16"/>
      <c r="S1" s="16"/>
      <c r="T1" s="16"/>
      <c r="U1" s="16"/>
      <c r="V1" s="16"/>
      <c r="W1" s="16"/>
      <c r="X1" s="16"/>
      <c r="Y1" s="16"/>
      <c r="Z1" s="16"/>
      <c r="AA1" s="16"/>
      <c r="AB1" s="16"/>
    </row>
    <row r="2" spans="1:30" ht="16.8" thickBot="1" x14ac:dyDescent="0.4">
      <c r="A2" s="14"/>
      <c r="B2" s="14"/>
      <c r="C2" s="14"/>
      <c r="D2" s="14"/>
      <c r="E2" s="157" t="s">
        <v>55</v>
      </c>
      <c r="F2" s="157"/>
      <c r="G2" s="157"/>
      <c r="H2" s="14"/>
      <c r="I2" s="157" t="s">
        <v>57</v>
      </c>
      <c r="J2" s="157"/>
      <c r="K2" s="157"/>
      <c r="L2" s="14"/>
      <c r="M2" s="157" t="s">
        <v>58</v>
      </c>
      <c r="N2" s="157"/>
      <c r="O2" s="157"/>
      <c r="P2" s="14"/>
      <c r="Q2" s="157" t="s">
        <v>59</v>
      </c>
      <c r="R2" s="157"/>
      <c r="S2" s="157"/>
      <c r="T2" s="14"/>
      <c r="U2" s="157" t="s">
        <v>145</v>
      </c>
      <c r="V2" s="157"/>
      <c r="W2" s="157"/>
      <c r="X2" s="14"/>
      <c r="Y2" s="158" t="s">
        <v>62</v>
      </c>
      <c r="Z2" s="158"/>
      <c r="AA2" s="158"/>
      <c r="AB2" s="14"/>
    </row>
    <row r="3" spans="1:30" ht="45" x14ac:dyDescent="0.35">
      <c r="A3" s="14"/>
      <c r="B3" s="14"/>
      <c r="C3" s="15" t="s">
        <v>154</v>
      </c>
      <c r="D3" s="14"/>
      <c r="E3" s="15" t="s">
        <v>56</v>
      </c>
      <c r="F3" s="15" t="s">
        <v>71</v>
      </c>
      <c r="G3" s="15" t="s">
        <v>65</v>
      </c>
      <c r="H3" s="15"/>
      <c r="I3" s="15" t="s">
        <v>56</v>
      </c>
      <c r="J3" s="15" t="s">
        <v>71</v>
      </c>
      <c r="K3" s="15" t="s">
        <v>66</v>
      </c>
      <c r="L3" s="14"/>
      <c r="M3" s="15" t="s">
        <v>56</v>
      </c>
      <c r="N3" s="15" t="s">
        <v>71</v>
      </c>
      <c r="O3" s="15" t="s">
        <v>65</v>
      </c>
      <c r="P3" s="14"/>
      <c r="Q3" s="15" t="s">
        <v>56</v>
      </c>
      <c r="R3" s="15" t="s">
        <v>71</v>
      </c>
      <c r="S3" s="15" t="s">
        <v>65</v>
      </c>
      <c r="T3" s="14"/>
      <c r="U3" s="15" t="s">
        <v>56</v>
      </c>
      <c r="V3" s="15" t="s">
        <v>71</v>
      </c>
      <c r="W3" s="15" t="s">
        <v>67</v>
      </c>
      <c r="X3" s="14"/>
      <c r="Y3" s="24" t="s">
        <v>56</v>
      </c>
      <c r="Z3" s="24" t="s">
        <v>71</v>
      </c>
      <c r="AA3" s="24" t="s">
        <v>65</v>
      </c>
      <c r="AB3" s="14"/>
    </row>
    <row r="4" spans="1:30" ht="16.2" x14ac:dyDescent="0.35">
      <c r="A4" s="13"/>
      <c r="B4" s="13" t="s">
        <v>146</v>
      </c>
      <c r="C4" s="19">
        <f>MROUND(56948229,100)</f>
        <v>56948200</v>
      </c>
      <c r="D4" s="13"/>
      <c r="E4" s="19">
        <v>37575</v>
      </c>
      <c r="F4" s="37">
        <v>65.98098072549368</v>
      </c>
      <c r="G4" s="13"/>
      <c r="H4" s="13"/>
      <c r="I4" s="19">
        <v>2264</v>
      </c>
      <c r="J4" s="37">
        <v>3.9755406616771172</v>
      </c>
      <c r="K4" s="13"/>
      <c r="L4" s="13"/>
      <c r="M4" s="19">
        <v>4588</v>
      </c>
      <c r="N4" s="37">
        <v>8.0564401748121082</v>
      </c>
      <c r="O4" s="13"/>
      <c r="P4" s="13"/>
      <c r="Q4" s="19">
        <v>2020</v>
      </c>
      <c r="R4" s="37">
        <v>3.5470813324150958</v>
      </c>
      <c r="S4" s="13"/>
      <c r="T4" s="13"/>
      <c r="U4" s="13">
        <v>559</v>
      </c>
      <c r="V4" s="20">
        <v>0.98159329941586071</v>
      </c>
      <c r="W4" s="13"/>
      <c r="X4" s="13"/>
      <c r="Y4" s="19">
        <v>44577</v>
      </c>
      <c r="Z4" s="37">
        <f>Y4/C4*100000</f>
        <v>78.276398551666247</v>
      </c>
      <c r="AA4" s="13"/>
      <c r="AB4" s="13"/>
      <c r="AD4">
        <v>632750</v>
      </c>
    </row>
    <row r="5" spans="1:30" x14ac:dyDescent="0.35">
      <c r="A5" s="12"/>
      <c r="B5" s="12" t="s">
        <v>8</v>
      </c>
      <c r="C5" s="21">
        <f>MROUND(1631349,100)</f>
        <v>1631300</v>
      </c>
      <c r="D5" s="12"/>
      <c r="E5" s="21">
        <v>1179</v>
      </c>
      <c r="F5" s="23">
        <v>72.271475938012031</v>
      </c>
      <c r="G5" s="12">
        <f>RANK(F5,$F$5:$F$46,0)</f>
        <v>6</v>
      </c>
      <c r="H5" s="12"/>
      <c r="I5" s="12">
        <v>82</v>
      </c>
      <c r="J5" s="23">
        <v>5.0265148659177159</v>
      </c>
      <c r="K5" s="12">
        <f>RANK(J5,$J$5:$J$46)</f>
        <v>5</v>
      </c>
      <c r="L5" s="12"/>
      <c r="M5" s="21">
        <v>175</v>
      </c>
      <c r="N5" s="23">
        <v>10.727318311409761</v>
      </c>
      <c r="O5" s="12">
        <f>RANK(N5,$N$5:$N$46,0)</f>
        <v>6</v>
      </c>
      <c r="P5" s="12"/>
      <c r="Q5" s="21">
        <v>101</v>
      </c>
      <c r="R5" s="23">
        <v>6.1911951397279177</v>
      </c>
      <c r="S5" s="12">
        <f>RANK(R5,$R$5:$R$46,0)</f>
        <v>6</v>
      </c>
      <c r="T5" s="12"/>
      <c r="U5" s="12">
        <v>29</v>
      </c>
      <c r="V5" s="22">
        <v>1.777669891605046</v>
      </c>
      <c r="W5" s="12">
        <f>RANK(V5,$V$5:$V$47,0)</f>
        <v>5</v>
      </c>
      <c r="X5" s="12"/>
      <c r="Y5" s="19">
        <v>1432</v>
      </c>
      <c r="Z5" s="37">
        <v>87.780113268221584</v>
      </c>
      <c r="AA5" s="13">
        <f>RANK(Z5,$Z$5:$Z$46,0)</f>
        <v>6</v>
      </c>
      <c r="AB5" s="12"/>
      <c r="AD5">
        <v>817289</v>
      </c>
    </row>
    <row r="6" spans="1:30" x14ac:dyDescent="0.35">
      <c r="A6" s="12"/>
      <c r="B6" s="12" t="s">
        <v>9</v>
      </c>
      <c r="C6" s="21">
        <f>MROUND(AD4,100)</f>
        <v>632800</v>
      </c>
      <c r="D6" s="12"/>
      <c r="E6" s="21">
        <v>280</v>
      </c>
      <c r="F6" s="23">
        <v>44.251284077439749</v>
      </c>
      <c r="G6" s="12">
        <f t="shared" ref="G6:G46" si="0">RANK(F6,$F$5:$F$46,0)</f>
        <v>22</v>
      </c>
      <c r="H6" s="12"/>
      <c r="I6" s="12">
        <v>4</v>
      </c>
      <c r="J6" s="23">
        <v>0.63216120110628216</v>
      </c>
      <c r="K6" s="12">
        <f t="shared" ref="K6:K46" si="1">RANK(J6,$J$5:$J$46)</f>
        <v>39</v>
      </c>
      <c r="L6" s="12"/>
      <c r="M6" s="21">
        <v>10</v>
      </c>
      <c r="N6" s="23">
        <v>1.5804030027657054</v>
      </c>
      <c r="O6" s="12">
        <f t="shared" ref="O6:O46" si="2">RANK(N6,$N$5:$N$46,0)</f>
        <v>42</v>
      </c>
      <c r="P6" s="12"/>
      <c r="Q6" s="21">
        <v>5</v>
      </c>
      <c r="R6" s="23">
        <v>0.79020150138285272</v>
      </c>
      <c r="S6" s="12">
        <f t="shared" ref="S6:S46" si="3">RANK(R6,$R$5:$R$46,0)</f>
        <v>40</v>
      </c>
      <c r="T6" s="12"/>
      <c r="U6" s="12">
        <v>4</v>
      </c>
      <c r="V6" s="22">
        <v>0.63216120110628216</v>
      </c>
      <c r="W6" s="12">
        <f t="shared" ref="W6:W46" si="4">RANK(V6,$V$5:$V$47,0)</f>
        <v>26</v>
      </c>
      <c r="X6" s="12"/>
      <c r="Y6" s="19">
        <v>300</v>
      </c>
      <c r="Z6" s="37">
        <v>47.412090082971154</v>
      </c>
      <c r="AA6" s="13">
        <f t="shared" ref="AA6:AA46" si="5">RANK(Z6,$Z$5:$Z$46,0)</f>
        <v>26</v>
      </c>
      <c r="AB6" s="12"/>
      <c r="AD6">
        <v>1035314</v>
      </c>
    </row>
    <row r="7" spans="1:30" x14ac:dyDescent="0.35">
      <c r="A7" s="12"/>
      <c r="B7" s="12" t="s">
        <v>11</v>
      </c>
      <c r="C7" s="21">
        <f t="shared" ref="C7:C46" si="6">MROUND(AD5,100)</f>
        <v>817300</v>
      </c>
      <c r="D7" s="12"/>
      <c r="E7" s="21">
        <v>276</v>
      </c>
      <c r="F7" s="23">
        <v>33.770184108681256</v>
      </c>
      <c r="G7" s="12">
        <f t="shared" si="0"/>
        <v>30</v>
      </c>
      <c r="H7" s="12"/>
      <c r="I7" s="12">
        <v>27</v>
      </c>
      <c r="J7" s="23">
        <v>3.3036049671536016</v>
      </c>
      <c r="K7" s="12">
        <f t="shared" si="1"/>
        <v>10</v>
      </c>
      <c r="L7" s="12"/>
      <c r="M7" s="21">
        <v>17</v>
      </c>
      <c r="N7" s="23">
        <v>2.080047571911527</v>
      </c>
      <c r="O7" s="12">
        <f t="shared" si="2"/>
        <v>41</v>
      </c>
      <c r="P7" s="12"/>
      <c r="Q7" s="21">
        <v>4</v>
      </c>
      <c r="R7" s="23">
        <v>0.4894229580968299</v>
      </c>
      <c r="S7" s="12">
        <f t="shared" si="3"/>
        <v>41</v>
      </c>
      <c r="T7" s="12"/>
      <c r="U7" s="12">
        <v>2</v>
      </c>
      <c r="V7" s="22">
        <v>0.24471147904841495</v>
      </c>
      <c r="W7" s="12">
        <f t="shared" si="4"/>
        <v>37</v>
      </c>
      <c r="X7" s="12"/>
      <c r="Y7" s="19">
        <v>317</v>
      </c>
      <c r="Z7" s="37">
        <v>38.786769429173766</v>
      </c>
      <c r="AA7" s="13">
        <f t="shared" si="5"/>
        <v>35</v>
      </c>
      <c r="AB7" s="12"/>
      <c r="AD7">
        <v>559966</v>
      </c>
    </row>
    <row r="8" spans="1:30" x14ac:dyDescent="0.35">
      <c r="A8" s="12"/>
      <c r="B8" s="12" t="s">
        <v>12</v>
      </c>
      <c r="C8" s="21">
        <f t="shared" si="6"/>
        <v>1035300</v>
      </c>
      <c r="D8" s="12"/>
      <c r="E8" s="21">
        <v>542</v>
      </c>
      <c r="F8" s="23">
        <v>52.351267344979391</v>
      </c>
      <c r="G8" s="12">
        <f t="shared" si="0"/>
        <v>13</v>
      </c>
      <c r="H8" s="12"/>
      <c r="I8" s="12">
        <v>18</v>
      </c>
      <c r="J8" s="23">
        <v>1.7386029745565115</v>
      </c>
      <c r="K8" s="12">
        <f t="shared" si="1"/>
        <v>20</v>
      </c>
      <c r="L8" s="12"/>
      <c r="M8" s="21">
        <v>82</v>
      </c>
      <c r="N8" s="23">
        <v>7.9203024396463295</v>
      </c>
      <c r="O8" s="12">
        <f t="shared" si="2"/>
        <v>13</v>
      </c>
      <c r="P8" s="12"/>
      <c r="Q8" s="21">
        <v>40</v>
      </c>
      <c r="R8" s="23">
        <v>3.8635621656811359</v>
      </c>
      <c r="S8" s="12">
        <f t="shared" si="3"/>
        <v>16</v>
      </c>
      <c r="T8" s="12"/>
      <c r="U8" s="12">
        <v>17</v>
      </c>
      <c r="V8" s="22">
        <v>1.642013920414483</v>
      </c>
      <c r="W8" s="12">
        <f t="shared" si="4"/>
        <v>6</v>
      </c>
      <c r="X8" s="12"/>
      <c r="Y8" s="19">
        <v>670</v>
      </c>
      <c r="Z8" s="37">
        <v>64.714666275159033</v>
      </c>
      <c r="AA8" s="13">
        <f t="shared" si="5"/>
        <v>13</v>
      </c>
      <c r="AB8" s="12"/>
      <c r="AD8">
        <v>498499</v>
      </c>
    </row>
    <row r="9" spans="1:30" x14ac:dyDescent="0.35">
      <c r="A9" s="12"/>
      <c r="B9" s="12" t="s">
        <v>13</v>
      </c>
      <c r="C9" s="21">
        <f t="shared" si="6"/>
        <v>560000</v>
      </c>
      <c r="D9" s="12"/>
      <c r="E9" s="21">
        <v>302</v>
      </c>
      <c r="F9" s="23">
        <v>53.931845862070197</v>
      </c>
      <c r="G9" s="12">
        <f t="shared" si="0"/>
        <v>12</v>
      </c>
      <c r="H9" s="12"/>
      <c r="I9" s="12">
        <v>19</v>
      </c>
      <c r="J9" s="23">
        <v>3.3930631502626949</v>
      </c>
      <c r="K9" s="12">
        <f t="shared" si="1"/>
        <v>9</v>
      </c>
      <c r="L9" s="12"/>
      <c r="M9" s="21">
        <v>21</v>
      </c>
      <c r="N9" s="23">
        <v>3.7502276923956099</v>
      </c>
      <c r="O9" s="12">
        <f t="shared" si="2"/>
        <v>32</v>
      </c>
      <c r="P9" s="12"/>
      <c r="Q9" s="21">
        <v>7</v>
      </c>
      <c r="R9" s="23">
        <v>1.2500758974652033</v>
      </c>
      <c r="S9" s="12">
        <f t="shared" si="3"/>
        <v>34</v>
      </c>
      <c r="T9" s="12"/>
      <c r="U9" s="12">
        <v>8</v>
      </c>
      <c r="V9" s="22">
        <v>1.4286581685316608</v>
      </c>
      <c r="W9" s="12">
        <f t="shared" si="4"/>
        <v>11</v>
      </c>
      <c r="X9" s="12"/>
      <c r="Y9" s="19">
        <v>353</v>
      </c>
      <c r="Z9" s="37">
        <v>63.039541686459529</v>
      </c>
      <c r="AA9" s="13">
        <f t="shared" si="5"/>
        <v>14</v>
      </c>
      <c r="AB9" s="12"/>
      <c r="AD9">
        <v>1027951</v>
      </c>
    </row>
    <row r="10" spans="1:30" x14ac:dyDescent="0.35">
      <c r="A10" s="12"/>
      <c r="B10" s="12" t="s">
        <v>14</v>
      </c>
      <c r="C10" s="21">
        <f t="shared" si="6"/>
        <v>498500</v>
      </c>
      <c r="D10" s="12"/>
      <c r="E10" s="21">
        <v>164</v>
      </c>
      <c r="F10" s="23">
        <v>32.898762083775495</v>
      </c>
      <c r="G10" s="12">
        <f t="shared" si="0"/>
        <v>32</v>
      </c>
      <c r="H10" s="12"/>
      <c r="I10" s="12">
        <v>24</v>
      </c>
      <c r="J10" s="23">
        <v>4.8144529878695845</v>
      </c>
      <c r="K10" s="12">
        <f t="shared" si="1"/>
        <v>6</v>
      </c>
      <c r="L10" s="12"/>
      <c r="M10" s="21">
        <v>40</v>
      </c>
      <c r="N10" s="23">
        <v>8.0240883131159748</v>
      </c>
      <c r="O10" s="12">
        <f t="shared" si="2"/>
        <v>12</v>
      </c>
      <c r="P10" s="12"/>
      <c r="Q10" s="21">
        <v>30</v>
      </c>
      <c r="R10" s="23">
        <v>6.0180662348369802</v>
      </c>
      <c r="S10" s="12">
        <f t="shared" si="3"/>
        <v>7</v>
      </c>
      <c r="T10" s="12"/>
      <c r="U10" s="12">
        <v>3</v>
      </c>
      <c r="V10" s="22">
        <v>0.60180662348369807</v>
      </c>
      <c r="W10" s="12">
        <f t="shared" si="4"/>
        <v>27</v>
      </c>
      <c r="X10" s="12"/>
      <c r="Y10" s="19">
        <v>236</v>
      </c>
      <c r="Z10" s="37">
        <v>47.342121047384246</v>
      </c>
      <c r="AA10" s="13">
        <f t="shared" si="5"/>
        <v>27</v>
      </c>
      <c r="AB10" s="12"/>
      <c r="AD10">
        <v>1692722</v>
      </c>
    </row>
    <row r="11" spans="1:30" x14ac:dyDescent="0.35">
      <c r="A11" s="12"/>
      <c r="B11" s="12" t="s">
        <v>15</v>
      </c>
      <c r="C11" s="21">
        <f t="shared" si="6"/>
        <v>1028000</v>
      </c>
      <c r="D11" s="12"/>
      <c r="E11" s="21">
        <v>356</v>
      </c>
      <c r="F11" s="23">
        <v>34.632000941679124</v>
      </c>
      <c r="G11" s="12">
        <f t="shared" si="0"/>
        <v>29</v>
      </c>
      <c r="H11" s="12"/>
      <c r="I11" s="12">
        <v>16</v>
      </c>
      <c r="J11" s="23">
        <v>1.5564944243451293</v>
      </c>
      <c r="K11" s="12">
        <f t="shared" si="1"/>
        <v>27</v>
      </c>
      <c r="L11" s="12"/>
      <c r="M11" s="21">
        <v>39</v>
      </c>
      <c r="N11" s="23">
        <v>3.7939551593412526</v>
      </c>
      <c r="O11" s="12">
        <f t="shared" si="2"/>
        <v>31</v>
      </c>
      <c r="P11" s="12"/>
      <c r="Q11" s="21">
        <v>10</v>
      </c>
      <c r="R11" s="23">
        <v>0.97280901521570584</v>
      </c>
      <c r="S11" s="12">
        <f t="shared" si="3"/>
        <v>38</v>
      </c>
      <c r="T11" s="12"/>
      <c r="U11" s="12">
        <v>4</v>
      </c>
      <c r="V11" s="22">
        <v>0.38912360608628233</v>
      </c>
      <c r="W11" s="12">
        <f t="shared" si="4"/>
        <v>32</v>
      </c>
      <c r="X11" s="12"/>
      <c r="Y11" s="19">
        <v>419</v>
      </c>
      <c r="Z11" s="37">
        <v>40.760697737538074</v>
      </c>
      <c r="AA11" s="13">
        <f t="shared" si="5"/>
        <v>33</v>
      </c>
      <c r="AB11" s="12"/>
      <c r="AD11">
        <v>753733</v>
      </c>
    </row>
    <row r="12" spans="1:30" x14ac:dyDescent="0.35">
      <c r="A12" s="12"/>
      <c r="B12" s="12" t="s">
        <v>54</v>
      </c>
      <c r="C12" s="21">
        <f t="shared" si="6"/>
        <v>1692700</v>
      </c>
      <c r="D12" s="12"/>
      <c r="E12" s="21">
        <v>778</v>
      </c>
      <c r="F12" s="23">
        <v>45.961475067967449</v>
      </c>
      <c r="G12" s="12">
        <f t="shared" si="0"/>
        <v>21</v>
      </c>
      <c r="H12" s="12"/>
      <c r="I12" s="12">
        <v>23</v>
      </c>
      <c r="J12" s="23">
        <v>1.3587582603640764</v>
      </c>
      <c r="K12" s="12">
        <f t="shared" si="1"/>
        <v>30</v>
      </c>
      <c r="L12" s="12"/>
      <c r="M12" s="21">
        <v>139</v>
      </c>
      <c r="N12" s="23">
        <v>8.2116260082872436</v>
      </c>
      <c r="O12" s="12">
        <f t="shared" si="2"/>
        <v>11</v>
      </c>
      <c r="P12" s="12"/>
      <c r="Q12" s="21">
        <v>80</v>
      </c>
      <c r="R12" s="23">
        <v>4.7261156882228743</v>
      </c>
      <c r="S12" s="12">
        <f t="shared" si="3"/>
        <v>12</v>
      </c>
      <c r="T12" s="12"/>
      <c r="U12" s="12">
        <v>17</v>
      </c>
      <c r="V12" s="22">
        <v>1.0042995837473607</v>
      </c>
      <c r="W12" s="12">
        <f t="shared" si="4"/>
        <v>14</v>
      </c>
      <c r="X12" s="12"/>
      <c r="Y12" s="19">
        <v>1037</v>
      </c>
      <c r="Z12" s="37">
        <v>61.26227460858901</v>
      </c>
      <c r="AA12" s="13">
        <f t="shared" si="5"/>
        <v>16</v>
      </c>
      <c r="AB12" s="12"/>
      <c r="AD12">
        <v>621649</v>
      </c>
    </row>
    <row r="13" spans="1:30" x14ac:dyDescent="0.35">
      <c r="A13" s="12"/>
      <c r="B13" s="12" t="s">
        <v>17</v>
      </c>
      <c r="C13" s="21">
        <f t="shared" si="6"/>
        <v>753700</v>
      </c>
      <c r="D13" s="12"/>
      <c r="E13" s="21">
        <v>145</v>
      </c>
      <c r="F13" s="23">
        <v>19.237581477791206</v>
      </c>
      <c r="G13" s="12">
        <f t="shared" si="0"/>
        <v>41</v>
      </c>
      <c r="H13" s="12"/>
      <c r="I13" s="12">
        <v>7</v>
      </c>
      <c r="J13" s="23">
        <v>0.92871082996233412</v>
      </c>
      <c r="K13" s="12">
        <f t="shared" si="1"/>
        <v>36</v>
      </c>
      <c r="L13" s="12"/>
      <c r="M13" s="21">
        <v>24</v>
      </c>
      <c r="N13" s="23">
        <v>3.1841514170137173</v>
      </c>
      <c r="O13" s="12">
        <f t="shared" si="2"/>
        <v>35</v>
      </c>
      <c r="P13" s="12"/>
      <c r="Q13" s="21">
        <v>26</v>
      </c>
      <c r="R13" s="23">
        <v>3.4494973684315271</v>
      </c>
      <c r="S13" s="12">
        <f t="shared" si="3"/>
        <v>20</v>
      </c>
      <c r="T13" s="12"/>
      <c r="U13" s="12">
        <v>3</v>
      </c>
      <c r="V13" s="22">
        <v>0.39801892712671466</v>
      </c>
      <c r="W13" s="12">
        <f t="shared" si="4"/>
        <v>31</v>
      </c>
      <c r="X13" s="12"/>
      <c r="Y13" s="19">
        <v>198</v>
      </c>
      <c r="Z13" s="37">
        <v>26.269249190363169</v>
      </c>
      <c r="AA13" s="13">
        <f t="shared" si="5"/>
        <v>40</v>
      </c>
      <c r="AB13" s="12"/>
      <c r="AD13">
        <v>516619</v>
      </c>
    </row>
    <row r="14" spans="1:30" x14ac:dyDescent="0.35">
      <c r="A14" s="12"/>
      <c r="B14" s="12" t="s">
        <v>18</v>
      </c>
      <c r="C14" s="21">
        <f t="shared" si="6"/>
        <v>621600</v>
      </c>
      <c r="D14" s="12"/>
      <c r="E14" s="21">
        <v>181</v>
      </c>
      <c r="F14" s="23">
        <v>29.116108929637143</v>
      </c>
      <c r="G14" s="12">
        <f t="shared" si="0"/>
        <v>37</v>
      </c>
      <c r="H14" s="12"/>
      <c r="I14" s="12">
        <v>20</v>
      </c>
      <c r="J14" s="23">
        <v>3.2172496054847675</v>
      </c>
      <c r="K14" s="12">
        <f t="shared" si="1"/>
        <v>11</v>
      </c>
      <c r="L14" s="12"/>
      <c r="M14" s="21">
        <v>22</v>
      </c>
      <c r="N14" s="23">
        <v>3.5389745660332439</v>
      </c>
      <c r="O14" s="12">
        <f t="shared" si="2"/>
        <v>34</v>
      </c>
      <c r="P14" s="12"/>
      <c r="Q14" s="21">
        <v>3</v>
      </c>
      <c r="R14" s="23">
        <v>0.48258744082271504</v>
      </c>
      <c r="S14" s="12">
        <f t="shared" si="3"/>
        <v>42</v>
      </c>
      <c r="T14" s="12"/>
      <c r="U14" s="12">
        <v>0</v>
      </c>
      <c r="V14" s="22">
        <v>0</v>
      </c>
      <c r="W14" s="12">
        <f t="shared" si="4"/>
        <v>40</v>
      </c>
      <c r="X14" s="12"/>
      <c r="Y14" s="19">
        <v>214</v>
      </c>
      <c r="Z14" s="37">
        <v>34.424570778687013</v>
      </c>
      <c r="AA14" s="13">
        <f t="shared" si="5"/>
        <v>38</v>
      </c>
      <c r="AB14" s="12"/>
      <c r="AD14">
        <v>1755137</v>
      </c>
    </row>
    <row r="15" spans="1:30" x14ac:dyDescent="0.35">
      <c r="A15" s="12"/>
      <c r="B15" s="12" t="s">
        <v>19</v>
      </c>
      <c r="C15" s="21">
        <f t="shared" si="6"/>
        <v>516600</v>
      </c>
      <c r="D15" s="12"/>
      <c r="E15" s="21">
        <v>65</v>
      </c>
      <c r="F15" s="23">
        <v>12.581805934353945</v>
      </c>
      <c r="G15" s="12">
        <f t="shared" si="0"/>
        <v>42</v>
      </c>
      <c r="H15" s="12"/>
      <c r="I15" s="12">
        <v>0</v>
      </c>
      <c r="J15" s="23">
        <v>0</v>
      </c>
      <c r="K15" s="12">
        <f t="shared" si="1"/>
        <v>42</v>
      </c>
      <c r="L15" s="12"/>
      <c r="M15" s="21">
        <v>11</v>
      </c>
      <c r="N15" s="23">
        <v>2.1292286965829748</v>
      </c>
      <c r="O15" s="12">
        <f t="shared" si="2"/>
        <v>40</v>
      </c>
      <c r="P15" s="12"/>
      <c r="Q15" s="21">
        <v>6</v>
      </c>
      <c r="R15" s="23">
        <v>1.1613974708634409</v>
      </c>
      <c r="S15" s="12">
        <f t="shared" si="3"/>
        <v>35</v>
      </c>
      <c r="T15" s="12"/>
      <c r="U15" s="12">
        <v>3</v>
      </c>
      <c r="V15" s="22">
        <v>0.58069873543172046</v>
      </c>
      <c r="W15" s="12">
        <f t="shared" si="4"/>
        <v>28</v>
      </c>
      <c r="X15" s="12"/>
      <c r="Y15" s="19">
        <v>84</v>
      </c>
      <c r="Z15" s="37">
        <v>16.259564592088172</v>
      </c>
      <c r="AA15" s="13">
        <f t="shared" si="5"/>
        <v>42</v>
      </c>
      <c r="AB15" s="12"/>
      <c r="AD15">
        <v>605959</v>
      </c>
    </row>
    <row r="16" spans="1:30" x14ac:dyDescent="0.35">
      <c r="A16" s="12"/>
      <c r="B16" s="12" t="s">
        <v>20</v>
      </c>
      <c r="C16" s="21">
        <f t="shared" si="6"/>
        <v>1755100</v>
      </c>
      <c r="D16" s="12"/>
      <c r="E16" s="21">
        <v>842</v>
      </c>
      <c r="F16" s="23">
        <v>47.973463040207122</v>
      </c>
      <c r="G16" s="12">
        <f t="shared" si="0"/>
        <v>18</v>
      </c>
      <c r="H16" s="12"/>
      <c r="I16" s="12">
        <v>19</v>
      </c>
      <c r="J16" s="23">
        <v>1.0825365769167876</v>
      </c>
      <c r="K16" s="12">
        <f t="shared" si="1"/>
        <v>34</v>
      </c>
      <c r="L16" s="12"/>
      <c r="M16" s="21">
        <v>117</v>
      </c>
      <c r="N16" s="23">
        <v>6.6661462894349564</v>
      </c>
      <c r="O16" s="12">
        <f t="shared" si="2"/>
        <v>16</v>
      </c>
      <c r="P16" s="12"/>
      <c r="Q16" s="21">
        <v>64</v>
      </c>
      <c r="R16" s="23">
        <v>3.6464389959302324</v>
      </c>
      <c r="S16" s="12">
        <f t="shared" si="3"/>
        <v>17</v>
      </c>
      <c r="T16" s="12"/>
      <c r="U16" s="12">
        <v>27</v>
      </c>
      <c r="V16" s="22">
        <v>1.5383414514080669</v>
      </c>
      <c r="W16" s="12">
        <f t="shared" si="4"/>
        <v>7</v>
      </c>
      <c r="X16" s="12"/>
      <c r="Y16" s="19">
        <v>1052</v>
      </c>
      <c r="Z16" s="37">
        <v>59.938340995603191</v>
      </c>
      <c r="AA16" s="13">
        <f t="shared" si="5"/>
        <v>18</v>
      </c>
      <c r="AB16" s="12"/>
      <c r="AD16">
        <v>2713572</v>
      </c>
    </row>
    <row r="17" spans="1:30" x14ac:dyDescent="0.35">
      <c r="A17" s="12"/>
      <c r="B17" s="12" t="s">
        <v>21</v>
      </c>
      <c r="C17" s="21">
        <f t="shared" si="6"/>
        <v>606000</v>
      </c>
      <c r="D17" s="12"/>
      <c r="E17" s="21">
        <v>155</v>
      </c>
      <c r="F17" s="23">
        <v>25.579288367694843</v>
      </c>
      <c r="G17" s="12">
        <f t="shared" si="0"/>
        <v>39</v>
      </c>
      <c r="H17" s="12"/>
      <c r="I17" s="12">
        <v>7</v>
      </c>
      <c r="J17" s="23">
        <v>1.1551936682184767</v>
      </c>
      <c r="K17" s="12">
        <f t="shared" si="1"/>
        <v>33</v>
      </c>
      <c r="L17" s="12"/>
      <c r="M17" s="21">
        <v>16</v>
      </c>
      <c r="N17" s="23">
        <v>2.6404426702136612</v>
      </c>
      <c r="O17" s="12">
        <f t="shared" si="2"/>
        <v>38</v>
      </c>
      <c r="P17" s="12"/>
      <c r="Q17" s="21">
        <v>6</v>
      </c>
      <c r="R17" s="23">
        <v>0.990166001330123</v>
      </c>
      <c r="S17" s="12">
        <f t="shared" si="3"/>
        <v>37</v>
      </c>
      <c r="T17" s="12"/>
      <c r="U17" s="12">
        <v>4</v>
      </c>
      <c r="V17" s="22">
        <v>0.6601106675534153</v>
      </c>
      <c r="W17" s="12">
        <f t="shared" si="4"/>
        <v>25</v>
      </c>
      <c r="X17" s="12"/>
      <c r="Y17" s="19">
        <v>180</v>
      </c>
      <c r="Z17" s="37">
        <v>29.704980039903688</v>
      </c>
      <c r="AA17" s="13">
        <f t="shared" si="5"/>
        <v>39</v>
      </c>
      <c r="AB17" s="12"/>
      <c r="AD17">
        <v>579346</v>
      </c>
    </row>
    <row r="18" spans="1:30" x14ac:dyDescent="0.35">
      <c r="A18" s="12"/>
      <c r="B18" s="12" t="s">
        <v>22</v>
      </c>
      <c r="C18" s="21">
        <f t="shared" si="6"/>
        <v>2713600</v>
      </c>
      <c r="D18" s="12"/>
      <c r="E18" s="21">
        <v>2701</v>
      </c>
      <c r="F18" s="23">
        <v>99.536699228913037</v>
      </c>
      <c r="G18" s="12">
        <f t="shared" si="0"/>
        <v>2</v>
      </c>
      <c r="H18" s="12"/>
      <c r="I18" s="12">
        <v>197</v>
      </c>
      <c r="J18" s="23">
        <v>7.259803683115833</v>
      </c>
      <c r="K18" s="12">
        <f t="shared" si="1"/>
        <v>2</v>
      </c>
      <c r="L18" s="12"/>
      <c r="M18" s="21">
        <v>310</v>
      </c>
      <c r="N18" s="23">
        <v>11.424056557187352</v>
      </c>
      <c r="O18" s="12">
        <f t="shared" si="2"/>
        <v>4</v>
      </c>
      <c r="P18" s="12"/>
      <c r="Q18" s="21">
        <v>67</v>
      </c>
      <c r="R18" s="23">
        <v>2.4690702881662987</v>
      </c>
      <c r="S18" s="12">
        <f t="shared" si="3"/>
        <v>24</v>
      </c>
      <c r="T18" s="12"/>
      <c r="U18" s="12">
        <v>21</v>
      </c>
      <c r="V18" s="22">
        <v>0.77388770226107872</v>
      </c>
      <c r="W18" s="12">
        <f t="shared" si="4"/>
        <v>24</v>
      </c>
      <c r="X18" s="12"/>
      <c r="Y18" s="19">
        <v>3171</v>
      </c>
      <c r="Z18" s="37">
        <v>116.85704304142288</v>
      </c>
      <c r="AA18" s="13">
        <f t="shared" si="5"/>
        <v>3</v>
      </c>
      <c r="AB18" s="12"/>
      <c r="AD18">
        <v>1925263</v>
      </c>
    </row>
    <row r="19" spans="1:30" x14ac:dyDescent="0.35">
      <c r="A19" s="12"/>
      <c r="B19" s="12" t="s">
        <v>23</v>
      </c>
      <c r="C19" s="21">
        <f t="shared" si="6"/>
        <v>579300</v>
      </c>
      <c r="D19" s="12"/>
      <c r="E19" s="21">
        <v>187</v>
      </c>
      <c r="F19" s="23">
        <v>32.277775284544987</v>
      </c>
      <c r="G19" s="12">
        <f t="shared" si="0"/>
        <v>33</v>
      </c>
      <c r="H19" s="12"/>
      <c r="I19" s="12">
        <v>10</v>
      </c>
      <c r="J19" s="23">
        <v>1.7260842398152398</v>
      </c>
      <c r="K19" s="12">
        <f t="shared" si="1"/>
        <v>22</v>
      </c>
      <c r="L19" s="12"/>
      <c r="M19" s="21">
        <v>36</v>
      </c>
      <c r="N19" s="23">
        <v>6.2139032633348643</v>
      </c>
      <c r="O19" s="12">
        <f t="shared" si="2"/>
        <v>18</v>
      </c>
      <c r="P19" s="12"/>
      <c r="Q19" s="21">
        <v>11</v>
      </c>
      <c r="R19" s="23">
        <v>1.8986926637967638</v>
      </c>
      <c r="S19" s="12">
        <f t="shared" si="3"/>
        <v>29</v>
      </c>
      <c r="T19" s="12"/>
      <c r="U19" s="12">
        <v>5</v>
      </c>
      <c r="V19" s="22">
        <v>0.86304211990761992</v>
      </c>
      <c r="W19" s="12">
        <f t="shared" si="4"/>
        <v>17</v>
      </c>
      <c r="X19" s="12"/>
      <c r="Y19" s="19">
        <v>244</v>
      </c>
      <c r="Z19" s="37">
        <v>42.116455451491852</v>
      </c>
      <c r="AA19" s="13">
        <f t="shared" si="5"/>
        <v>31</v>
      </c>
      <c r="AB19" s="12"/>
      <c r="AD19">
        <v>1140618</v>
      </c>
    </row>
    <row r="20" spans="1:30" x14ac:dyDescent="0.35">
      <c r="A20" s="12"/>
      <c r="B20" s="12" t="s">
        <v>24</v>
      </c>
      <c r="C20" s="21">
        <f t="shared" si="6"/>
        <v>1925300</v>
      </c>
      <c r="D20" s="12"/>
      <c r="E20" s="21">
        <v>835</v>
      </c>
      <c r="F20" s="23">
        <v>43.370697925426292</v>
      </c>
      <c r="G20" s="12">
        <f t="shared" si="0"/>
        <v>23</v>
      </c>
      <c r="H20" s="12"/>
      <c r="I20" s="12">
        <v>30</v>
      </c>
      <c r="J20" s="23">
        <v>1.5582286679793877</v>
      </c>
      <c r="K20" s="12">
        <f t="shared" si="1"/>
        <v>26</v>
      </c>
      <c r="L20" s="12"/>
      <c r="M20" s="21">
        <v>143</v>
      </c>
      <c r="N20" s="23">
        <v>7.4275566507017485</v>
      </c>
      <c r="O20" s="12">
        <f t="shared" si="2"/>
        <v>14</v>
      </c>
      <c r="P20" s="12"/>
      <c r="Q20" s="21">
        <v>43</v>
      </c>
      <c r="R20" s="23">
        <v>2.2334610907704557</v>
      </c>
      <c r="S20" s="12">
        <f t="shared" si="3"/>
        <v>26</v>
      </c>
      <c r="T20" s="12"/>
      <c r="U20" s="12">
        <v>36</v>
      </c>
      <c r="V20" s="22">
        <v>1.8698744015752653</v>
      </c>
      <c r="W20" s="12">
        <f t="shared" si="4"/>
        <v>2</v>
      </c>
      <c r="X20" s="12"/>
      <c r="Y20" s="19">
        <v>1064</v>
      </c>
      <c r="Z20" s="37">
        <v>55.265176757668954</v>
      </c>
      <c r="AA20" s="13">
        <f t="shared" si="5"/>
        <v>22</v>
      </c>
      <c r="AB20" s="12"/>
      <c r="AD20">
        <v>921939</v>
      </c>
    </row>
    <row r="21" spans="1:30" x14ac:dyDescent="0.35">
      <c r="A21" s="12"/>
      <c r="B21" s="12" t="s">
        <v>25</v>
      </c>
      <c r="C21" s="21">
        <f t="shared" si="6"/>
        <v>1140600</v>
      </c>
      <c r="D21" s="12"/>
      <c r="E21" s="21">
        <v>544</v>
      </c>
      <c r="F21" s="23">
        <v>47.693443378940188</v>
      </c>
      <c r="G21" s="12">
        <f t="shared" si="0"/>
        <v>19</v>
      </c>
      <c r="H21" s="12"/>
      <c r="I21" s="12">
        <v>11</v>
      </c>
      <c r="J21" s="23">
        <v>0.96438948008886416</v>
      </c>
      <c r="K21" s="12">
        <f t="shared" si="1"/>
        <v>35</v>
      </c>
      <c r="L21" s="12"/>
      <c r="M21" s="21">
        <v>45</v>
      </c>
      <c r="N21" s="23">
        <v>3.9452296912726257</v>
      </c>
      <c r="O21" s="12">
        <f t="shared" si="2"/>
        <v>29</v>
      </c>
      <c r="P21" s="12"/>
      <c r="Q21" s="21">
        <v>34</v>
      </c>
      <c r="R21" s="23">
        <v>2.9808402111837617</v>
      </c>
      <c r="S21" s="12">
        <f t="shared" si="3"/>
        <v>22</v>
      </c>
      <c r="T21" s="12"/>
      <c r="U21" s="12">
        <v>3</v>
      </c>
      <c r="V21" s="22">
        <v>0.26301531275150841</v>
      </c>
      <c r="W21" s="12">
        <f t="shared" si="4"/>
        <v>36</v>
      </c>
      <c r="X21" s="12"/>
      <c r="Y21" s="19">
        <v>626</v>
      </c>
      <c r="Z21" s="37">
        <v>54.882528594148084</v>
      </c>
      <c r="AA21" s="13">
        <f t="shared" si="5"/>
        <v>23</v>
      </c>
      <c r="AB21" s="12"/>
      <c r="AD21">
        <v>1763803</v>
      </c>
    </row>
    <row r="22" spans="1:30" x14ac:dyDescent="0.35">
      <c r="A22" s="12"/>
      <c r="B22" s="12" t="s">
        <v>26</v>
      </c>
      <c r="C22" s="21">
        <f t="shared" si="6"/>
        <v>921900</v>
      </c>
      <c r="D22" s="12"/>
      <c r="E22" s="21">
        <v>453</v>
      </c>
      <c r="F22" s="23">
        <v>49.135571876230422</v>
      </c>
      <c r="G22" s="12">
        <f t="shared" si="0"/>
        <v>16</v>
      </c>
      <c r="H22" s="12"/>
      <c r="I22" s="12">
        <v>12</v>
      </c>
      <c r="J22" s="23">
        <v>1.3016045530127265</v>
      </c>
      <c r="K22" s="12">
        <f t="shared" si="1"/>
        <v>31</v>
      </c>
      <c r="L22" s="12"/>
      <c r="M22" s="21">
        <v>47</v>
      </c>
      <c r="N22" s="23">
        <v>5.0979511659665118</v>
      </c>
      <c r="O22" s="12">
        <f t="shared" si="2"/>
        <v>24</v>
      </c>
      <c r="P22" s="12"/>
      <c r="Q22" s="21">
        <v>33</v>
      </c>
      <c r="R22" s="23">
        <v>3.5794125207849978</v>
      </c>
      <c r="S22" s="12">
        <f t="shared" si="3"/>
        <v>19</v>
      </c>
      <c r="T22" s="12"/>
      <c r="U22" s="12">
        <v>3</v>
      </c>
      <c r="V22" s="22">
        <v>0.32540113825318162</v>
      </c>
      <c r="W22" s="12">
        <f t="shared" si="4"/>
        <v>34</v>
      </c>
      <c r="X22" s="12"/>
      <c r="Y22" s="19">
        <v>548</v>
      </c>
      <c r="Z22" s="37">
        <v>59.439941254247842</v>
      </c>
      <c r="AA22" s="13">
        <f t="shared" si="5"/>
        <v>19</v>
      </c>
      <c r="AB22" s="12"/>
      <c r="AD22">
        <v>1467960</v>
      </c>
    </row>
    <row r="23" spans="1:30" x14ac:dyDescent="0.35">
      <c r="A23" s="12"/>
      <c r="B23" s="12" t="s">
        <v>27</v>
      </c>
      <c r="C23" s="21">
        <f t="shared" si="6"/>
        <v>1763800</v>
      </c>
      <c r="D23" s="12"/>
      <c r="E23" s="21">
        <v>885</v>
      </c>
      <c r="F23" s="23">
        <v>50.175671546085368</v>
      </c>
      <c r="G23" s="12">
        <f t="shared" si="0"/>
        <v>15</v>
      </c>
      <c r="H23" s="12"/>
      <c r="I23" s="12">
        <v>43</v>
      </c>
      <c r="J23" s="23">
        <v>2.4379139847250513</v>
      </c>
      <c r="K23" s="12">
        <f t="shared" si="1"/>
        <v>18</v>
      </c>
      <c r="L23" s="12"/>
      <c r="M23" s="21">
        <v>79</v>
      </c>
      <c r="N23" s="23">
        <v>4.4789582510064898</v>
      </c>
      <c r="O23" s="12">
        <f t="shared" si="2"/>
        <v>26</v>
      </c>
      <c r="P23" s="12"/>
      <c r="Q23" s="21">
        <v>58</v>
      </c>
      <c r="R23" s="23">
        <v>3.2883490956756507</v>
      </c>
      <c r="S23" s="12">
        <f t="shared" si="3"/>
        <v>21</v>
      </c>
      <c r="T23" s="12"/>
      <c r="U23" s="12">
        <v>8</v>
      </c>
      <c r="V23" s="22">
        <v>0.45356539250698635</v>
      </c>
      <c r="W23" s="12">
        <f t="shared" si="4"/>
        <v>29</v>
      </c>
      <c r="X23" s="12"/>
      <c r="Y23" s="19">
        <v>1067</v>
      </c>
      <c r="Z23" s="37">
        <v>60.494284225619296</v>
      </c>
      <c r="AA23" s="13">
        <f t="shared" si="5"/>
        <v>17</v>
      </c>
      <c r="AB23" s="12"/>
      <c r="AD23">
        <v>1033339</v>
      </c>
    </row>
    <row r="24" spans="1:30" x14ac:dyDescent="0.35">
      <c r="A24" s="12"/>
      <c r="B24" s="12" t="s">
        <v>28</v>
      </c>
      <c r="C24" s="21">
        <f t="shared" si="6"/>
        <v>1468000</v>
      </c>
      <c r="D24" s="12"/>
      <c r="E24" s="21">
        <v>765</v>
      </c>
      <c r="F24" s="23">
        <v>52.113136597727461</v>
      </c>
      <c r="G24" s="12">
        <f t="shared" si="0"/>
        <v>14</v>
      </c>
      <c r="H24" s="12"/>
      <c r="I24" s="12">
        <v>75</v>
      </c>
      <c r="J24" s="23">
        <v>5.1091310389928886</v>
      </c>
      <c r="K24" s="12">
        <f t="shared" si="1"/>
        <v>4</v>
      </c>
      <c r="L24" s="12"/>
      <c r="M24" s="21">
        <v>124</v>
      </c>
      <c r="N24" s="23">
        <v>8.4470966511349079</v>
      </c>
      <c r="O24" s="12">
        <f t="shared" si="2"/>
        <v>9</v>
      </c>
      <c r="P24" s="12"/>
      <c r="Q24" s="21">
        <v>118</v>
      </c>
      <c r="R24" s="23">
        <v>8.0383661680154788</v>
      </c>
      <c r="S24" s="12">
        <f t="shared" si="3"/>
        <v>3</v>
      </c>
      <c r="T24" s="12"/>
      <c r="U24" s="12">
        <v>21</v>
      </c>
      <c r="V24" s="22">
        <v>1.4305566909180085</v>
      </c>
      <c r="W24" s="12">
        <f t="shared" si="4"/>
        <v>10</v>
      </c>
      <c r="X24" s="12"/>
      <c r="Y24" s="19">
        <v>1027</v>
      </c>
      <c r="Z24" s="37">
        <v>69.96103436060929</v>
      </c>
      <c r="AA24" s="13">
        <f t="shared" si="5"/>
        <v>12</v>
      </c>
      <c r="AB24" s="12"/>
      <c r="AD24">
        <v>724523</v>
      </c>
    </row>
    <row r="25" spans="1:30" x14ac:dyDescent="0.35">
      <c r="A25" s="12"/>
      <c r="B25" s="12" t="s">
        <v>29</v>
      </c>
      <c r="C25" s="21">
        <f t="shared" si="6"/>
        <v>1033300</v>
      </c>
      <c r="D25" s="12"/>
      <c r="E25" s="21">
        <v>741</v>
      </c>
      <c r="F25" s="23">
        <v>71.709284174893241</v>
      </c>
      <c r="G25" s="12">
        <f t="shared" si="0"/>
        <v>7</v>
      </c>
      <c r="H25" s="12"/>
      <c r="I25" s="12">
        <v>63</v>
      </c>
      <c r="J25" s="23">
        <v>6.0967407598087364</v>
      </c>
      <c r="K25" s="12">
        <f t="shared" si="1"/>
        <v>3</v>
      </c>
      <c r="L25" s="12"/>
      <c r="M25" s="21">
        <v>67</v>
      </c>
      <c r="N25" s="23">
        <v>6.4838354112251642</v>
      </c>
      <c r="O25" s="12">
        <f t="shared" si="2"/>
        <v>17</v>
      </c>
      <c r="P25" s="12"/>
      <c r="Q25" s="21">
        <v>29</v>
      </c>
      <c r="R25" s="23">
        <v>2.8064362227691011</v>
      </c>
      <c r="S25" s="12">
        <f t="shared" si="3"/>
        <v>23</v>
      </c>
      <c r="T25" s="12"/>
      <c r="U25" s="12">
        <v>8</v>
      </c>
      <c r="V25" s="22">
        <v>0.77418930283285547</v>
      </c>
      <c r="W25" s="12">
        <f t="shared" si="4"/>
        <v>23</v>
      </c>
      <c r="X25" s="12"/>
      <c r="Y25" s="19">
        <v>871</v>
      </c>
      <c r="Z25" s="37">
        <v>84.289860345927138</v>
      </c>
      <c r="AA25" s="13">
        <f t="shared" si="5"/>
        <v>8</v>
      </c>
      <c r="AB25" s="12"/>
      <c r="AD25">
        <v>1388143</v>
      </c>
    </row>
    <row r="26" spans="1:30" x14ac:dyDescent="0.35">
      <c r="A26" s="12"/>
      <c r="B26" s="12" t="s">
        <v>30</v>
      </c>
      <c r="C26" s="21">
        <f t="shared" si="6"/>
        <v>724500</v>
      </c>
      <c r="D26" s="12"/>
      <c r="E26" s="21">
        <v>209</v>
      </c>
      <c r="F26" s="23">
        <v>28.846565257417641</v>
      </c>
      <c r="G26" s="12">
        <f t="shared" si="0"/>
        <v>38</v>
      </c>
      <c r="H26" s="12"/>
      <c r="I26" s="12">
        <v>21</v>
      </c>
      <c r="J26" s="23">
        <v>2.8984587100754569</v>
      </c>
      <c r="K26" s="12">
        <f t="shared" si="1"/>
        <v>14</v>
      </c>
      <c r="L26" s="12"/>
      <c r="M26" s="21">
        <v>26</v>
      </c>
      <c r="N26" s="23">
        <v>3.5885679267600894</v>
      </c>
      <c r="O26" s="12">
        <f t="shared" si="2"/>
        <v>33</v>
      </c>
      <c r="P26" s="12"/>
      <c r="Q26" s="21">
        <v>10</v>
      </c>
      <c r="R26" s="23">
        <v>1.3802184333692651</v>
      </c>
      <c r="S26" s="12">
        <f t="shared" si="3"/>
        <v>33</v>
      </c>
      <c r="T26" s="12"/>
      <c r="U26" s="12">
        <v>6</v>
      </c>
      <c r="V26" s="22">
        <v>0.82813106002155901</v>
      </c>
      <c r="W26" s="12">
        <f t="shared" si="4"/>
        <v>18</v>
      </c>
      <c r="X26" s="12"/>
      <c r="Y26" s="19">
        <v>256</v>
      </c>
      <c r="Z26" s="37">
        <v>35.333591894253189</v>
      </c>
      <c r="AA26" s="13">
        <f t="shared" si="5"/>
        <v>36</v>
      </c>
      <c r="AB26" s="12"/>
      <c r="AD26">
        <v>8417458</v>
      </c>
    </row>
    <row r="27" spans="1:30" x14ac:dyDescent="0.35">
      <c r="A27" s="12"/>
      <c r="B27" s="12" t="s">
        <v>32</v>
      </c>
      <c r="C27" s="21">
        <f t="shared" si="6"/>
        <v>1388100</v>
      </c>
      <c r="D27" s="12"/>
      <c r="E27" s="21">
        <v>1358</v>
      </c>
      <c r="F27" s="23">
        <v>97.828537837960496</v>
      </c>
      <c r="G27" s="12">
        <f t="shared" si="0"/>
        <v>3</v>
      </c>
      <c r="H27" s="12"/>
      <c r="I27" s="12">
        <v>41</v>
      </c>
      <c r="J27" s="23">
        <v>2.953586193929588</v>
      </c>
      <c r="K27" s="12">
        <f t="shared" si="1"/>
        <v>13</v>
      </c>
      <c r="L27" s="12"/>
      <c r="M27" s="21">
        <v>193</v>
      </c>
      <c r="N27" s="23">
        <v>13.903466717766108</v>
      </c>
      <c r="O27" s="12">
        <f t="shared" si="2"/>
        <v>2</v>
      </c>
      <c r="P27" s="12"/>
      <c r="Q27" s="21">
        <v>99</v>
      </c>
      <c r="R27" s="23">
        <v>7.1318300780251027</v>
      </c>
      <c r="S27" s="12">
        <f t="shared" si="3"/>
        <v>5</v>
      </c>
      <c r="T27" s="12"/>
      <c r="U27" s="12">
        <v>25</v>
      </c>
      <c r="V27" s="22">
        <v>1.8009671914204803</v>
      </c>
      <c r="W27" s="12">
        <f t="shared" si="4"/>
        <v>4</v>
      </c>
      <c r="X27" s="12"/>
      <c r="Y27" s="19">
        <v>1679</v>
      </c>
      <c r="Z27" s="37">
        <v>120.95295657579948</v>
      </c>
      <c r="AA27" s="13">
        <f t="shared" si="5"/>
        <v>2</v>
      </c>
      <c r="AB27" s="12"/>
      <c r="AD27">
        <v>870296</v>
      </c>
    </row>
    <row r="28" spans="1:30" x14ac:dyDescent="0.35">
      <c r="A28" s="12"/>
      <c r="B28" s="12" t="s">
        <v>33</v>
      </c>
      <c r="C28" s="21">
        <f t="shared" si="6"/>
        <v>8417500</v>
      </c>
      <c r="D28" s="12"/>
      <c r="E28" s="21">
        <v>9809</v>
      </c>
      <c r="F28" s="23">
        <v>116.53161797777904</v>
      </c>
      <c r="G28" s="12">
        <f t="shared" si="0"/>
        <v>1</v>
      </c>
      <c r="H28" s="12"/>
      <c r="I28" s="12">
        <v>918</v>
      </c>
      <c r="J28" s="23">
        <v>10.905905322010517</v>
      </c>
      <c r="K28" s="12">
        <f t="shared" si="1"/>
        <v>1</v>
      </c>
      <c r="L28" s="12"/>
      <c r="M28" s="21">
        <v>1224</v>
      </c>
      <c r="N28" s="23">
        <v>14.541207096014023</v>
      </c>
      <c r="O28" s="12">
        <f t="shared" si="2"/>
        <v>1</v>
      </c>
      <c r="P28" s="12"/>
      <c r="Q28" s="21">
        <v>124</v>
      </c>
      <c r="R28" s="23">
        <v>1.4731288234524009</v>
      </c>
      <c r="S28" s="12">
        <f t="shared" si="3"/>
        <v>32</v>
      </c>
      <c r="T28" s="12"/>
      <c r="U28" s="12">
        <v>81</v>
      </c>
      <c r="V28" s="22">
        <v>0.96228576370681029</v>
      </c>
      <c r="W28" s="12">
        <f t="shared" si="4"/>
        <v>15</v>
      </c>
      <c r="X28" s="12"/>
      <c r="Y28" s="19">
        <v>10821</v>
      </c>
      <c r="Z28" s="37">
        <v>128.55424998853573</v>
      </c>
      <c r="AA28" s="13">
        <f t="shared" si="5"/>
        <v>1</v>
      </c>
      <c r="AB28" s="12"/>
      <c r="AD28">
        <v>691180</v>
      </c>
    </row>
    <row r="29" spans="1:30" x14ac:dyDescent="0.35">
      <c r="A29" s="12"/>
      <c r="B29" s="12" t="s">
        <v>34</v>
      </c>
      <c r="C29" s="21">
        <f t="shared" si="6"/>
        <v>870300</v>
      </c>
      <c r="D29" s="12"/>
      <c r="E29" s="21">
        <v>260</v>
      </c>
      <c r="F29" s="23">
        <v>29.874893139805309</v>
      </c>
      <c r="G29" s="12">
        <f t="shared" si="0"/>
        <v>36</v>
      </c>
      <c r="H29" s="12"/>
      <c r="I29" s="12">
        <v>15</v>
      </c>
      <c r="J29" s="23">
        <v>1.7235515272964599</v>
      </c>
      <c r="K29" s="12">
        <f t="shared" si="1"/>
        <v>23</v>
      </c>
      <c r="L29" s="12"/>
      <c r="M29" s="21">
        <v>60</v>
      </c>
      <c r="N29" s="23">
        <v>6.8942061091858395</v>
      </c>
      <c r="O29" s="12">
        <f t="shared" si="2"/>
        <v>15</v>
      </c>
      <c r="P29" s="12"/>
      <c r="Q29" s="21">
        <v>72</v>
      </c>
      <c r="R29" s="23">
        <v>8.2730473310230082</v>
      </c>
      <c r="S29" s="12">
        <f t="shared" si="3"/>
        <v>2</v>
      </c>
      <c r="T29" s="12"/>
      <c r="U29" s="12">
        <v>7</v>
      </c>
      <c r="V29" s="22">
        <v>0.80432404607168129</v>
      </c>
      <c r="W29" s="12">
        <f t="shared" si="4"/>
        <v>21</v>
      </c>
      <c r="X29" s="12"/>
      <c r="Y29" s="19">
        <v>395</v>
      </c>
      <c r="Z29" s="37">
        <v>45.386856885473449</v>
      </c>
      <c r="AA29" s="13">
        <f t="shared" si="5"/>
        <v>29</v>
      </c>
      <c r="AB29" s="12"/>
      <c r="AD29">
        <v>806837</v>
      </c>
    </row>
    <row r="30" spans="1:30" x14ac:dyDescent="0.35">
      <c r="A30" s="12"/>
      <c r="B30" s="12" t="s">
        <v>35</v>
      </c>
      <c r="C30" s="21">
        <f t="shared" si="6"/>
        <v>691200</v>
      </c>
      <c r="D30" s="12"/>
      <c r="E30" s="21">
        <v>282</v>
      </c>
      <c r="F30" s="23">
        <v>40.799791660638327</v>
      </c>
      <c r="G30" s="12">
        <f t="shared" si="0"/>
        <v>25</v>
      </c>
      <c r="H30" s="12"/>
      <c r="I30" s="12">
        <v>10</v>
      </c>
      <c r="J30" s="23">
        <v>1.4468011227176714</v>
      </c>
      <c r="K30" s="12">
        <f t="shared" si="1"/>
        <v>28</v>
      </c>
      <c r="L30" s="12"/>
      <c r="M30" s="21">
        <v>62</v>
      </c>
      <c r="N30" s="23">
        <v>8.9701669608495624</v>
      </c>
      <c r="O30" s="12">
        <f t="shared" si="2"/>
        <v>7</v>
      </c>
      <c r="P30" s="12"/>
      <c r="Q30" s="21">
        <v>33</v>
      </c>
      <c r="R30" s="23">
        <v>4.7744437049683146</v>
      </c>
      <c r="S30" s="12">
        <f t="shared" si="3"/>
        <v>10</v>
      </c>
      <c r="T30" s="12"/>
      <c r="U30" s="12">
        <v>10</v>
      </c>
      <c r="V30" s="22">
        <v>1.4468011227176714</v>
      </c>
      <c r="W30" s="12">
        <f t="shared" si="4"/>
        <v>9</v>
      </c>
      <c r="X30" s="12"/>
      <c r="Y30" s="19">
        <v>389</v>
      </c>
      <c r="Z30" s="37">
        <v>56.280563673717417</v>
      </c>
      <c r="AA30" s="13">
        <f t="shared" si="5"/>
        <v>21</v>
      </c>
      <c r="AB30" s="12"/>
      <c r="AD30">
        <v>705655</v>
      </c>
    </row>
    <row r="31" spans="1:30" x14ac:dyDescent="0.35">
      <c r="A31" s="12"/>
      <c r="B31" s="12" t="s">
        <v>36</v>
      </c>
      <c r="C31" s="21">
        <f t="shared" si="6"/>
        <v>806800</v>
      </c>
      <c r="D31" s="12"/>
      <c r="E31" s="21">
        <v>167</v>
      </c>
      <c r="F31" s="23">
        <v>20.698108787772501</v>
      </c>
      <c r="G31" s="12">
        <f t="shared" si="0"/>
        <v>40</v>
      </c>
      <c r="H31" s="12"/>
      <c r="I31" s="12">
        <v>6</v>
      </c>
      <c r="J31" s="23">
        <v>0.74364462710559875</v>
      </c>
      <c r="K31" s="12">
        <f t="shared" si="1"/>
        <v>38</v>
      </c>
      <c r="L31" s="12"/>
      <c r="M31" s="21">
        <v>23</v>
      </c>
      <c r="N31" s="23">
        <v>2.8506377372381286</v>
      </c>
      <c r="O31" s="12">
        <f t="shared" si="2"/>
        <v>37</v>
      </c>
      <c r="P31" s="12"/>
      <c r="Q31" s="21">
        <v>7</v>
      </c>
      <c r="R31" s="23">
        <v>0.86758539828986525</v>
      </c>
      <c r="S31" s="12">
        <f t="shared" si="3"/>
        <v>39</v>
      </c>
      <c r="T31" s="12"/>
      <c r="U31" s="12">
        <v>0</v>
      </c>
      <c r="V31" s="22">
        <v>0</v>
      </c>
      <c r="W31" s="12">
        <f t="shared" si="4"/>
        <v>40</v>
      </c>
      <c r="X31" s="12"/>
      <c r="Y31" s="19">
        <v>199</v>
      </c>
      <c r="Z31" s="37">
        <v>24.664213465669025</v>
      </c>
      <c r="AA31" s="13">
        <f t="shared" si="5"/>
        <v>41</v>
      </c>
      <c r="AB31" s="12"/>
      <c r="AD31">
        <v>1428948</v>
      </c>
    </row>
    <row r="32" spans="1:30" x14ac:dyDescent="0.35">
      <c r="A32" s="12"/>
      <c r="B32" s="12" t="s">
        <v>37</v>
      </c>
      <c r="C32" s="21">
        <f t="shared" si="6"/>
        <v>705700</v>
      </c>
      <c r="D32" s="12"/>
      <c r="E32" s="21">
        <v>303</v>
      </c>
      <c r="F32" s="23">
        <v>42.938829881457657</v>
      </c>
      <c r="G32" s="12">
        <f t="shared" si="0"/>
        <v>24</v>
      </c>
      <c r="H32" s="12"/>
      <c r="I32" s="12">
        <v>12</v>
      </c>
      <c r="J32" s="23">
        <v>1.7005477180775308</v>
      </c>
      <c r="K32" s="12">
        <f t="shared" si="1"/>
        <v>24</v>
      </c>
      <c r="L32" s="12"/>
      <c r="M32" s="21">
        <v>33</v>
      </c>
      <c r="N32" s="23">
        <v>4.6765062247132096</v>
      </c>
      <c r="O32" s="12">
        <f t="shared" si="2"/>
        <v>25</v>
      </c>
      <c r="P32" s="12"/>
      <c r="Q32" s="21">
        <v>36</v>
      </c>
      <c r="R32" s="23">
        <v>5.1016431542325922</v>
      </c>
      <c r="S32" s="12">
        <f t="shared" si="3"/>
        <v>8</v>
      </c>
      <c r="T32" s="12"/>
      <c r="U32" s="12">
        <v>1</v>
      </c>
      <c r="V32" s="22">
        <v>0.14171230983979424</v>
      </c>
      <c r="W32" s="12">
        <f t="shared" si="4"/>
        <v>39</v>
      </c>
      <c r="X32" s="12"/>
      <c r="Y32" s="19">
        <v>385</v>
      </c>
      <c r="Z32" s="37">
        <v>54.559239288320775</v>
      </c>
      <c r="AA32" s="13">
        <f t="shared" si="5"/>
        <v>24</v>
      </c>
      <c r="AB32" s="12"/>
      <c r="AD32">
        <v>1107080</v>
      </c>
    </row>
    <row r="33" spans="1:30" x14ac:dyDescent="0.35">
      <c r="A33" s="12"/>
      <c r="B33" s="12" t="s">
        <v>38</v>
      </c>
      <c r="C33" s="21">
        <f t="shared" si="6"/>
        <v>1428900</v>
      </c>
      <c r="D33" s="12"/>
      <c r="E33" s="21">
        <v>582</v>
      </c>
      <c r="F33" s="23">
        <v>40.729263766071263</v>
      </c>
      <c r="G33" s="12">
        <f t="shared" si="0"/>
        <v>26</v>
      </c>
      <c r="H33" s="12"/>
      <c r="I33" s="12">
        <v>20</v>
      </c>
      <c r="J33" s="23">
        <v>1.3996310572533079</v>
      </c>
      <c r="K33" s="12">
        <f t="shared" si="1"/>
        <v>29</v>
      </c>
      <c r="L33" s="12"/>
      <c r="M33" s="21">
        <v>44</v>
      </c>
      <c r="N33" s="23">
        <v>3.0791883259572779</v>
      </c>
      <c r="O33" s="12">
        <f t="shared" si="2"/>
        <v>36</v>
      </c>
      <c r="P33" s="12"/>
      <c r="Q33" s="21">
        <v>33</v>
      </c>
      <c r="R33" s="23">
        <v>2.3093912444679585</v>
      </c>
      <c r="S33" s="12">
        <f t="shared" si="3"/>
        <v>25</v>
      </c>
      <c r="T33" s="12"/>
      <c r="U33" s="12">
        <v>4</v>
      </c>
      <c r="V33" s="22">
        <v>0.2799262114506616</v>
      </c>
      <c r="W33" s="12">
        <f t="shared" si="4"/>
        <v>35</v>
      </c>
      <c r="X33" s="12"/>
      <c r="Y33" s="19">
        <v>674</v>
      </c>
      <c r="Z33" s="37">
        <v>47.167566629436479</v>
      </c>
      <c r="AA33" s="13">
        <f t="shared" si="5"/>
        <v>28</v>
      </c>
      <c r="AB33" s="12"/>
      <c r="AD33">
        <v>1295267</v>
      </c>
    </row>
    <row r="34" spans="1:30" x14ac:dyDescent="0.35">
      <c r="A34" s="12"/>
      <c r="B34" s="12" t="s">
        <v>39</v>
      </c>
      <c r="C34" s="21">
        <f t="shared" si="6"/>
        <v>1107100</v>
      </c>
      <c r="D34" s="12"/>
      <c r="E34" s="21">
        <v>690</v>
      </c>
      <c r="F34" s="23">
        <v>62.326119160313617</v>
      </c>
      <c r="G34" s="12">
        <f t="shared" si="0"/>
        <v>10</v>
      </c>
      <c r="H34" s="12"/>
      <c r="I34" s="12">
        <v>28</v>
      </c>
      <c r="J34" s="23">
        <v>2.5291758499837411</v>
      </c>
      <c r="K34" s="12">
        <f t="shared" si="1"/>
        <v>17</v>
      </c>
      <c r="L34" s="12"/>
      <c r="M34" s="21">
        <v>67</v>
      </c>
      <c r="N34" s="23">
        <v>6.0519564981753806</v>
      </c>
      <c r="O34" s="12">
        <f t="shared" si="2"/>
        <v>20</v>
      </c>
      <c r="P34" s="12"/>
      <c r="Q34" s="21">
        <v>55</v>
      </c>
      <c r="R34" s="23">
        <v>4.968023991039491</v>
      </c>
      <c r="S34" s="12">
        <f t="shared" si="3"/>
        <v>9</v>
      </c>
      <c r="T34" s="12"/>
      <c r="U34" s="12">
        <v>4</v>
      </c>
      <c r="V34" s="22">
        <v>0.36131083571196304</v>
      </c>
      <c r="W34" s="12">
        <f t="shared" si="4"/>
        <v>33</v>
      </c>
      <c r="X34" s="12"/>
      <c r="Y34" s="19">
        <v>828</v>
      </c>
      <c r="Z34" s="37">
        <v>74.791342992376343</v>
      </c>
      <c r="AA34" s="13">
        <f t="shared" si="5"/>
        <v>11</v>
      </c>
      <c r="AB34" s="12"/>
      <c r="AD34">
        <v>1358520</v>
      </c>
    </row>
    <row r="35" spans="1:30" x14ac:dyDescent="0.35">
      <c r="A35" s="12"/>
      <c r="B35" s="12" t="s">
        <v>40</v>
      </c>
      <c r="C35" s="21">
        <f t="shared" si="6"/>
        <v>1295300</v>
      </c>
      <c r="D35" s="12"/>
      <c r="E35" s="21">
        <v>878</v>
      </c>
      <c r="F35" s="23">
        <v>67.78525199823666</v>
      </c>
      <c r="G35" s="12">
        <f t="shared" si="0"/>
        <v>8</v>
      </c>
      <c r="H35" s="12"/>
      <c r="I35" s="12">
        <v>56</v>
      </c>
      <c r="J35" s="23">
        <v>4.3234329292724976</v>
      </c>
      <c r="K35" s="12">
        <f t="shared" si="1"/>
        <v>8</v>
      </c>
      <c r="L35" s="12"/>
      <c r="M35" s="21">
        <v>161</v>
      </c>
      <c r="N35" s="23">
        <v>12.42986967165843</v>
      </c>
      <c r="O35" s="12">
        <f t="shared" si="2"/>
        <v>3</v>
      </c>
      <c r="P35" s="12"/>
      <c r="Q35" s="21">
        <v>100</v>
      </c>
      <c r="R35" s="23">
        <v>7.7204159451294601</v>
      </c>
      <c r="S35" s="12">
        <f t="shared" si="3"/>
        <v>4</v>
      </c>
      <c r="T35" s="12"/>
      <c r="U35" s="12">
        <v>29</v>
      </c>
      <c r="V35" s="22">
        <v>2.2389206240875432</v>
      </c>
      <c r="W35" s="12">
        <f t="shared" si="4"/>
        <v>1</v>
      </c>
      <c r="X35" s="12"/>
      <c r="Y35" s="19">
        <v>1160</v>
      </c>
      <c r="Z35" s="37">
        <v>89.556824963501725</v>
      </c>
      <c r="AA35" s="13">
        <f t="shared" si="5"/>
        <v>5</v>
      </c>
      <c r="AB35" s="12"/>
      <c r="AD35">
        <v>1107031</v>
      </c>
    </row>
    <row r="36" spans="1:30" x14ac:dyDescent="0.35">
      <c r="A36" s="12"/>
      <c r="B36" s="12" t="s">
        <v>41</v>
      </c>
      <c r="C36" s="21">
        <f t="shared" si="6"/>
        <v>1358500</v>
      </c>
      <c r="D36" s="12"/>
      <c r="E36" s="21">
        <v>547</v>
      </c>
      <c r="F36" s="23">
        <v>40.264405382327823</v>
      </c>
      <c r="G36" s="12">
        <f t="shared" si="0"/>
        <v>27</v>
      </c>
      <c r="H36" s="12"/>
      <c r="I36" s="12">
        <v>5</v>
      </c>
      <c r="J36" s="23">
        <v>0.36804758119129638</v>
      </c>
      <c r="K36" s="12">
        <f t="shared" si="1"/>
        <v>41</v>
      </c>
      <c r="L36" s="12"/>
      <c r="M36" s="21">
        <v>80</v>
      </c>
      <c r="N36" s="23">
        <v>5.8887612990607421</v>
      </c>
      <c r="O36" s="12">
        <f t="shared" si="2"/>
        <v>21</v>
      </c>
      <c r="P36" s="12"/>
      <c r="Q36" s="21">
        <v>23</v>
      </c>
      <c r="R36" s="23">
        <v>1.6930188734799634</v>
      </c>
      <c r="S36" s="12">
        <f t="shared" si="3"/>
        <v>31</v>
      </c>
      <c r="T36" s="12"/>
      <c r="U36" s="12">
        <v>12</v>
      </c>
      <c r="V36" s="22">
        <v>0.88331419485911145</v>
      </c>
      <c r="W36" s="12">
        <f t="shared" si="4"/>
        <v>16</v>
      </c>
      <c r="X36" s="12"/>
      <c r="Y36" s="19">
        <v>663</v>
      </c>
      <c r="Z36" s="37">
        <v>48.803109265965901</v>
      </c>
      <c r="AA36" s="13">
        <f t="shared" si="5"/>
        <v>25</v>
      </c>
      <c r="AB36" s="12"/>
      <c r="AD36">
        <v>735844</v>
      </c>
    </row>
    <row r="37" spans="1:30" x14ac:dyDescent="0.35">
      <c r="A37" s="12"/>
      <c r="B37" s="12" t="s">
        <v>42</v>
      </c>
      <c r="C37" s="21">
        <f t="shared" si="6"/>
        <v>1107000</v>
      </c>
      <c r="D37" s="12"/>
      <c r="E37" s="21">
        <v>727</v>
      </c>
      <c r="F37" s="23">
        <v>65.671151033710885</v>
      </c>
      <c r="G37" s="12">
        <f t="shared" si="0"/>
        <v>9</v>
      </c>
      <c r="H37" s="12"/>
      <c r="I37" s="12">
        <v>10</v>
      </c>
      <c r="J37" s="23">
        <v>0.90331707061500532</v>
      </c>
      <c r="K37" s="12">
        <f t="shared" si="1"/>
        <v>37</v>
      </c>
      <c r="L37" s="12"/>
      <c r="M37" s="21">
        <v>64</v>
      </c>
      <c r="N37" s="23">
        <v>5.7812292519360344</v>
      </c>
      <c r="O37" s="12">
        <f t="shared" si="2"/>
        <v>22</v>
      </c>
      <c r="P37" s="12"/>
      <c r="Q37" s="21">
        <v>46</v>
      </c>
      <c r="R37" s="23">
        <v>4.1552585248290246</v>
      </c>
      <c r="S37" s="12">
        <f t="shared" si="3"/>
        <v>14</v>
      </c>
      <c r="T37" s="12"/>
      <c r="U37" s="12">
        <v>9</v>
      </c>
      <c r="V37" s="22">
        <v>0.81298536355350492</v>
      </c>
      <c r="W37" s="12">
        <f t="shared" si="4"/>
        <v>20</v>
      </c>
      <c r="X37" s="12"/>
      <c r="Y37" s="19">
        <v>832</v>
      </c>
      <c r="Z37" s="37">
        <v>75.155980275168446</v>
      </c>
      <c r="AA37" s="13">
        <f t="shared" si="5"/>
        <v>10</v>
      </c>
      <c r="AB37" s="12"/>
      <c r="AD37">
        <v>1154136</v>
      </c>
    </row>
    <row r="38" spans="1:30" x14ac:dyDescent="0.35">
      <c r="A38" s="12"/>
      <c r="B38" s="12" t="s">
        <v>43</v>
      </c>
      <c r="C38" s="21">
        <f t="shared" si="6"/>
        <v>735800</v>
      </c>
      <c r="D38" s="12"/>
      <c r="E38" s="21">
        <v>411</v>
      </c>
      <c r="F38" s="23">
        <v>55.854229972657251</v>
      </c>
      <c r="G38" s="12">
        <f t="shared" si="0"/>
        <v>11</v>
      </c>
      <c r="H38" s="12"/>
      <c r="I38" s="12">
        <v>12</v>
      </c>
      <c r="J38" s="23">
        <v>1.6307804371578758</v>
      </c>
      <c r="K38" s="12">
        <f t="shared" si="1"/>
        <v>25</v>
      </c>
      <c r="L38" s="12"/>
      <c r="M38" s="21">
        <v>82</v>
      </c>
      <c r="N38" s="23">
        <v>11.143666320578818</v>
      </c>
      <c r="O38" s="12">
        <f t="shared" si="2"/>
        <v>5</v>
      </c>
      <c r="P38" s="12"/>
      <c r="Q38" s="21">
        <v>92</v>
      </c>
      <c r="R38" s="23">
        <v>12.50265001821038</v>
      </c>
      <c r="S38" s="12">
        <f t="shared" si="3"/>
        <v>1</v>
      </c>
      <c r="T38" s="12"/>
      <c r="U38" s="12">
        <v>10</v>
      </c>
      <c r="V38" s="22">
        <v>1.3589836976315632</v>
      </c>
      <c r="W38" s="12">
        <f t="shared" si="4"/>
        <v>12</v>
      </c>
      <c r="X38" s="12"/>
      <c r="Y38" s="19">
        <v>571</v>
      </c>
      <c r="Z38" s="37">
        <v>77.597969134762252</v>
      </c>
      <c r="AA38" s="13">
        <f t="shared" si="5"/>
        <v>9</v>
      </c>
      <c r="AB38" s="12"/>
      <c r="AD38">
        <v>1635835</v>
      </c>
    </row>
    <row r="39" spans="1:30" x14ac:dyDescent="0.35">
      <c r="A39" s="12"/>
      <c r="B39" s="12" t="s">
        <v>44</v>
      </c>
      <c r="C39" s="21">
        <f t="shared" si="6"/>
        <v>1154100</v>
      </c>
      <c r="D39" s="12"/>
      <c r="E39" s="21">
        <v>352</v>
      </c>
      <c r="F39" s="23">
        <v>30.499005316531157</v>
      </c>
      <c r="G39" s="12">
        <f t="shared" si="0"/>
        <v>35</v>
      </c>
      <c r="H39" s="12"/>
      <c r="I39" s="12">
        <v>15</v>
      </c>
      <c r="J39" s="23">
        <v>1.2996735220112707</v>
      </c>
      <c r="K39" s="12">
        <f t="shared" si="1"/>
        <v>32</v>
      </c>
      <c r="L39" s="12"/>
      <c r="M39" s="21">
        <v>46</v>
      </c>
      <c r="N39" s="23">
        <v>3.9856654675012302</v>
      </c>
      <c r="O39" s="12">
        <f t="shared" si="2"/>
        <v>28</v>
      </c>
      <c r="P39" s="12"/>
      <c r="Q39" s="21">
        <v>45</v>
      </c>
      <c r="R39" s="23">
        <v>3.8990205660338124</v>
      </c>
      <c r="S39" s="12">
        <f t="shared" si="3"/>
        <v>15</v>
      </c>
      <c r="T39" s="12"/>
      <c r="U39" s="12">
        <v>0</v>
      </c>
      <c r="V39" s="22">
        <v>0</v>
      </c>
      <c r="W39" s="12">
        <f t="shared" si="4"/>
        <v>40</v>
      </c>
      <c r="X39" s="12"/>
      <c r="Y39" s="19">
        <v>449</v>
      </c>
      <c r="Z39" s="37">
        <v>38.903560758870704</v>
      </c>
      <c r="AA39" s="13">
        <f t="shared" si="5"/>
        <v>34</v>
      </c>
      <c r="AB39" s="12"/>
      <c r="AD39">
        <v>2314117</v>
      </c>
    </row>
    <row r="40" spans="1:30" x14ac:dyDescent="0.35">
      <c r="A40" s="12"/>
      <c r="B40" s="12" t="s">
        <v>45</v>
      </c>
      <c r="C40" s="21">
        <f t="shared" si="6"/>
        <v>1635800</v>
      </c>
      <c r="D40" s="12"/>
      <c r="E40" s="21">
        <v>752</v>
      </c>
      <c r="F40" s="23">
        <v>45.970406550782933</v>
      </c>
      <c r="G40" s="12">
        <f t="shared" si="0"/>
        <v>20</v>
      </c>
      <c r="H40" s="12"/>
      <c r="I40" s="12">
        <v>73</v>
      </c>
      <c r="J40" s="23">
        <v>4.4625527635733429</v>
      </c>
      <c r="K40" s="12">
        <f t="shared" si="1"/>
        <v>7</v>
      </c>
      <c r="L40" s="12"/>
      <c r="M40" s="21">
        <v>146</v>
      </c>
      <c r="N40" s="23">
        <v>8.9251055271466857</v>
      </c>
      <c r="O40" s="12">
        <f t="shared" si="2"/>
        <v>8</v>
      </c>
      <c r="P40" s="12"/>
      <c r="Q40" s="21">
        <v>78</v>
      </c>
      <c r="R40" s="23">
        <v>4.76820706244823</v>
      </c>
      <c r="S40" s="12">
        <f t="shared" si="3"/>
        <v>11</v>
      </c>
      <c r="T40" s="12"/>
      <c r="U40" s="12">
        <v>25</v>
      </c>
      <c r="V40" s="22">
        <v>1.5282714943744327</v>
      </c>
      <c r="W40" s="12">
        <f t="shared" si="4"/>
        <v>8</v>
      </c>
      <c r="X40" s="12"/>
      <c r="Y40" s="19">
        <v>1031</v>
      </c>
      <c r="Z40" s="37">
        <v>63.025916428001601</v>
      </c>
      <c r="AA40" s="13">
        <f t="shared" si="5"/>
        <v>15</v>
      </c>
      <c r="AB40" s="12"/>
      <c r="AD40">
        <v>549517</v>
      </c>
    </row>
    <row r="41" spans="1:30" x14ac:dyDescent="0.35">
      <c r="A41" s="12"/>
      <c r="B41" s="12" t="s">
        <v>46</v>
      </c>
      <c r="C41" s="21">
        <f t="shared" si="6"/>
        <v>2314100</v>
      </c>
      <c r="D41" s="12"/>
      <c r="E41" s="21">
        <v>1115</v>
      </c>
      <c r="F41" s="23">
        <v>48.182524911229642</v>
      </c>
      <c r="G41" s="12">
        <f t="shared" si="0"/>
        <v>17</v>
      </c>
      <c r="H41" s="12"/>
      <c r="I41" s="12">
        <v>51</v>
      </c>
      <c r="J41" s="23">
        <v>2.2038643681369612</v>
      </c>
      <c r="K41" s="12">
        <f t="shared" si="1"/>
        <v>19</v>
      </c>
      <c r="L41" s="12"/>
      <c r="M41" s="21">
        <v>89</v>
      </c>
      <c r="N41" s="23">
        <v>3.8459593875331284</v>
      </c>
      <c r="O41" s="12">
        <f t="shared" si="2"/>
        <v>30</v>
      </c>
      <c r="P41" s="12"/>
      <c r="Q41" s="21">
        <v>46</v>
      </c>
      <c r="R41" s="23">
        <v>1.9877992340058865</v>
      </c>
      <c r="S41" s="12">
        <f t="shared" si="3"/>
        <v>27</v>
      </c>
      <c r="T41" s="12"/>
      <c r="U41" s="12">
        <v>43</v>
      </c>
      <c r="V41" s="22">
        <v>1.8581601535272416</v>
      </c>
      <c r="W41" s="12">
        <f t="shared" si="4"/>
        <v>3</v>
      </c>
      <c r="X41" s="12"/>
      <c r="Y41" s="19">
        <v>1309</v>
      </c>
      <c r="Z41" s="37">
        <v>56.565852115515334</v>
      </c>
      <c r="AA41" s="13">
        <f t="shared" si="5"/>
        <v>20</v>
      </c>
      <c r="AB41" s="12"/>
      <c r="AD41">
        <v>1236729</v>
      </c>
    </row>
    <row r="42" spans="1:30" x14ac:dyDescent="0.35">
      <c r="A42" s="12"/>
      <c r="B42" s="12" t="s">
        <v>47</v>
      </c>
      <c r="C42" s="21">
        <f t="shared" si="6"/>
        <v>549500</v>
      </c>
      <c r="D42" s="12"/>
      <c r="E42" s="21">
        <v>174</v>
      </c>
      <c r="F42" s="23">
        <v>31.664170535215472</v>
      </c>
      <c r="G42" s="12">
        <f t="shared" si="0"/>
        <v>34</v>
      </c>
      <c r="H42" s="12"/>
      <c r="I42" s="12">
        <v>3</v>
      </c>
      <c r="J42" s="23">
        <v>0.54593397474509431</v>
      </c>
      <c r="K42" s="12">
        <f t="shared" si="1"/>
        <v>40</v>
      </c>
      <c r="L42" s="12"/>
      <c r="M42" s="21">
        <v>12</v>
      </c>
      <c r="N42" s="23">
        <v>2.1837358989803772</v>
      </c>
      <c r="O42" s="12">
        <f t="shared" si="2"/>
        <v>39</v>
      </c>
      <c r="P42" s="12"/>
      <c r="Q42" s="21">
        <v>6</v>
      </c>
      <c r="R42" s="23">
        <v>1.0918679494901886</v>
      </c>
      <c r="S42" s="12">
        <f t="shared" si="3"/>
        <v>36</v>
      </c>
      <c r="T42" s="12"/>
      <c r="U42" s="12">
        <v>1</v>
      </c>
      <c r="V42" s="22">
        <v>0.18197799158169811</v>
      </c>
      <c r="W42" s="12">
        <f t="shared" si="4"/>
        <v>38</v>
      </c>
      <c r="X42" s="12"/>
      <c r="Y42" s="19">
        <v>194</v>
      </c>
      <c r="Z42" s="37">
        <v>35.303730366849429</v>
      </c>
      <c r="AA42" s="13">
        <f t="shared" si="5"/>
        <v>37</v>
      </c>
      <c r="AB42" s="12"/>
      <c r="AD42">
        <v>2781753</v>
      </c>
    </row>
    <row r="43" spans="1:30" x14ac:dyDescent="0.35">
      <c r="A43" s="12"/>
      <c r="B43" s="12" t="s">
        <v>48</v>
      </c>
      <c r="C43" s="21">
        <f t="shared" si="6"/>
        <v>1236700</v>
      </c>
      <c r="D43" s="12"/>
      <c r="E43" s="21">
        <v>452</v>
      </c>
      <c r="F43" s="23">
        <v>36.548023051129228</v>
      </c>
      <c r="G43" s="12">
        <f t="shared" si="0"/>
        <v>28</v>
      </c>
      <c r="H43" s="12"/>
      <c r="I43" s="12">
        <v>32</v>
      </c>
      <c r="J43" s="23">
        <v>2.5874706584870251</v>
      </c>
      <c r="K43" s="12">
        <f t="shared" si="1"/>
        <v>16</v>
      </c>
      <c r="L43" s="12"/>
      <c r="M43" s="21">
        <v>64</v>
      </c>
      <c r="N43" s="23">
        <v>5.1749413169740501</v>
      </c>
      <c r="O43" s="12">
        <f t="shared" si="2"/>
        <v>23</v>
      </c>
      <c r="P43" s="12"/>
      <c r="Q43" s="21">
        <v>24</v>
      </c>
      <c r="R43" s="23">
        <v>1.9406029938652689</v>
      </c>
      <c r="S43" s="12">
        <f t="shared" si="3"/>
        <v>28</v>
      </c>
      <c r="T43" s="12"/>
      <c r="U43" s="12">
        <v>14</v>
      </c>
      <c r="V43" s="22">
        <v>1.1320184130880735</v>
      </c>
      <c r="W43" s="12">
        <f t="shared" si="4"/>
        <v>13</v>
      </c>
      <c r="X43" s="12"/>
      <c r="Y43" s="19">
        <v>544</v>
      </c>
      <c r="Z43" s="37">
        <v>43.987001194279429</v>
      </c>
      <c r="AA43" s="13">
        <f t="shared" si="5"/>
        <v>30</v>
      </c>
      <c r="AB43" s="12"/>
      <c r="AD43">
        <v>2250644</v>
      </c>
    </row>
    <row r="44" spans="1:30" x14ac:dyDescent="0.35">
      <c r="A44" s="12"/>
      <c r="B44" s="12" t="s">
        <v>7</v>
      </c>
      <c r="C44" s="21">
        <f t="shared" si="6"/>
        <v>2781800</v>
      </c>
      <c r="D44" s="12"/>
      <c r="E44" s="21">
        <v>2604</v>
      </c>
      <c r="F44" s="23">
        <v>93.610036548895607</v>
      </c>
      <c r="G44" s="12">
        <f t="shared" si="0"/>
        <v>4</v>
      </c>
      <c r="H44" s="12"/>
      <c r="I44" s="12">
        <v>87</v>
      </c>
      <c r="J44" s="23">
        <v>3.1275242625783095</v>
      </c>
      <c r="K44" s="12">
        <f t="shared" si="1"/>
        <v>12</v>
      </c>
      <c r="L44" s="12"/>
      <c r="M44" s="21">
        <v>231</v>
      </c>
      <c r="N44" s="23">
        <v>8.304116145466546</v>
      </c>
      <c r="O44" s="12">
        <f t="shared" si="2"/>
        <v>10</v>
      </c>
      <c r="P44" s="12"/>
      <c r="Q44" s="21">
        <v>100</v>
      </c>
      <c r="R44" s="23">
        <v>3.5948554742279417</v>
      </c>
      <c r="S44" s="12">
        <f t="shared" si="3"/>
        <v>18</v>
      </c>
      <c r="T44" s="12"/>
      <c r="U44" s="12">
        <v>23</v>
      </c>
      <c r="V44" s="22">
        <v>0.82681675907242669</v>
      </c>
      <c r="W44" s="12">
        <f t="shared" si="4"/>
        <v>19</v>
      </c>
      <c r="X44" s="12"/>
      <c r="Y44" s="19">
        <v>2969</v>
      </c>
      <c r="Z44" s="37">
        <v>106.7312590298276</v>
      </c>
      <c r="AA44" s="13">
        <f t="shared" si="5"/>
        <v>4</v>
      </c>
      <c r="AB44" s="12"/>
      <c r="AD44">
        <v>693939</v>
      </c>
    </row>
    <row r="45" spans="1:30" x14ac:dyDescent="0.35">
      <c r="A45" s="12"/>
      <c r="B45" s="12" t="s">
        <v>49</v>
      </c>
      <c r="C45" s="21">
        <f t="shared" si="6"/>
        <v>2250600</v>
      </c>
      <c r="D45" s="12"/>
      <c r="E45" s="21">
        <v>1651</v>
      </c>
      <c r="F45" s="23">
        <v>73.356781436779869</v>
      </c>
      <c r="G45" s="12">
        <f t="shared" si="0"/>
        <v>5</v>
      </c>
      <c r="H45" s="12"/>
      <c r="I45" s="12">
        <v>62</v>
      </c>
      <c r="J45" s="23">
        <v>2.7547670800002133</v>
      </c>
      <c r="K45" s="12">
        <f t="shared" si="1"/>
        <v>15</v>
      </c>
      <c r="L45" s="12"/>
      <c r="M45" s="21">
        <v>138</v>
      </c>
      <c r="N45" s="23">
        <v>6.1315783393553129</v>
      </c>
      <c r="O45" s="12">
        <f t="shared" si="2"/>
        <v>19</v>
      </c>
      <c r="P45" s="12"/>
      <c r="Q45" s="21">
        <v>101</v>
      </c>
      <c r="R45" s="23">
        <v>4.4876044367745411</v>
      </c>
      <c r="S45" s="12">
        <f t="shared" si="3"/>
        <v>13</v>
      </c>
      <c r="T45" s="12"/>
      <c r="U45" s="12">
        <v>18</v>
      </c>
      <c r="V45" s="22">
        <v>0.79977108774199734</v>
      </c>
      <c r="W45" s="12">
        <f t="shared" si="4"/>
        <v>22</v>
      </c>
      <c r="X45" s="12"/>
      <c r="Y45" s="19">
        <v>1919</v>
      </c>
      <c r="Z45" s="37">
        <v>85.264484298716283</v>
      </c>
      <c r="AA45" s="13">
        <f t="shared" si="5"/>
        <v>7</v>
      </c>
      <c r="AB45" s="12"/>
    </row>
    <row r="46" spans="1:30" x14ac:dyDescent="0.35">
      <c r="A46" s="12"/>
      <c r="B46" s="12" t="s">
        <v>50</v>
      </c>
      <c r="C46" s="21">
        <f t="shared" si="6"/>
        <v>693900</v>
      </c>
      <c r="D46" s="12"/>
      <c r="E46" s="21">
        <v>234</v>
      </c>
      <c r="F46" s="23">
        <v>33.720543160133673</v>
      </c>
      <c r="G46" s="12">
        <f t="shared" si="0"/>
        <v>31</v>
      </c>
      <c r="H46" s="12"/>
      <c r="I46" s="12">
        <v>12</v>
      </c>
      <c r="J46" s="23">
        <v>1.7292586235965983</v>
      </c>
      <c r="K46" s="12">
        <f t="shared" si="1"/>
        <v>21</v>
      </c>
      <c r="L46" s="12"/>
      <c r="M46" s="21">
        <v>31</v>
      </c>
      <c r="N46" s="23">
        <v>4.4672514442912128</v>
      </c>
      <c r="O46" s="12">
        <f t="shared" si="2"/>
        <v>27</v>
      </c>
      <c r="P46" s="12"/>
      <c r="Q46" s="21">
        <v>13</v>
      </c>
      <c r="R46" s="23">
        <v>1.8733635088963152</v>
      </c>
      <c r="S46" s="12">
        <f t="shared" si="3"/>
        <v>30</v>
      </c>
      <c r="T46" s="12"/>
      <c r="U46" s="12">
        <v>3</v>
      </c>
      <c r="V46" s="22">
        <v>0.43231465589914958</v>
      </c>
      <c r="W46" s="12">
        <f t="shared" si="4"/>
        <v>30</v>
      </c>
      <c r="X46" s="12"/>
      <c r="Y46" s="19">
        <v>286</v>
      </c>
      <c r="Z46" s="37">
        <v>41.213997195718932</v>
      </c>
      <c r="AA46" s="13">
        <f t="shared" si="5"/>
        <v>32</v>
      </c>
      <c r="AB46" s="12"/>
    </row>
    <row r="47" spans="1:30" ht="3" customHeight="1" x14ac:dyDescent="0.35">
      <c r="A47" s="14"/>
      <c r="B47" s="14"/>
      <c r="C47" s="14"/>
      <c r="D47" s="14"/>
      <c r="E47" s="14"/>
      <c r="F47" s="25"/>
      <c r="G47" s="14"/>
      <c r="H47" s="14"/>
      <c r="I47" s="14"/>
      <c r="J47" s="14"/>
      <c r="K47" s="14"/>
      <c r="L47" s="14"/>
      <c r="M47" s="14"/>
      <c r="N47" s="14"/>
      <c r="O47" s="14"/>
      <c r="P47" s="14"/>
      <c r="Q47" s="14"/>
      <c r="R47" s="14"/>
      <c r="S47" s="14"/>
      <c r="T47" s="14"/>
      <c r="U47" s="14"/>
      <c r="V47" s="14"/>
      <c r="W47" s="14"/>
      <c r="X47" s="14"/>
      <c r="Y47" s="14"/>
      <c r="Z47" s="14"/>
      <c r="AA47" s="14"/>
      <c r="AB47" s="14"/>
    </row>
    <row r="48" spans="1:30" x14ac:dyDescent="0.35">
      <c r="B48" s="31" t="s">
        <v>69</v>
      </c>
      <c r="C48" s="29"/>
      <c r="D48" s="29"/>
      <c r="E48" s="29"/>
      <c r="F48" s="29"/>
      <c r="G48" s="29"/>
      <c r="H48" s="29"/>
      <c r="I48" s="29"/>
      <c r="J48" s="29"/>
      <c r="K48" s="29"/>
      <c r="L48" s="29"/>
      <c r="M48" s="29"/>
      <c r="N48" s="29"/>
      <c r="O48" s="29"/>
    </row>
    <row r="49" spans="2:15" x14ac:dyDescent="0.35">
      <c r="B49" s="29" t="s">
        <v>147</v>
      </c>
      <c r="C49" s="29"/>
      <c r="D49" s="29"/>
      <c r="E49" s="29"/>
      <c r="F49" s="29"/>
      <c r="G49" s="29"/>
      <c r="H49" s="29"/>
      <c r="I49" s="29"/>
      <c r="J49" s="29"/>
      <c r="K49" s="29"/>
      <c r="L49" s="29"/>
      <c r="M49" s="29"/>
      <c r="N49" s="29"/>
      <c r="O49" s="29"/>
    </row>
    <row r="50" spans="2:15" x14ac:dyDescent="0.35">
      <c r="B50" s="29" t="s">
        <v>148</v>
      </c>
      <c r="C50" s="29"/>
      <c r="D50" s="29"/>
      <c r="E50" s="29"/>
      <c r="F50" s="29"/>
      <c r="G50" s="29"/>
      <c r="H50" s="29"/>
      <c r="I50" s="29"/>
      <c r="J50" s="29"/>
      <c r="K50" s="29"/>
      <c r="L50" s="29"/>
      <c r="M50" s="29"/>
      <c r="N50" s="29"/>
      <c r="O50" s="29"/>
    </row>
    <row r="51" spans="2:15" x14ac:dyDescent="0.35">
      <c r="B51" s="29" t="s">
        <v>149</v>
      </c>
      <c r="C51" s="29"/>
      <c r="D51" s="29"/>
      <c r="E51" s="29"/>
      <c r="F51" s="29"/>
      <c r="G51" s="29"/>
      <c r="H51" s="29"/>
      <c r="I51" s="29"/>
      <c r="J51" s="29"/>
      <c r="K51" s="29"/>
      <c r="L51" s="29"/>
      <c r="M51" s="29"/>
      <c r="N51" s="29"/>
      <c r="O51" s="29"/>
    </row>
    <row r="52" spans="2:15" x14ac:dyDescent="0.35">
      <c r="B52" s="29" t="s">
        <v>150</v>
      </c>
      <c r="C52" s="29"/>
      <c r="D52" s="29"/>
      <c r="E52" s="29"/>
      <c r="F52" s="29"/>
      <c r="G52" s="29"/>
      <c r="H52" s="29"/>
      <c r="I52" s="29"/>
      <c r="J52" s="29"/>
      <c r="K52" s="29"/>
      <c r="L52" s="29"/>
      <c r="M52" s="29"/>
      <c r="N52" s="29"/>
      <c r="O52" s="29"/>
    </row>
    <row r="54" spans="2:15" x14ac:dyDescent="0.35">
      <c r="B54" s="31" t="s">
        <v>70</v>
      </c>
    </row>
    <row r="55" spans="2:15" x14ac:dyDescent="0.35">
      <c r="B55" s="30" t="s">
        <v>74</v>
      </c>
    </row>
    <row r="56" spans="2:15" x14ac:dyDescent="0.35">
      <c r="B56" s="29" t="s">
        <v>77</v>
      </c>
    </row>
    <row r="57" spans="2:15" x14ac:dyDescent="0.35">
      <c r="B57" s="30" t="s">
        <v>75</v>
      </c>
    </row>
  </sheetData>
  <mergeCells count="6">
    <mergeCell ref="Y2:AA2"/>
    <mergeCell ref="E2:G2"/>
    <mergeCell ref="I2:K2"/>
    <mergeCell ref="M2:O2"/>
    <mergeCell ref="Q2:S2"/>
    <mergeCell ref="U2:W2"/>
  </mergeCells>
  <hyperlinks>
    <hyperlink ref="B55" r:id="rId1" xr:uid="{00000000-0004-0000-0400-000000000000}"/>
    <hyperlink ref="B57" r:id="rId2" xr:uid="{00000000-0004-0000-0400-000001000000}"/>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A1:AB57"/>
  <sheetViews>
    <sheetView showGridLines="0" zoomScaleNormal="100" workbookViewId="0">
      <pane xSplit="1" ySplit="4" topLeftCell="B19" activePane="bottomRight" state="frozen"/>
      <selection pane="topRight" activeCell="B1" sqref="B1"/>
      <selection pane="bottomLeft" activeCell="A5" sqref="A5"/>
      <selection pane="bottomRight" activeCell="C4" sqref="C4:C46"/>
    </sheetView>
  </sheetViews>
  <sheetFormatPr defaultRowHeight="15" x14ac:dyDescent="0.35"/>
  <cols>
    <col min="1" max="1" width="1.09765625" customWidth="1"/>
    <col min="2" max="2" width="25.09765625" customWidth="1"/>
    <col min="3" max="3" width="12.296875" customWidth="1"/>
    <col min="4" max="4" width="1.09765625" customWidth="1"/>
    <col min="6" max="6" width="11" customWidth="1"/>
    <col min="8" max="8" width="1.09765625" customWidth="1"/>
    <col min="10" max="10" width="10.296875" customWidth="1"/>
    <col min="12" max="12" width="1.09765625" customWidth="1"/>
    <col min="14" max="14" width="10.8984375" customWidth="1"/>
    <col min="16" max="16" width="1.09765625" customWidth="1"/>
    <col min="18" max="18" width="10.59765625" customWidth="1"/>
    <col min="20" max="20" width="1.09765625" customWidth="1"/>
    <col min="22" max="22" width="10.8984375" customWidth="1"/>
    <col min="24" max="24" width="1.09765625" customWidth="1"/>
    <col min="25" max="25" width="10.59765625" customWidth="1"/>
    <col min="26" max="26" width="11.296875" customWidth="1"/>
    <col min="28" max="28" width="1.09765625" customWidth="1"/>
  </cols>
  <sheetData>
    <row r="1" spans="1:28" ht="22.2" x14ac:dyDescent="0.5">
      <c r="A1" s="16"/>
      <c r="B1" s="34" t="s">
        <v>155</v>
      </c>
      <c r="C1" s="35"/>
      <c r="D1" s="35"/>
      <c r="E1" s="35"/>
      <c r="F1" s="35"/>
      <c r="G1" s="35"/>
      <c r="H1" s="35"/>
      <c r="I1" s="35"/>
      <c r="J1" s="35"/>
      <c r="K1" s="35"/>
      <c r="L1" s="35"/>
      <c r="M1" s="35"/>
      <c r="N1" s="35"/>
      <c r="O1" s="16"/>
      <c r="P1" s="16"/>
      <c r="Q1" s="16"/>
      <c r="R1" s="16"/>
      <c r="S1" s="16"/>
      <c r="T1" s="16"/>
      <c r="U1" s="16"/>
      <c r="V1" s="16"/>
      <c r="W1" s="16"/>
      <c r="X1" s="16"/>
      <c r="Y1" s="16"/>
      <c r="Z1" s="16"/>
      <c r="AA1" s="16"/>
      <c r="AB1" s="16"/>
    </row>
    <row r="2" spans="1:28" ht="16.8" thickBot="1" x14ac:dyDescent="0.4">
      <c r="A2" s="14"/>
      <c r="B2" s="14"/>
      <c r="C2" s="14"/>
      <c r="D2" s="14"/>
      <c r="E2" s="157" t="s">
        <v>55</v>
      </c>
      <c r="F2" s="157"/>
      <c r="G2" s="157"/>
      <c r="H2" s="14"/>
      <c r="I2" s="157" t="s">
        <v>57</v>
      </c>
      <c r="J2" s="157"/>
      <c r="K2" s="157"/>
      <c r="L2" s="14"/>
      <c r="M2" s="157" t="s">
        <v>58</v>
      </c>
      <c r="N2" s="157"/>
      <c r="O2" s="157"/>
      <c r="P2" s="14"/>
      <c r="Q2" s="157" t="s">
        <v>59</v>
      </c>
      <c r="R2" s="157"/>
      <c r="S2" s="157"/>
      <c r="T2" s="14"/>
      <c r="U2" s="157" t="s">
        <v>145</v>
      </c>
      <c r="V2" s="157"/>
      <c r="W2" s="157"/>
      <c r="X2" s="14"/>
      <c r="Y2" s="158" t="s">
        <v>62</v>
      </c>
      <c r="Z2" s="158"/>
      <c r="AA2" s="158"/>
      <c r="AB2" s="14"/>
    </row>
    <row r="3" spans="1:28" ht="46.2" x14ac:dyDescent="0.35">
      <c r="A3" s="14"/>
      <c r="B3" s="14"/>
      <c r="C3" s="15" t="s">
        <v>156</v>
      </c>
      <c r="D3" s="14"/>
      <c r="E3" s="15" t="s">
        <v>56</v>
      </c>
      <c r="F3" s="15" t="s">
        <v>71</v>
      </c>
      <c r="G3" s="15" t="s">
        <v>65</v>
      </c>
      <c r="H3" s="15"/>
      <c r="I3" s="15" t="s">
        <v>56</v>
      </c>
      <c r="J3" s="15" t="s">
        <v>71</v>
      </c>
      <c r="K3" s="15" t="s">
        <v>66</v>
      </c>
      <c r="L3" s="14"/>
      <c r="M3" s="15" t="s">
        <v>56</v>
      </c>
      <c r="N3" s="15" t="s">
        <v>71</v>
      </c>
      <c r="O3" s="15" t="s">
        <v>65</v>
      </c>
      <c r="P3" s="14"/>
      <c r="Q3" s="15" t="s">
        <v>56</v>
      </c>
      <c r="R3" s="15" t="s">
        <v>71</v>
      </c>
      <c r="S3" s="15" t="s">
        <v>65</v>
      </c>
      <c r="T3" s="14"/>
      <c r="U3" s="15" t="s">
        <v>56</v>
      </c>
      <c r="V3" s="15" t="s">
        <v>71</v>
      </c>
      <c r="W3" s="15" t="s">
        <v>67</v>
      </c>
      <c r="X3" s="14"/>
      <c r="Y3" s="24" t="s">
        <v>56</v>
      </c>
      <c r="Z3" s="24" t="s">
        <v>71</v>
      </c>
      <c r="AA3" s="24" t="s">
        <v>65</v>
      </c>
      <c r="AB3" s="14"/>
    </row>
    <row r="4" spans="1:28" ht="16.2" x14ac:dyDescent="0.35">
      <c r="A4" s="13"/>
      <c r="B4" s="13" t="s">
        <v>146</v>
      </c>
      <c r="C4" s="19">
        <v>57408700</v>
      </c>
      <c r="D4" s="13"/>
      <c r="E4" s="19">
        <v>42862</v>
      </c>
      <c r="F4" s="37">
        <v>74.661217453382562</v>
      </c>
      <c r="G4" s="13"/>
      <c r="H4" s="13"/>
      <c r="I4" s="19">
        <v>3293</v>
      </c>
      <c r="J4" s="37">
        <v>5.7360689905741387</v>
      </c>
      <c r="K4" s="13"/>
      <c r="L4" s="13"/>
      <c r="M4" s="19">
        <v>5591</v>
      </c>
      <c r="N4" s="37">
        <v>9.7389498105982408</v>
      </c>
      <c r="O4" s="13"/>
      <c r="P4" s="13"/>
      <c r="Q4" s="19">
        <v>2515</v>
      </c>
      <c r="R4" s="37">
        <v>4.3808726119933068</v>
      </c>
      <c r="S4" s="13"/>
      <c r="T4" s="13"/>
      <c r="U4" s="19">
        <v>607</v>
      </c>
      <c r="V4" s="20">
        <v>1.057331878918464</v>
      </c>
      <c r="W4" s="13"/>
      <c r="X4" s="12"/>
      <c r="Y4" s="19">
        <v>52465</v>
      </c>
      <c r="Z4" s="37">
        <f>Y4/C4*100000</f>
        <v>91.388587444063347</v>
      </c>
      <c r="AA4" s="13"/>
      <c r="AB4" s="12"/>
    </row>
    <row r="5" spans="1:28" x14ac:dyDescent="0.35">
      <c r="A5" s="12"/>
      <c r="B5" s="12" t="s">
        <v>8</v>
      </c>
      <c r="C5" s="21">
        <v>1646400</v>
      </c>
      <c r="D5" s="12"/>
      <c r="E5" s="21">
        <v>1430</v>
      </c>
      <c r="F5" s="23">
        <v>86.855432473241848</v>
      </c>
      <c r="G5" s="12">
        <f>RANK(F5,$F$5:$F$46,0)</f>
        <v>5</v>
      </c>
      <c r="H5" s="12"/>
      <c r="I5" s="12">
        <v>132</v>
      </c>
      <c r="J5" s="23">
        <v>8.0174245359915552</v>
      </c>
      <c r="K5" s="12">
        <f>RANK(J5,$J$5:$J$46,0)</f>
        <v>4</v>
      </c>
      <c r="L5" s="12"/>
      <c r="M5" s="21">
        <v>249</v>
      </c>
      <c r="N5" s="23">
        <v>15.123778101984071</v>
      </c>
      <c r="O5" s="12">
        <f>RANK(N5,$N$5:$N$47,0)</f>
        <v>4</v>
      </c>
      <c r="P5" s="12"/>
      <c r="Q5" s="21">
        <v>114</v>
      </c>
      <c r="R5" s="23">
        <v>6.9241393719927062</v>
      </c>
      <c r="S5" s="12">
        <f>RANK(R5,$R$5:$R$46,0)</f>
        <v>7</v>
      </c>
      <c r="T5" s="12"/>
      <c r="U5" s="21">
        <v>47</v>
      </c>
      <c r="V5" s="22">
        <v>2.8546890393303266</v>
      </c>
      <c r="W5" s="12">
        <f>RANK(V5,$V$5:$V$46,0)</f>
        <v>1</v>
      </c>
      <c r="X5" s="12"/>
      <c r="Y5" s="19">
        <v>1841</v>
      </c>
      <c r="Z5" s="37">
        <v>111.81877705121555</v>
      </c>
      <c r="AA5" s="13">
        <f>RANK(Z5,$Z$5:$Z$46,0)</f>
        <v>6</v>
      </c>
      <c r="AB5" s="12"/>
    </row>
    <row r="6" spans="1:28" x14ac:dyDescent="0.35">
      <c r="A6" s="12"/>
      <c r="B6" s="12" t="s">
        <v>9</v>
      </c>
      <c r="C6" s="21">
        <v>642000</v>
      </c>
      <c r="D6" s="12"/>
      <c r="E6" s="21">
        <v>454</v>
      </c>
      <c r="F6" s="23">
        <v>70.714528253101932</v>
      </c>
      <c r="G6" s="12">
        <f t="shared" ref="G6:G46" si="0">RANK(F6,$F$5:$F$46,0)</f>
        <v>10</v>
      </c>
      <c r="H6" s="12"/>
      <c r="I6" s="12">
        <v>22</v>
      </c>
      <c r="J6" s="23">
        <v>3.4266952016921643</v>
      </c>
      <c r="K6" s="12">
        <f t="shared" ref="K6:K46" si="1">RANK(J6,$J$5:$J$46,0)</f>
        <v>16</v>
      </c>
      <c r="L6" s="12"/>
      <c r="M6" s="21">
        <v>22</v>
      </c>
      <c r="N6" s="23">
        <v>3.4266952016921643</v>
      </c>
      <c r="O6" s="12">
        <f t="shared" ref="O6:O46" si="2">RANK(N6,$N$5:$N$47,0)</f>
        <v>37</v>
      </c>
      <c r="P6" s="12"/>
      <c r="Q6" s="21">
        <v>16</v>
      </c>
      <c r="R6" s="23">
        <v>2.4921419648670287</v>
      </c>
      <c r="S6" s="12">
        <f t="shared" ref="S6:S46" si="3">RANK(R6,$R$5:$R$46,0)</f>
        <v>30</v>
      </c>
      <c r="T6" s="12"/>
      <c r="U6" s="21">
        <v>1</v>
      </c>
      <c r="V6" s="22">
        <v>0.15575887280418929</v>
      </c>
      <c r="W6" s="12">
        <f t="shared" ref="W6:W46" si="4">RANK(V6,$V$5:$V$46,0)</f>
        <v>38</v>
      </c>
      <c r="X6" s="12"/>
      <c r="Y6" s="19">
        <v>496</v>
      </c>
      <c r="Z6" s="37">
        <v>77.256400910877886</v>
      </c>
      <c r="AA6" s="13">
        <f t="shared" ref="AA6:AA46" si="5">RANK(Z6,$Z$5:$Z$46,0)</f>
        <v>12</v>
      </c>
      <c r="AB6" s="12"/>
    </row>
    <row r="7" spans="1:28" x14ac:dyDescent="0.35">
      <c r="A7" s="12"/>
      <c r="B7" s="12" t="s">
        <v>11</v>
      </c>
      <c r="C7" s="21">
        <v>825700</v>
      </c>
      <c r="D7" s="12"/>
      <c r="E7" s="21">
        <v>403</v>
      </c>
      <c r="F7" s="23">
        <v>48.808314126918575</v>
      </c>
      <c r="G7" s="12">
        <f t="shared" si="0"/>
        <v>20</v>
      </c>
      <c r="H7" s="12"/>
      <c r="I7" s="12">
        <v>20</v>
      </c>
      <c r="J7" s="23">
        <v>2.4222488400455866</v>
      </c>
      <c r="K7" s="12">
        <f t="shared" si="1"/>
        <v>21</v>
      </c>
      <c r="L7" s="12"/>
      <c r="M7" s="21">
        <v>27</v>
      </c>
      <c r="N7" s="23">
        <v>3.2700359340615419</v>
      </c>
      <c r="O7" s="12">
        <f t="shared" si="2"/>
        <v>41</v>
      </c>
      <c r="P7" s="12"/>
      <c r="Q7" s="21">
        <v>17</v>
      </c>
      <c r="R7" s="23">
        <v>2.0589115140387486</v>
      </c>
      <c r="S7" s="12">
        <f t="shared" si="3"/>
        <v>33</v>
      </c>
      <c r="T7" s="12"/>
      <c r="U7" s="21">
        <v>7</v>
      </c>
      <c r="V7" s="22">
        <v>0.84778709401595531</v>
      </c>
      <c r="W7" s="12">
        <f t="shared" si="4"/>
        <v>24</v>
      </c>
      <c r="X7" s="12"/>
      <c r="Y7" s="19">
        <v>459</v>
      </c>
      <c r="Z7" s="37">
        <v>55.59061087904621</v>
      </c>
      <c r="AA7" s="13">
        <f t="shared" si="5"/>
        <v>27</v>
      </c>
      <c r="AB7" s="12"/>
    </row>
    <row r="8" spans="1:28" x14ac:dyDescent="0.35">
      <c r="A8" s="12"/>
      <c r="B8" s="12" t="s">
        <v>12</v>
      </c>
      <c r="C8" s="21">
        <v>1040100</v>
      </c>
      <c r="D8" s="12"/>
      <c r="E8" s="21">
        <v>535</v>
      </c>
      <c r="F8" s="23">
        <v>51.439340038074725</v>
      </c>
      <c r="G8" s="12">
        <f t="shared" si="0"/>
        <v>19</v>
      </c>
      <c r="H8" s="12"/>
      <c r="I8" s="12">
        <v>18</v>
      </c>
      <c r="J8" s="23">
        <v>1.7306693844585888</v>
      </c>
      <c r="K8" s="12">
        <f t="shared" si="1"/>
        <v>33</v>
      </c>
      <c r="L8" s="12"/>
      <c r="M8" s="21">
        <v>84</v>
      </c>
      <c r="N8" s="23">
        <v>8.0764571274734145</v>
      </c>
      <c r="O8" s="12">
        <f t="shared" si="2"/>
        <v>13</v>
      </c>
      <c r="P8" s="12"/>
      <c r="Q8" s="21">
        <v>44</v>
      </c>
      <c r="R8" s="23">
        <v>4.2305251620098847</v>
      </c>
      <c r="S8" s="12">
        <f t="shared" si="3"/>
        <v>16</v>
      </c>
      <c r="T8" s="12"/>
      <c r="U8" s="21">
        <v>9</v>
      </c>
      <c r="V8" s="22">
        <v>0.86533469222929438</v>
      </c>
      <c r="W8" s="12">
        <f t="shared" si="4"/>
        <v>21</v>
      </c>
      <c r="X8" s="12"/>
      <c r="Y8" s="19">
        <v>675</v>
      </c>
      <c r="Z8" s="37">
        <v>64.900101917197077</v>
      </c>
      <c r="AA8" s="13">
        <f t="shared" si="5"/>
        <v>19</v>
      </c>
      <c r="AB8" s="12"/>
    </row>
    <row r="9" spans="1:28" x14ac:dyDescent="0.35">
      <c r="A9" s="12"/>
      <c r="B9" s="12" t="s">
        <v>13</v>
      </c>
      <c r="C9" s="21">
        <v>561100</v>
      </c>
      <c r="D9" s="12"/>
      <c r="E9" s="21">
        <v>425</v>
      </c>
      <c r="F9" s="23">
        <v>75.741104430052644</v>
      </c>
      <c r="G9" s="12">
        <f t="shared" si="0"/>
        <v>9</v>
      </c>
      <c r="H9" s="12"/>
      <c r="I9" s="12">
        <v>11</v>
      </c>
      <c r="J9" s="23">
        <v>1.9603579970131273</v>
      </c>
      <c r="K9" s="12">
        <f t="shared" si="1"/>
        <v>28</v>
      </c>
      <c r="L9" s="12"/>
      <c r="M9" s="21">
        <v>25</v>
      </c>
      <c r="N9" s="23">
        <v>4.4553590841207438</v>
      </c>
      <c r="O9" s="12">
        <f t="shared" si="2"/>
        <v>32</v>
      </c>
      <c r="P9" s="12"/>
      <c r="Q9" s="21">
        <v>20</v>
      </c>
      <c r="R9" s="23">
        <v>3.5642872672965948</v>
      </c>
      <c r="S9" s="12">
        <f t="shared" si="3"/>
        <v>23</v>
      </c>
      <c r="T9" s="12"/>
      <c r="U9" s="21">
        <v>6</v>
      </c>
      <c r="V9" s="22">
        <v>1.0692861801889786</v>
      </c>
      <c r="W9" s="12">
        <f t="shared" si="4"/>
        <v>15</v>
      </c>
      <c r="X9" s="12"/>
      <c r="Y9" s="19">
        <v>481</v>
      </c>
      <c r="Z9" s="37">
        <v>85.721108778483114</v>
      </c>
      <c r="AA9" s="13">
        <f t="shared" si="5"/>
        <v>9</v>
      </c>
      <c r="AB9" s="12"/>
    </row>
    <row r="10" spans="1:28" x14ac:dyDescent="0.35">
      <c r="A10" s="12"/>
      <c r="B10" s="12" t="s">
        <v>14</v>
      </c>
      <c r="C10" s="21">
        <v>498400</v>
      </c>
      <c r="D10" s="12"/>
      <c r="E10" s="21">
        <v>182</v>
      </c>
      <c r="F10" s="23">
        <v>36.518612453248146</v>
      </c>
      <c r="G10" s="12">
        <f t="shared" si="0"/>
        <v>34</v>
      </c>
      <c r="H10" s="12"/>
      <c r="I10" s="12">
        <v>14</v>
      </c>
      <c r="J10" s="23">
        <v>2.8091240348652424</v>
      </c>
      <c r="K10" s="12">
        <f t="shared" si="1"/>
        <v>18</v>
      </c>
      <c r="L10" s="12"/>
      <c r="M10" s="21">
        <v>71</v>
      </c>
      <c r="N10" s="23">
        <v>14.2462718911023</v>
      </c>
      <c r="O10" s="12">
        <f t="shared" si="2"/>
        <v>5</v>
      </c>
      <c r="P10" s="12"/>
      <c r="Q10" s="21">
        <v>60</v>
      </c>
      <c r="R10" s="23">
        <v>12.039103006565325</v>
      </c>
      <c r="S10" s="12">
        <f t="shared" si="3"/>
        <v>2</v>
      </c>
      <c r="T10" s="12"/>
      <c r="U10" s="21">
        <v>6</v>
      </c>
      <c r="V10" s="22">
        <v>1.2039103006565324</v>
      </c>
      <c r="W10" s="12">
        <f t="shared" si="4"/>
        <v>13</v>
      </c>
      <c r="X10" s="12"/>
      <c r="Y10" s="19">
        <v>319</v>
      </c>
      <c r="Z10" s="37">
        <v>64.007897651572307</v>
      </c>
      <c r="AA10" s="13">
        <f t="shared" si="5"/>
        <v>20</v>
      </c>
      <c r="AB10" s="12"/>
    </row>
    <row r="11" spans="1:28" x14ac:dyDescent="0.35">
      <c r="A11" s="12"/>
      <c r="B11" s="12" t="s">
        <v>15</v>
      </c>
      <c r="C11" s="21">
        <v>1032700</v>
      </c>
      <c r="D11" s="12"/>
      <c r="E11" s="21">
        <v>413</v>
      </c>
      <c r="F11" s="23">
        <v>39.992446947065687</v>
      </c>
      <c r="G11" s="12">
        <f t="shared" si="0"/>
        <v>29</v>
      </c>
      <c r="H11" s="12"/>
      <c r="I11" s="12">
        <v>6</v>
      </c>
      <c r="J11" s="23">
        <v>0.58100407187020364</v>
      </c>
      <c r="K11" s="12">
        <f t="shared" si="1"/>
        <v>41</v>
      </c>
      <c r="L11" s="12"/>
      <c r="M11" s="21">
        <v>49</v>
      </c>
      <c r="N11" s="23">
        <v>4.7448665869399971</v>
      </c>
      <c r="O11" s="12">
        <f t="shared" si="2"/>
        <v>29</v>
      </c>
      <c r="P11" s="12"/>
      <c r="Q11" s="21">
        <v>18</v>
      </c>
      <c r="R11" s="23">
        <v>1.7430122156106109</v>
      </c>
      <c r="S11" s="12">
        <f t="shared" si="3"/>
        <v>38</v>
      </c>
      <c r="T11" s="12"/>
      <c r="U11" s="21">
        <v>3</v>
      </c>
      <c r="V11" s="22">
        <v>0.29050203593510182</v>
      </c>
      <c r="W11" s="12">
        <f t="shared" si="4"/>
        <v>35</v>
      </c>
      <c r="X11" s="12"/>
      <c r="Y11" s="19">
        <v>469</v>
      </c>
      <c r="Z11" s="37">
        <v>45.415151617854256</v>
      </c>
      <c r="AA11" s="13">
        <f t="shared" si="5"/>
        <v>34</v>
      </c>
      <c r="AB11" s="12"/>
    </row>
    <row r="12" spans="1:28" x14ac:dyDescent="0.35">
      <c r="A12" s="12"/>
      <c r="B12" s="12" t="s">
        <v>54</v>
      </c>
      <c r="C12" s="21">
        <v>1706700</v>
      </c>
      <c r="D12" s="12"/>
      <c r="E12" s="21">
        <v>658</v>
      </c>
      <c r="F12" s="23">
        <v>38.553234223788053</v>
      </c>
      <c r="G12" s="12">
        <f t="shared" si="0"/>
        <v>31</v>
      </c>
      <c r="H12" s="12"/>
      <c r="I12" s="12">
        <v>21</v>
      </c>
      <c r="J12" s="23">
        <v>1.2304223688442992</v>
      </c>
      <c r="K12" s="12">
        <f t="shared" si="1"/>
        <v>35</v>
      </c>
      <c r="L12" s="12"/>
      <c r="M12" s="21">
        <v>126</v>
      </c>
      <c r="N12" s="23">
        <v>7.3825342130657967</v>
      </c>
      <c r="O12" s="12">
        <f t="shared" si="2"/>
        <v>17</v>
      </c>
      <c r="P12" s="12"/>
      <c r="Q12" s="21">
        <v>39</v>
      </c>
      <c r="R12" s="23">
        <v>2.2850701135679845</v>
      </c>
      <c r="S12" s="12">
        <f t="shared" si="3"/>
        <v>31</v>
      </c>
      <c r="T12" s="12"/>
      <c r="U12" s="21">
        <v>16</v>
      </c>
      <c r="V12" s="22">
        <v>0.93746466197660905</v>
      </c>
      <c r="W12" s="12">
        <f t="shared" si="4"/>
        <v>20</v>
      </c>
      <c r="X12" s="12"/>
      <c r="Y12" s="19">
        <v>853</v>
      </c>
      <c r="Z12" s="37">
        <v>49.978584791627974</v>
      </c>
      <c r="AA12" s="13">
        <f t="shared" si="5"/>
        <v>31</v>
      </c>
      <c r="AB12" s="12"/>
    </row>
    <row r="13" spans="1:28" x14ac:dyDescent="0.35">
      <c r="A13" s="12"/>
      <c r="B13" s="12" t="s">
        <v>17</v>
      </c>
      <c r="C13" s="21">
        <v>757800</v>
      </c>
      <c r="D13" s="12"/>
      <c r="E13" s="21">
        <v>222</v>
      </c>
      <c r="F13" s="23">
        <v>29.293666366252641</v>
      </c>
      <c r="G13" s="12">
        <f t="shared" si="0"/>
        <v>38</v>
      </c>
      <c r="H13" s="12"/>
      <c r="I13" s="12">
        <v>17</v>
      </c>
      <c r="J13" s="23">
        <v>2.243208685704031</v>
      </c>
      <c r="K13" s="12">
        <f t="shared" si="1"/>
        <v>24</v>
      </c>
      <c r="L13" s="12"/>
      <c r="M13" s="21">
        <v>35</v>
      </c>
      <c r="N13" s="23">
        <v>4.6183708235082994</v>
      </c>
      <c r="O13" s="12">
        <f t="shared" si="2"/>
        <v>31</v>
      </c>
      <c r="P13" s="12"/>
      <c r="Q13" s="21">
        <v>19</v>
      </c>
      <c r="R13" s="23">
        <v>2.5071155899045054</v>
      </c>
      <c r="S13" s="12">
        <f t="shared" si="3"/>
        <v>29</v>
      </c>
      <c r="T13" s="12"/>
      <c r="U13" s="21">
        <v>8</v>
      </c>
      <c r="V13" s="22">
        <v>1.055627616801897</v>
      </c>
      <c r="W13" s="12">
        <f t="shared" si="4"/>
        <v>16</v>
      </c>
      <c r="X13" s="12"/>
      <c r="Y13" s="19">
        <v>279</v>
      </c>
      <c r="Z13" s="37">
        <v>36.815013135966154</v>
      </c>
      <c r="AA13" s="13">
        <f t="shared" si="5"/>
        <v>37</v>
      </c>
      <c r="AB13" s="12"/>
    </row>
    <row r="14" spans="1:28" x14ac:dyDescent="0.35">
      <c r="A14" s="12"/>
      <c r="B14" s="12" t="s">
        <v>18</v>
      </c>
      <c r="C14" s="21">
        <v>623500</v>
      </c>
      <c r="D14" s="12"/>
      <c r="E14" s="21">
        <v>191</v>
      </c>
      <c r="F14" s="23">
        <v>30.635977223514317</v>
      </c>
      <c r="G14" s="12">
        <f t="shared" si="0"/>
        <v>37</v>
      </c>
      <c r="H14" s="12"/>
      <c r="I14" s="12">
        <v>25</v>
      </c>
      <c r="J14" s="23">
        <v>4.0099446627636537</v>
      </c>
      <c r="K14" s="12">
        <f t="shared" si="1"/>
        <v>13</v>
      </c>
      <c r="L14" s="12"/>
      <c r="M14" s="21">
        <v>52</v>
      </c>
      <c r="N14" s="23">
        <v>8.3406848985483997</v>
      </c>
      <c r="O14" s="12">
        <f t="shared" si="2"/>
        <v>11</v>
      </c>
      <c r="P14" s="12"/>
      <c r="Q14" s="21">
        <v>21</v>
      </c>
      <c r="R14" s="23">
        <v>3.3683535167214691</v>
      </c>
      <c r="S14" s="12">
        <f t="shared" si="3"/>
        <v>24</v>
      </c>
      <c r="T14" s="12"/>
      <c r="U14" s="21">
        <v>16</v>
      </c>
      <c r="V14" s="22">
        <v>2.5663645841687388</v>
      </c>
      <c r="W14" s="12">
        <f t="shared" si="4"/>
        <v>2</v>
      </c>
      <c r="X14" s="12"/>
      <c r="Y14" s="19">
        <v>275</v>
      </c>
      <c r="Z14" s="37">
        <v>44.109391290400197</v>
      </c>
      <c r="AA14" s="13">
        <f t="shared" si="5"/>
        <v>35</v>
      </c>
      <c r="AB14" s="12"/>
    </row>
    <row r="15" spans="1:28" x14ac:dyDescent="0.35">
      <c r="A15" s="12"/>
      <c r="B15" s="12" t="s">
        <v>19</v>
      </c>
      <c r="C15" s="21">
        <v>516700</v>
      </c>
      <c r="D15" s="12"/>
      <c r="E15" s="21">
        <v>72</v>
      </c>
      <c r="F15" s="23">
        <v>13.934476992630209</v>
      </c>
      <c r="G15" s="12">
        <f t="shared" si="0"/>
        <v>42</v>
      </c>
      <c r="H15" s="12"/>
      <c r="I15" s="12">
        <v>1</v>
      </c>
      <c r="J15" s="23">
        <v>0.19353440267541958</v>
      </c>
      <c r="K15" s="12">
        <f t="shared" si="1"/>
        <v>42</v>
      </c>
      <c r="L15" s="12"/>
      <c r="M15" s="21">
        <v>13</v>
      </c>
      <c r="N15" s="23">
        <v>2.5159472347804543</v>
      </c>
      <c r="O15" s="12">
        <f t="shared" si="2"/>
        <v>42</v>
      </c>
      <c r="P15" s="12"/>
      <c r="Q15" s="21">
        <v>14</v>
      </c>
      <c r="R15" s="23">
        <v>2.7094816374558741</v>
      </c>
      <c r="S15" s="12">
        <f t="shared" si="3"/>
        <v>28</v>
      </c>
      <c r="T15" s="12"/>
      <c r="U15" s="21">
        <v>0</v>
      </c>
      <c r="V15" s="22">
        <v>0</v>
      </c>
      <c r="W15" s="12">
        <f t="shared" si="4"/>
        <v>41</v>
      </c>
      <c r="X15" s="12"/>
      <c r="Y15" s="19">
        <v>99</v>
      </c>
      <c r="Z15" s="37">
        <v>19.159905864866538</v>
      </c>
      <c r="AA15" s="13">
        <f t="shared" si="5"/>
        <v>42</v>
      </c>
      <c r="AB15" s="12"/>
    </row>
    <row r="16" spans="1:28" x14ac:dyDescent="0.35">
      <c r="A16" s="12"/>
      <c r="B16" s="12" t="s">
        <v>20</v>
      </c>
      <c r="C16" s="21">
        <v>1775500</v>
      </c>
      <c r="D16" s="12"/>
      <c r="E16" s="21">
        <v>940</v>
      </c>
      <c r="F16" s="23">
        <v>52.943697756820583</v>
      </c>
      <c r="G16" s="12">
        <f t="shared" si="0"/>
        <v>18</v>
      </c>
      <c r="H16" s="12"/>
      <c r="I16" s="12">
        <v>40</v>
      </c>
      <c r="J16" s="23">
        <v>2.252923308800876</v>
      </c>
      <c r="K16" s="12">
        <f t="shared" si="1"/>
        <v>23</v>
      </c>
      <c r="L16" s="12"/>
      <c r="M16" s="21">
        <v>97</v>
      </c>
      <c r="N16" s="23">
        <v>5.4633390238421242</v>
      </c>
      <c r="O16" s="12">
        <f t="shared" si="2"/>
        <v>26</v>
      </c>
      <c r="P16" s="12"/>
      <c r="Q16" s="21">
        <v>77</v>
      </c>
      <c r="R16" s="23">
        <v>4.3368773694416864</v>
      </c>
      <c r="S16" s="12">
        <f t="shared" si="3"/>
        <v>15</v>
      </c>
      <c r="T16" s="12"/>
      <c r="U16" s="21">
        <v>23</v>
      </c>
      <c r="V16" s="22">
        <v>1.2954309025605037</v>
      </c>
      <c r="W16" s="12">
        <f t="shared" si="4"/>
        <v>10</v>
      </c>
      <c r="X16" s="12"/>
      <c r="Y16" s="19">
        <v>1173</v>
      </c>
      <c r="Z16" s="37">
        <v>66.066976030585693</v>
      </c>
      <c r="AA16" s="13">
        <f t="shared" si="5"/>
        <v>17</v>
      </c>
      <c r="AB16" s="12"/>
    </row>
    <row r="17" spans="1:28" x14ac:dyDescent="0.35">
      <c r="A17" s="12"/>
      <c r="B17" s="12" t="s">
        <v>21</v>
      </c>
      <c r="C17" s="21">
        <v>611700</v>
      </c>
      <c r="D17" s="12"/>
      <c r="E17" s="21">
        <v>173</v>
      </c>
      <c r="F17" s="23">
        <v>28.280034459140253</v>
      </c>
      <c r="G17" s="12">
        <f t="shared" si="0"/>
        <v>39</v>
      </c>
      <c r="H17" s="12"/>
      <c r="I17" s="12">
        <v>6</v>
      </c>
      <c r="J17" s="23">
        <v>0.98081044366960413</v>
      </c>
      <c r="K17" s="12">
        <f t="shared" si="1"/>
        <v>37</v>
      </c>
      <c r="L17" s="12"/>
      <c r="M17" s="21">
        <v>24</v>
      </c>
      <c r="N17" s="23">
        <v>3.9232417746784165</v>
      </c>
      <c r="O17" s="12">
        <f t="shared" si="2"/>
        <v>35</v>
      </c>
      <c r="P17" s="12"/>
      <c r="Q17" s="21">
        <v>12</v>
      </c>
      <c r="R17" s="23">
        <v>1.9616208873392083</v>
      </c>
      <c r="S17" s="12">
        <f t="shared" si="3"/>
        <v>35</v>
      </c>
      <c r="T17" s="12"/>
      <c r="U17" s="21">
        <v>6</v>
      </c>
      <c r="V17" s="22">
        <v>0.98081044366960413</v>
      </c>
      <c r="W17" s="12">
        <f t="shared" si="4"/>
        <v>18</v>
      </c>
      <c r="X17" s="12"/>
      <c r="Y17" s="19">
        <v>217</v>
      </c>
      <c r="Z17" s="37">
        <v>35.472644379384022</v>
      </c>
      <c r="AA17" s="13">
        <f t="shared" si="5"/>
        <v>38</v>
      </c>
      <c r="AB17" s="12"/>
    </row>
    <row r="18" spans="1:28" x14ac:dyDescent="0.35">
      <c r="A18" s="12"/>
      <c r="B18" s="12" t="s">
        <v>22</v>
      </c>
      <c r="C18" s="21">
        <v>2730100</v>
      </c>
      <c r="D18" s="12"/>
      <c r="E18" s="21">
        <v>3196</v>
      </c>
      <c r="F18" s="23">
        <v>117.064322742968</v>
      </c>
      <c r="G18" s="12">
        <f t="shared" si="0"/>
        <v>3</v>
      </c>
      <c r="H18" s="12"/>
      <c r="I18" s="12">
        <v>287</v>
      </c>
      <c r="J18" s="23">
        <v>10.512346879609453</v>
      </c>
      <c r="K18" s="12">
        <f t="shared" si="1"/>
        <v>2</v>
      </c>
      <c r="L18" s="12"/>
      <c r="M18" s="21">
        <v>423</v>
      </c>
      <c r="N18" s="23">
        <v>15.493807421863412</v>
      </c>
      <c r="O18" s="12">
        <f t="shared" si="2"/>
        <v>3</v>
      </c>
      <c r="P18" s="12"/>
      <c r="Q18" s="21">
        <v>161</v>
      </c>
      <c r="R18" s="23">
        <v>5.8971702007565225</v>
      </c>
      <c r="S18" s="12">
        <f t="shared" si="3"/>
        <v>11</v>
      </c>
      <c r="T18" s="12"/>
      <c r="U18" s="21">
        <v>35</v>
      </c>
      <c r="V18" s="22">
        <v>1.2819935219035918</v>
      </c>
      <c r="W18" s="12">
        <f t="shared" si="4"/>
        <v>11</v>
      </c>
      <c r="X18" s="12"/>
      <c r="Y18" s="19">
        <v>3898</v>
      </c>
      <c r="Z18" s="37">
        <v>142.77744995372004</v>
      </c>
      <c r="AA18" s="13">
        <f t="shared" si="5"/>
        <v>2</v>
      </c>
      <c r="AB18" s="12"/>
    </row>
    <row r="19" spans="1:28" x14ac:dyDescent="0.35">
      <c r="A19" s="12"/>
      <c r="B19" s="12" t="s">
        <v>23</v>
      </c>
      <c r="C19" s="21">
        <v>580800</v>
      </c>
      <c r="D19" s="12"/>
      <c r="E19" s="21">
        <v>210</v>
      </c>
      <c r="F19" s="23">
        <v>36.157398320230584</v>
      </c>
      <c r="G19" s="12">
        <f t="shared" si="0"/>
        <v>35</v>
      </c>
      <c r="H19" s="12"/>
      <c r="I19" s="12">
        <v>5</v>
      </c>
      <c r="J19" s="23">
        <v>0.86089043619596628</v>
      </c>
      <c r="K19" s="12">
        <f t="shared" si="1"/>
        <v>38</v>
      </c>
      <c r="L19" s="12"/>
      <c r="M19" s="21">
        <v>32</v>
      </c>
      <c r="N19" s="23">
        <v>5.5096987916541833</v>
      </c>
      <c r="O19" s="12">
        <f t="shared" si="2"/>
        <v>23</v>
      </c>
      <c r="P19" s="12"/>
      <c r="Q19" s="21">
        <v>23</v>
      </c>
      <c r="R19" s="23">
        <v>3.9600960065014448</v>
      </c>
      <c r="S19" s="12">
        <f t="shared" si="3"/>
        <v>22</v>
      </c>
      <c r="T19" s="12"/>
      <c r="U19" s="21">
        <v>4</v>
      </c>
      <c r="V19" s="22">
        <v>0.68871234895677291</v>
      </c>
      <c r="W19" s="12">
        <f t="shared" si="4"/>
        <v>28</v>
      </c>
      <c r="X19" s="12"/>
      <c r="Y19" s="19">
        <v>267</v>
      </c>
      <c r="Z19" s="37">
        <v>45.971549292864594</v>
      </c>
      <c r="AA19" s="13">
        <f t="shared" si="5"/>
        <v>33</v>
      </c>
      <c r="AB19" s="12"/>
    </row>
    <row r="20" spans="1:28" x14ac:dyDescent="0.35">
      <c r="A20" s="12"/>
      <c r="B20" s="12" t="s">
        <v>24</v>
      </c>
      <c r="C20" s="21">
        <v>1939100</v>
      </c>
      <c r="D20" s="12"/>
      <c r="E20" s="21">
        <v>1137</v>
      </c>
      <c r="F20" s="23">
        <v>58.635388958394138</v>
      </c>
      <c r="G20" s="12">
        <f t="shared" si="0"/>
        <v>14</v>
      </c>
      <c r="H20" s="12"/>
      <c r="I20" s="12">
        <v>99</v>
      </c>
      <c r="J20" s="23">
        <v>5.105456030678118</v>
      </c>
      <c r="K20" s="12">
        <f t="shared" si="1"/>
        <v>9</v>
      </c>
      <c r="L20" s="12"/>
      <c r="M20" s="21">
        <v>224</v>
      </c>
      <c r="N20" s="23">
        <v>11.551738897695943</v>
      </c>
      <c r="O20" s="12">
        <f t="shared" si="2"/>
        <v>7</v>
      </c>
      <c r="P20" s="12"/>
      <c r="Q20" s="21">
        <v>98</v>
      </c>
      <c r="R20" s="23">
        <v>5.053885767741976</v>
      </c>
      <c r="S20" s="12">
        <f t="shared" si="3"/>
        <v>14</v>
      </c>
      <c r="T20" s="12"/>
      <c r="U20" s="21">
        <v>33</v>
      </c>
      <c r="V20" s="22">
        <v>1.7018186768927062</v>
      </c>
      <c r="W20" s="12">
        <f t="shared" si="4"/>
        <v>6</v>
      </c>
      <c r="X20" s="12"/>
      <c r="Y20" s="19">
        <v>1547</v>
      </c>
      <c r="Z20" s="37">
        <v>79.779196762212621</v>
      </c>
      <c r="AA20" s="13">
        <f t="shared" si="5"/>
        <v>11</v>
      </c>
      <c r="AB20" s="12"/>
    </row>
    <row r="21" spans="1:28" x14ac:dyDescent="0.35">
      <c r="A21" s="12"/>
      <c r="B21" s="12" t="s">
        <v>25</v>
      </c>
      <c r="C21" s="21">
        <v>1154200</v>
      </c>
      <c r="D21" s="12"/>
      <c r="E21" s="21">
        <v>723</v>
      </c>
      <c r="F21" s="23">
        <v>62.641061519067399</v>
      </c>
      <c r="G21" s="12">
        <f t="shared" si="0"/>
        <v>12</v>
      </c>
      <c r="H21" s="12"/>
      <c r="I21" s="12">
        <v>22</v>
      </c>
      <c r="J21" s="23">
        <v>1.9060903920048171</v>
      </c>
      <c r="K21" s="12">
        <f t="shared" si="1"/>
        <v>29</v>
      </c>
      <c r="L21" s="12"/>
      <c r="M21" s="21">
        <v>38</v>
      </c>
      <c r="N21" s="23">
        <v>3.2923379498265022</v>
      </c>
      <c r="O21" s="12">
        <f t="shared" si="2"/>
        <v>39</v>
      </c>
      <c r="P21" s="12"/>
      <c r="Q21" s="21">
        <v>72</v>
      </c>
      <c r="R21" s="23">
        <v>6.2381140101975836</v>
      </c>
      <c r="S21" s="12">
        <f t="shared" si="3"/>
        <v>10</v>
      </c>
      <c r="T21" s="12"/>
      <c r="U21" s="21">
        <v>4</v>
      </c>
      <c r="V21" s="22">
        <v>0.34656188945542132</v>
      </c>
      <c r="W21" s="12">
        <f t="shared" si="4"/>
        <v>34</v>
      </c>
      <c r="X21" s="12"/>
      <c r="Y21" s="19">
        <v>838</v>
      </c>
      <c r="Z21" s="37">
        <v>72.604715840910757</v>
      </c>
      <c r="AA21" s="13">
        <f t="shared" si="5"/>
        <v>15</v>
      </c>
      <c r="AB21" s="12"/>
    </row>
    <row r="22" spans="1:28" x14ac:dyDescent="0.35">
      <c r="A22" s="12"/>
      <c r="B22" s="12" t="s">
        <v>26</v>
      </c>
      <c r="C22" s="21">
        <v>923900</v>
      </c>
      <c r="D22" s="12"/>
      <c r="E22" s="21">
        <v>427</v>
      </c>
      <c r="F22" s="23">
        <v>46.217723360407327</v>
      </c>
      <c r="G22" s="12">
        <f t="shared" si="0"/>
        <v>22</v>
      </c>
      <c r="H22" s="12"/>
      <c r="I22" s="12">
        <v>19</v>
      </c>
      <c r="J22" s="23">
        <v>2.0565263321961105</v>
      </c>
      <c r="K22" s="12">
        <f t="shared" si="1"/>
        <v>26</v>
      </c>
      <c r="L22" s="12"/>
      <c r="M22" s="21">
        <v>68</v>
      </c>
      <c r="N22" s="23">
        <v>7.3601995047018685</v>
      </c>
      <c r="O22" s="12">
        <f t="shared" si="2"/>
        <v>18</v>
      </c>
      <c r="P22" s="12"/>
      <c r="Q22" s="21">
        <v>38</v>
      </c>
      <c r="R22" s="23">
        <v>4.1130526643922209</v>
      </c>
      <c r="S22" s="12">
        <f t="shared" si="3"/>
        <v>17</v>
      </c>
      <c r="T22" s="12"/>
      <c r="U22" s="21">
        <v>0</v>
      </c>
      <c r="V22" s="22">
        <v>0</v>
      </c>
      <c r="W22" s="12">
        <f t="shared" si="4"/>
        <v>41</v>
      </c>
      <c r="X22" s="12"/>
      <c r="Y22" s="19">
        <v>521</v>
      </c>
      <c r="Z22" s="37">
        <v>56.392116793377546</v>
      </c>
      <c r="AA22" s="13">
        <f t="shared" si="5"/>
        <v>26</v>
      </c>
      <c r="AB22" s="12"/>
    </row>
    <row r="23" spans="1:28" x14ac:dyDescent="0.35">
      <c r="A23" s="12"/>
      <c r="B23" s="12" t="s">
        <v>27</v>
      </c>
      <c r="C23" s="21">
        <v>1782500</v>
      </c>
      <c r="D23" s="12"/>
      <c r="E23" s="21">
        <v>788</v>
      </c>
      <c r="F23" s="23">
        <v>44.207251223413238</v>
      </c>
      <c r="G23" s="12">
        <f t="shared" si="0"/>
        <v>25</v>
      </c>
      <c r="H23" s="12"/>
      <c r="I23" s="12">
        <v>31</v>
      </c>
      <c r="J23" s="23">
        <v>1.7391177511748861</v>
      </c>
      <c r="K23" s="12">
        <f t="shared" si="1"/>
        <v>31</v>
      </c>
      <c r="L23" s="12"/>
      <c r="M23" s="21">
        <v>96</v>
      </c>
      <c r="N23" s="23">
        <v>5.3856549713802924</v>
      </c>
      <c r="O23" s="12">
        <f t="shared" si="2"/>
        <v>27</v>
      </c>
      <c r="P23" s="12"/>
      <c r="Q23" s="21">
        <v>49</v>
      </c>
      <c r="R23" s="23">
        <v>2.7489280583086915</v>
      </c>
      <c r="S23" s="12">
        <f t="shared" si="3"/>
        <v>26</v>
      </c>
      <c r="T23" s="12"/>
      <c r="U23" s="21">
        <v>10</v>
      </c>
      <c r="V23" s="22">
        <v>0.56100572618544708</v>
      </c>
      <c r="W23" s="12">
        <f t="shared" si="4"/>
        <v>30</v>
      </c>
      <c r="X23" s="12"/>
      <c r="Y23" s="19">
        <v>966</v>
      </c>
      <c r="Z23" s="37">
        <v>54.193153149514202</v>
      </c>
      <c r="AA23" s="13">
        <f t="shared" si="5"/>
        <v>29</v>
      </c>
      <c r="AB23" s="12"/>
    </row>
    <row r="24" spans="1:28" x14ac:dyDescent="0.35">
      <c r="A24" s="12"/>
      <c r="B24" s="12" t="s">
        <v>28</v>
      </c>
      <c r="C24" s="21">
        <v>1470900</v>
      </c>
      <c r="D24" s="12"/>
      <c r="E24" s="21">
        <v>645</v>
      </c>
      <c r="F24" s="23">
        <v>43.850137227134873</v>
      </c>
      <c r="G24" s="12">
        <f t="shared" si="0"/>
        <v>26</v>
      </c>
      <c r="H24" s="12"/>
      <c r="I24" s="12">
        <v>64</v>
      </c>
      <c r="J24" s="23">
        <v>4.3510213682738481</v>
      </c>
      <c r="K24" s="12">
        <f t="shared" si="1"/>
        <v>11</v>
      </c>
      <c r="L24" s="12"/>
      <c r="M24" s="21">
        <v>118</v>
      </c>
      <c r="N24" s="23">
        <v>8.0221956477549075</v>
      </c>
      <c r="O24" s="12">
        <f t="shared" si="2"/>
        <v>14</v>
      </c>
      <c r="P24" s="12"/>
      <c r="Q24" s="21">
        <v>93</v>
      </c>
      <c r="R24" s="23">
        <v>6.3225779257729355</v>
      </c>
      <c r="S24" s="12">
        <f t="shared" si="3"/>
        <v>9</v>
      </c>
      <c r="T24" s="12"/>
      <c r="U24" s="21">
        <v>15</v>
      </c>
      <c r="V24" s="22">
        <v>1.0197706331891832</v>
      </c>
      <c r="W24" s="12">
        <f t="shared" si="4"/>
        <v>17</v>
      </c>
      <c r="X24" s="12"/>
      <c r="Y24" s="19">
        <v>881</v>
      </c>
      <c r="Z24" s="37">
        <v>59.894528522644691</v>
      </c>
      <c r="AA24" s="13">
        <f t="shared" si="5"/>
        <v>22</v>
      </c>
      <c r="AB24" s="12"/>
    </row>
    <row r="25" spans="1:28" x14ac:dyDescent="0.35">
      <c r="A25" s="12"/>
      <c r="B25" s="12" t="s">
        <v>29</v>
      </c>
      <c r="C25" s="21">
        <v>1043400</v>
      </c>
      <c r="D25" s="12"/>
      <c r="E25" s="21">
        <v>807</v>
      </c>
      <c r="F25" s="23">
        <v>77.340632295607975</v>
      </c>
      <c r="G25" s="12">
        <f t="shared" si="0"/>
        <v>8</v>
      </c>
      <c r="H25" s="12"/>
      <c r="I25" s="12">
        <v>61</v>
      </c>
      <c r="J25" s="23">
        <v>5.8460700991723495</v>
      </c>
      <c r="K25" s="12">
        <f t="shared" si="1"/>
        <v>7</v>
      </c>
      <c r="L25" s="12"/>
      <c r="M25" s="21">
        <v>85</v>
      </c>
      <c r="N25" s="23">
        <v>8.1461632529450778</v>
      </c>
      <c r="O25" s="12">
        <f t="shared" si="2"/>
        <v>12</v>
      </c>
      <c r="P25" s="12"/>
      <c r="Q25" s="21">
        <v>60</v>
      </c>
      <c r="R25" s="23">
        <v>5.7502328844318198</v>
      </c>
      <c r="S25" s="12">
        <f t="shared" si="3"/>
        <v>12</v>
      </c>
      <c r="T25" s="12"/>
      <c r="U25" s="21">
        <v>9</v>
      </c>
      <c r="V25" s="22">
        <v>0.86253493266477288</v>
      </c>
      <c r="W25" s="12">
        <f t="shared" si="4"/>
        <v>22</v>
      </c>
      <c r="X25" s="12"/>
      <c r="Y25" s="19">
        <v>982</v>
      </c>
      <c r="Z25" s="37">
        <v>94.112144875200784</v>
      </c>
      <c r="AA25" s="13">
        <f t="shared" si="5"/>
        <v>8</v>
      </c>
      <c r="AB25" s="12"/>
    </row>
    <row r="26" spans="1:28" x14ac:dyDescent="0.35">
      <c r="A26" s="12"/>
      <c r="B26" s="12" t="s">
        <v>30</v>
      </c>
      <c r="C26" s="21">
        <v>731900</v>
      </c>
      <c r="D26" s="12"/>
      <c r="E26" s="21">
        <v>158</v>
      </c>
      <c r="F26" s="23">
        <v>21.588061528708025</v>
      </c>
      <c r="G26" s="12">
        <f t="shared" si="0"/>
        <v>41</v>
      </c>
      <c r="H26" s="12"/>
      <c r="I26" s="12">
        <v>18</v>
      </c>
      <c r="J26" s="23">
        <v>2.4593994146629394</v>
      </c>
      <c r="K26" s="12">
        <f t="shared" si="1"/>
        <v>20</v>
      </c>
      <c r="L26" s="12"/>
      <c r="M26" s="21">
        <v>26</v>
      </c>
      <c r="N26" s="23">
        <v>3.5524658211798013</v>
      </c>
      <c r="O26" s="12">
        <f t="shared" si="2"/>
        <v>36</v>
      </c>
      <c r="P26" s="12"/>
      <c r="Q26" s="21">
        <v>23</v>
      </c>
      <c r="R26" s="23">
        <v>3.1425659187359778</v>
      </c>
      <c r="S26" s="12">
        <f t="shared" si="3"/>
        <v>25</v>
      </c>
      <c r="T26" s="12"/>
      <c r="U26" s="21">
        <v>2</v>
      </c>
      <c r="V26" s="22">
        <v>0.27326660162921551</v>
      </c>
      <c r="W26" s="12">
        <f t="shared" si="4"/>
        <v>36</v>
      </c>
      <c r="X26" s="12"/>
      <c r="Y26" s="19">
        <v>217</v>
      </c>
      <c r="Z26" s="37">
        <v>29.649426276769876</v>
      </c>
      <c r="AA26" s="13">
        <f t="shared" si="5"/>
        <v>40</v>
      </c>
      <c r="AB26" s="12"/>
    </row>
    <row r="27" spans="1:28" x14ac:dyDescent="0.35">
      <c r="A27" s="12"/>
      <c r="B27" s="12" t="s">
        <v>32</v>
      </c>
      <c r="C27" s="21">
        <v>1393500</v>
      </c>
      <c r="D27" s="12"/>
      <c r="E27" s="21">
        <v>1653</v>
      </c>
      <c r="F27" s="23">
        <v>118.61808850502457</v>
      </c>
      <c r="G27" s="12">
        <f t="shared" si="0"/>
        <v>2</v>
      </c>
      <c r="H27" s="12"/>
      <c r="I27" s="12">
        <v>119</v>
      </c>
      <c r="J27" s="23">
        <v>8.5393542238946907</v>
      </c>
      <c r="K27" s="12">
        <f t="shared" si="1"/>
        <v>3</v>
      </c>
      <c r="L27" s="12"/>
      <c r="M27" s="21">
        <v>65</v>
      </c>
      <c r="N27" s="23">
        <v>4.664353147505504</v>
      </c>
      <c r="O27" s="12">
        <f t="shared" si="2"/>
        <v>30</v>
      </c>
      <c r="P27" s="12"/>
      <c r="Q27" s="21">
        <v>186</v>
      </c>
      <c r="R27" s="23">
        <v>13.347225929784981</v>
      </c>
      <c r="S27" s="12">
        <f t="shared" si="3"/>
        <v>1</v>
      </c>
      <c r="T27" s="12"/>
      <c r="U27" s="21">
        <v>22</v>
      </c>
      <c r="V27" s="22">
        <v>1.578704142232632</v>
      </c>
      <c r="W27" s="12">
        <f t="shared" si="4"/>
        <v>7</v>
      </c>
      <c r="X27" s="12"/>
      <c r="Y27" s="19">
        <v>1914</v>
      </c>
      <c r="Z27" s="37">
        <v>137.347260374239</v>
      </c>
      <c r="AA27" s="13">
        <f t="shared" si="5"/>
        <v>3</v>
      </c>
      <c r="AB27" s="12"/>
    </row>
    <row r="28" spans="1:28" x14ac:dyDescent="0.35">
      <c r="A28" s="12"/>
      <c r="B28" s="12" t="s">
        <v>33</v>
      </c>
      <c r="C28" s="21">
        <v>8539400</v>
      </c>
      <c r="D28" s="12"/>
      <c r="E28" s="21">
        <v>11594</v>
      </c>
      <c r="F28" s="23">
        <v>135.77069484289174</v>
      </c>
      <c r="G28" s="12">
        <f t="shared" si="0"/>
        <v>1</v>
      </c>
      <c r="H28" s="12"/>
      <c r="I28" s="12">
        <v>1380</v>
      </c>
      <c r="J28" s="23">
        <v>16.160389760495995</v>
      </c>
      <c r="K28" s="12">
        <f t="shared" si="1"/>
        <v>1</v>
      </c>
      <c r="L28" s="12"/>
      <c r="M28" s="21">
        <v>1555</v>
      </c>
      <c r="N28" s="23">
        <v>18.209714548964694</v>
      </c>
      <c r="O28" s="12">
        <f t="shared" si="2"/>
        <v>2</v>
      </c>
      <c r="P28" s="12"/>
      <c r="Q28" s="21">
        <v>178</v>
      </c>
      <c r="R28" s="23">
        <v>2.0844560705567301</v>
      </c>
      <c r="S28" s="12">
        <f t="shared" si="3"/>
        <v>32</v>
      </c>
      <c r="T28" s="12"/>
      <c r="U28" s="21">
        <v>107</v>
      </c>
      <c r="V28" s="22">
        <v>1.2530157278065737</v>
      </c>
      <c r="W28" s="12">
        <f t="shared" si="4"/>
        <v>12</v>
      </c>
      <c r="X28" s="12"/>
      <c r="Y28" s="19">
        <v>13954</v>
      </c>
      <c r="Z28" s="37">
        <v>163.40730341881243</v>
      </c>
      <c r="AA28" s="13">
        <f t="shared" si="5"/>
        <v>1</v>
      </c>
      <c r="AB28" s="12"/>
    </row>
    <row r="29" spans="1:28" x14ac:dyDescent="0.35">
      <c r="A29" s="12"/>
      <c r="B29" s="12" t="s">
        <v>34</v>
      </c>
      <c r="C29" s="21">
        <v>877400</v>
      </c>
      <c r="D29" s="12"/>
      <c r="E29" s="21">
        <v>378</v>
      </c>
      <c r="F29" s="23">
        <v>43.082421915959642</v>
      </c>
      <c r="G29" s="12">
        <f t="shared" si="0"/>
        <v>27</v>
      </c>
      <c r="H29" s="12"/>
      <c r="I29" s="12">
        <v>35</v>
      </c>
      <c r="J29" s="23">
        <v>3.9891131403666336</v>
      </c>
      <c r="K29" s="12">
        <f t="shared" si="1"/>
        <v>14</v>
      </c>
      <c r="L29" s="12"/>
      <c r="M29" s="21">
        <v>98</v>
      </c>
      <c r="N29" s="23">
        <v>11.169516793026574</v>
      </c>
      <c r="O29" s="12">
        <f t="shared" si="2"/>
        <v>8</v>
      </c>
      <c r="P29" s="12"/>
      <c r="Q29" s="21">
        <v>69</v>
      </c>
      <c r="R29" s="23">
        <v>7.8642516195799343</v>
      </c>
      <c r="S29" s="12">
        <f t="shared" si="3"/>
        <v>6</v>
      </c>
      <c r="T29" s="12"/>
      <c r="U29" s="21">
        <v>15</v>
      </c>
      <c r="V29" s="22">
        <v>1.7096199172999857</v>
      </c>
      <c r="W29" s="12">
        <f t="shared" si="4"/>
        <v>5</v>
      </c>
      <c r="X29" s="12"/>
      <c r="Y29" s="19">
        <v>570</v>
      </c>
      <c r="Z29" s="37">
        <v>64.965556857399463</v>
      </c>
      <c r="AA29" s="13">
        <f t="shared" si="5"/>
        <v>18</v>
      </c>
      <c r="AB29" s="12"/>
    </row>
    <row r="30" spans="1:28" x14ac:dyDescent="0.35">
      <c r="A30" s="12"/>
      <c r="B30" s="12" t="s">
        <v>35</v>
      </c>
      <c r="C30" s="21">
        <v>693100</v>
      </c>
      <c r="D30" s="12"/>
      <c r="E30" s="21">
        <v>293</v>
      </c>
      <c r="F30" s="23">
        <v>42.275855003917371</v>
      </c>
      <c r="G30" s="12">
        <f t="shared" si="0"/>
        <v>28</v>
      </c>
      <c r="H30" s="12"/>
      <c r="I30" s="12">
        <v>12</v>
      </c>
      <c r="J30" s="23">
        <v>1.731434334631428</v>
      </c>
      <c r="K30" s="12">
        <f t="shared" si="1"/>
        <v>32</v>
      </c>
      <c r="L30" s="12"/>
      <c r="M30" s="21">
        <v>66</v>
      </c>
      <c r="N30" s="23">
        <v>9.522888840472854</v>
      </c>
      <c r="O30" s="12">
        <f t="shared" si="2"/>
        <v>10</v>
      </c>
      <c r="P30" s="12"/>
      <c r="Q30" s="21">
        <v>28</v>
      </c>
      <c r="R30" s="23">
        <v>4.0400134474733322</v>
      </c>
      <c r="S30" s="12">
        <f t="shared" si="3"/>
        <v>19</v>
      </c>
      <c r="T30" s="12"/>
      <c r="U30" s="21">
        <v>9</v>
      </c>
      <c r="V30" s="22">
        <v>1.2985757509735711</v>
      </c>
      <c r="W30" s="12">
        <f t="shared" si="4"/>
        <v>9</v>
      </c>
      <c r="X30" s="12"/>
      <c r="Y30" s="19">
        <v>392</v>
      </c>
      <c r="Z30" s="37">
        <v>56.560188264626653</v>
      </c>
      <c r="AA30" s="13">
        <f t="shared" si="5"/>
        <v>25</v>
      </c>
      <c r="AB30" s="12"/>
    </row>
    <row r="31" spans="1:28" x14ac:dyDescent="0.35">
      <c r="A31" s="12"/>
      <c r="B31" s="12" t="s">
        <v>36</v>
      </c>
      <c r="C31" s="21">
        <v>808400</v>
      </c>
      <c r="D31" s="12"/>
      <c r="E31" s="21">
        <v>176</v>
      </c>
      <c r="F31" s="23">
        <v>21.771831208930411</v>
      </c>
      <c r="G31" s="12">
        <f t="shared" si="0"/>
        <v>40</v>
      </c>
      <c r="H31" s="12"/>
      <c r="I31" s="12">
        <v>16</v>
      </c>
      <c r="J31" s="23">
        <v>1.9792573826300373</v>
      </c>
      <c r="K31" s="12">
        <f t="shared" si="1"/>
        <v>27</v>
      </c>
      <c r="L31" s="12"/>
      <c r="M31" s="21">
        <v>27</v>
      </c>
      <c r="N31" s="23">
        <v>3.339996833188188</v>
      </c>
      <c r="O31" s="12">
        <f t="shared" si="2"/>
        <v>38</v>
      </c>
      <c r="P31" s="12"/>
      <c r="Q31" s="21">
        <v>14</v>
      </c>
      <c r="R31" s="23">
        <v>1.7318502098012825</v>
      </c>
      <c r="S31" s="12">
        <f t="shared" si="3"/>
        <v>39</v>
      </c>
      <c r="T31" s="12"/>
      <c r="U31" s="21">
        <v>1</v>
      </c>
      <c r="V31" s="22">
        <v>0.12370358641437733</v>
      </c>
      <c r="W31" s="12">
        <f t="shared" si="4"/>
        <v>39</v>
      </c>
      <c r="X31" s="12"/>
      <c r="Y31" s="19">
        <v>225</v>
      </c>
      <c r="Z31" s="37">
        <v>27.833306943234899</v>
      </c>
      <c r="AA31" s="13">
        <f t="shared" si="5"/>
        <v>41</v>
      </c>
      <c r="AB31" s="12"/>
    </row>
    <row r="32" spans="1:28" x14ac:dyDescent="0.35">
      <c r="A32" s="12"/>
      <c r="B32" s="12" t="s">
        <v>37</v>
      </c>
      <c r="C32" s="21">
        <v>713400</v>
      </c>
      <c r="D32" s="12"/>
      <c r="E32" s="21">
        <v>409</v>
      </c>
      <c r="F32" s="23">
        <v>57.335028618450103</v>
      </c>
      <c r="G32" s="12">
        <f t="shared" si="0"/>
        <v>15</v>
      </c>
      <c r="H32" s="12"/>
      <c r="I32" s="12">
        <v>15</v>
      </c>
      <c r="J32" s="23">
        <v>2.1027516608233534</v>
      </c>
      <c r="K32" s="12">
        <f t="shared" si="1"/>
        <v>25</v>
      </c>
      <c r="L32" s="12"/>
      <c r="M32" s="21">
        <v>41</v>
      </c>
      <c r="N32" s="23">
        <v>5.7475212062504992</v>
      </c>
      <c r="O32" s="12">
        <f t="shared" si="2"/>
        <v>21</v>
      </c>
      <c r="P32" s="12"/>
      <c r="Q32" s="21">
        <v>63</v>
      </c>
      <c r="R32" s="23">
        <v>8.8315569754580849</v>
      </c>
      <c r="S32" s="12">
        <f t="shared" si="3"/>
        <v>5</v>
      </c>
      <c r="T32" s="12"/>
      <c r="U32" s="21">
        <v>6</v>
      </c>
      <c r="V32" s="22">
        <v>0.84110066432934127</v>
      </c>
      <c r="W32" s="12">
        <f t="shared" si="4"/>
        <v>25</v>
      </c>
      <c r="X32" s="12"/>
      <c r="Y32" s="19">
        <v>534</v>
      </c>
      <c r="Z32" s="37">
        <v>74.857959125311382</v>
      </c>
      <c r="AA32" s="13">
        <f t="shared" si="5"/>
        <v>14</v>
      </c>
      <c r="AB32" s="12"/>
    </row>
    <row r="33" spans="1:28" x14ac:dyDescent="0.35">
      <c r="A33" s="12"/>
      <c r="B33" s="12" t="s">
        <v>38</v>
      </c>
      <c r="C33" s="21">
        <v>1434200</v>
      </c>
      <c r="D33" s="12"/>
      <c r="E33" s="21">
        <v>782</v>
      </c>
      <c r="F33" s="23">
        <v>54.526539503153053</v>
      </c>
      <c r="G33" s="12">
        <f t="shared" si="0"/>
        <v>17</v>
      </c>
      <c r="H33" s="12"/>
      <c r="I33" s="12">
        <v>48</v>
      </c>
      <c r="J33" s="23">
        <v>3.3468975654109294</v>
      </c>
      <c r="K33" s="12">
        <f t="shared" si="1"/>
        <v>17</v>
      </c>
      <c r="L33" s="12"/>
      <c r="M33" s="21">
        <v>79</v>
      </c>
      <c r="N33" s="23">
        <v>5.5084355764054873</v>
      </c>
      <c r="O33" s="12">
        <f t="shared" si="2"/>
        <v>24</v>
      </c>
      <c r="P33" s="12"/>
      <c r="Q33" s="21">
        <v>28</v>
      </c>
      <c r="R33" s="23">
        <v>1.9523569131563756</v>
      </c>
      <c r="S33" s="12">
        <f t="shared" si="3"/>
        <v>36</v>
      </c>
      <c r="T33" s="12"/>
      <c r="U33" s="21">
        <v>9</v>
      </c>
      <c r="V33" s="22">
        <v>0.62754329351454918</v>
      </c>
      <c r="W33" s="12">
        <f t="shared" si="4"/>
        <v>29</v>
      </c>
      <c r="X33" s="12"/>
      <c r="Y33" s="19">
        <v>912</v>
      </c>
      <c r="Z33" s="37">
        <v>63.591053742807659</v>
      </c>
      <c r="AA33" s="13">
        <f t="shared" si="5"/>
        <v>21</v>
      </c>
      <c r="AB33" s="12"/>
    </row>
    <row r="34" spans="1:28" x14ac:dyDescent="0.35">
      <c r="A34" s="12"/>
      <c r="B34" s="12" t="s">
        <v>39</v>
      </c>
      <c r="C34" s="21">
        <v>1116000</v>
      </c>
      <c r="D34" s="12"/>
      <c r="E34" s="21">
        <v>626</v>
      </c>
      <c r="F34" s="23">
        <v>56.093139701487722</v>
      </c>
      <c r="G34" s="12">
        <f t="shared" si="0"/>
        <v>16</v>
      </c>
      <c r="H34" s="12"/>
      <c r="I34" s="12">
        <v>66</v>
      </c>
      <c r="J34" s="23">
        <v>5.9139731953645196</v>
      </c>
      <c r="K34" s="12">
        <f t="shared" si="1"/>
        <v>6</v>
      </c>
      <c r="L34" s="12"/>
      <c r="M34" s="21">
        <v>63</v>
      </c>
      <c r="N34" s="23">
        <v>5.6451562319388602</v>
      </c>
      <c r="O34" s="12">
        <f t="shared" si="2"/>
        <v>22</v>
      </c>
      <c r="P34" s="12"/>
      <c r="Q34" s="21">
        <v>64</v>
      </c>
      <c r="R34" s="23">
        <v>5.7347618864140806</v>
      </c>
      <c r="S34" s="12">
        <f t="shared" si="3"/>
        <v>13</v>
      </c>
      <c r="T34" s="12"/>
      <c r="U34" s="21">
        <v>4</v>
      </c>
      <c r="V34" s="22">
        <v>0.35842261790088004</v>
      </c>
      <c r="W34" s="12">
        <f t="shared" si="4"/>
        <v>33</v>
      </c>
      <c r="X34" s="12"/>
      <c r="Y34" s="19">
        <v>796</v>
      </c>
      <c r="Z34" s="37">
        <v>71.32610096227512</v>
      </c>
      <c r="AA34" s="13">
        <f t="shared" si="5"/>
        <v>16</v>
      </c>
      <c r="AB34" s="12"/>
    </row>
    <row r="35" spans="1:28" x14ac:dyDescent="0.35">
      <c r="A35" s="12"/>
      <c r="B35" s="12" t="s">
        <v>40</v>
      </c>
      <c r="C35" s="21">
        <v>1301500</v>
      </c>
      <c r="D35" s="12"/>
      <c r="E35" s="21">
        <v>1102</v>
      </c>
      <c r="F35" s="23">
        <v>84.673419538353144</v>
      </c>
      <c r="G35" s="12">
        <f t="shared" si="0"/>
        <v>6</v>
      </c>
      <c r="H35" s="12"/>
      <c r="I35" s="12">
        <v>66</v>
      </c>
      <c r="J35" s="23">
        <v>5.0711848362353065</v>
      </c>
      <c r="K35" s="12">
        <f t="shared" si="1"/>
        <v>10</v>
      </c>
      <c r="L35" s="12"/>
      <c r="M35" s="21">
        <v>240</v>
      </c>
      <c r="N35" s="23">
        <v>18.44067213176475</v>
      </c>
      <c r="O35" s="12">
        <f t="shared" si="2"/>
        <v>1</v>
      </c>
      <c r="P35" s="12"/>
      <c r="Q35" s="21">
        <v>137</v>
      </c>
      <c r="R35" s="23">
        <v>10.526550341882377</v>
      </c>
      <c r="S35" s="12">
        <f t="shared" si="3"/>
        <v>4</v>
      </c>
      <c r="T35" s="12"/>
      <c r="U35" s="21">
        <v>25</v>
      </c>
      <c r="V35" s="22">
        <v>1.9209033470588281</v>
      </c>
      <c r="W35" s="12">
        <f t="shared" si="4"/>
        <v>3</v>
      </c>
      <c r="X35" s="12"/>
      <c r="Y35" s="19">
        <v>1501</v>
      </c>
      <c r="Z35" s="37">
        <v>115.33103695741202</v>
      </c>
      <c r="AA35" s="13">
        <f t="shared" si="5"/>
        <v>5</v>
      </c>
      <c r="AB35" s="12"/>
    </row>
    <row r="36" spans="1:28" x14ac:dyDescent="0.35">
      <c r="A36" s="12"/>
      <c r="B36" s="12" t="s">
        <v>41</v>
      </c>
      <c r="C36" s="21">
        <v>1366100</v>
      </c>
      <c r="D36" s="12"/>
      <c r="E36" s="21">
        <v>652</v>
      </c>
      <c r="F36" s="23">
        <v>47.727525605963891</v>
      </c>
      <c r="G36" s="12">
        <f t="shared" si="0"/>
        <v>21</v>
      </c>
      <c r="H36" s="12"/>
      <c r="I36" s="12">
        <v>22</v>
      </c>
      <c r="J36" s="23">
        <v>1.6104379805693338</v>
      </c>
      <c r="K36" s="12">
        <f t="shared" si="1"/>
        <v>34</v>
      </c>
      <c r="L36" s="12"/>
      <c r="M36" s="21">
        <v>73</v>
      </c>
      <c r="N36" s="23">
        <v>5.3437260264346076</v>
      </c>
      <c r="O36" s="12">
        <f t="shared" si="2"/>
        <v>28</v>
      </c>
      <c r="P36" s="12"/>
      <c r="Q36" s="21">
        <v>20</v>
      </c>
      <c r="R36" s="23">
        <v>1.4640345277903033</v>
      </c>
      <c r="S36" s="12">
        <f t="shared" si="3"/>
        <v>40</v>
      </c>
      <c r="T36" s="12"/>
      <c r="U36" s="21">
        <v>6</v>
      </c>
      <c r="V36" s="22">
        <v>0.43921035833709104</v>
      </c>
      <c r="W36" s="12">
        <f t="shared" si="4"/>
        <v>31</v>
      </c>
      <c r="X36" s="12"/>
      <c r="Y36" s="19">
        <v>757</v>
      </c>
      <c r="Z36" s="37">
        <v>55.413706876862982</v>
      </c>
      <c r="AA36" s="13">
        <f t="shared" si="5"/>
        <v>28</v>
      </c>
      <c r="AB36" s="12"/>
    </row>
    <row r="37" spans="1:28" x14ac:dyDescent="0.35">
      <c r="A37" s="12"/>
      <c r="B37" s="12" t="s">
        <v>42</v>
      </c>
      <c r="C37" s="21">
        <v>1110800</v>
      </c>
      <c r="D37" s="12"/>
      <c r="E37" s="21">
        <v>703</v>
      </c>
      <c r="F37" s="23">
        <v>63.286239248991293</v>
      </c>
      <c r="G37" s="12">
        <f t="shared" si="0"/>
        <v>11</v>
      </c>
      <c r="H37" s="12"/>
      <c r="I37" s="12">
        <v>8</v>
      </c>
      <c r="J37" s="23">
        <v>0.72018479941953106</v>
      </c>
      <c r="K37" s="12">
        <f t="shared" si="1"/>
        <v>40</v>
      </c>
      <c r="L37" s="12"/>
      <c r="M37" s="21">
        <v>89</v>
      </c>
      <c r="N37" s="23">
        <v>8.0120558935422839</v>
      </c>
      <c r="O37" s="12">
        <f t="shared" si="2"/>
        <v>15</v>
      </c>
      <c r="P37" s="12"/>
      <c r="Q37" s="21">
        <v>45</v>
      </c>
      <c r="R37" s="23">
        <v>4.0510394967348615</v>
      </c>
      <c r="S37" s="12">
        <f t="shared" si="3"/>
        <v>18</v>
      </c>
      <c r="T37" s="12"/>
      <c r="U37" s="21">
        <v>13</v>
      </c>
      <c r="V37" s="22">
        <v>1.1703002990567379</v>
      </c>
      <c r="W37" s="12">
        <f t="shared" si="4"/>
        <v>14</v>
      </c>
      <c r="X37" s="12"/>
      <c r="Y37" s="19">
        <v>845</v>
      </c>
      <c r="Z37" s="37">
        <v>76.069519438687962</v>
      </c>
      <c r="AA37" s="13">
        <f t="shared" si="5"/>
        <v>13</v>
      </c>
      <c r="AB37" s="12"/>
    </row>
    <row r="38" spans="1:28" x14ac:dyDescent="0.35">
      <c r="A38" s="12"/>
      <c r="B38" s="12" t="s">
        <v>43</v>
      </c>
      <c r="C38" s="21">
        <v>742500</v>
      </c>
      <c r="D38" s="12"/>
      <c r="E38" s="21">
        <v>291</v>
      </c>
      <c r="F38" s="23">
        <v>39.191971975719831</v>
      </c>
      <c r="G38" s="12">
        <f t="shared" si="0"/>
        <v>30</v>
      </c>
      <c r="H38" s="12"/>
      <c r="I38" s="12">
        <v>29</v>
      </c>
      <c r="J38" s="23">
        <v>3.9057291659652065</v>
      </c>
      <c r="K38" s="12">
        <f t="shared" si="1"/>
        <v>15</v>
      </c>
      <c r="L38" s="12"/>
      <c r="M38" s="21">
        <v>58</v>
      </c>
      <c r="N38" s="23">
        <v>7.8114583319304129</v>
      </c>
      <c r="O38" s="12">
        <f t="shared" si="2"/>
        <v>16</v>
      </c>
      <c r="P38" s="12"/>
      <c r="Q38" s="21">
        <v>83</v>
      </c>
      <c r="R38" s="23">
        <v>11.178466233624556</v>
      </c>
      <c r="S38" s="12">
        <f t="shared" si="3"/>
        <v>3</v>
      </c>
      <c r="T38" s="12"/>
      <c r="U38" s="21">
        <v>7</v>
      </c>
      <c r="V38" s="22">
        <v>0.94276221247436021</v>
      </c>
      <c r="W38" s="12">
        <f t="shared" si="4"/>
        <v>19</v>
      </c>
      <c r="X38" s="12"/>
      <c r="Y38" s="19">
        <v>440</v>
      </c>
      <c r="Z38" s="37">
        <v>59.259339069816932</v>
      </c>
      <c r="AA38" s="13">
        <f t="shared" si="5"/>
        <v>23</v>
      </c>
      <c r="AB38" s="12"/>
    </row>
    <row r="39" spans="1:28" x14ac:dyDescent="0.35">
      <c r="A39" s="12"/>
      <c r="B39" s="12" t="s">
        <v>44</v>
      </c>
      <c r="C39" s="21">
        <v>1164100</v>
      </c>
      <c r="D39" s="12"/>
      <c r="E39" s="21">
        <v>536</v>
      </c>
      <c r="F39" s="23">
        <v>46.044352050305172</v>
      </c>
      <c r="G39" s="12">
        <f t="shared" si="0"/>
        <v>23</v>
      </c>
      <c r="H39" s="12"/>
      <c r="I39" s="12">
        <v>48</v>
      </c>
      <c r="J39" s="23">
        <v>4.1233748104750898</v>
      </c>
      <c r="K39" s="12">
        <f t="shared" si="1"/>
        <v>12</v>
      </c>
      <c r="L39" s="12"/>
      <c r="M39" s="21">
        <v>77</v>
      </c>
      <c r="N39" s="23">
        <v>6.6145804251371239</v>
      </c>
      <c r="O39" s="12">
        <f t="shared" si="2"/>
        <v>20</v>
      </c>
      <c r="P39" s="12"/>
      <c r="Q39" s="21">
        <v>47</v>
      </c>
      <c r="R39" s="23">
        <v>4.0374711685901925</v>
      </c>
      <c r="S39" s="12">
        <f t="shared" si="3"/>
        <v>20</v>
      </c>
      <c r="T39" s="12"/>
      <c r="U39" s="21">
        <v>1</v>
      </c>
      <c r="V39" s="22">
        <v>8.5903641884897713E-2</v>
      </c>
      <c r="W39" s="12">
        <f t="shared" si="4"/>
        <v>40</v>
      </c>
      <c r="X39" s="12"/>
      <c r="Y39" s="19">
        <v>684</v>
      </c>
      <c r="Z39" s="37">
        <v>58.758091049270028</v>
      </c>
      <c r="AA39" s="13">
        <f t="shared" si="5"/>
        <v>24</v>
      </c>
      <c r="AB39" s="12"/>
    </row>
    <row r="40" spans="1:28" x14ac:dyDescent="0.35">
      <c r="A40" s="12"/>
      <c r="B40" s="12" t="s">
        <v>45</v>
      </c>
      <c r="C40" s="21">
        <v>1651700</v>
      </c>
      <c r="D40" s="12"/>
      <c r="E40" s="21">
        <v>973</v>
      </c>
      <c r="F40" s="23">
        <v>58.910251170788264</v>
      </c>
      <c r="G40" s="12">
        <f t="shared" si="0"/>
        <v>13</v>
      </c>
      <c r="H40" s="12"/>
      <c r="I40" s="12">
        <v>108</v>
      </c>
      <c r="J40" s="23">
        <v>6.5388562450618011</v>
      </c>
      <c r="K40" s="12">
        <f t="shared" si="1"/>
        <v>5</v>
      </c>
      <c r="L40" s="12"/>
      <c r="M40" s="21">
        <v>230</v>
      </c>
      <c r="N40" s="23">
        <v>13.925342003372355</v>
      </c>
      <c r="O40" s="12">
        <f t="shared" si="2"/>
        <v>6</v>
      </c>
      <c r="P40" s="12"/>
      <c r="Q40" s="21">
        <v>107</v>
      </c>
      <c r="R40" s="23">
        <v>6.4783112798297466</v>
      </c>
      <c r="S40" s="12">
        <f t="shared" si="3"/>
        <v>8</v>
      </c>
      <c r="T40" s="12"/>
      <c r="U40" s="21">
        <v>29</v>
      </c>
      <c r="V40" s="22">
        <v>1.7558039917295578</v>
      </c>
      <c r="W40" s="12">
        <f t="shared" si="4"/>
        <v>4</v>
      </c>
      <c r="X40" s="12"/>
      <c r="Y40" s="19">
        <v>1365</v>
      </c>
      <c r="Z40" s="37">
        <v>82.643877541753326</v>
      </c>
      <c r="AA40" s="13">
        <f t="shared" si="5"/>
        <v>10</v>
      </c>
      <c r="AB40" s="12"/>
    </row>
    <row r="41" spans="1:28" x14ac:dyDescent="0.35">
      <c r="A41" s="12"/>
      <c r="B41" s="12" t="s">
        <v>46</v>
      </c>
      <c r="C41" s="21">
        <v>2336600</v>
      </c>
      <c r="D41" s="12"/>
      <c r="E41" s="21">
        <v>1074</v>
      </c>
      <c r="F41" s="23">
        <v>45.963631383659376</v>
      </c>
      <c r="G41" s="12">
        <f t="shared" si="0"/>
        <v>24</v>
      </c>
      <c r="H41" s="12"/>
      <c r="I41" s="12">
        <v>26</v>
      </c>
      <c r="J41" s="23">
        <v>1.1127136089154039</v>
      </c>
      <c r="K41" s="12">
        <f t="shared" si="1"/>
        <v>36</v>
      </c>
      <c r="L41" s="12"/>
      <c r="M41" s="21">
        <v>99</v>
      </c>
      <c r="N41" s="23">
        <v>4.2368710493317305</v>
      </c>
      <c r="O41" s="12">
        <f t="shared" si="2"/>
        <v>33</v>
      </c>
      <c r="P41" s="12"/>
      <c r="Q41" s="21">
        <v>45</v>
      </c>
      <c r="R41" s="23">
        <v>1.9258504769689682</v>
      </c>
      <c r="S41" s="12">
        <f t="shared" si="3"/>
        <v>37</v>
      </c>
      <c r="T41" s="12"/>
      <c r="U41" s="21">
        <v>17</v>
      </c>
      <c r="V41" s="22">
        <v>0.72754351352161017</v>
      </c>
      <c r="W41" s="12">
        <f t="shared" si="4"/>
        <v>27</v>
      </c>
      <c r="X41" s="12"/>
      <c r="Y41" s="19">
        <v>1236</v>
      </c>
      <c r="Z41" s="37">
        <v>52.896693100747662</v>
      </c>
      <c r="AA41" s="13">
        <f t="shared" si="5"/>
        <v>30</v>
      </c>
      <c r="AB41" s="12"/>
    </row>
    <row r="42" spans="1:28" x14ac:dyDescent="0.35">
      <c r="A42" s="12"/>
      <c r="B42" s="12" t="s">
        <v>47</v>
      </c>
      <c r="C42" s="21">
        <v>552500</v>
      </c>
      <c r="D42" s="12"/>
      <c r="E42" s="21">
        <v>171</v>
      </c>
      <c r="F42" s="23">
        <v>30.953027423296227</v>
      </c>
      <c r="G42" s="12">
        <f t="shared" si="0"/>
        <v>36</v>
      </c>
      <c r="H42" s="12"/>
      <c r="I42" s="12">
        <v>10</v>
      </c>
      <c r="J42" s="23">
        <v>1.8101185627658611</v>
      </c>
      <c r="K42" s="12">
        <f t="shared" si="1"/>
        <v>30</v>
      </c>
      <c r="L42" s="12"/>
      <c r="M42" s="21">
        <v>22</v>
      </c>
      <c r="N42" s="23">
        <v>3.9822608380848945</v>
      </c>
      <c r="O42" s="12">
        <f t="shared" si="2"/>
        <v>34</v>
      </c>
      <c r="P42" s="12"/>
      <c r="Q42" s="21">
        <v>11</v>
      </c>
      <c r="R42" s="23">
        <v>1.9911304190424473</v>
      </c>
      <c r="S42" s="12">
        <f t="shared" si="3"/>
        <v>34</v>
      </c>
      <c r="T42" s="12"/>
      <c r="U42" s="21">
        <v>1</v>
      </c>
      <c r="V42" s="22">
        <v>0.18101185627658611</v>
      </c>
      <c r="W42" s="12">
        <f t="shared" si="4"/>
        <v>37</v>
      </c>
      <c r="X42" s="12"/>
      <c r="Y42" s="19">
        <v>173</v>
      </c>
      <c r="Z42" s="37">
        <v>31.315051135849394</v>
      </c>
      <c r="AA42" s="13">
        <f t="shared" si="5"/>
        <v>39</v>
      </c>
      <c r="AB42" s="12"/>
    </row>
    <row r="43" spans="1:28" x14ac:dyDescent="0.35">
      <c r="A43" s="12"/>
      <c r="B43" s="12" t="s">
        <v>48</v>
      </c>
      <c r="C43" s="21">
        <v>1244300</v>
      </c>
      <c r="D43" s="12"/>
      <c r="E43" s="21">
        <v>460</v>
      </c>
      <c r="F43" s="23">
        <v>36.969408618051361</v>
      </c>
      <c r="G43" s="12">
        <f t="shared" si="0"/>
        <v>32</v>
      </c>
      <c r="H43" s="12"/>
      <c r="I43" s="12">
        <v>30</v>
      </c>
      <c r="J43" s="23">
        <v>2.4110483881337843</v>
      </c>
      <c r="K43" s="12">
        <f t="shared" si="1"/>
        <v>22</v>
      </c>
      <c r="L43" s="12"/>
      <c r="M43" s="21">
        <v>68</v>
      </c>
      <c r="N43" s="23">
        <v>5.4650430131032444</v>
      </c>
      <c r="O43" s="12">
        <f t="shared" si="2"/>
        <v>25</v>
      </c>
      <c r="P43" s="12"/>
      <c r="Q43" s="21">
        <v>34</v>
      </c>
      <c r="R43" s="23">
        <v>2.7325215065516222</v>
      </c>
      <c r="S43" s="12">
        <f t="shared" si="3"/>
        <v>27</v>
      </c>
      <c r="T43" s="12"/>
      <c r="U43" s="21">
        <v>18</v>
      </c>
      <c r="V43" s="22">
        <v>1.4466290328802704</v>
      </c>
      <c r="W43" s="12">
        <f t="shared" si="4"/>
        <v>8</v>
      </c>
      <c r="X43" s="12"/>
      <c r="Y43" s="19">
        <v>588</v>
      </c>
      <c r="Z43" s="37">
        <v>47.256548407422173</v>
      </c>
      <c r="AA43" s="13">
        <f t="shared" si="5"/>
        <v>32</v>
      </c>
      <c r="AB43" s="12"/>
    </row>
    <row r="44" spans="1:28" x14ac:dyDescent="0.35">
      <c r="A44" s="12"/>
      <c r="B44" s="12" t="s">
        <v>7</v>
      </c>
      <c r="C44" s="21">
        <v>2805900</v>
      </c>
      <c r="D44" s="12"/>
      <c r="E44" s="21">
        <v>3023</v>
      </c>
      <c r="F44" s="23">
        <v>107.73761347108636</v>
      </c>
      <c r="G44" s="12">
        <f t="shared" si="0"/>
        <v>4</v>
      </c>
      <c r="H44" s="12"/>
      <c r="I44" s="12">
        <v>163</v>
      </c>
      <c r="J44" s="23">
        <v>5.8092064160724703</v>
      </c>
      <c r="K44" s="12">
        <f t="shared" si="1"/>
        <v>8</v>
      </c>
      <c r="L44" s="12"/>
      <c r="M44" s="21">
        <v>312</v>
      </c>
      <c r="N44" s="23">
        <v>11.119462587819697</v>
      </c>
      <c r="O44" s="12">
        <f t="shared" si="2"/>
        <v>9</v>
      </c>
      <c r="P44" s="12"/>
      <c r="Q44" s="21">
        <v>40</v>
      </c>
      <c r="R44" s="23">
        <v>1.425572126643551</v>
      </c>
      <c r="S44" s="12">
        <f t="shared" si="3"/>
        <v>42</v>
      </c>
      <c r="T44" s="12"/>
      <c r="U44" s="21">
        <v>24</v>
      </c>
      <c r="V44" s="22">
        <v>0.85534327598613069</v>
      </c>
      <c r="W44" s="12">
        <f t="shared" si="4"/>
        <v>23</v>
      </c>
      <c r="X44" s="12"/>
      <c r="Y44" s="19">
        <v>3414</v>
      </c>
      <c r="Z44" s="37">
        <v>121.67258100902708</v>
      </c>
      <c r="AA44" s="13">
        <f t="shared" si="5"/>
        <v>4</v>
      </c>
      <c r="AB44" s="12"/>
    </row>
    <row r="45" spans="1:28" x14ac:dyDescent="0.35">
      <c r="A45" s="12"/>
      <c r="B45" s="12" t="s">
        <v>49</v>
      </c>
      <c r="C45" s="21">
        <v>2261800</v>
      </c>
      <c r="D45" s="12"/>
      <c r="E45" s="21">
        <v>1882</v>
      </c>
      <c r="F45" s="23">
        <v>83.209646305947103</v>
      </c>
      <c r="G45" s="12">
        <f t="shared" si="0"/>
        <v>7</v>
      </c>
      <c r="H45" s="12"/>
      <c r="I45" s="12">
        <v>58</v>
      </c>
      <c r="J45" s="23">
        <v>2.5643780476859361</v>
      </c>
      <c r="K45" s="12">
        <f t="shared" si="1"/>
        <v>19</v>
      </c>
      <c r="L45" s="12"/>
      <c r="M45" s="21">
        <v>161</v>
      </c>
      <c r="N45" s="23">
        <v>7.1183597530592362</v>
      </c>
      <c r="O45" s="12">
        <f t="shared" si="2"/>
        <v>19</v>
      </c>
      <c r="P45" s="12"/>
      <c r="Q45" s="21">
        <v>91</v>
      </c>
      <c r="R45" s="23">
        <v>4.0234207299900033</v>
      </c>
      <c r="S45" s="12">
        <f t="shared" si="3"/>
        <v>21</v>
      </c>
      <c r="T45" s="12"/>
      <c r="U45" s="21">
        <v>18</v>
      </c>
      <c r="V45" s="22">
        <v>0.79584146307494574</v>
      </c>
      <c r="W45" s="12">
        <f t="shared" si="4"/>
        <v>26</v>
      </c>
      <c r="X45" s="12"/>
      <c r="Y45" s="19">
        <v>2160</v>
      </c>
      <c r="Z45" s="37">
        <v>95.500975568993482</v>
      </c>
      <c r="AA45" s="13">
        <f t="shared" si="5"/>
        <v>7</v>
      </c>
      <c r="AB45" s="12"/>
    </row>
    <row r="46" spans="1:28" x14ac:dyDescent="0.35">
      <c r="A46" s="12"/>
      <c r="B46" s="12" t="s">
        <v>50</v>
      </c>
      <c r="C46" s="21">
        <v>700600</v>
      </c>
      <c r="D46" s="12"/>
      <c r="E46" s="21">
        <v>258</v>
      </c>
      <c r="F46" s="23">
        <v>36.8281538389068</v>
      </c>
      <c r="G46" s="12">
        <f t="shared" si="0"/>
        <v>33</v>
      </c>
      <c r="H46" s="12"/>
      <c r="I46" s="12">
        <v>6</v>
      </c>
      <c r="J46" s="23">
        <v>0.85646869392806524</v>
      </c>
      <c r="K46" s="12">
        <f t="shared" si="1"/>
        <v>39</v>
      </c>
      <c r="L46" s="12"/>
      <c r="M46" s="21">
        <v>23</v>
      </c>
      <c r="N46" s="23">
        <v>3.2831299933909168</v>
      </c>
      <c r="O46" s="12">
        <f t="shared" si="2"/>
        <v>40</v>
      </c>
      <c r="P46" s="12"/>
      <c r="Q46" s="21">
        <v>10</v>
      </c>
      <c r="R46" s="23">
        <v>1.427447823213442</v>
      </c>
      <c r="S46" s="12">
        <f t="shared" si="3"/>
        <v>41</v>
      </c>
      <c r="T46" s="12"/>
      <c r="U46" s="21">
        <v>3</v>
      </c>
      <c r="V46" s="22">
        <v>0.42823434696403262</v>
      </c>
      <c r="W46" s="12">
        <f t="shared" si="4"/>
        <v>32</v>
      </c>
      <c r="X46" s="12"/>
      <c r="Y46" s="19">
        <v>295</v>
      </c>
      <c r="Z46" s="37">
        <v>42.109710784796533</v>
      </c>
      <c r="AA46" s="13">
        <f t="shared" si="5"/>
        <v>36</v>
      </c>
      <c r="AB46" s="12"/>
    </row>
    <row r="47" spans="1:28" ht="3.75" customHeight="1" x14ac:dyDescent="0.3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row>
    <row r="48" spans="1:28" x14ac:dyDescent="0.35">
      <c r="B48" s="31" t="s">
        <v>69</v>
      </c>
      <c r="C48" s="29"/>
      <c r="D48" s="29"/>
      <c r="E48" s="29"/>
      <c r="F48" s="29"/>
      <c r="G48" s="29"/>
      <c r="H48" s="29"/>
      <c r="I48" s="29"/>
      <c r="J48" s="29"/>
      <c r="K48" s="29"/>
      <c r="L48" s="29"/>
      <c r="M48" s="29"/>
      <c r="N48" s="29"/>
      <c r="O48" s="29"/>
    </row>
    <row r="49" spans="2:15" x14ac:dyDescent="0.35">
      <c r="B49" s="29" t="s">
        <v>147</v>
      </c>
      <c r="C49" s="29"/>
      <c r="D49" s="29"/>
      <c r="E49" s="29"/>
      <c r="F49" s="29"/>
      <c r="G49" s="29"/>
      <c r="H49" s="29"/>
      <c r="I49" s="29"/>
      <c r="J49" s="29"/>
      <c r="K49" s="29"/>
      <c r="L49" s="29"/>
      <c r="M49" s="29"/>
      <c r="N49" s="29"/>
      <c r="O49" s="29"/>
    </row>
    <row r="50" spans="2:15" x14ac:dyDescent="0.35">
      <c r="B50" s="29" t="s">
        <v>148</v>
      </c>
      <c r="C50" s="29"/>
      <c r="D50" s="29"/>
      <c r="E50" s="29"/>
      <c r="F50" s="29"/>
      <c r="G50" s="29"/>
      <c r="H50" s="29"/>
      <c r="I50" s="29"/>
      <c r="J50" s="29"/>
      <c r="K50" s="29"/>
      <c r="L50" s="29"/>
      <c r="M50" s="29"/>
      <c r="N50" s="29"/>
      <c r="O50" s="29"/>
    </row>
    <row r="51" spans="2:15" x14ac:dyDescent="0.35">
      <c r="B51" s="29" t="s">
        <v>149</v>
      </c>
      <c r="C51" s="29"/>
      <c r="D51" s="29"/>
      <c r="E51" s="29"/>
      <c r="F51" s="29"/>
      <c r="G51" s="29"/>
      <c r="H51" s="29"/>
      <c r="I51" s="29"/>
      <c r="J51" s="29"/>
      <c r="K51" s="29"/>
      <c r="L51" s="29"/>
      <c r="M51" s="29"/>
      <c r="N51" s="29"/>
      <c r="O51" s="29"/>
    </row>
    <row r="52" spans="2:15" x14ac:dyDescent="0.35">
      <c r="B52" s="29" t="s">
        <v>150</v>
      </c>
      <c r="C52" s="29"/>
      <c r="D52" s="29"/>
      <c r="E52" s="29"/>
      <c r="F52" s="29"/>
      <c r="G52" s="29"/>
      <c r="H52" s="29"/>
      <c r="I52" s="29"/>
      <c r="J52" s="29"/>
      <c r="K52" s="29"/>
      <c r="L52" s="29"/>
      <c r="M52" s="29"/>
      <c r="N52" s="29"/>
      <c r="O52" s="29"/>
    </row>
    <row r="54" spans="2:15" x14ac:dyDescent="0.35">
      <c r="B54" s="4" t="s">
        <v>70</v>
      </c>
    </row>
    <row r="55" spans="2:15" x14ac:dyDescent="0.35">
      <c r="B55" s="30" t="s">
        <v>74</v>
      </c>
    </row>
    <row r="56" spans="2:15" x14ac:dyDescent="0.35">
      <c r="B56" s="29" t="s">
        <v>78</v>
      </c>
    </row>
    <row r="57" spans="2:15" x14ac:dyDescent="0.35">
      <c r="B57" s="30" t="s">
        <v>75</v>
      </c>
    </row>
  </sheetData>
  <mergeCells count="6">
    <mergeCell ref="Y2:AA2"/>
    <mergeCell ref="E2:G2"/>
    <mergeCell ref="I2:K2"/>
    <mergeCell ref="M2:O2"/>
    <mergeCell ref="Q2:S2"/>
    <mergeCell ref="U2:W2"/>
  </mergeCells>
  <hyperlinks>
    <hyperlink ref="B55" r:id="rId1" xr:uid="{00000000-0004-0000-0500-000000000000}"/>
    <hyperlink ref="B57" r:id="rId2" xr:uid="{00000000-0004-0000-0500-000001000000}"/>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autoPageBreaks="0"/>
  </sheetPr>
  <dimension ref="A1:AB57"/>
  <sheetViews>
    <sheetView showGridLines="0" workbookViewId="0">
      <pane xSplit="1" ySplit="4" topLeftCell="B19" activePane="bottomRight" state="frozen"/>
      <selection pane="topRight" activeCell="B1" sqref="B1"/>
      <selection pane="bottomLeft" activeCell="A5" sqref="A5"/>
      <selection pane="bottomRight" activeCell="C4" sqref="C4:C46"/>
    </sheetView>
  </sheetViews>
  <sheetFormatPr defaultRowHeight="15" x14ac:dyDescent="0.35"/>
  <cols>
    <col min="1" max="1" width="1.09765625" customWidth="1"/>
    <col min="2" max="2" width="24.3984375" customWidth="1"/>
    <col min="3" max="3" width="13.59765625" customWidth="1"/>
    <col min="4" max="4" width="1.09765625" customWidth="1"/>
    <col min="6" max="6" width="11.8984375" customWidth="1"/>
    <col min="8" max="8" width="1.09765625" customWidth="1"/>
    <col min="10" max="10" width="10.3984375" customWidth="1"/>
    <col min="11" max="11" width="9.09765625" customWidth="1"/>
    <col min="12" max="12" width="1.09765625" customWidth="1"/>
    <col min="14" max="14" width="10.09765625" customWidth="1"/>
    <col min="16" max="16" width="1.09765625" customWidth="1"/>
    <col min="18" max="18" width="10.3984375" customWidth="1"/>
    <col min="20" max="20" width="1.09765625" customWidth="1"/>
    <col min="22" max="22" width="10.3984375" customWidth="1"/>
    <col min="24" max="24" width="1.09765625" customWidth="1"/>
    <col min="26" max="26" width="11" customWidth="1"/>
    <col min="28" max="28" width="1.3984375" customWidth="1"/>
  </cols>
  <sheetData>
    <row r="1" spans="1:28" ht="22.2" x14ac:dyDescent="0.5">
      <c r="A1" s="16"/>
      <c r="B1" s="34" t="s">
        <v>157</v>
      </c>
      <c r="C1" s="35"/>
      <c r="D1" s="35"/>
      <c r="E1" s="35"/>
      <c r="F1" s="35"/>
      <c r="G1" s="35"/>
      <c r="H1" s="35"/>
      <c r="I1" s="35"/>
      <c r="J1" s="35"/>
      <c r="K1" s="35"/>
      <c r="L1" s="35"/>
      <c r="M1" s="35"/>
      <c r="N1" s="35"/>
      <c r="O1" s="16"/>
      <c r="P1" s="16"/>
      <c r="Q1" s="16"/>
      <c r="R1" s="16"/>
      <c r="S1" s="16"/>
      <c r="T1" s="16"/>
      <c r="U1" s="16"/>
      <c r="V1" s="16"/>
      <c r="W1" s="16"/>
      <c r="X1" s="16"/>
      <c r="Y1" s="16"/>
      <c r="Z1" s="16"/>
      <c r="AA1" s="16"/>
      <c r="AB1" s="16"/>
    </row>
    <row r="2" spans="1:28" ht="16.8" thickBot="1" x14ac:dyDescent="0.4">
      <c r="A2" s="14"/>
      <c r="B2" s="14"/>
      <c r="C2" s="14"/>
      <c r="D2" s="14"/>
      <c r="E2" s="157" t="s">
        <v>55</v>
      </c>
      <c r="F2" s="157"/>
      <c r="G2" s="157"/>
      <c r="H2" s="14"/>
      <c r="I2" s="157" t="s">
        <v>57</v>
      </c>
      <c r="J2" s="157"/>
      <c r="K2" s="157"/>
      <c r="L2" s="14"/>
      <c r="M2" s="157" t="s">
        <v>58</v>
      </c>
      <c r="N2" s="157"/>
      <c r="O2" s="157"/>
      <c r="P2" s="14"/>
      <c r="Q2" s="157" t="s">
        <v>59</v>
      </c>
      <c r="R2" s="157"/>
      <c r="S2" s="157"/>
      <c r="T2" s="14"/>
      <c r="U2" s="157" t="s">
        <v>145</v>
      </c>
      <c r="V2" s="157"/>
      <c r="W2" s="157"/>
      <c r="X2" s="14"/>
      <c r="Y2" s="158" t="s">
        <v>62</v>
      </c>
      <c r="Z2" s="158"/>
      <c r="AA2" s="158"/>
      <c r="AB2" s="14"/>
    </row>
    <row r="3" spans="1:28" ht="46.2" x14ac:dyDescent="0.35">
      <c r="A3" s="14"/>
      <c r="B3" s="14"/>
      <c r="C3" s="15" t="s">
        <v>158</v>
      </c>
      <c r="D3" s="14"/>
      <c r="E3" s="15" t="s">
        <v>56</v>
      </c>
      <c r="F3" s="15" t="s">
        <v>71</v>
      </c>
      <c r="G3" s="15" t="s">
        <v>65</v>
      </c>
      <c r="H3" s="15"/>
      <c r="I3" s="15" t="s">
        <v>56</v>
      </c>
      <c r="J3" s="15" t="s">
        <v>71</v>
      </c>
      <c r="K3" s="15" t="s">
        <v>66</v>
      </c>
      <c r="L3" s="14"/>
      <c r="M3" s="15" t="s">
        <v>56</v>
      </c>
      <c r="N3" s="15" t="s">
        <v>71</v>
      </c>
      <c r="O3" s="15" t="s">
        <v>65</v>
      </c>
      <c r="P3" s="14"/>
      <c r="Q3" s="15" t="s">
        <v>56</v>
      </c>
      <c r="R3" s="15" t="s">
        <v>71</v>
      </c>
      <c r="S3" s="15" t="s">
        <v>65</v>
      </c>
      <c r="T3" s="14"/>
      <c r="U3" s="15" t="s">
        <v>56</v>
      </c>
      <c r="V3" s="15" t="s">
        <v>71</v>
      </c>
      <c r="W3" s="15" t="s">
        <v>67</v>
      </c>
      <c r="X3" s="14"/>
      <c r="Y3" s="24" t="s">
        <v>56</v>
      </c>
      <c r="Z3" s="24" t="s">
        <v>71</v>
      </c>
      <c r="AA3" s="24" t="s">
        <v>65</v>
      </c>
      <c r="AB3" s="14"/>
    </row>
    <row r="4" spans="1:28" ht="16.2" x14ac:dyDescent="0.35">
      <c r="A4" s="12"/>
      <c r="B4" s="13" t="s">
        <v>146</v>
      </c>
      <c r="C4" s="19">
        <v>57885400</v>
      </c>
      <c r="D4" s="13"/>
      <c r="E4" s="19">
        <v>49419</v>
      </c>
      <c r="F4" s="37">
        <v>85.373840210831702</v>
      </c>
      <c r="G4" s="13"/>
      <c r="H4" s="13"/>
      <c r="I4" s="19">
        <v>4400</v>
      </c>
      <c r="J4" s="37">
        <v>7.6012241633310964</v>
      </c>
      <c r="K4" s="13"/>
      <c r="L4" s="13"/>
      <c r="M4" s="19">
        <v>7194</v>
      </c>
      <c r="N4" s="37">
        <v>12.428001507046343</v>
      </c>
      <c r="O4" s="13"/>
      <c r="P4" s="13"/>
      <c r="Q4" s="19">
        <v>3629</v>
      </c>
      <c r="R4" s="37">
        <v>6.2692823838019436</v>
      </c>
      <c r="S4" s="13"/>
      <c r="T4" s="13"/>
      <c r="U4" s="19">
        <v>858</v>
      </c>
      <c r="V4" s="19">
        <v>1.4822387118495639</v>
      </c>
      <c r="W4" s="13"/>
      <c r="X4" s="12"/>
      <c r="Y4" s="19">
        <v>62518</v>
      </c>
      <c r="Z4" s="37">
        <f>Y4/C4*100000</f>
        <v>108.00305431075884</v>
      </c>
      <c r="AA4" s="13"/>
      <c r="AB4" s="12"/>
    </row>
    <row r="5" spans="1:28" x14ac:dyDescent="0.35">
      <c r="A5" s="12"/>
      <c r="B5" s="12" t="s">
        <v>8</v>
      </c>
      <c r="C5" s="21">
        <v>1665300</v>
      </c>
      <c r="D5" s="12"/>
      <c r="E5" s="21">
        <v>1428</v>
      </c>
      <c r="F5" s="23">
        <v>85.751036158353585</v>
      </c>
      <c r="G5" s="12">
        <f>RANK(F5,$F$5:$F$46,0)</f>
        <v>7</v>
      </c>
      <c r="H5" s="12"/>
      <c r="I5" s="21">
        <v>140</v>
      </c>
      <c r="J5" s="23">
        <v>8.40696432925035</v>
      </c>
      <c r="K5" s="12">
        <f>RANK(J5,$J$5:$J$46,0)</f>
        <v>3</v>
      </c>
      <c r="L5" s="12"/>
      <c r="M5" s="21">
        <v>273</v>
      </c>
      <c r="N5" s="23">
        <v>16.393580442038186</v>
      </c>
      <c r="O5" s="12">
        <f>RANK(N5,$N$5:$N$46,0)</f>
        <v>6</v>
      </c>
      <c r="P5" s="12"/>
      <c r="Q5" s="21">
        <v>201</v>
      </c>
      <c r="R5" s="23">
        <v>12.069998786995146</v>
      </c>
      <c r="S5" s="12">
        <f>RANK(R5,$R$5:$R$46,0)</f>
        <v>3</v>
      </c>
      <c r="T5" s="12"/>
      <c r="U5" s="12">
        <v>44</v>
      </c>
      <c r="V5" s="21">
        <v>2.6421887891929674</v>
      </c>
      <c r="W5" s="12">
        <f>RANK(V5,$V$5:$V$46,0)</f>
        <v>5</v>
      </c>
      <c r="X5" s="12"/>
      <c r="Y5" s="19">
        <v>1966</v>
      </c>
      <c r="Z5" s="37">
        <v>118.0577990807585</v>
      </c>
      <c r="AA5" s="13">
        <f>RANK(Z5,$Z$5:$Z$46,0)</f>
        <v>7</v>
      </c>
      <c r="AB5" s="12"/>
    </row>
    <row r="6" spans="1:28" x14ac:dyDescent="0.35">
      <c r="A6" s="12"/>
      <c r="B6" s="12" t="s">
        <v>9</v>
      </c>
      <c r="C6" s="21">
        <v>652400</v>
      </c>
      <c r="D6" s="12"/>
      <c r="E6" s="21">
        <v>513</v>
      </c>
      <c r="F6" s="23">
        <v>78.635392364549389</v>
      </c>
      <c r="G6" s="12">
        <f t="shared" ref="G6:G46" si="0">RANK(F6,$F$5:$F$46,0)</f>
        <v>9</v>
      </c>
      <c r="H6" s="12"/>
      <c r="I6" s="21">
        <v>27</v>
      </c>
      <c r="J6" s="23">
        <v>4.1387048612920729</v>
      </c>
      <c r="K6" s="12">
        <f t="shared" ref="K6:K46" si="1">RANK(J6,$J$5:$J$46,0)</f>
        <v>17</v>
      </c>
      <c r="L6" s="12"/>
      <c r="M6" s="21">
        <v>36</v>
      </c>
      <c r="N6" s="23">
        <v>5.5182731483894303</v>
      </c>
      <c r="O6" s="12">
        <f t="shared" ref="O6:O46" si="2">RANK(N6,$N$5:$N$46,0)</f>
        <v>34</v>
      </c>
      <c r="P6" s="12"/>
      <c r="Q6" s="21">
        <v>24</v>
      </c>
      <c r="R6" s="23">
        <v>3.6788487655929543</v>
      </c>
      <c r="S6" s="12">
        <f t="shared" ref="S6:S46" si="3">RANK(R6,$R$5:$R$46,0)</f>
        <v>31</v>
      </c>
      <c r="T6" s="12"/>
      <c r="U6" s="12">
        <v>9</v>
      </c>
      <c r="V6" s="21">
        <v>1.3795682870973576</v>
      </c>
      <c r="W6" s="12">
        <f t="shared" ref="W6:W46" si="4">RANK(V6,$V$5:$V$46,0)</f>
        <v>18</v>
      </c>
      <c r="X6" s="12"/>
      <c r="Y6" s="19">
        <v>580</v>
      </c>
      <c r="Z6" s="37">
        <v>88.905511835163054</v>
      </c>
      <c r="AA6" s="13">
        <f t="shared" ref="AA6:AA46" si="5">RANK(Z6,$Z$5:$Z$46,0)</f>
        <v>13</v>
      </c>
      <c r="AB6" s="12"/>
    </row>
    <row r="7" spans="1:28" x14ac:dyDescent="0.35">
      <c r="A7" s="12"/>
      <c r="B7" s="12" t="s">
        <v>11</v>
      </c>
      <c r="C7" s="21">
        <v>835200</v>
      </c>
      <c r="D7" s="12"/>
      <c r="E7" s="21">
        <v>459</v>
      </c>
      <c r="F7" s="23">
        <v>54.958146796921866</v>
      </c>
      <c r="G7" s="12">
        <f t="shared" si="0"/>
        <v>21</v>
      </c>
      <c r="H7" s="12"/>
      <c r="I7" s="21">
        <v>34</v>
      </c>
      <c r="J7" s="23">
        <v>4.0709738368090269</v>
      </c>
      <c r="K7" s="12">
        <f t="shared" si="1"/>
        <v>18</v>
      </c>
      <c r="L7" s="12"/>
      <c r="M7" s="21">
        <v>43</v>
      </c>
      <c r="N7" s="23">
        <v>5.1485845583172987</v>
      </c>
      <c r="O7" s="12">
        <f t="shared" si="2"/>
        <v>36</v>
      </c>
      <c r="P7" s="12"/>
      <c r="Q7" s="21">
        <v>20</v>
      </c>
      <c r="R7" s="23">
        <v>2.394690492240604</v>
      </c>
      <c r="S7" s="12">
        <f t="shared" si="3"/>
        <v>38</v>
      </c>
      <c r="T7" s="12"/>
      <c r="U7" s="12">
        <v>8</v>
      </c>
      <c r="V7" s="21">
        <v>0.95787619689624171</v>
      </c>
      <c r="W7" s="12">
        <f t="shared" si="4"/>
        <v>28</v>
      </c>
      <c r="X7" s="12"/>
      <c r="Y7" s="19">
        <v>546</v>
      </c>
      <c r="Z7" s="37">
        <v>65.375050438168486</v>
      </c>
      <c r="AA7" s="13">
        <f t="shared" si="5"/>
        <v>26</v>
      </c>
      <c r="AB7" s="12"/>
    </row>
    <row r="8" spans="1:28" x14ac:dyDescent="0.35">
      <c r="A8" s="12"/>
      <c r="B8" s="12" t="s">
        <v>12</v>
      </c>
      <c r="C8" s="21">
        <v>1044200</v>
      </c>
      <c r="D8" s="12"/>
      <c r="E8" s="21">
        <v>564</v>
      </c>
      <c r="F8" s="23">
        <v>54.014141361903363</v>
      </c>
      <c r="G8" s="12">
        <f t="shared" si="0"/>
        <v>23</v>
      </c>
      <c r="H8" s="12"/>
      <c r="I8" s="21">
        <v>26</v>
      </c>
      <c r="J8" s="23">
        <v>2.4900136088820704</v>
      </c>
      <c r="K8" s="12">
        <f t="shared" si="1"/>
        <v>32</v>
      </c>
      <c r="L8" s="12"/>
      <c r="M8" s="21">
        <v>116</v>
      </c>
      <c r="N8" s="23">
        <v>11.109291485781544</v>
      </c>
      <c r="O8" s="12">
        <f t="shared" si="2"/>
        <v>14</v>
      </c>
      <c r="P8" s="12"/>
      <c r="Q8" s="21">
        <v>78</v>
      </c>
      <c r="R8" s="23">
        <v>7.4700408266462102</v>
      </c>
      <c r="S8" s="12">
        <f t="shared" si="3"/>
        <v>13</v>
      </c>
      <c r="T8" s="12"/>
      <c r="U8" s="12">
        <v>13</v>
      </c>
      <c r="V8" s="21">
        <v>1.2450068044410352</v>
      </c>
      <c r="W8" s="12">
        <f t="shared" si="4"/>
        <v>22</v>
      </c>
      <c r="X8" s="12"/>
      <c r="Y8" s="19">
        <v>784</v>
      </c>
      <c r="Z8" s="37">
        <v>75.083487283213188</v>
      </c>
      <c r="AA8" s="13">
        <f t="shared" si="5"/>
        <v>18</v>
      </c>
      <c r="AB8" s="12"/>
    </row>
    <row r="9" spans="1:28" x14ac:dyDescent="0.35">
      <c r="A9" s="12"/>
      <c r="B9" s="12" t="s">
        <v>13</v>
      </c>
      <c r="C9" s="21">
        <v>562300</v>
      </c>
      <c r="D9" s="12"/>
      <c r="E9" s="21">
        <v>471</v>
      </c>
      <c r="F9" s="23">
        <v>83.769074805250241</v>
      </c>
      <c r="G9" s="12">
        <f t="shared" si="0"/>
        <v>8</v>
      </c>
      <c r="H9" s="12"/>
      <c r="I9" s="21">
        <v>14</v>
      </c>
      <c r="J9" s="23">
        <v>2.4899512680966103</v>
      </c>
      <c r="K9" s="12">
        <f t="shared" si="1"/>
        <v>33</v>
      </c>
      <c r="L9" s="12"/>
      <c r="M9" s="21">
        <v>51</v>
      </c>
      <c r="N9" s="23">
        <v>9.0705367623519368</v>
      </c>
      <c r="O9" s="12">
        <f t="shared" si="2"/>
        <v>16</v>
      </c>
      <c r="P9" s="12"/>
      <c r="Q9" s="21">
        <v>37</v>
      </c>
      <c r="R9" s="23">
        <v>6.5805854942553275</v>
      </c>
      <c r="S9" s="12">
        <f t="shared" si="3"/>
        <v>16</v>
      </c>
      <c r="T9" s="12"/>
      <c r="U9" s="12">
        <v>3</v>
      </c>
      <c r="V9" s="21">
        <v>0.53356098602070212</v>
      </c>
      <c r="W9" s="12">
        <f t="shared" si="4"/>
        <v>36</v>
      </c>
      <c r="X9" s="12"/>
      <c r="Y9" s="19">
        <v>566</v>
      </c>
      <c r="Z9" s="37">
        <v>100.66517269590582</v>
      </c>
      <c r="AA9" s="13">
        <f t="shared" si="5"/>
        <v>9</v>
      </c>
      <c r="AB9" s="12"/>
    </row>
    <row r="10" spans="1:28" x14ac:dyDescent="0.35">
      <c r="A10" s="12"/>
      <c r="B10" s="12" t="s">
        <v>14</v>
      </c>
      <c r="C10" s="21">
        <v>498600</v>
      </c>
      <c r="D10" s="12"/>
      <c r="E10" s="21">
        <v>216</v>
      </c>
      <c r="F10" s="23">
        <v>43.322950533614396</v>
      </c>
      <c r="G10" s="12">
        <f t="shared" si="0"/>
        <v>32</v>
      </c>
      <c r="H10" s="12"/>
      <c r="I10" s="21">
        <v>19</v>
      </c>
      <c r="J10" s="23">
        <v>3.8108150932345994</v>
      </c>
      <c r="K10" s="12">
        <f t="shared" si="1"/>
        <v>19</v>
      </c>
      <c r="L10" s="12"/>
      <c r="M10" s="21">
        <v>72</v>
      </c>
      <c r="N10" s="23">
        <v>14.4409835112048</v>
      </c>
      <c r="O10" s="12">
        <f t="shared" si="2"/>
        <v>8</v>
      </c>
      <c r="P10" s="12"/>
      <c r="Q10" s="21">
        <v>56</v>
      </c>
      <c r="R10" s="23">
        <v>11.231876064270399</v>
      </c>
      <c r="S10" s="12">
        <f t="shared" si="3"/>
        <v>4</v>
      </c>
      <c r="T10" s="12"/>
      <c r="U10" s="12">
        <v>24</v>
      </c>
      <c r="V10" s="21">
        <v>4.8136611704016001</v>
      </c>
      <c r="W10" s="12">
        <f t="shared" si="4"/>
        <v>1</v>
      </c>
      <c r="X10" s="12"/>
      <c r="Y10" s="19">
        <v>363</v>
      </c>
      <c r="Z10" s="37">
        <v>72.806625202324199</v>
      </c>
      <c r="AA10" s="13">
        <f t="shared" si="5"/>
        <v>20</v>
      </c>
      <c r="AB10" s="12"/>
    </row>
    <row r="11" spans="1:28" x14ac:dyDescent="0.35">
      <c r="A11" s="12"/>
      <c r="B11" s="12" t="s">
        <v>15</v>
      </c>
      <c r="C11" s="21">
        <v>1037000</v>
      </c>
      <c r="D11" s="12"/>
      <c r="E11" s="21">
        <v>461</v>
      </c>
      <c r="F11" s="23">
        <v>44.457002556518738</v>
      </c>
      <c r="G11" s="12">
        <f t="shared" si="0"/>
        <v>30</v>
      </c>
      <c r="H11" s="12"/>
      <c r="I11" s="21">
        <v>13</v>
      </c>
      <c r="J11" s="23">
        <v>1.2536681848909839</v>
      </c>
      <c r="K11" s="12">
        <f t="shared" si="1"/>
        <v>41</v>
      </c>
      <c r="L11" s="12"/>
      <c r="M11" s="21">
        <v>47</v>
      </c>
      <c r="N11" s="23">
        <v>4.5324926684520186</v>
      </c>
      <c r="O11" s="12">
        <f t="shared" si="2"/>
        <v>39</v>
      </c>
      <c r="P11" s="12"/>
      <c r="Q11" s="21">
        <v>21</v>
      </c>
      <c r="R11" s="23">
        <v>2.0251562986700509</v>
      </c>
      <c r="S11" s="12">
        <f t="shared" si="3"/>
        <v>41</v>
      </c>
      <c r="T11" s="12"/>
      <c r="U11" s="12">
        <v>5</v>
      </c>
      <c r="V11" s="21">
        <v>0.48218007111191691</v>
      </c>
      <c r="W11" s="12">
        <f t="shared" si="4"/>
        <v>37</v>
      </c>
      <c r="X11" s="12"/>
      <c r="Y11" s="19">
        <v>537</v>
      </c>
      <c r="Z11" s="37">
        <v>51.786139637419879</v>
      </c>
      <c r="AA11" s="13">
        <f t="shared" si="5"/>
        <v>36</v>
      </c>
      <c r="AB11" s="12"/>
    </row>
    <row r="12" spans="1:28" x14ac:dyDescent="0.35">
      <c r="A12" s="12"/>
      <c r="B12" s="12" t="s">
        <v>54</v>
      </c>
      <c r="C12" s="21">
        <v>1720200</v>
      </c>
      <c r="D12" s="12"/>
      <c r="E12" s="21">
        <v>561</v>
      </c>
      <c r="F12" s="23">
        <v>32.612467961592863</v>
      </c>
      <c r="G12" s="12">
        <f t="shared" si="0"/>
        <v>38</v>
      </c>
      <c r="H12" s="12"/>
      <c r="I12" s="21">
        <v>30</v>
      </c>
      <c r="J12" s="23">
        <v>1.7439822439354471</v>
      </c>
      <c r="K12" s="12">
        <f t="shared" si="1"/>
        <v>39</v>
      </c>
      <c r="L12" s="12"/>
      <c r="M12" s="21">
        <v>133</v>
      </c>
      <c r="N12" s="23">
        <v>7.7316546147804823</v>
      </c>
      <c r="O12" s="12">
        <f t="shared" si="2"/>
        <v>26</v>
      </c>
      <c r="P12" s="12"/>
      <c r="Q12" s="21">
        <v>79</v>
      </c>
      <c r="R12" s="23">
        <v>4.5924865756966771</v>
      </c>
      <c r="S12" s="12">
        <f t="shared" si="3"/>
        <v>27</v>
      </c>
      <c r="T12" s="12"/>
      <c r="U12" s="12">
        <v>20</v>
      </c>
      <c r="V12" s="21">
        <v>1.1626548292902981</v>
      </c>
      <c r="W12" s="12">
        <f t="shared" si="4"/>
        <v>24</v>
      </c>
      <c r="X12" s="12"/>
      <c r="Y12" s="19">
        <v>808</v>
      </c>
      <c r="Z12" s="37">
        <v>46.971255103328041</v>
      </c>
      <c r="AA12" s="13">
        <f t="shared" si="5"/>
        <v>37</v>
      </c>
      <c r="AB12" s="12"/>
    </row>
    <row r="13" spans="1:28" x14ac:dyDescent="0.35">
      <c r="A13" s="12"/>
      <c r="B13" s="12" t="s">
        <v>17</v>
      </c>
      <c r="C13" s="21">
        <v>762500</v>
      </c>
      <c r="D13" s="12"/>
      <c r="E13" s="21">
        <v>308</v>
      </c>
      <c r="F13" s="23">
        <v>40.392118291203566</v>
      </c>
      <c r="G13" s="12">
        <f t="shared" si="0"/>
        <v>35</v>
      </c>
      <c r="H13" s="12"/>
      <c r="I13" s="21">
        <v>37</v>
      </c>
      <c r="J13" s="23">
        <v>4.8522999245926357</v>
      </c>
      <c r="K13" s="12">
        <f t="shared" si="1"/>
        <v>15</v>
      </c>
      <c r="L13" s="12"/>
      <c r="M13" s="21">
        <v>56</v>
      </c>
      <c r="N13" s="23">
        <v>7.3440215074915578</v>
      </c>
      <c r="O13" s="12">
        <f t="shared" si="2"/>
        <v>29</v>
      </c>
      <c r="P13" s="12"/>
      <c r="Q13" s="21">
        <v>40</v>
      </c>
      <c r="R13" s="23">
        <v>5.2457296482082549</v>
      </c>
      <c r="S13" s="12">
        <f t="shared" si="3"/>
        <v>23</v>
      </c>
      <c r="T13" s="12"/>
      <c r="U13" s="12">
        <v>7</v>
      </c>
      <c r="V13" s="21">
        <v>0.91800268843644472</v>
      </c>
      <c r="W13" s="12">
        <f t="shared" si="4"/>
        <v>29</v>
      </c>
      <c r="X13" s="12"/>
      <c r="Y13" s="19">
        <v>434</v>
      </c>
      <c r="Z13" s="37">
        <v>56.916166683059572</v>
      </c>
      <c r="AA13" s="13">
        <f t="shared" si="5"/>
        <v>32</v>
      </c>
      <c r="AB13" s="12"/>
    </row>
    <row r="14" spans="1:28" x14ac:dyDescent="0.35">
      <c r="A14" s="12"/>
      <c r="B14" s="12" t="s">
        <v>18</v>
      </c>
      <c r="C14" s="21">
        <v>625300</v>
      </c>
      <c r="D14" s="12"/>
      <c r="E14" s="21">
        <v>262</v>
      </c>
      <c r="F14" s="23">
        <v>41.896872926144773</v>
      </c>
      <c r="G14" s="12">
        <f t="shared" si="0"/>
        <v>33</v>
      </c>
      <c r="H14" s="12"/>
      <c r="I14" s="21">
        <v>49</v>
      </c>
      <c r="J14" s="23">
        <v>7.8356747075614255</v>
      </c>
      <c r="K14" s="12">
        <f t="shared" si="1"/>
        <v>6</v>
      </c>
      <c r="L14" s="12"/>
      <c r="M14" s="21">
        <v>92</v>
      </c>
      <c r="N14" s="23">
        <v>14.7118790427684</v>
      </c>
      <c r="O14" s="12">
        <f t="shared" si="2"/>
        <v>7</v>
      </c>
      <c r="P14" s="12"/>
      <c r="Q14" s="21">
        <v>55</v>
      </c>
      <c r="R14" s="23">
        <v>8.795145079915887</v>
      </c>
      <c r="S14" s="12">
        <f t="shared" si="3"/>
        <v>9</v>
      </c>
      <c r="T14" s="12"/>
      <c r="U14" s="12">
        <v>26</v>
      </c>
      <c r="V14" s="21">
        <v>4.1577049468693277</v>
      </c>
      <c r="W14" s="12">
        <f t="shared" si="4"/>
        <v>2</v>
      </c>
      <c r="X14" s="12"/>
      <c r="Y14" s="19">
        <v>330</v>
      </c>
      <c r="Z14" s="37">
        <v>52.770870479495322</v>
      </c>
      <c r="AA14" s="13">
        <f t="shared" si="5"/>
        <v>35</v>
      </c>
      <c r="AB14" s="12"/>
    </row>
    <row r="15" spans="1:28" x14ac:dyDescent="0.35">
      <c r="A15" s="12"/>
      <c r="B15" s="12" t="s">
        <v>19</v>
      </c>
      <c r="C15" s="21">
        <v>515900</v>
      </c>
      <c r="D15" s="12"/>
      <c r="E15" s="21">
        <v>88</v>
      </c>
      <c r="F15" s="23">
        <v>17.058925016331983</v>
      </c>
      <c r="G15" s="12">
        <f t="shared" si="0"/>
        <v>42</v>
      </c>
      <c r="H15" s="12"/>
      <c r="I15" s="21">
        <v>6</v>
      </c>
      <c r="J15" s="23">
        <v>1.163108523840817</v>
      </c>
      <c r="K15" s="12">
        <f t="shared" si="1"/>
        <v>42</v>
      </c>
      <c r="L15" s="12"/>
      <c r="M15" s="21">
        <v>16</v>
      </c>
      <c r="N15" s="23">
        <v>3.1016227302421786</v>
      </c>
      <c r="O15" s="12">
        <f t="shared" si="2"/>
        <v>42</v>
      </c>
      <c r="P15" s="12"/>
      <c r="Q15" s="21">
        <v>11</v>
      </c>
      <c r="R15" s="23">
        <v>2.1323656270414979</v>
      </c>
      <c r="S15" s="12">
        <f t="shared" si="3"/>
        <v>40</v>
      </c>
      <c r="T15" s="12"/>
      <c r="U15" s="12">
        <v>0</v>
      </c>
      <c r="V15" s="21">
        <v>0</v>
      </c>
      <c r="W15" s="12">
        <f t="shared" si="4"/>
        <v>41</v>
      </c>
      <c r="X15" s="12"/>
      <c r="Y15" s="19">
        <v>114</v>
      </c>
      <c r="Z15" s="37">
        <v>22.099061952975521</v>
      </c>
      <c r="AA15" s="13">
        <f t="shared" si="5"/>
        <v>42</v>
      </c>
      <c r="AB15" s="12"/>
    </row>
    <row r="16" spans="1:28" x14ac:dyDescent="0.35">
      <c r="A16" s="12"/>
      <c r="B16" s="12" t="s">
        <v>20</v>
      </c>
      <c r="C16" s="21">
        <v>1790600</v>
      </c>
      <c r="D16" s="12"/>
      <c r="E16" s="21">
        <v>872</v>
      </c>
      <c r="F16" s="23">
        <v>48.698841782936086</v>
      </c>
      <c r="G16" s="12">
        <f t="shared" si="0"/>
        <v>27</v>
      </c>
      <c r="H16" s="12"/>
      <c r="I16" s="21">
        <v>39</v>
      </c>
      <c r="J16" s="23">
        <v>2.1780445292826918</v>
      </c>
      <c r="K16" s="12">
        <f t="shared" si="1"/>
        <v>36</v>
      </c>
      <c r="L16" s="12"/>
      <c r="M16" s="21">
        <v>121</v>
      </c>
      <c r="N16" s="23">
        <v>6.7575227703386087</v>
      </c>
      <c r="O16" s="12">
        <f t="shared" si="2"/>
        <v>32</v>
      </c>
      <c r="P16" s="12"/>
      <c r="Q16" s="21">
        <v>119</v>
      </c>
      <c r="R16" s="23">
        <v>6.6458281790933418</v>
      </c>
      <c r="S16" s="12">
        <f t="shared" si="3"/>
        <v>15</v>
      </c>
      <c r="T16" s="12"/>
      <c r="U16" s="12">
        <v>13</v>
      </c>
      <c r="V16" s="21">
        <v>0.72601484309423059</v>
      </c>
      <c r="W16" s="12">
        <f t="shared" si="4"/>
        <v>32</v>
      </c>
      <c r="X16" s="12"/>
      <c r="Y16" s="19">
        <v>1163</v>
      </c>
      <c r="Z16" s="37">
        <v>64.950404809122318</v>
      </c>
      <c r="AA16" s="13">
        <f t="shared" si="5"/>
        <v>27</v>
      </c>
      <c r="AB16" s="12"/>
    </row>
    <row r="17" spans="1:28" x14ac:dyDescent="0.35">
      <c r="A17" s="12"/>
      <c r="B17" s="12" t="s">
        <v>21</v>
      </c>
      <c r="C17" s="21">
        <v>617500</v>
      </c>
      <c r="D17" s="12"/>
      <c r="E17" s="21">
        <v>226</v>
      </c>
      <c r="F17" s="23">
        <v>36.597590064887846</v>
      </c>
      <c r="G17" s="12">
        <f t="shared" si="0"/>
        <v>37</v>
      </c>
      <c r="H17" s="12"/>
      <c r="I17" s="21">
        <v>18</v>
      </c>
      <c r="J17" s="23">
        <v>2.9148523060530147</v>
      </c>
      <c r="K17" s="12">
        <f t="shared" si="1"/>
        <v>24</v>
      </c>
      <c r="L17" s="12"/>
      <c r="M17" s="21">
        <v>26</v>
      </c>
      <c r="N17" s="23">
        <v>4.210342219854355</v>
      </c>
      <c r="O17" s="12">
        <f t="shared" si="2"/>
        <v>40</v>
      </c>
      <c r="P17" s="12"/>
      <c r="Q17" s="21">
        <v>10</v>
      </c>
      <c r="R17" s="23">
        <v>1.6193623922516749</v>
      </c>
      <c r="S17" s="12">
        <f t="shared" si="3"/>
        <v>42</v>
      </c>
      <c r="T17" s="12"/>
      <c r="U17" s="12">
        <v>13</v>
      </c>
      <c r="V17" s="21">
        <v>2.1051711099271775</v>
      </c>
      <c r="W17" s="12">
        <f t="shared" si="4"/>
        <v>8</v>
      </c>
      <c r="X17" s="12"/>
      <c r="Y17" s="19">
        <v>281</v>
      </c>
      <c r="Z17" s="37">
        <v>45.504083222272065</v>
      </c>
      <c r="AA17" s="13">
        <f t="shared" si="5"/>
        <v>38</v>
      </c>
      <c r="AB17" s="12"/>
    </row>
    <row r="18" spans="1:28" x14ac:dyDescent="0.35">
      <c r="A18" s="12"/>
      <c r="B18" s="12" t="s">
        <v>22</v>
      </c>
      <c r="C18" s="21">
        <v>2754000</v>
      </c>
      <c r="D18" s="12"/>
      <c r="E18" s="21">
        <v>3979</v>
      </c>
      <c r="F18" s="23">
        <v>144.47986341406028</v>
      </c>
      <c r="G18" s="12">
        <f t="shared" si="0"/>
        <v>2</v>
      </c>
      <c r="H18" s="12"/>
      <c r="I18" s="21">
        <v>438</v>
      </c>
      <c r="J18" s="23">
        <v>15.904041260456998</v>
      </c>
      <c r="K18" s="12">
        <f t="shared" si="1"/>
        <v>2</v>
      </c>
      <c r="L18" s="12"/>
      <c r="M18" s="21">
        <v>494</v>
      </c>
      <c r="N18" s="23">
        <v>17.937434663620447</v>
      </c>
      <c r="O18" s="12">
        <f t="shared" si="2"/>
        <v>5</v>
      </c>
      <c r="P18" s="12"/>
      <c r="Q18" s="21">
        <v>236</v>
      </c>
      <c r="R18" s="23">
        <v>8.5693007704745465</v>
      </c>
      <c r="S18" s="12">
        <f t="shared" si="3"/>
        <v>10</v>
      </c>
      <c r="T18" s="12"/>
      <c r="U18" s="12">
        <v>38</v>
      </c>
      <c r="V18" s="21">
        <v>1.3798026664323422</v>
      </c>
      <c r="W18" s="12">
        <f t="shared" si="4"/>
        <v>17</v>
      </c>
      <c r="X18" s="12"/>
      <c r="Y18" s="19">
        <v>4842</v>
      </c>
      <c r="Z18" s="37">
        <v>175.81590818066846</v>
      </c>
      <c r="AA18" s="13">
        <f t="shared" si="5"/>
        <v>2</v>
      </c>
      <c r="AB18" s="12"/>
    </row>
    <row r="19" spans="1:28" x14ac:dyDescent="0.35">
      <c r="A19" s="12"/>
      <c r="B19" s="12" t="s">
        <v>23</v>
      </c>
      <c r="C19" s="21">
        <v>582200</v>
      </c>
      <c r="D19" s="12"/>
      <c r="E19" s="21">
        <v>139</v>
      </c>
      <c r="F19" s="23">
        <v>23.873111834365258</v>
      </c>
      <c r="G19" s="12">
        <f t="shared" si="0"/>
        <v>40</v>
      </c>
      <c r="H19" s="12"/>
      <c r="I19" s="21">
        <v>15</v>
      </c>
      <c r="J19" s="23">
        <v>2.5762350900394164</v>
      </c>
      <c r="K19" s="12">
        <f t="shared" si="1"/>
        <v>28</v>
      </c>
      <c r="L19" s="12"/>
      <c r="M19" s="21">
        <v>53</v>
      </c>
      <c r="N19" s="23">
        <v>9.1026973181392705</v>
      </c>
      <c r="O19" s="12">
        <f t="shared" si="2"/>
        <v>15</v>
      </c>
      <c r="P19" s="12"/>
      <c r="Q19" s="21">
        <v>15</v>
      </c>
      <c r="R19" s="23">
        <v>2.5762350900394164</v>
      </c>
      <c r="S19" s="12">
        <f t="shared" si="3"/>
        <v>36</v>
      </c>
      <c r="T19" s="12"/>
      <c r="U19" s="12">
        <v>2</v>
      </c>
      <c r="V19" s="21">
        <v>0.34349801200525548</v>
      </c>
      <c r="W19" s="12">
        <f t="shared" si="4"/>
        <v>38</v>
      </c>
      <c r="X19" s="12"/>
      <c r="Y19" s="19">
        <v>213</v>
      </c>
      <c r="Z19" s="37">
        <v>36.58253827855971</v>
      </c>
      <c r="AA19" s="13">
        <f t="shared" si="5"/>
        <v>40</v>
      </c>
      <c r="AB19" s="12"/>
    </row>
    <row r="20" spans="1:28" x14ac:dyDescent="0.35">
      <c r="A20" s="12"/>
      <c r="B20" s="12" t="s">
        <v>24</v>
      </c>
      <c r="C20" s="21">
        <v>1953300</v>
      </c>
      <c r="D20" s="12"/>
      <c r="E20" s="21">
        <v>1244</v>
      </c>
      <c r="F20" s="23">
        <v>63.685496037830418</v>
      </c>
      <c r="G20" s="12">
        <f t="shared" si="0"/>
        <v>14</v>
      </c>
      <c r="H20" s="12"/>
      <c r="I20" s="21">
        <v>142</v>
      </c>
      <c r="J20" s="23">
        <v>7.2695662679838566</v>
      </c>
      <c r="K20" s="12">
        <f t="shared" si="1"/>
        <v>8</v>
      </c>
      <c r="L20" s="12"/>
      <c r="M20" s="21">
        <v>275</v>
      </c>
      <c r="N20" s="23">
        <v>14.078385378137753</v>
      </c>
      <c r="O20" s="12">
        <f t="shared" si="2"/>
        <v>10</v>
      </c>
      <c r="P20" s="12"/>
      <c r="Q20" s="21">
        <v>159</v>
      </c>
      <c r="R20" s="23">
        <v>8.1398664549960102</v>
      </c>
      <c r="S20" s="12">
        <f t="shared" si="3"/>
        <v>11</v>
      </c>
      <c r="T20" s="12"/>
      <c r="U20" s="12">
        <v>57</v>
      </c>
      <c r="V20" s="21">
        <v>2.9180653329230979</v>
      </c>
      <c r="W20" s="12">
        <f t="shared" si="4"/>
        <v>4</v>
      </c>
      <c r="X20" s="12"/>
      <c r="Y20" s="19">
        <v>1814</v>
      </c>
      <c r="Z20" s="37">
        <v>92.866149367061396</v>
      </c>
      <c r="AA20" s="13">
        <f t="shared" si="5"/>
        <v>11</v>
      </c>
      <c r="AB20" s="12"/>
    </row>
    <row r="21" spans="1:28" x14ac:dyDescent="0.35">
      <c r="A21" s="12"/>
      <c r="B21" s="12" t="s">
        <v>25</v>
      </c>
      <c r="C21" s="21">
        <v>1165300</v>
      </c>
      <c r="D21" s="12"/>
      <c r="E21" s="21">
        <v>761</v>
      </c>
      <c r="F21" s="23">
        <v>65.303278379037053</v>
      </c>
      <c r="G21" s="12">
        <f t="shared" si="0"/>
        <v>13</v>
      </c>
      <c r="H21" s="12"/>
      <c r="I21" s="21">
        <v>30</v>
      </c>
      <c r="J21" s="23">
        <v>2.5743736548897651</v>
      </c>
      <c r="K21" s="12">
        <f t="shared" si="1"/>
        <v>29</v>
      </c>
      <c r="L21" s="12"/>
      <c r="M21" s="21">
        <v>55</v>
      </c>
      <c r="N21" s="23">
        <v>4.71968503396457</v>
      </c>
      <c r="O21" s="12">
        <f t="shared" si="2"/>
        <v>38</v>
      </c>
      <c r="P21" s="12"/>
      <c r="Q21" s="21">
        <v>124</v>
      </c>
      <c r="R21" s="23">
        <v>10.64074444021103</v>
      </c>
      <c r="S21" s="12">
        <f t="shared" si="3"/>
        <v>7</v>
      </c>
      <c r="T21" s="12"/>
      <c r="U21" s="12">
        <v>9</v>
      </c>
      <c r="V21" s="21">
        <v>0.77231209646692967</v>
      </c>
      <c r="W21" s="12">
        <f t="shared" si="4"/>
        <v>31</v>
      </c>
      <c r="X21" s="12"/>
      <c r="Y21" s="19">
        <v>948</v>
      </c>
      <c r="Z21" s="37">
        <v>81.350207494516582</v>
      </c>
      <c r="AA21" s="13">
        <f t="shared" si="5"/>
        <v>15</v>
      </c>
      <c r="AB21" s="12"/>
    </row>
    <row r="22" spans="1:28" x14ac:dyDescent="0.35">
      <c r="A22" s="12"/>
      <c r="B22" s="12" t="s">
        <v>26</v>
      </c>
      <c r="C22" s="21">
        <v>925200</v>
      </c>
      <c r="D22" s="12"/>
      <c r="E22" s="21">
        <v>403</v>
      </c>
      <c r="F22" s="23">
        <v>43.560174110988733</v>
      </c>
      <c r="G22" s="12">
        <f t="shared" si="0"/>
        <v>31</v>
      </c>
      <c r="H22" s="12"/>
      <c r="I22" s="21">
        <v>22</v>
      </c>
      <c r="J22" s="23">
        <v>2.377974765364149</v>
      </c>
      <c r="K22" s="12">
        <f t="shared" si="1"/>
        <v>34</v>
      </c>
      <c r="L22" s="12"/>
      <c r="M22" s="21">
        <v>51</v>
      </c>
      <c r="N22" s="23">
        <v>5.5125778651623456</v>
      </c>
      <c r="O22" s="12">
        <f t="shared" si="2"/>
        <v>35</v>
      </c>
      <c r="P22" s="12"/>
      <c r="Q22" s="21">
        <v>54</v>
      </c>
      <c r="R22" s="23">
        <v>5.8368471513483664</v>
      </c>
      <c r="S22" s="12">
        <f t="shared" si="3"/>
        <v>20</v>
      </c>
      <c r="T22" s="12"/>
      <c r="U22" s="12">
        <v>1</v>
      </c>
      <c r="V22" s="21">
        <v>0.10808976206200677</v>
      </c>
      <c r="W22" s="12">
        <f t="shared" si="4"/>
        <v>40</v>
      </c>
      <c r="X22" s="12"/>
      <c r="Y22" s="19">
        <v>527</v>
      </c>
      <c r="Z22" s="37">
        <v>56.963304606677568</v>
      </c>
      <c r="AA22" s="13">
        <f t="shared" si="5"/>
        <v>31</v>
      </c>
      <c r="AB22" s="12"/>
    </row>
    <row r="23" spans="1:28" x14ac:dyDescent="0.35">
      <c r="A23" s="12"/>
      <c r="B23" s="12" t="s">
        <v>27</v>
      </c>
      <c r="C23" s="21">
        <v>1798300</v>
      </c>
      <c r="D23" s="12"/>
      <c r="E23" s="21">
        <v>955</v>
      </c>
      <c r="F23" s="23">
        <v>53.106419704205585</v>
      </c>
      <c r="G23" s="12">
        <f t="shared" si="0"/>
        <v>24</v>
      </c>
      <c r="H23" s="12"/>
      <c r="I23" s="21">
        <v>54</v>
      </c>
      <c r="J23" s="23">
        <v>3.0028760879864937</v>
      </c>
      <c r="K23" s="12">
        <f t="shared" si="1"/>
        <v>23</v>
      </c>
      <c r="L23" s="12"/>
      <c r="M23" s="21">
        <v>125</v>
      </c>
      <c r="N23" s="23">
        <v>6.9511020555242915</v>
      </c>
      <c r="O23" s="12">
        <f t="shared" si="2"/>
        <v>31</v>
      </c>
      <c r="P23" s="12"/>
      <c r="Q23" s="21">
        <v>69</v>
      </c>
      <c r="R23" s="23">
        <v>3.8370083346494086</v>
      </c>
      <c r="S23" s="12">
        <f t="shared" si="3"/>
        <v>30</v>
      </c>
      <c r="T23" s="12"/>
      <c r="U23" s="12">
        <v>11</v>
      </c>
      <c r="V23" s="21">
        <v>0.61169698088613766</v>
      </c>
      <c r="W23" s="12">
        <f t="shared" si="4"/>
        <v>35</v>
      </c>
      <c r="X23" s="12"/>
      <c r="Y23" s="19">
        <v>1193</v>
      </c>
      <c r="Z23" s="37">
        <v>66.34131801792384</v>
      </c>
      <c r="AA23" s="13">
        <f t="shared" si="5"/>
        <v>24</v>
      </c>
      <c r="AB23" s="12"/>
    </row>
    <row r="24" spans="1:28" x14ac:dyDescent="0.35">
      <c r="A24" s="12"/>
      <c r="B24" s="12" t="s">
        <v>28</v>
      </c>
      <c r="C24" s="21">
        <v>1476900</v>
      </c>
      <c r="D24" s="12"/>
      <c r="E24" s="21">
        <v>601</v>
      </c>
      <c r="F24" s="23">
        <v>40.693537040259521</v>
      </c>
      <c r="G24" s="12">
        <f t="shared" si="0"/>
        <v>34</v>
      </c>
      <c r="H24" s="12"/>
      <c r="I24" s="21">
        <v>67</v>
      </c>
      <c r="J24" s="23">
        <v>4.5365507182984821</v>
      </c>
      <c r="K24" s="12">
        <f t="shared" si="1"/>
        <v>16</v>
      </c>
      <c r="L24" s="12"/>
      <c r="M24" s="21">
        <v>116</v>
      </c>
      <c r="N24" s="23">
        <v>7.8543266167555803</v>
      </c>
      <c r="O24" s="12">
        <f t="shared" si="2"/>
        <v>23</v>
      </c>
      <c r="P24" s="12"/>
      <c r="Q24" s="21">
        <v>76</v>
      </c>
      <c r="R24" s="23">
        <v>5.1459381282191732</v>
      </c>
      <c r="S24" s="12">
        <f t="shared" si="3"/>
        <v>24</v>
      </c>
      <c r="T24" s="12"/>
      <c r="U24" s="12">
        <v>23</v>
      </c>
      <c r="V24" s="21">
        <v>1.5573233809084341</v>
      </c>
      <c r="W24" s="12">
        <f t="shared" si="4"/>
        <v>15</v>
      </c>
      <c r="X24" s="12"/>
      <c r="Y24" s="19">
        <v>826</v>
      </c>
      <c r="Z24" s="37">
        <v>55.928222288276807</v>
      </c>
      <c r="AA24" s="13">
        <f t="shared" si="5"/>
        <v>33</v>
      </c>
      <c r="AB24" s="12"/>
    </row>
    <row r="25" spans="1:28" x14ac:dyDescent="0.35">
      <c r="A25" s="12"/>
      <c r="B25" s="12" t="s">
        <v>29</v>
      </c>
      <c r="C25" s="21">
        <v>1055800</v>
      </c>
      <c r="D25" s="12"/>
      <c r="E25" s="21">
        <v>614</v>
      </c>
      <c r="F25" s="23">
        <v>58.155063752725432</v>
      </c>
      <c r="G25" s="12">
        <f t="shared" si="0"/>
        <v>17</v>
      </c>
      <c r="H25" s="12"/>
      <c r="I25" s="21">
        <v>83</v>
      </c>
      <c r="J25" s="23">
        <v>7.8613522662479003</v>
      </c>
      <c r="K25" s="12">
        <f t="shared" si="1"/>
        <v>5</v>
      </c>
      <c r="L25" s="12"/>
      <c r="M25" s="21">
        <v>85</v>
      </c>
      <c r="N25" s="23">
        <v>8.0507824413382103</v>
      </c>
      <c r="O25" s="12">
        <f t="shared" si="2"/>
        <v>21</v>
      </c>
      <c r="P25" s="12"/>
      <c r="Q25" s="21">
        <v>31</v>
      </c>
      <c r="R25" s="23">
        <v>2.9361677138998177</v>
      </c>
      <c r="S25" s="12">
        <f t="shared" si="3"/>
        <v>34</v>
      </c>
      <c r="T25" s="12"/>
      <c r="U25" s="12">
        <v>11</v>
      </c>
      <c r="V25" s="21">
        <v>1.0418659629967095</v>
      </c>
      <c r="W25" s="12">
        <f t="shared" si="4"/>
        <v>26</v>
      </c>
      <c r="X25" s="12"/>
      <c r="Y25" s="19">
        <v>772</v>
      </c>
      <c r="Z25" s="37">
        <v>73.120047584859975</v>
      </c>
      <c r="AA25" s="13">
        <f t="shared" si="5"/>
        <v>19</v>
      </c>
      <c r="AB25" s="12"/>
    </row>
    <row r="26" spans="1:28" x14ac:dyDescent="0.35">
      <c r="A26" s="12"/>
      <c r="B26" s="12" t="s">
        <v>30</v>
      </c>
      <c r="C26" s="21">
        <v>737400</v>
      </c>
      <c r="D26" s="12"/>
      <c r="E26" s="21">
        <v>211</v>
      </c>
      <c r="F26" s="23">
        <v>28.615989692818882</v>
      </c>
      <c r="G26" s="12">
        <f t="shared" si="0"/>
        <v>39</v>
      </c>
      <c r="H26" s="12"/>
      <c r="I26" s="21">
        <v>25</v>
      </c>
      <c r="J26" s="23">
        <v>3.3905201057842271</v>
      </c>
      <c r="K26" s="12">
        <f t="shared" si="1"/>
        <v>20</v>
      </c>
      <c r="L26" s="12"/>
      <c r="M26" s="21">
        <v>37</v>
      </c>
      <c r="N26" s="23">
        <v>5.0179697565606567</v>
      </c>
      <c r="O26" s="12">
        <f t="shared" si="2"/>
        <v>37</v>
      </c>
      <c r="P26" s="12"/>
      <c r="Q26" s="21">
        <v>36</v>
      </c>
      <c r="R26" s="23">
        <v>4.8823489523292878</v>
      </c>
      <c r="S26" s="12">
        <f t="shared" si="3"/>
        <v>25</v>
      </c>
      <c r="T26" s="12"/>
      <c r="U26" s="12">
        <v>19</v>
      </c>
      <c r="V26" s="21">
        <v>2.5767952803960128</v>
      </c>
      <c r="W26" s="12">
        <f t="shared" si="4"/>
        <v>6</v>
      </c>
      <c r="X26" s="12"/>
      <c r="Y26" s="19">
        <v>299</v>
      </c>
      <c r="Z26" s="37">
        <v>40.550620465179357</v>
      </c>
      <c r="AA26" s="13">
        <f t="shared" si="5"/>
        <v>39</v>
      </c>
      <c r="AB26" s="12"/>
    </row>
    <row r="27" spans="1:28" x14ac:dyDescent="0.35">
      <c r="A27" s="12"/>
      <c r="B27" s="12" t="s">
        <v>32</v>
      </c>
      <c r="C27" s="21">
        <v>1401500</v>
      </c>
      <c r="D27" s="12"/>
      <c r="E27" s="21">
        <v>1700</v>
      </c>
      <c r="F27" s="23">
        <v>121.29722386330232</v>
      </c>
      <c r="G27" s="12">
        <f t="shared" si="0"/>
        <v>4</v>
      </c>
      <c r="H27" s="12"/>
      <c r="I27" s="21">
        <v>69</v>
      </c>
      <c r="J27" s="23">
        <v>4.923240262686976</v>
      </c>
      <c r="K27" s="12">
        <f t="shared" si="1"/>
        <v>14</v>
      </c>
      <c r="L27" s="12"/>
      <c r="M27" s="21">
        <v>309</v>
      </c>
      <c r="N27" s="23">
        <v>22.047554219859066</v>
      </c>
      <c r="O27" s="12">
        <f t="shared" si="2"/>
        <v>1</v>
      </c>
      <c r="P27" s="12"/>
      <c r="Q27" s="21">
        <v>195</v>
      </c>
      <c r="R27" s="23">
        <v>13.913505090202325</v>
      </c>
      <c r="S27" s="12">
        <f t="shared" si="3"/>
        <v>1</v>
      </c>
      <c r="T27" s="12"/>
      <c r="U27" s="12">
        <v>44</v>
      </c>
      <c r="V27" s="21">
        <v>3.139457558814883</v>
      </c>
      <c r="W27" s="12">
        <f t="shared" si="4"/>
        <v>3</v>
      </c>
      <c r="X27" s="12"/>
      <c r="Y27" s="19">
        <v>2245</v>
      </c>
      <c r="Z27" s="37">
        <v>160.18368680771394</v>
      </c>
      <c r="AA27" s="13">
        <f t="shared" si="5"/>
        <v>4</v>
      </c>
      <c r="AB27" s="12"/>
    </row>
    <row r="28" spans="1:28" x14ac:dyDescent="0.35">
      <c r="A28" s="12"/>
      <c r="B28" s="12" t="s">
        <v>33</v>
      </c>
      <c r="C28" s="21">
        <v>8666900</v>
      </c>
      <c r="D28" s="12"/>
      <c r="E28" s="21">
        <v>13385</v>
      </c>
      <c r="F28" s="23">
        <v>154.43761516476999</v>
      </c>
      <c r="G28" s="12">
        <f t="shared" si="0"/>
        <v>1</v>
      </c>
      <c r="H28" s="12"/>
      <c r="I28" s="21">
        <v>1780</v>
      </c>
      <c r="J28" s="23">
        <v>20.537837504168142</v>
      </c>
      <c r="K28" s="12">
        <f t="shared" si="1"/>
        <v>1</v>
      </c>
      <c r="L28" s="12"/>
      <c r="M28" s="21">
        <v>1865</v>
      </c>
      <c r="N28" s="23">
        <v>21.518576935546957</v>
      </c>
      <c r="O28" s="12">
        <f t="shared" si="2"/>
        <v>2</v>
      </c>
      <c r="P28" s="12"/>
      <c r="Q28" s="21">
        <v>358</v>
      </c>
      <c r="R28" s="23">
        <v>4.1306437227484238</v>
      </c>
      <c r="S28" s="12">
        <f t="shared" si="3"/>
        <v>29</v>
      </c>
      <c r="T28" s="12"/>
      <c r="U28" s="12">
        <v>153</v>
      </c>
      <c r="V28" s="21">
        <v>1.7653309764818683</v>
      </c>
      <c r="W28" s="12">
        <f t="shared" si="4"/>
        <v>11</v>
      </c>
      <c r="X28" s="12"/>
      <c r="Y28" s="19">
        <v>16566</v>
      </c>
      <c r="Z28" s="37">
        <v>191.1403461202525</v>
      </c>
      <c r="AA28" s="13">
        <f t="shared" si="5"/>
        <v>1</v>
      </c>
      <c r="AB28" s="12"/>
    </row>
    <row r="29" spans="1:28" x14ac:dyDescent="0.35">
      <c r="A29" s="12"/>
      <c r="B29" s="12" t="s">
        <v>34</v>
      </c>
      <c r="C29" s="21">
        <v>884700</v>
      </c>
      <c r="D29" s="12"/>
      <c r="E29" s="21">
        <v>417</v>
      </c>
      <c r="F29" s="23">
        <v>47.132064723514496</v>
      </c>
      <c r="G29" s="12">
        <f t="shared" si="0"/>
        <v>28</v>
      </c>
      <c r="H29" s="12"/>
      <c r="I29" s="21">
        <v>27</v>
      </c>
      <c r="J29" s="23">
        <v>3.0517164209469816</v>
      </c>
      <c r="K29" s="12">
        <f t="shared" si="1"/>
        <v>22</v>
      </c>
      <c r="L29" s="12"/>
      <c r="M29" s="21">
        <v>100</v>
      </c>
      <c r="N29" s="23">
        <v>11.302653410914747</v>
      </c>
      <c r="O29" s="12">
        <f t="shared" si="2"/>
        <v>13</v>
      </c>
      <c r="P29" s="12"/>
      <c r="Q29" s="21">
        <v>86</v>
      </c>
      <c r="R29" s="23">
        <v>9.7202819333866817</v>
      </c>
      <c r="S29" s="12">
        <f t="shared" si="3"/>
        <v>8</v>
      </c>
      <c r="T29" s="12"/>
      <c r="U29" s="12">
        <v>15</v>
      </c>
      <c r="V29" s="21">
        <v>1.695398011637212</v>
      </c>
      <c r="W29" s="12">
        <f t="shared" si="4"/>
        <v>12</v>
      </c>
      <c r="X29" s="12"/>
      <c r="Y29" s="19">
        <v>630</v>
      </c>
      <c r="Z29" s="37">
        <v>71.206716488762893</v>
      </c>
      <c r="AA29" s="13">
        <f t="shared" si="5"/>
        <v>21</v>
      </c>
      <c r="AB29" s="12"/>
    </row>
    <row r="30" spans="1:28" x14ac:dyDescent="0.35">
      <c r="A30" s="12"/>
      <c r="B30" s="12" t="s">
        <v>35</v>
      </c>
      <c r="C30" s="21">
        <v>693400</v>
      </c>
      <c r="D30" s="12"/>
      <c r="E30" s="21">
        <v>275</v>
      </c>
      <c r="F30" s="23">
        <v>39.661936079381562</v>
      </c>
      <c r="G30" s="12">
        <f t="shared" si="0"/>
        <v>36</v>
      </c>
      <c r="H30" s="12"/>
      <c r="I30" s="21">
        <v>18</v>
      </c>
      <c r="J30" s="23">
        <v>2.5960539979231569</v>
      </c>
      <c r="K30" s="12">
        <f t="shared" si="1"/>
        <v>27</v>
      </c>
      <c r="L30" s="12"/>
      <c r="M30" s="21">
        <v>62</v>
      </c>
      <c r="N30" s="23">
        <v>8.9419637706242074</v>
      </c>
      <c r="O30" s="12">
        <f t="shared" si="2"/>
        <v>17</v>
      </c>
      <c r="P30" s="12"/>
      <c r="Q30" s="21">
        <v>39</v>
      </c>
      <c r="R30" s="23">
        <v>5.6247836621668403</v>
      </c>
      <c r="S30" s="12">
        <f t="shared" si="3"/>
        <v>21</v>
      </c>
      <c r="T30" s="12"/>
      <c r="U30" s="12">
        <v>9</v>
      </c>
      <c r="V30" s="21">
        <v>1.2980269989615785</v>
      </c>
      <c r="W30" s="12">
        <f t="shared" si="4"/>
        <v>20</v>
      </c>
      <c r="X30" s="12"/>
      <c r="Y30" s="19">
        <v>385</v>
      </c>
      <c r="Z30" s="37">
        <v>55.526710511134183</v>
      </c>
      <c r="AA30" s="13">
        <f t="shared" si="5"/>
        <v>34</v>
      </c>
      <c r="AB30" s="12"/>
    </row>
    <row r="31" spans="1:28" x14ac:dyDescent="0.35">
      <c r="A31" s="12"/>
      <c r="B31" s="12" t="s">
        <v>36</v>
      </c>
      <c r="C31" s="21">
        <v>811800</v>
      </c>
      <c r="D31" s="12"/>
      <c r="E31" s="21">
        <v>186</v>
      </c>
      <c r="F31" s="23">
        <v>22.912019078567287</v>
      </c>
      <c r="G31" s="12">
        <f t="shared" si="0"/>
        <v>41</v>
      </c>
      <c r="H31" s="12"/>
      <c r="I31" s="21">
        <v>15</v>
      </c>
      <c r="J31" s="23">
        <v>1.8477434740780068</v>
      </c>
      <c r="K31" s="12">
        <f t="shared" si="1"/>
        <v>38</v>
      </c>
      <c r="L31" s="12"/>
      <c r="M31" s="21">
        <v>30</v>
      </c>
      <c r="N31" s="23">
        <v>3.6954869481560135</v>
      </c>
      <c r="O31" s="12">
        <f t="shared" si="2"/>
        <v>41</v>
      </c>
      <c r="P31" s="12"/>
      <c r="Q31" s="21">
        <v>19</v>
      </c>
      <c r="R31" s="23">
        <v>2.340475067165475</v>
      </c>
      <c r="S31" s="12">
        <f t="shared" si="3"/>
        <v>39</v>
      </c>
      <c r="T31" s="12"/>
      <c r="U31" s="12">
        <v>1</v>
      </c>
      <c r="V31" s="21">
        <v>0.12318289827186711</v>
      </c>
      <c r="W31" s="12">
        <f t="shared" si="4"/>
        <v>39</v>
      </c>
      <c r="X31" s="12"/>
      <c r="Y31" s="19">
        <v>246</v>
      </c>
      <c r="Z31" s="37">
        <v>30.302992974879309</v>
      </c>
      <c r="AA31" s="13">
        <f t="shared" si="5"/>
        <v>41</v>
      </c>
      <c r="AB31" s="12"/>
    </row>
    <row r="32" spans="1:28" x14ac:dyDescent="0.35">
      <c r="A32" s="12"/>
      <c r="B32" s="12" t="s">
        <v>37</v>
      </c>
      <c r="C32" s="21">
        <v>722200</v>
      </c>
      <c r="D32" s="12"/>
      <c r="E32" s="21">
        <v>419</v>
      </c>
      <c r="F32" s="23">
        <v>58.019820900151906</v>
      </c>
      <c r="G32" s="12">
        <f t="shared" si="0"/>
        <v>18</v>
      </c>
      <c r="H32" s="12"/>
      <c r="I32" s="21">
        <v>21</v>
      </c>
      <c r="J32" s="23">
        <v>2.9079146513202625</v>
      </c>
      <c r="K32" s="12">
        <f t="shared" si="1"/>
        <v>25</v>
      </c>
      <c r="L32" s="12"/>
      <c r="M32" s="21">
        <v>58</v>
      </c>
      <c r="N32" s="23">
        <v>8.0313833226940581</v>
      </c>
      <c r="O32" s="12">
        <f t="shared" si="2"/>
        <v>22</v>
      </c>
      <c r="P32" s="12"/>
      <c r="Q32" s="21">
        <v>46</v>
      </c>
      <c r="R32" s="23">
        <v>6.3697178076539078</v>
      </c>
      <c r="S32" s="12">
        <f t="shared" si="3"/>
        <v>17</v>
      </c>
      <c r="T32" s="12"/>
      <c r="U32" s="12">
        <v>8</v>
      </c>
      <c r="V32" s="21">
        <v>1.1077770100267665</v>
      </c>
      <c r="W32" s="12">
        <f t="shared" si="4"/>
        <v>25</v>
      </c>
      <c r="X32" s="12"/>
      <c r="Y32" s="19">
        <v>551</v>
      </c>
      <c r="Z32" s="37">
        <v>76.298141565593554</v>
      </c>
      <c r="AA32" s="13">
        <f t="shared" si="5"/>
        <v>17</v>
      </c>
      <c r="AB32" s="12"/>
    </row>
    <row r="33" spans="1:28" x14ac:dyDescent="0.35">
      <c r="A33" s="12"/>
      <c r="B33" s="12" t="s">
        <v>38</v>
      </c>
      <c r="C33" s="21">
        <v>1437000</v>
      </c>
      <c r="D33" s="12"/>
      <c r="E33" s="21">
        <v>1043</v>
      </c>
      <c r="F33" s="23">
        <v>72.583080835143846</v>
      </c>
      <c r="G33" s="12">
        <f t="shared" si="0"/>
        <v>11</v>
      </c>
      <c r="H33" s="12"/>
      <c r="I33" s="21">
        <v>79</v>
      </c>
      <c r="J33" s="23">
        <v>5.4976638408210583</v>
      </c>
      <c r="K33" s="12">
        <f t="shared" si="1"/>
        <v>12</v>
      </c>
      <c r="L33" s="12"/>
      <c r="M33" s="21">
        <v>124</v>
      </c>
      <c r="N33" s="23">
        <v>8.6292445096431809</v>
      </c>
      <c r="O33" s="12">
        <f t="shared" si="2"/>
        <v>19</v>
      </c>
      <c r="P33" s="12"/>
      <c r="Q33" s="21">
        <v>70</v>
      </c>
      <c r="R33" s="23">
        <v>4.8713477070566347</v>
      </c>
      <c r="S33" s="12">
        <f t="shared" si="3"/>
        <v>26</v>
      </c>
      <c r="T33" s="12"/>
      <c r="U33" s="12">
        <v>24</v>
      </c>
      <c r="V33" s="21">
        <v>1.6701763567051318</v>
      </c>
      <c r="W33" s="12">
        <f t="shared" si="4"/>
        <v>14</v>
      </c>
      <c r="X33" s="12"/>
      <c r="Y33" s="19">
        <v>1295</v>
      </c>
      <c r="Z33" s="37">
        <v>90.119932580547726</v>
      </c>
      <c r="AA33" s="13">
        <f t="shared" si="5"/>
        <v>12</v>
      </c>
      <c r="AB33" s="12"/>
    </row>
    <row r="34" spans="1:28" x14ac:dyDescent="0.35">
      <c r="A34" s="12"/>
      <c r="B34" s="12" t="s">
        <v>39</v>
      </c>
      <c r="C34" s="21">
        <v>1125200</v>
      </c>
      <c r="D34" s="12"/>
      <c r="E34" s="21">
        <v>699</v>
      </c>
      <c r="F34" s="23">
        <v>62.124884349061865</v>
      </c>
      <c r="G34" s="12">
        <f t="shared" si="0"/>
        <v>16</v>
      </c>
      <c r="H34" s="12"/>
      <c r="I34" s="21">
        <v>70</v>
      </c>
      <c r="J34" s="23">
        <v>6.2213761150705729</v>
      </c>
      <c r="K34" s="12">
        <f t="shared" si="1"/>
        <v>9</v>
      </c>
      <c r="L34" s="12"/>
      <c r="M34" s="21">
        <v>84</v>
      </c>
      <c r="N34" s="23">
        <v>7.4656513380846867</v>
      </c>
      <c r="O34" s="12">
        <f t="shared" si="2"/>
        <v>28</v>
      </c>
      <c r="P34" s="12"/>
      <c r="Q34" s="21">
        <v>71</v>
      </c>
      <c r="R34" s="23">
        <v>6.3102529167144379</v>
      </c>
      <c r="S34" s="12">
        <f t="shared" si="3"/>
        <v>18</v>
      </c>
      <c r="T34" s="12"/>
      <c r="U34" s="12">
        <v>0</v>
      </c>
      <c r="V34" s="21">
        <v>0</v>
      </c>
      <c r="W34" s="12">
        <f t="shared" si="4"/>
        <v>41</v>
      </c>
      <c r="X34" s="12"/>
      <c r="Y34" s="19">
        <v>911</v>
      </c>
      <c r="Z34" s="37">
        <v>80.966766297561307</v>
      </c>
      <c r="AA34" s="13">
        <f t="shared" si="5"/>
        <v>16</v>
      </c>
      <c r="AB34" s="12"/>
    </row>
    <row r="35" spans="1:28" x14ac:dyDescent="0.35">
      <c r="A35" s="12"/>
      <c r="B35" s="12" t="s">
        <v>40</v>
      </c>
      <c r="C35" s="21">
        <v>1307600</v>
      </c>
      <c r="D35" s="12"/>
      <c r="E35" s="21">
        <v>1245</v>
      </c>
      <c r="F35" s="23">
        <v>95.211001344425227</v>
      </c>
      <c r="G35" s="12">
        <f t="shared" si="0"/>
        <v>6</v>
      </c>
      <c r="H35" s="12"/>
      <c r="I35" s="21">
        <v>80</v>
      </c>
      <c r="J35" s="23">
        <v>6.1179759900032264</v>
      </c>
      <c r="K35" s="12">
        <f t="shared" si="1"/>
        <v>11</v>
      </c>
      <c r="L35" s="12"/>
      <c r="M35" s="21">
        <v>241</v>
      </c>
      <c r="N35" s="23">
        <v>18.430402669884721</v>
      </c>
      <c r="O35" s="12">
        <f t="shared" si="2"/>
        <v>3</v>
      </c>
      <c r="P35" s="12"/>
      <c r="Q35" s="21">
        <v>179</v>
      </c>
      <c r="R35" s="23">
        <v>13.688971277632222</v>
      </c>
      <c r="S35" s="12">
        <f t="shared" si="3"/>
        <v>2</v>
      </c>
      <c r="T35" s="12"/>
      <c r="U35" s="12">
        <v>24</v>
      </c>
      <c r="V35" s="21">
        <v>1.835392797000968</v>
      </c>
      <c r="W35" s="12">
        <f t="shared" si="4"/>
        <v>9</v>
      </c>
      <c r="X35" s="12"/>
      <c r="Y35" s="19">
        <v>1693</v>
      </c>
      <c r="Z35" s="37">
        <v>129.47166688844328</v>
      </c>
      <c r="AA35" s="13">
        <f t="shared" si="5"/>
        <v>6</v>
      </c>
      <c r="AB35" s="12"/>
    </row>
    <row r="36" spans="1:28" x14ac:dyDescent="0.35">
      <c r="A36" s="12"/>
      <c r="B36" s="12" t="s">
        <v>41</v>
      </c>
      <c r="C36" s="21">
        <v>1375500</v>
      </c>
      <c r="D36" s="12"/>
      <c r="E36" s="21">
        <v>798</v>
      </c>
      <c r="F36" s="23">
        <v>58.01708086839502</v>
      </c>
      <c r="G36" s="12">
        <f t="shared" si="0"/>
        <v>19</v>
      </c>
      <c r="H36" s="12"/>
      <c r="I36" s="21">
        <v>35</v>
      </c>
      <c r="J36" s="23">
        <v>2.544608810017325</v>
      </c>
      <c r="K36" s="12">
        <f t="shared" si="1"/>
        <v>30</v>
      </c>
      <c r="L36" s="12"/>
      <c r="M36" s="21">
        <v>113</v>
      </c>
      <c r="N36" s="23">
        <v>8.2154513009130774</v>
      </c>
      <c r="O36" s="12">
        <f t="shared" si="2"/>
        <v>20</v>
      </c>
      <c r="P36" s="12"/>
      <c r="Q36" s="21">
        <v>41</v>
      </c>
      <c r="R36" s="23">
        <v>2.9808274631631524</v>
      </c>
      <c r="S36" s="12">
        <f t="shared" si="3"/>
        <v>32</v>
      </c>
      <c r="T36" s="12"/>
      <c r="U36" s="12">
        <v>14</v>
      </c>
      <c r="V36" s="21">
        <v>1.0178435240069301</v>
      </c>
      <c r="W36" s="12">
        <f t="shared" si="4"/>
        <v>27</v>
      </c>
      <c r="X36" s="12"/>
      <c r="Y36" s="19">
        <v>974</v>
      </c>
      <c r="Z36" s="37">
        <v>70.812828027339279</v>
      </c>
      <c r="AA36" s="13">
        <f t="shared" si="5"/>
        <v>22</v>
      </c>
      <c r="AB36" s="12"/>
    </row>
    <row r="37" spans="1:28" x14ac:dyDescent="0.35">
      <c r="A37" s="12"/>
      <c r="B37" s="12" t="s">
        <v>42</v>
      </c>
      <c r="C37" s="21">
        <v>1113900</v>
      </c>
      <c r="D37" s="12"/>
      <c r="E37" s="21">
        <v>858</v>
      </c>
      <c r="F37" s="23">
        <v>77.025833279469111</v>
      </c>
      <c r="G37" s="12">
        <f t="shared" si="0"/>
        <v>10</v>
      </c>
      <c r="H37" s="12"/>
      <c r="I37" s="21">
        <v>26</v>
      </c>
      <c r="J37" s="23">
        <v>2.3341161599839126</v>
      </c>
      <c r="K37" s="12">
        <f t="shared" si="1"/>
        <v>35</v>
      </c>
      <c r="L37" s="12"/>
      <c r="M37" s="21">
        <v>98</v>
      </c>
      <c r="N37" s="23">
        <v>8.7978224491701322</v>
      </c>
      <c r="O37" s="12">
        <f t="shared" si="2"/>
        <v>18</v>
      </c>
      <c r="P37" s="12"/>
      <c r="Q37" s="21">
        <v>124</v>
      </c>
      <c r="R37" s="23">
        <v>11.131938609154044</v>
      </c>
      <c r="S37" s="12">
        <f t="shared" si="3"/>
        <v>5</v>
      </c>
      <c r="T37" s="12"/>
      <c r="U37" s="12">
        <v>14</v>
      </c>
      <c r="V37" s="21">
        <v>1.256831778452876</v>
      </c>
      <c r="W37" s="12">
        <f t="shared" si="4"/>
        <v>21</v>
      </c>
      <c r="X37" s="12"/>
      <c r="Y37" s="19">
        <v>1081</v>
      </c>
      <c r="Z37" s="37">
        <v>97.045368036254217</v>
      </c>
      <c r="AA37" s="13">
        <f t="shared" si="5"/>
        <v>10</v>
      </c>
      <c r="AB37" s="12"/>
    </row>
    <row r="38" spans="1:28" x14ac:dyDescent="0.35">
      <c r="A38" s="12"/>
      <c r="B38" s="12" t="s">
        <v>43</v>
      </c>
      <c r="C38" s="21">
        <v>747700</v>
      </c>
      <c r="D38" s="12"/>
      <c r="E38" s="21">
        <v>337</v>
      </c>
      <c r="F38" s="23">
        <v>45.069503326049102</v>
      </c>
      <c r="G38" s="12">
        <f t="shared" si="0"/>
        <v>29</v>
      </c>
      <c r="H38" s="12"/>
      <c r="I38" s="21">
        <v>19</v>
      </c>
      <c r="J38" s="23">
        <v>2.5410105732787329</v>
      </c>
      <c r="K38" s="12">
        <f t="shared" si="1"/>
        <v>31</v>
      </c>
      <c r="L38" s="12"/>
      <c r="M38" s="21">
        <v>57</v>
      </c>
      <c r="N38" s="23">
        <v>7.6230317198361988</v>
      </c>
      <c r="O38" s="12">
        <f t="shared" si="2"/>
        <v>27</v>
      </c>
      <c r="P38" s="12"/>
      <c r="Q38" s="21">
        <v>60</v>
      </c>
      <c r="R38" s="23">
        <v>8.0242439156170509</v>
      </c>
      <c r="S38" s="12">
        <f t="shared" si="3"/>
        <v>12</v>
      </c>
      <c r="T38" s="12"/>
      <c r="U38" s="12">
        <v>11</v>
      </c>
      <c r="V38" s="21">
        <v>1.4711113845297927</v>
      </c>
      <c r="W38" s="12">
        <f t="shared" si="4"/>
        <v>16</v>
      </c>
      <c r="X38" s="12"/>
      <c r="Y38" s="19">
        <v>463</v>
      </c>
      <c r="Z38" s="37">
        <v>61.920415548844908</v>
      </c>
      <c r="AA38" s="13">
        <f t="shared" si="5"/>
        <v>29</v>
      </c>
      <c r="AB38" s="12"/>
    </row>
    <row r="39" spans="1:28" x14ac:dyDescent="0.35">
      <c r="A39" s="12"/>
      <c r="B39" s="12" t="s">
        <v>44</v>
      </c>
      <c r="C39" s="21">
        <v>1172400</v>
      </c>
      <c r="D39" s="12"/>
      <c r="E39" s="21">
        <v>742</v>
      </c>
      <c r="F39" s="23">
        <v>63.289951568686661</v>
      </c>
      <c r="G39" s="12">
        <f t="shared" si="0"/>
        <v>15</v>
      </c>
      <c r="H39" s="12"/>
      <c r="I39" s="21">
        <v>72</v>
      </c>
      <c r="J39" s="23">
        <v>6.1413430093604306</v>
      </c>
      <c r="K39" s="12">
        <f t="shared" si="1"/>
        <v>10</v>
      </c>
      <c r="L39" s="12"/>
      <c r="M39" s="21">
        <v>135</v>
      </c>
      <c r="N39" s="23">
        <v>11.515018142550808</v>
      </c>
      <c r="O39" s="12">
        <f t="shared" si="2"/>
        <v>12</v>
      </c>
      <c r="P39" s="12"/>
      <c r="Q39" s="21">
        <v>72</v>
      </c>
      <c r="R39" s="23">
        <v>6.1413430093604306</v>
      </c>
      <c r="S39" s="12">
        <f t="shared" si="3"/>
        <v>19</v>
      </c>
      <c r="T39" s="12"/>
      <c r="U39" s="12">
        <v>21</v>
      </c>
      <c r="V39" s="21">
        <v>1.7912250443967923</v>
      </c>
      <c r="W39" s="12">
        <f t="shared" si="4"/>
        <v>10</v>
      </c>
      <c r="X39" s="12"/>
      <c r="Y39" s="19">
        <v>979</v>
      </c>
      <c r="Z39" s="37">
        <v>83.505205641164736</v>
      </c>
      <c r="AA39" s="13">
        <f t="shared" si="5"/>
        <v>14</v>
      </c>
      <c r="AB39" s="12"/>
    </row>
    <row r="40" spans="1:28" x14ac:dyDescent="0.35">
      <c r="A40" s="12"/>
      <c r="B40" s="12" t="s">
        <v>45</v>
      </c>
      <c r="C40" s="21">
        <v>1667600</v>
      </c>
      <c r="D40" s="12"/>
      <c r="E40" s="21">
        <v>1175</v>
      </c>
      <c r="F40" s="23">
        <v>70.459739304961147</v>
      </c>
      <c r="G40" s="12">
        <f t="shared" si="0"/>
        <v>12</v>
      </c>
      <c r="H40" s="12"/>
      <c r="I40" s="21">
        <v>135</v>
      </c>
      <c r="J40" s="23">
        <v>8.0953743031231955</v>
      </c>
      <c r="K40" s="12">
        <f t="shared" si="1"/>
        <v>4</v>
      </c>
      <c r="L40" s="12"/>
      <c r="M40" s="21">
        <v>304</v>
      </c>
      <c r="N40" s="23">
        <v>18.229583615921861</v>
      </c>
      <c r="O40" s="12">
        <f t="shared" si="2"/>
        <v>4</v>
      </c>
      <c r="P40" s="12"/>
      <c r="Q40" s="21">
        <v>182</v>
      </c>
      <c r="R40" s="23">
        <v>10.91376387532164</v>
      </c>
      <c r="S40" s="12">
        <f t="shared" si="3"/>
        <v>6</v>
      </c>
      <c r="T40" s="12"/>
      <c r="U40" s="12">
        <v>41</v>
      </c>
      <c r="V40" s="21">
        <v>2.4585951587263035</v>
      </c>
      <c r="W40" s="12">
        <f t="shared" si="4"/>
        <v>7</v>
      </c>
      <c r="X40" s="12"/>
      <c r="Y40" s="19">
        <v>1740</v>
      </c>
      <c r="Z40" s="37">
        <v>104.34037990692119</v>
      </c>
      <c r="AA40" s="13">
        <f t="shared" si="5"/>
        <v>8</v>
      </c>
      <c r="AB40" s="12"/>
    </row>
    <row r="41" spans="1:28" x14ac:dyDescent="0.35">
      <c r="A41" s="12"/>
      <c r="B41" s="12" t="s">
        <v>46</v>
      </c>
      <c r="C41" s="21">
        <v>2357800</v>
      </c>
      <c r="D41" s="12"/>
      <c r="E41" s="21">
        <v>1299</v>
      </c>
      <c r="F41" s="23">
        <v>55.094525919874997</v>
      </c>
      <c r="G41" s="12">
        <f t="shared" si="0"/>
        <v>20</v>
      </c>
      <c r="H41" s="12"/>
      <c r="I41" s="21">
        <v>68</v>
      </c>
      <c r="J41" s="23">
        <v>2.8840860373760586</v>
      </c>
      <c r="K41" s="12">
        <f t="shared" si="1"/>
        <v>26</v>
      </c>
      <c r="L41" s="12"/>
      <c r="M41" s="21">
        <v>152</v>
      </c>
      <c r="N41" s="23">
        <v>6.446780554134719</v>
      </c>
      <c r="O41" s="12">
        <f t="shared" si="2"/>
        <v>33</v>
      </c>
      <c r="P41" s="12"/>
      <c r="Q41" s="21">
        <v>131</v>
      </c>
      <c r="R41" s="23">
        <v>5.5561069249450536</v>
      </c>
      <c r="S41" s="12">
        <f t="shared" si="3"/>
        <v>22</v>
      </c>
      <c r="T41" s="12"/>
      <c r="U41" s="12">
        <v>17</v>
      </c>
      <c r="V41" s="21">
        <v>0.72102150934401465</v>
      </c>
      <c r="W41" s="12">
        <f t="shared" si="4"/>
        <v>33</v>
      </c>
      <c r="X41" s="12"/>
      <c r="Y41" s="19">
        <v>1616</v>
      </c>
      <c r="Z41" s="37">
        <v>68.539456417642796</v>
      </c>
      <c r="AA41" s="13">
        <f t="shared" si="5"/>
        <v>23</v>
      </c>
      <c r="AB41" s="12"/>
    </row>
    <row r="42" spans="1:28" x14ac:dyDescent="0.35">
      <c r="A42" s="12"/>
      <c r="B42" s="12" t="s">
        <v>47</v>
      </c>
      <c r="C42" s="21">
        <v>555200</v>
      </c>
      <c r="D42" s="12"/>
      <c r="E42" s="21">
        <v>273</v>
      </c>
      <c r="F42" s="23">
        <v>49.175544083263382</v>
      </c>
      <c r="G42" s="12">
        <f t="shared" si="0"/>
        <v>26</v>
      </c>
      <c r="H42" s="12"/>
      <c r="I42" s="21">
        <v>9</v>
      </c>
      <c r="J42" s="23">
        <v>1.621171782964727</v>
      </c>
      <c r="K42" s="12">
        <f t="shared" si="1"/>
        <v>40</v>
      </c>
      <c r="L42" s="12"/>
      <c r="M42" s="21">
        <v>43</v>
      </c>
      <c r="N42" s="23">
        <v>7.7455985186092509</v>
      </c>
      <c r="O42" s="12">
        <f t="shared" si="2"/>
        <v>25</v>
      </c>
      <c r="P42" s="12"/>
      <c r="Q42" s="21">
        <v>16</v>
      </c>
      <c r="R42" s="23">
        <v>2.8820831697150697</v>
      </c>
      <c r="S42" s="12">
        <f t="shared" si="3"/>
        <v>35</v>
      </c>
      <c r="T42" s="12"/>
      <c r="U42" s="12">
        <v>4</v>
      </c>
      <c r="V42" s="21">
        <v>0.72052079242876743</v>
      </c>
      <c r="W42" s="12">
        <f t="shared" si="4"/>
        <v>34</v>
      </c>
      <c r="X42" s="12"/>
      <c r="Y42" s="19">
        <v>339</v>
      </c>
      <c r="Z42" s="37">
        <v>61.064137158338049</v>
      </c>
      <c r="AA42" s="13">
        <f t="shared" si="5"/>
        <v>30</v>
      </c>
      <c r="AB42" s="12"/>
    </row>
    <row r="43" spans="1:28" x14ac:dyDescent="0.35">
      <c r="A43" s="12"/>
      <c r="B43" s="12" t="s">
        <v>48</v>
      </c>
      <c r="C43" s="21">
        <v>1251500</v>
      </c>
      <c r="D43" s="12"/>
      <c r="E43" s="21">
        <v>620</v>
      </c>
      <c r="F43" s="23">
        <v>49.541501395152608</v>
      </c>
      <c r="G43" s="12">
        <f t="shared" si="0"/>
        <v>25</v>
      </c>
      <c r="H43" s="12"/>
      <c r="I43" s="21">
        <v>25</v>
      </c>
      <c r="J43" s="23">
        <v>1.9976411852884115</v>
      </c>
      <c r="K43" s="12">
        <f t="shared" si="1"/>
        <v>37</v>
      </c>
      <c r="L43" s="12"/>
      <c r="M43" s="21">
        <v>98</v>
      </c>
      <c r="N43" s="23">
        <v>7.830753446330573</v>
      </c>
      <c r="O43" s="12">
        <f t="shared" si="2"/>
        <v>24</v>
      </c>
      <c r="P43" s="12"/>
      <c r="Q43" s="21">
        <v>54</v>
      </c>
      <c r="R43" s="23">
        <v>4.314904960222969</v>
      </c>
      <c r="S43" s="12">
        <f t="shared" si="3"/>
        <v>28</v>
      </c>
      <c r="T43" s="12"/>
      <c r="U43" s="12">
        <v>21</v>
      </c>
      <c r="V43" s="21">
        <v>1.6780185956422655</v>
      </c>
      <c r="W43" s="12">
        <f t="shared" si="4"/>
        <v>13</v>
      </c>
      <c r="X43" s="12"/>
      <c r="Y43" s="19">
        <v>797</v>
      </c>
      <c r="Z43" s="37">
        <v>63.684800986994553</v>
      </c>
      <c r="AA43" s="13">
        <f t="shared" si="5"/>
        <v>28</v>
      </c>
      <c r="AB43" s="12"/>
    </row>
    <row r="44" spans="1:28" x14ac:dyDescent="0.35">
      <c r="A44" s="12"/>
      <c r="B44" s="12" t="s">
        <v>7</v>
      </c>
      <c r="C44" s="21">
        <v>2834500</v>
      </c>
      <c r="D44" s="12"/>
      <c r="E44" s="21">
        <v>3291</v>
      </c>
      <c r="F44" s="23">
        <v>116.10554279605854</v>
      </c>
      <c r="G44" s="12">
        <f t="shared" si="0"/>
        <v>5</v>
      </c>
      <c r="H44" s="12"/>
      <c r="I44" s="21">
        <v>155</v>
      </c>
      <c r="J44" s="23">
        <v>5.4683558594315027</v>
      </c>
      <c r="K44" s="12">
        <f t="shared" si="1"/>
        <v>13</v>
      </c>
      <c r="L44" s="12"/>
      <c r="M44" s="21">
        <v>372</v>
      </c>
      <c r="N44" s="23">
        <v>13.124054062635608</v>
      </c>
      <c r="O44" s="12">
        <f t="shared" si="2"/>
        <v>11</v>
      </c>
      <c r="P44" s="12"/>
      <c r="Q44" s="21">
        <v>68</v>
      </c>
      <c r="R44" s="23">
        <v>2.3990206351054337</v>
      </c>
      <c r="S44" s="12">
        <f t="shared" si="3"/>
        <v>37</v>
      </c>
      <c r="T44" s="12"/>
      <c r="U44" s="12">
        <v>34</v>
      </c>
      <c r="V44" s="21">
        <v>1.1995103175527169</v>
      </c>
      <c r="W44" s="12">
        <f t="shared" si="4"/>
        <v>23</v>
      </c>
      <c r="X44" s="12"/>
      <c r="Y44" s="19">
        <v>3780</v>
      </c>
      <c r="Z44" s="37">
        <v>133.35732353968439</v>
      </c>
      <c r="AA44" s="13">
        <f t="shared" si="5"/>
        <v>5</v>
      </c>
      <c r="AB44" s="12"/>
    </row>
    <row r="45" spans="1:28" x14ac:dyDescent="0.35">
      <c r="A45" s="12"/>
      <c r="B45" s="12" t="s">
        <v>49</v>
      </c>
      <c r="C45" s="21">
        <v>2277800</v>
      </c>
      <c r="D45" s="12"/>
      <c r="E45" s="21">
        <v>3054</v>
      </c>
      <c r="F45" s="23">
        <v>134.07697616467848</v>
      </c>
      <c r="G45" s="12">
        <f t="shared" si="0"/>
        <v>3</v>
      </c>
      <c r="H45" s="12"/>
      <c r="I45" s="21">
        <v>177</v>
      </c>
      <c r="J45" s="23">
        <v>7.7706695419607374</v>
      </c>
      <c r="K45" s="12">
        <f t="shared" si="1"/>
        <v>7</v>
      </c>
      <c r="L45" s="12"/>
      <c r="M45" s="21">
        <v>322</v>
      </c>
      <c r="N45" s="23">
        <v>14.136472274075466</v>
      </c>
      <c r="O45" s="12">
        <f t="shared" si="2"/>
        <v>9</v>
      </c>
      <c r="P45" s="12"/>
      <c r="Q45" s="21">
        <v>170</v>
      </c>
      <c r="R45" s="23">
        <v>7.4633549273069235</v>
      </c>
      <c r="S45" s="12">
        <f t="shared" si="3"/>
        <v>14</v>
      </c>
      <c r="T45" s="12"/>
      <c r="U45" s="12">
        <v>31</v>
      </c>
      <c r="V45" s="21">
        <v>1.3609647220383212</v>
      </c>
      <c r="W45" s="12">
        <f t="shared" si="4"/>
        <v>19</v>
      </c>
      <c r="X45" s="12"/>
      <c r="Y45" s="19">
        <v>3657</v>
      </c>
      <c r="Z45" s="37">
        <v>160.54993511271422</v>
      </c>
      <c r="AA45" s="13">
        <f t="shared" si="5"/>
        <v>3</v>
      </c>
      <c r="AB45" s="12"/>
    </row>
    <row r="46" spans="1:28" x14ac:dyDescent="0.35">
      <c r="A46" s="12"/>
      <c r="B46" s="12" t="s">
        <v>50</v>
      </c>
      <c r="C46" s="21">
        <v>706100</v>
      </c>
      <c r="D46" s="12"/>
      <c r="E46" s="21">
        <v>382</v>
      </c>
      <c r="F46" s="23">
        <v>54.102207851618317</v>
      </c>
      <c r="G46" s="12">
        <f t="shared" si="0"/>
        <v>22</v>
      </c>
      <c r="H46" s="12"/>
      <c r="I46" s="21">
        <v>23</v>
      </c>
      <c r="J46" s="23">
        <v>3.2574627764063386</v>
      </c>
      <c r="K46" s="12">
        <f t="shared" si="1"/>
        <v>21</v>
      </c>
      <c r="L46" s="12"/>
      <c r="M46" s="21">
        <v>51</v>
      </c>
      <c r="N46" s="23">
        <v>7.2230696346401428</v>
      </c>
      <c r="O46" s="12">
        <f t="shared" si="2"/>
        <v>30</v>
      </c>
      <c r="P46" s="12"/>
      <c r="Q46" s="21">
        <v>21</v>
      </c>
      <c r="R46" s="23">
        <v>2.9742051436753529</v>
      </c>
      <c r="S46" s="12">
        <f t="shared" si="3"/>
        <v>33</v>
      </c>
      <c r="T46" s="12"/>
      <c r="U46" s="12">
        <v>6</v>
      </c>
      <c r="V46" s="21">
        <v>0.84977289819295798</v>
      </c>
      <c r="W46" s="12">
        <f t="shared" si="4"/>
        <v>30</v>
      </c>
      <c r="X46" s="12"/>
      <c r="Y46" s="19">
        <v>467</v>
      </c>
      <c r="Z46" s="37">
        <v>66.140657242685222</v>
      </c>
      <c r="AA46" s="13">
        <f t="shared" si="5"/>
        <v>25</v>
      </c>
      <c r="AB46" s="12"/>
    </row>
    <row r="47" spans="1:28" ht="3" customHeight="1" x14ac:dyDescent="0.3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row>
    <row r="48" spans="1:28" x14ac:dyDescent="0.35">
      <c r="B48" s="31" t="s">
        <v>69</v>
      </c>
      <c r="C48" s="29"/>
      <c r="D48" s="29"/>
      <c r="E48" s="29"/>
      <c r="F48" s="29"/>
      <c r="G48" s="29"/>
      <c r="H48" s="29"/>
      <c r="I48" s="29"/>
      <c r="J48" s="29"/>
      <c r="K48" s="29"/>
      <c r="L48" s="29"/>
      <c r="M48" s="29"/>
      <c r="N48" s="29"/>
      <c r="O48" s="29"/>
    </row>
    <row r="49" spans="2:15" x14ac:dyDescent="0.35">
      <c r="B49" s="29" t="s">
        <v>147</v>
      </c>
      <c r="C49" s="29"/>
      <c r="D49" s="29"/>
      <c r="E49" s="29"/>
      <c r="F49" s="29"/>
      <c r="G49" s="29"/>
      <c r="H49" s="29"/>
      <c r="I49" s="29"/>
      <c r="J49" s="29"/>
      <c r="K49" s="29"/>
      <c r="L49" s="29"/>
      <c r="M49" s="29"/>
      <c r="N49" s="29"/>
      <c r="O49" s="29"/>
    </row>
    <row r="50" spans="2:15" x14ac:dyDescent="0.35">
      <c r="B50" s="29" t="s">
        <v>148</v>
      </c>
      <c r="C50" s="29"/>
      <c r="D50" s="29"/>
      <c r="E50" s="29"/>
      <c r="F50" s="29"/>
      <c r="G50" s="29"/>
      <c r="H50" s="29"/>
      <c r="I50" s="29"/>
      <c r="J50" s="29"/>
      <c r="K50" s="29"/>
      <c r="L50" s="29"/>
      <c r="M50" s="29"/>
      <c r="N50" s="29"/>
      <c r="O50" s="29"/>
    </row>
    <row r="51" spans="2:15" x14ac:dyDescent="0.35">
      <c r="B51" s="29" t="s">
        <v>149</v>
      </c>
      <c r="C51" s="29"/>
      <c r="D51" s="29"/>
      <c r="E51" s="29"/>
      <c r="F51" s="29"/>
      <c r="G51" s="29"/>
      <c r="H51" s="29"/>
      <c r="I51" s="29"/>
      <c r="J51" s="29"/>
      <c r="K51" s="29"/>
      <c r="L51" s="29"/>
      <c r="M51" s="29"/>
      <c r="N51" s="29"/>
      <c r="O51" s="29"/>
    </row>
    <row r="52" spans="2:15" x14ac:dyDescent="0.35">
      <c r="B52" s="29" t="s">
        <v>150</v>
      </c>
      <c r="C52" s="29"/>
      <c r="D52" s="29"/>
      <c r="E52" s="29"/>
      <c r="F52" s="29"/>
      <c r="G52" s="29"/>
      <c r="H52" s="29"/>
      <c r="I52" s="29"/>
      <c r="J52" s="29"/>
      <c r="K52" s="29"/>
      <c r="L52" s="29"/>
      <c r="M52" s="29"/>
      <c r="N52" s="29"/>
      <c r="O52" s="29"/>
    </row>
    <row r="54" spans="2:15" x14ac:dyDescent="0.35">
      <c r="B54" s="4" t="s">
        <v>70</v>
      </c>
    </row>
    <row r="55" spans="2:15" x14ac:dyDescent="0.35">
      <c r="B55" s="30" t="s">
        <v>74</v>
      </c>
    </row>
    <row r="56" spans="2:15" x14ac:dyDescent="0.35">
      <c r="B56" s="29" t="s">
        <v>79</v>
      </c>
    </row>
    <row r="57" spans="2:15" x14ac:dyDescent="0.35">
      <c r="B57" s="30" t="s">
        <v>75</v>
      </c>
    </row>
  </sheetData>
  <mergeCells count="6">
    <mergeCell ref="Y2:AA2"/>
    <mergeCell ref="E2:G2"/>
    <mergeCell ref="I2:K2"/>
    <mergeCell ref="M2:O2"/>
    <mergeCell ref="Q2:S2"/>
    <mergeCell ref="U2:W2"/>
  </mergeCells>
  <hyperlinks>
    <hyperlink ref="B55" r:id="rId1" xr:uid="{00000000-0004-0000-0600-000000000000}"/>
    <hyperlink ref="B57" r:id="rId2" xr:uid="{00000000-0004-0000-0600-000001000000}"/>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autoPageBreaks="0"/>
  </sheetPr>
  <dimension ref="A1:AB56"/>
  <sheetViews>
    <sheetView showGridLines="0" workbookViewId="0">
      <pane xSplit="1" ySplit="4" topLeftCell="B19" activePane="bottomRight" state="frozen"/>
      <selection pane="topRight" activeCell="B1" sqref="B1"/>
      <selection pane="bottomLeft" activeCell="A5" sqref="A5"/>
      <selection pane="bottomRight" activeCell="C4" sqref="C4:C46"/>
    </sheetView>
  </sheetViews>
  <sheetFormatPr defaultRowHeight="15" x14ac:dyDescent="0.35"/>
  <cols>
    <col min="1" max="1" width="1.09765625" customWidth="1"/>
    <col min="2" max="2" width="24.59765625" customWidth="1"/>
    <col min="3" max="3" width="14.09765625" customWidth="1"/>
    <col min="4" max="4" width="1.09765625" customWidth="1"/>
    <col min="6" max="6" width="10.09765625" customWidth="1"/>
    <col min="8" max="8" width="1.09765625" customWidth="1"/>
    <col min="10" max="10" width="10.296875" customWidth="1"/>
    <col min="12" max="12" width="1.09765625" customWidth="1"/>
    <col min="14" max="14" width="10.09765625" customWidth="1"/>
    <col min="16" max="16" width="1.09765625" customWidth="1"/>
    <col min="18" max="18" width="10.69921875" customWidth="1"/>
    <col min="20" max="20" width="1.09765625" customWidth="1"/>
    <col min="22" max="22" width="10.3984375" customWidth="1"/>
    <col min="24" max="24" width="1.09765625" customWidth="1"/>
    <col min="26" max="26" width="11.8984375" customWidth="1"/>
    <col min="28" max="28" width="1.09765625" customWidth="1"/>
  </cols>
  <sheetData>
    <row r="1" spans="1:28" ht="22.2" x14ac:dyDescent="0.5">
      <c r="A1" s="16"/>
      <c r="B1" s="34" t="s">
        <v>159</v>
      </c>
      <c r="C1" s="35"/>
      <c r="D1" s="35"/>
      <c r="E1" s="35"/>
      <c r="F1" s="35"/>
      <c r="G1" s="35"/>
      <c r="H1" s="35"/>
      <c r="I1" s="35"/>
      <c r="J1" s="35"/>
      <c r="K1" s="35"/>
      <c r="L1" s="35"/>
      <c r="M1" s="35"/>
      <c r="N1" s="35"/>
      <c r="O1" s="16"/>
      <c r="P1" s="16"/>
      <c r="Q1" s="16"/>
      <c r="R1" s="16"/>
      <c r="S1" s="16"/>
      <c r="T1" s="16"/>
      <c r="U1" s="16"/>
      <c r="V1" s="16"/>
      <c r="W1" s="16"/>
      <c r="X1" s="16"/>
      <c r="Y1" s="16"/>
      <c r="Z1" s="16"/>
      <c r="AA1" s="16"/>
      <c r="AB1" s="16"/>
    </row>
    <row r="2" spans="1:28" ht="15.6" thickBot="1" x14ac:dyDescent="0.4">
      <c r="A2" s="14"/>
      <c r="B2" s="14"/>
      <c r="C2" s="14"/>
      <c r="D2" s="14"/>
      <c r="E2" s="157" t="s">
        <v>55</v>
      </c>
      <c r="F2" s="157"/>
      <c r="G2" s="157"/>
      <c r="H2" s="14"/>
      <c r="I2" s="157" t="s">
        <v>57</v>
      </c>
      <c r="J2" s="157"/>
      <c r="K2" s="157"/>
      <c r="L2" s="14"/>
      <c r="M2" s="157" t="s">
        <v>58</v>
      </c>
      <c r="N2" s="157"/>
      <c r="O2" s="157"/>
      <c r="P2" s="14"/>
      <c r="Q2" s="157" t="s">
        <v>59</v>
      </c>
      <c r="R2" s="157"/>
      <c r="S2" s="157"/>
      <c r="T2" s="14"/>
      <c r="U2" s="157" t="s">
        <v>60</v>
      </c>
      <c r="V2" s="157"/>
      <c r="W2" s="157"/>
      <c r="X2" s="14"/>
      <c r="Y2" s="158" t="s">
        <v>62</v>
      </c>
      <c r="Z2" s="158"/>
      <c r="AA2" s="158"/>
      <c r="AB2" s="14"/>
    </row>
    <row r="3" spans="1:28" ht="45" x14ac:dyDescent="0.35">
      <c r="A3" s="14"/>
      <c r="B3" s="14"/>
      <c r="C3" s="15" t="s">
        <v>160</v>
      </c>
      <c r="D3" s="14"/>
      <c r="E3" s="15" t="s">
        <v>56</v>
      </c>
      <c r="F3" s="15" t="s">
        <v>71</v>
      </c>
      <c r="G3" s="15" t="s">
        <v>65</v>
      </c>
      <c r="H3" s="15"/>
      <c r="I3" s="15" t="s">
        <v>56</v>
      </c>
      <c r="J3" s="15" t="s">
        <v>71</v>
      </c>
      <c r="K3" s="15" t="s">
        <v>66</v>
      </c>
      <c r="L3" s="14"/>
      <c r="M3" s="15" t="s">
        <v>56</v>
      </c>
      <c r="N3" s="15" t="s">
        <v>71</v>
      </c>
      <c r="O3" s="15" t="s">
        <v>65</v>
      </c>
      <c r="P3" s="14"/>
      <c r="Q3" s="15" t="s">
        <v>56</v>
      </c>
      <c r="R3" s="15" t="s">
        <v>71</v>
      </c>
      <c r="S3" s="15" t="s">
        <v>65</v>
      </c>
      <c r="T3" s="14"/>
      <c r="U3" s="15" t="s">
        <v>56</v>
      </c>
      <c r="V3" s="15" t="s">
        <v>71</v>
      </c>
      <c r="W3" s="15" t="s">
        <v>67</v>
      </c>
      <c r="X3" s="14"/>
      <c r="Y3" s="24" t="s">
        <v>56</v>
      </c>
      <c r="Z3" s="24" t="s">
        <v>71</v>
      </c>
      <c r="AA3" s="24" t="s">
        <v>65</v>
      </c>
      <c r="AB3" s="14"/>
    </row>
    <row r="4" spans="1:28" ht="16.2" x14ac:dyDescent="0.35">
      <c r="A4" s="13"/>
      <c r="B4" s="13" t="s">
        <v>161</v>
      </c>
      <c r="C4" s="19">
        <v>58381200</v>
      </c>
      <c r="D4" s="13"/>
      <c r="E4" s="19">
        <v>62685</v>
      </c>
      <c r="F4" s="37">
        <v>107.37186242623207</v>
      </c>
      <c r="G4" s="13"/>
      <c r="H4" s="13"/>
      <c r="I4" s="19">
        <v>5949</v>
      </c>
      <c r="J4" s="37">
        <v>10.189921186466531</v>
      </c>
      <c r="K4" s="13"/>
      <c r="L4" s="13"/>
      <c r="M4" s="19">
        <v>9157</v>
      </c>
      <c r="N4" s="37">
        <v>15.684839183808039</v>
      </c>
      <c r="O4" s="13"/>
      <c r="P4" s="13"/>
      <c r="Q4" s="19">
        <v>5558</v>
      </c>
      <c r="R4" s="37">
        <v>9.5201852335486592</v>
      </c>
      <c r="S4" s="13"/>
      <c r="T4" s="13"/>
      <c r="U4" s="19">
        <v>1248</v>
      </c>
      <c r="V4" s="20">
        <v>2.137673834377245</v>
      </c>
      <c r="W4" s="13"/>
      <c r="X4" s="12"/>
      <c r="Y4" s="19">
        <v>80393</v>
      </c>
      <c r="Z4" s="37">
        <f>Y4/C4*100000</f>
        <v>137.70357580865073</v>
      </c>
      <c r="AA4" s="13"/>
      <c r="AB4" s="12"/>
    </row>
    <row r="5" spans="1:28" x14ac:dyDescent="0.35">
      <c r="A5" s="12"/>
      <c r="B5" s="12" t="s">
        <v>8</v>
      </c>
      <c r="C5" s="21">
        <v>1682800</v>
      </c>
      <c r="D5" s="12"/>
      <c r="E5" s="21">
        <v>2071</v>
      </c>
      <c r="F5" s="23">
        <v>123.07001144533278</v>
      </c>
      <c r="G5" s="12">
        <f>RANK(F5,$F$5:$F$46,0)</f>
        <v>6</v>
      </c>
      <c r="H5" s="12"/>
      <c r="I5" s="21">
        <v>228</v>
      </c>
      <c r="J5" s="23">
        <v>13.548992085724709</v>
      </c>
      <c r="K5" s="12">
        <f>RANK(J5,$J$5:$J$46,0)</f>
        <v>3</v>
      </c>
      <c r="L5" s="12"/>
      <c r="M5" s="21">
        <v>369</v>
      </c>
      <c r="N5" s="23">
        <v>21.927974033475518</v>
      </c>
      <c r="O5" s="12">
        <f>RANK(N5,$N$5:$N$46,0)</f>
        <v>5</v>
      </c>
      <c r="P5" s="12"/>
      <c r="Q5" s="21">
        <v>366</v>
      </c>
      <c r="R5" s="23">
        <v>21.749697821821247</v>
      </c>
      <c r="S5" s="12">
        <f>RANK(R5,$R$5:$R$46,0)</f>
        <v>3</v>
      </c>
      <c r="T5" s="12"/>
      <c r="U5" s="21">
        <v>66</v>
      </c>
      <c r="V5" s="22">
        <v>3.9220766563939948</v>
      </c>
      <c r="W5" s="12">
        <f>RANK(V5,$V$5:$V$46,0)</f>
        <v>3</v>
      </c>
      <c r="X5" s="12"/>
      <c r="Y5" s="26">
        <v>2877</v>
      </c>
      <c r="Z5" s="37">
        <v>170.96688697644734</v>
      </c>
      <c r="AA5" s="13">
        <f>RANK(Z5,$Z$5:$Z$46,0)</f>
        <v>5</v>
      </c>
      <c r="AB5" s="12"/>
    </row>
    <row r="6" spans="1:28" x14ac:dyDescent="0.35">
      <c r="A6" s="12"/>
      <c r="B6" s="12" t="s">
        <v>9</v>
      </c>
      <c r="C6" s="21">
        <v>661500</v>
      </c>
      <c r="D6" s="12"/>
      <c r="E6" s="21">
        <v>516</v>
      </c>
      <c r="F6" s="23">
        <v>78.009370195280425</v>
      </c>
      <c r="G6" s="12">
        <f t="shared" ref="G6:G46" si="0">RANK(F6,$F$5:$F$46,0)</f>
        <v>23</v>
      </c>
      <c r="H6" s="12"/>
      <c r="I6" s="21">
        <v>28</v>
      </c>
      <c r="J6" s="23">
        <v>4.2330665997438999</v>
      </c>
      <c r="K6" s="12">
        <f t="shared" ref="K6:K46" si="1">RANK(J6,$J$5:$J$46,0)</f>
        <v>24</v>
      </c>
      <c r="L6" s="12"/>
      <c r="M6" s="21">
        <v>35</v>
      </c>
      <c r="N6" s="23">
        <v>5.291333249679874</v>
      </c>
      <c r="O6" s="12">
        <f t="shared" ref="O6:O46" si="2">RANK(N6,$N$5:$N$46,0)</f>
        <v>40</v>
      </c>
      <c r="P6" s="12"/>
      <c r="Q6" s="21">
        <v>43</v>
      </c>
      <c r="R6" s="23">
        <v>6.500780849606703</v>
      </c>
      <c r="S6" s="12">
        <f t="shared" ref="S6:S46" si="3">RANK(R6,$R$5:$R$46,0)</f>
        <v>29</v>
      </c>
      <c r="T6" s="12"/>
      <c r="U6" s="21">
        <v>8</v>
      </c>
      <c r="V6" s="22">
        <v>1.2094475999268284</v>
      </c>
      <c r="W6" s="12">
        <f t="shared" ref="W6:W46" si="4">RANK(V6,$V$5:$V$46,0)</f>
        <v>30</v>
      </c>
      <c r="X6" s="12"/>
      <c r="Y6" s="26">
        <v>609</v>
      </c>
      <c r="Z6" s="37">
        <v>92.06919854442981</v>
      </c>
      <c r="AA6" s="13">
        <f t="shared" ref="AA6:AA46" si="5">RANK(Z6,$Z$5:$Z$46,0)</f>
        <v>25</v>
      </c>
      <c r="AB6" s="12"/>
    </row>
    <row r="7" spans="1:28" x14ac:dyDescent="0.35">
      <c r="A7" s="12"/>
      <c r="B7" s="12" t="s">
        <v>11</v>
      </c>
      <c r="C7" s="21">
        <v>841300</v>
      </c>
      <c r="D7" s="12"/>
      <c r="E7" s="21">
        <v>785</v>
      </c>
      <c r="F7" s="23">
        <v>93.306866672213573</v>
      </c>
      <c r="G7" s="12">
        <f t="shared" si="0"/>
        <v>12</v>
      </c>
      <c r="H7" s="12"/>
      <c r="I7" s="21">
        <v>84</v>
      </c>
      <c r="J7" s="23">
        <v>9.9844290451795423</v>
      </c>
      <c r="K7" s="12">
        <f t="shared" si="1"/>
        <v>7</v>
      </c>
      <c r="L7" s="12"/>
      <c r="M7" s="21">
        <v>85</v>
      </c>
      <c r="N7" s="23">
        <v>10.103291295717394</v>
      </c>
      <c r="O7" s="12">
        <f t="shared" si="2"/>
        <v>29</v>
      </c>
      <c r="P7" s="12"/>
      <c r="Q7" s="21">
        <v>33</v>
      </c>
      <c r="R7" s="23">
        <v>3.9224542677491057</v>
      </c>
      <c r="S7" s="12">
        <f t="shared" si="3"/>
        <v>37</v>
      </c>
      <c r="T7" s="12"/>
      <c r="U7" s="21">
        <v>11</v>
      </c>
      <c r="V7" s="22">
        <v>1.3074847559163685</v>
      </c>
      <c r="W7" s="12">
        <f t="shared" si="4"/>
        <v>29</v>
      </c>
      <c r="X7" s="12"/>
      <c r="Y7" s="26">
        <v>962</v>
      </c>
      <c r="Z7" s="37">
        <v>114.34548501741332</v>
      </c>
      <c r="AA7" s="13">
        <f t="shared" si="5"/>
        <v>16</v>
      </c>
      <c r="AB7" s="12"/>
    </row>
    <row r="8" spans="1:28" x14ac:dyDescent="0.35">
      <c r="A8" s="12"/>
      <c r="B8" s="12" t="s">
        <v>12</v>
      </c>
      <c r="C8" s="21">
        <v>1049300</v>
      </c>
      <c r="D8" s="12"/>
      <c r="E8" s="21">
        <v>842</v>
      </c>
      <c r="F8" s="23">
        <v>80.243513331668737</v>
      </c>
      <c r="G8" s="12">
        <f t="shared" si="0"/>
        <v>20</v>
      </c>
      <c r="H8" s="12"/>
      <c r="I8" s="21">
        <v>50</v>
      </c>
      <c r="J8" s="23">
        <v>4.7650542358473125</v>
      </c>
      <c r="K8" s="12">
        <f t="shared" si="1"/>
        <v>19</v>
      </c>
      <c r="L8" s="12"/>
      <c r="M8" s="21">
        <v>148</v>
      </c>
      <c r="N8" s="23">
        <v>14.104560538108046</v>
      </c>
      <c r="O8" s="12">
        <f t="shared" si="2"/>
        <v>12</v>
      </c>
      <c r="P8" s="12"/>
      <c r="Q8" s="21">
        <v>107</v>
      </c>
      <c r="R8" s="23">
        <v>10.197216064713249</v>
      </c>
      <c r="S8" s="12">
        <f t="shared" si="3"/>
        <v>13</v>
      </c>
      <c r="T8" s="12"/>
      <c r="U8" s="21">
        <v>18</v>
      </c>
      <c r="V8" s="22">
        <v>1.7154195249050326</v>
      </c>
      <c r="W8" s="12">
        <f t="shared" si="4"/>
        <v>24</v>
      </c>
      <c r="X8" s="12"/>
      <c r="Y8" s="26">
        <v>1131</v>
      </c>
      <c r="Z8" s="37">
        <v>107.7855268148662</v>
      </c>
      <c r="AA8" s="13">
        <f t="shared" si="5"/>
        <v>19</v>
      </c>
      <c r="AB8" s="12"/>
    </row>
    <row r="9" spans="1:28" x14ac:dyDescent="0.35">
      <c r="A9" s="12"/>
      <c r="B9" s="12" t="s">
        <v>13</v>
      </c>
      <c r="C9" s="21">
        <v>564600</v>
      </c>
      <c r="D9" s="12"/>
      <c r="E9" s="21">
        <v>631</v>
      </c>
      <c r="F9" s="23">
        <v>111.75558999335841</v>
      </c>
      <c r="G9" s="12">
        <f t="shared" si="0"/>
        <v>7</v>
      </c>
      <c r="H9" s="12"/>
      <c r="I9" s="21">
        <v>16</v>
      </c>
      <c r="J9" s="23">
        <v>2.8337392074385654</v>
      </c>
      <c r="K9" s="12">
        <f t="shared" si="1"/>
        <v>33</v>
      </c>
      <c r="L9" s="12"/>
      <c r="M9" s="21">
        <v>64</v>
      </c>
      <c r="N9" s="23">
        <v>11.334956829754262</v>
      </c>
      <c r="O9" s="12">
        <f t="shared" si="2"/>
        <v>24</v>
      </c>
      <c r="P9" s="12"/>
      <c r="Q9" s="21">
        <v>39</v>
      </c>
      <c r="R9" s="23">
        <v>6.907239318131503</v>
      </c>
      <c r="S9" s="12">
        <f t="shared" si="3"/>
        <v>27</v>
      </c>
      <c r="T9" s="12"/>
      <c r="U9" s="21">
        <v>10</v>
      </c>
      <c r="V9" s="22">
        <v>1.7710870046491034</v>
      </c>
      <c r="W9" s="12">
        <f t="shared" si="4"/>
        <v>22</v>
      </c>
      <c r="X9" s="12"/>
      <c r="Y9" s="26">
        <v>754</v>
      </c>
      <c r="Z9" s="37">
        <v>133.53996015054238</v>
      </c>
      <c r="AA9" s="13">
        <f t="shared" si="5"/>
        <v>9</v>
      </c>
      <c r="AB9" s="12"/>
    </row>
    <row r="10" spans="1:28" x14ac:dyDescent="0.35">
      <c r="A10" s="12"/>
      <c r="B10" s="12" t="s">
        <v>14</v>
      </c>
      <c r="C10" s="21">
        <v>498800</v>
      </c>
      <c r="D10" s="12"/>
      <c r="E10" s="21">
        <v>198</v>
      </c>
      <c r="F10" s="23">
        <v>39.695825723296032</v>
      </c>
      <c r="G10" s="12">
        <f t="shared" si="0"/>
        <v>39</v>
      </c>
      <c r="H10" s="12"/>
      <c r="I10" s="21">
        <v>10</v>
      </c>
      <c r="J10" s="23">
        <v>2.0048396829947497</v>
      </c>
      <c r="K10" s="12">
        <f t="shared" si="1"/>
        <v>40</v>
      </c>
      <c r="L10" s="12"/>
      <c r="M10" s="21">
        <v>62</v>
      </c>
      <c r="N10" s="23">
        <v>12.430006034567446</v>
      </c>
      <c r="O10" s="12">
        <f t="shared" si="2"/>
        <v>18</v>
      </c>
      <c r="P10" s="12"/>
      <c r="Q10" s="21">
        <v>51</v>
      </c>
      <c r="R10" s="23">
        <v>10.224682383273221</v>
      </c>
      <c r="S10" s="12">
        <f t="shared" si="3"/>
        <v>12</v>
      </c>
      <c r="T10" s="12"/>
      <c r="U10" s="21">
        <v>14</v>
      </c>
      <c r="V10" s="22">
        <v>2.8067755561926493</v>
      </c>
      <c r="W10" s="12">
        <f t="shared" si="4"/>
        <v>7</v>
      </c>
      <c r="X10" s="12"/>
      <c r="Y10" s="26">
        <v>315</v>
      </c>
      <c r="Z10" s="37">
        <v>63.152450014334605</v>
      </c>
      <c r="AA10" s="13">
        <f t="shared" si="5"/>
        <v>35</v>
      </c>
      <c r="AB10" s="12"/>
    </row>
    <row r="11" spans="1:28" x14ac:dyDescent="0.35">
      <c r="A11" s="12"/>
      <c r="B11" s="12" t="s">
        <v>15</v>
      </c>
      <c r="C11" s="21">
        <v>1042900</v>
      </c>
      <c r="D11" s="12"/>
      <c r="E11" s="21">
        <v>469</v>
      </c>
      <c r="F11" s="23">
        <v>44.969159210959056</v>
      </c>
      <c r="G11" s="12">
        <f t="shared" si="0"/>
        <v>35</v>
      </c>
      <c r="H11" s="12"/>
      <c r="I11" s="21">
        <v>33</v>
      </c>
      <c r="J11" s="23">
        <v>3.1641412664427473</v>
      </c>
      <c r="K11" s="12">
        <f t="shared" si="1"/>
        <v>31</v>
      </c>
      <c r="L11" s="12"/>
      <c r="M11" s="21">
        <v>66</v>
      </c>
      <c r="N11" s="23">
        <v>6.3282825328854946</v>
      </c>
      <c r="O11" s="12">
        <f t="shared" si="2"/>
        <v>38</v>
      </c>
      <c r="P11" s="12"/>
      <c r="Q11" s="21">
        <v>40</v>
      </c>
      <c r="R11" s="23">
        <v>3.8353227472033304</v>
      </c>
      <c r="S11" s="12">
        <f t="shared" si="3"/>
        <v>39</v>
      </c>
      <c r="T11" s="12"/>
      <c r="U11" s="21">
        <v>10</v>
      </c>
      <c r="V11" s="22">
        <v>0.95883068680083261</v>
      </c>
      <c r="W11" s="12">
        <f t="shared" si="4"/>
        <v>34</v>
      </c>
      <c r="X11" s="12"/>
      <c r="Y11" s="26">
        <v>599</v>
      </c>
      <c r="Z11" s="37">
        <v>57.433958139369878</v>
      </c>
      <c r="AA11" s="13">
        <f t="shared" si="5"/>
        <v>38</v>
      </c>
      <c r="AB11" s="12"/>
    </row>
    <row r="12" spans="1:28" x14ac:dyDescent="0.35">
      <c r="A12" s="12"/>
      <c r="B12" s="12" t="s">
        <v>54</v>
      </c>
      <c r="C12" s="21">
        <v>1733000</v>
      </c>
      <c r="D12" s="12"/>
      <c r="E12" s="21">
        <v>740</v>
      </c>
      <c r="F12" s="23">
        <v>42.701012129395608</v>
      </c>
      <c r="G12" s="12">
        <f t="shared" si="0"/>
        <v>36</v>
      </c>
      <c r="H12" s="12"/>
      <c r="I12" s="21">
        <v>70</v>
      </c>
      <c r="J12" s="23">
        <v>4.0392849311590435</v>
      </c>
      <c r="K12" s="12">
        <f t="shared" si="1"/>
        <v>26</v>
      </c>
      <c r="L12" s="12"/>
      <c r="M12" s="21">
        <v>137</v>
      </c>
      <c r="N12" s="23">
        <v>7.9054576509826999</v>
      </c>
      <c r="O12" s="12">
        <f t="shared" si="2"/>
        <v>35</v>
      </c>
      <c r="P12" s="12"/>
      <c r="Q12" s="21">
        <v>105</v>
      </c>
      <c r="R12" s="23">
        <v>6.0589273967385662</v>
      </c>
      <c r="S12" s="12">
        <f t="shared" si="3"/>
        <v>32</v>
      </c>
      <c r="T12" s="12"/>
      <c r="U12" s="21">
        <v>27</v>
      </c>
      <c r="V12" s="22">
        <v>1.5580099020184883</v>
      </c>
      <c r="W12" s="12">
        <f t="shared" si="4"/>
        <v>27</v>
      </c>
      <c r="X12" s="12"/>
      <c r="Y12" s="26">
        <v>1031</v>
      </c>
      <c r="Z12" s="37">
        <v>59.492896628928207</v>
      </c>
      <c r="AA12" s="13">
        <f t="shared" si="5"/>
        <v>36</v>
      </c>
      <c r="AB12" s="12"/>
    </row>
    <row r="13" spans="1:28" x14ac:dyDescent="0.35">
      <c r="A13" s="12"/>
      <c r="B13" s="12" t="s">
        <v>17</v>
      </c>
      <c r="C13" s="21">
        <v>767300</v>
      </c>
      <c r="D13" s="12"/>
      <c r="E13" s="21">
        <v>320</v>
      </c>
      <c r="F13" s="23">
        <v>41.704841801805557</v>
      </c>
      <c r="G13" s="12">
        <f t="shared" si="0"/>
        <v>38</v>
      </c>
      <c r="H13" s="12"/>
      <c r="I13" s="21">
        <v>31</v>
      </c>
      <c r="J13" s="23">
        <v>4.0401565495499137</v>
      </c>
      <c r="K13" s="12">
        <f t="shared" si="1"/>
        <v>25</v>
      </c>
      <c r="L13" s="12"/>
      <c r="M13" s="21">
        <v>62</v>
      </c>
      <c r="N13" s="23">
        <v>8.0803130990998273</v>
      </c>
      <c r="O13" s="12">
        <f t="shared" si="2"/>
        <v>34</v>
      </c>
      <c r="P13" s="12"/>
      <c r="Q13" s="21">
        <v>36</v>
      </c>
      <c r="R13" s="23">
        <v>4.6917947027031257</v>
      </c>
      <c r="S13" s="12">
        <f t="shared" si="3"/>
        <v>35</v>
      </c>
      <c r="T13" s="12"/>
      <c r="U13" s="21">
        <v>9</v>
      </c>
      <c r="V13" s="22">
        <v>1.1729486756757814</v>
      </c>
      <c r="W13" s="12">
        <f t="shared" si="4"/>
        <v>31</v>
      </c>
      <c r="X13" s="12"/>
      <c r="Y13" s="26">
        <v>443</v>
      </c>
      <c r="Z13" s="37">
        <v>57.73514036937457</v>
      </c>
      <c r="AA13" s="13">
        <f t="shared" si="5"/>
        <v>37</v>
      </c>
      <c r="AB13" s="12"/>
    </row>
    <row r="14" spans="1:28" x14ac:dyDescent="0.35">
      <c r="A14" s="12"/>
      <c r="B14" s="12" t="s">
        <v>18</v>
      </c>
      <c r="C14" s="21">
        <v>628100</v>
      </c>
      <c r="D14" s="12"/>
      <c r="E14" s="21">
        <v>341</v>
      </c>
      <c r="F14" s="23">
        <v>54.290458730494834</v>
      </c>
      <c r="G14" s="12">
        <f t="shared" si="0"/>
        <v>32</v>
      </c>
      <c r="H14" s="12"/>
      <c r="I14" s="21">
        <v>45</v>
      </c>
      <c r="J14" s="23">
        <v>7.1644300377485859</v>
      </c>
      <c r="K14" s="12">
        <f t="shared" si="1"/>
        <v>13</v>
      </c>
      <c r="L14" s="12"/>
      <c r="M14" s="21">
        <v>91</v>
      </c>
      <c r="N14" s="23">
        <v>14.488069631891584</v>
      </c>
      <c r="O14" s="12">
        <f t="shared" si="2"/>
        <v>11</v>
      </c>
      <c r="P14" s="12"/>
      <c r="Q14" s="21">
        <v>61</v>
      </c>
      <c r="R14" s="23">
        <v>9.7117829400591944</v>
      </c>
      <c r="S14" s="12">
        <f t="shared" si="3"/>
        <v>14</v>
      </c>
      <c r="T14" s="12"/>
      <c r="U14" s="21">
        <v>6</v>
      </c>
      <c r="V14" s="22">
        <v>0.95525733836647819</v>
      </c>
      <c r="W14" s="12">
        <f t="shared" si="4"/>
        <v>36</v>
      </c>
      <c r="X14" s="12"/>
      <c r="Y14" s="26">
        <v>509</v>
      </c>
      <c r="Z14" s="37">
        <v>81.037664204756226</v>
      </c>
      <c r="AA14" s="13">
        <f t="shared" si="5"/>
        <v>28</v>
      </c>
      <c r="AB14" s="12"/>
    </row>
    <row r="15" spans="1:28" x14ac:dyDescent="0.35">
      <c r="A15" s="12"/>
      <c r="B15" s="12" t="s">
        <v>19</v>
      </c>
      <c r="C15" s="21">
        <v>516000</v>
      </c>
      <c r="D15" s="12"/>
      <c r="E15" s="21">
        <v>107</v>
      </c>
      <c r="F15" s="23">
        <v>20.736715420558031</v>
      </c>
      <c r="G15" s="12">
        <f t="shared" si="0"/>
        <v>42</v>
      </c>
      <c r="H15" s="12"/>
      <c r="I15" s="21">
        <v>10</v>
      </c>
      <c r="J15" s="23">
        <v>1.9380107869680403</v>
      </c>
      <c r="K15" s="12">
        <f t="shared" si="1"/>
        <v>41</v>
      </c>
      <c r="L15" s="12"/>
      <c r="M15" s="21">
        <v>35</v>
      </c>
      <c r="N15" s="23">
        <v>6.7830377543881406</v>
      </c>
      <c r="O15" s="12">
        <f t="shared" si="2"/>
        <v>37</v>
      </c>
      <c r="P15" s="12"/>
      <c r="Q15" s="21">
        <v>20</v>
      </c>
      <c r="R15" s="23">
        <v>3.8760215739360806</v>
      </c>
      <c r="S15" s="12">
        <f t="shared" si="3"/>
        <v>38</v>
      </c>
      <c r="T15" s="12"/>
      <c r="U15" s="21">
        <v>3</v>
      </c>
      <c r="V15" s="22">
        <v>0.58140323609041211</v>
      </c>
      <c r="W15" s="12">
        <f t="shared" si="4"/>
        <v>40</v>
      </c>
      <c r="X15" s="12"/>
      <c r="Y15" s="26">
        <v>168</v>
      </c>
      <c r="Z15" s="37">
        <v>32.558581221063079</v>
      </c>
      <c r="AA15" s="13">
        <f t="shared" si="5"/>
        <v>42</v>
      </c>
      <c r="AB15" s="12"/>
    </row>
    <row r="16" spans="1:28" x14ac:dyDescent="0.35">
      <c r="A16" s="12"/>
      <c r="B16" s="12" t="s">
        <v>20</v>
      </c>
      <c r="C16" s="21">
        <v>1806900</v>
      </c>
      <c r="D16" s="12"/>
      <c r="E16" s="21">
        <v>1440</v>
      </c>
      <c r="F16" s="23">
        <v>79.692563798324684</v>
      </c>
      <c r="G16" s="12">
        <f t="shared" si="0"/>
        <v>22</v>
      </c>
      <c r="H16" s="12"/>
      <c r="I16" s="21">
        <v>126</v>
      </c>
      <c r="J16" s="23">
        <v>6.9730993323534101</v>
      </c>
      <c r="K16" s="12">
        <f t="shared" si="1"/>
        <v>14</v>
      </c>
      <c r="L16" s="12"/>
      <c r="M16" s="21">
        <v>186</v>
      </c>
      <c r="N16" s="23">
        <v>10.293622823950271</v>
      </c>
      <c r="O16" s="12">
        <f t="shared" si="2"/>
        <v>28</v>
      </c>
      <c r="P16" s="12"/>
      <c r="Q16" s="21">
        <v>187</v>
      </c>
      <c r="R16" s="23">
        <v>10.348964882143553</v>
      </c>
      <c r="S16" s="12">
        <f t="shared" si="3"/>
        <v>11</v>
      </c>
      <c r="T16" s="12"/>
      <c r="U16" s="21">
        <v>34</v>
      </c>
      <c r="V16" s="22">
        <v>1.8816299785715549</v>
      </c>
      <c r="W16" s="12">
        <f t="shared" si="4"/>
        <v>17</v>
      </c>
      <c r="X16" s="12"/>
      <c r="Y16" s="26">
        <v>1928</v>
      </c>
      <c r="Z16" s="37">
        <v>106.69948819664583</v>
      </c>
      <c r="AA16" s="13">
        <f t="shared" si="5"/>
        <v>20</v>
      </c>
      <c r="AB16" s="12"/>
    </row>
    <row r="17" spans="1:28" x14ac:dyDescent="0.35">
      <c r="A17" s="12"/>
      <c r="B17" s="12" t="s">
        <v>21</v>
      </c>
      <c r="C17" s="21">
        <v>623100</v>
      </c>
      <c r="D17" s="12"/>
      <c r="E17" s="21">
        <v>263</v>
      </c>
      <c r="F17" s="23">
        <v>42.208719711632597</v>
      </c>
      <c r="G17" s="12">
        <f t="shared" si="0"/>
        <v>37</v>
      </c>
      <c r="H17" s="12"/>
      <c r="I17" s="21">
        <v>21</v>
      </c>
      <c r="J17" s="23">
        <v>3.3702779997881542</v>
      </c>
      <c r="K17" s="12">
        <f t="shared" si="1"/>
        <v>29</v>
      </c>
      <c r="L17" s="12"/>
      <c r="M17" s="21">
        <v>35</v>
      </c>
      <c r="N17" s="23">
        <v>5.6171299996469228</v>
      </c>
      <c r="O17" s="12">
        <f t="shared" si="2"/>
        <v>39</v>
      </c>
      <c r="P17" s="12"/>
      <c r="Q17" s="21">
        <v>26</v>
      </c>
      <c r="R17" s="23">
        <v>4.1727251425948575</v>
      </c>
      <c r="S17" s="12">
        <f t="shared" si="3"/>
        <v>36</v>
      </c>
      <c r="T17" s="12"/>
      <c r="U17" s="21">
        <v>4</v>
      </c>
      <c r="V17" s="22">
        <v>0.64195771424536263</v>
      </c>
      <c r="W17" s="12">
        <f t="shared" si="4"/>
        <v>38</v>
      </c>
      <c r="X17" s="12"/>
      <c r="Y17" s="26">
        <v>343</v>
      </c>
      <c r="Z17" s="37">
        <v>55.047873996539849</v>
      </c>
      <c r="AA17" s="13">
        <f t="shared" si="5"/>
        <v>39</v>
      </c>
      <c r="AB17" s="12"/>
    </row>
    <row r="18" spans="1:28" x14ac:dyDescent="0.35">
      <c r="A18" s="12"/>
      <c r="B18" s="12" t="s">
        <v>22</v>
      </c>
      <c r="C18" s="21">
        <v>2780800</v>
      </c>
      <c r="D18" s="12"/>
      <c r="E18" s="21">
        <v>4391</v>
      </c>
      <c r="F18" s="23">
        <v>157.9017017855011</v>
      </c>
      <c r="G18" s="12">
        <f t="shared" si="0"/>
        <v>3</v>
      </c>
      <c r="H18" s="12"/>
      <c r="I18" s="21">
        <v>765</v>
      </c>
      <c r="J18" s="23">
        <v>27.509633765863892</v>
      </c>
      <c r="K18" s="12">
        <f t="shared" si="1"/>
        <v>1</v>
      </c>
      <c r="L18" s="12"/>
      <c r="M18" s="21">
        <v>588</v>
      </c>
      <c r="N18" s="23">
        <v>21.144659678860087</v>
      </c>
      <c r="O18" s="12">
        <f t="shared" si="2"/>
        <v>6</v>
      </c>
      <c r="P18" s="12"/>
      <c r="Q18" s="21">
        <v>304</v>
      </c>
      <c r="R18" s="23">
        <v>10.93193289519297</v>
      </c>
      <c r="S18" s="12">
        <f t="shared" si="3"/>
        <v>10</v>
      </c>
      <c r="T18" s="12"/>
      <c r="U18" s="21">
        <v>53</v>
      </c>
      <c r="V18" s="22">
        <v>1.9058961955435114</v>
      </c>
      <c r="W18" s="12">
        <f t="shared" si="4"/>
        <v>16</v>
      </c>
      <c r="X18" s="12"/>
      <c r="Y18" s="26">
        <v>5496</v>
      </c>
      <c r="Z18" s="37">
        <v>197.63783944730449</v>
      </c>
      <c r="AA18" s="13">
        <f t="shared" si="5"/>
        <v>4</v>
      </c>
      <c r="AB18" s="12"/>
    </row>
    <row r="19" spans="1:28" x14ac:dyDescent="0.35">
      <c r="A19" s="12"/>
      <c r="B19" s="12" t="s">
        <v>23</v>
      </c>
      <c r="C19" s="21">
        <v>584800</v>
      </c>
      <c r="D19" s="12"/>
      <c r="E19" s="21">
        <v>282</v>
      </c>
      <c r="F19" s="23">
        <v>48.219058155261948</v>
      </c>
      <c r="G19" s="12">
        <f t="shared" si="0"/>
        <v>34</v>
      </c>
      <c r="H19" s="12"/>
      <c r="I19" s="21">
        <v>7</v>
      </c>
      <c r="J19" s="23">
        <v>1.1969269754852256</v>
      </c>
      <c r="K19" s="12">
        <f t="shared" si="1"/>
        <v>42</v>
      </c>
      <c r="L19" s="12"/>
      <c r="M19" s="21">
        <v>63</v>
      </c>
      <c r="N19" s="23">
        <v>10.77234277936703</v>
      </c>
      <c r="O19" s="12">
        <f t="shared" si="2"/>
        <v>25</v>
      </c>
      <c r="P19" s="12"/>
      <c r="Q19" s="21">
        <v>46</v>
      </c>
      <c r="R19" s="23">
        <v>7.8655201246171975</v>
      </c>
      <c r="S19" s="12">
        <f t="shared" si="3"/>
        <v>19</v>
      </c>
      <c r="T19" s="12"/>
      <c r="U19" s="21">
        <v>10</v>
      </c>
      <c r="V19" s="22">
        <v>1.7098956792646081</v>
      </c>
      <c r="W19" s="12">
        <f t="shared" si="4"/>
        <v>25</v>
      </c>
      <c r="X19" s="12"/>
      <c r="Y19" s="26">
        <v>408</v>
      </c>
      <c r="Z19" s="37">
        <v>69.763743713996007</v>
      </c>
      <c r="AA19" s="13">
        <f t="shared" si="5"/>
        <v>33</v>
      </c>
      <c r="AB19" s="12"/>
    </row>
    <row r="20" spans="1:28" x14ac:dyDescent="0.35">
      <c r="A20" s="12"/>
      <c r="B20" s="12" t="s">
        <v>24</v>
      </c>
      <c r="C20" s="21">
        <v>1969100</v>
      </c>
      <c r="D20" s="12"/>
      <c r="E20" s="21">
        <v>1646</v>
      </c>
      <c r="F20" s="23">
        <v>83.592379990848514</v>
      </c>
      <c r="G20" s="12">
        <f t="shared" si="0"/>
        <v>17</v>
      </c>
      <c r="H20" s="12"/>
      <c r="I20" s="21">
        <v>162</v>
      </c>
      <c r="J20" s="23">
        <v>8.2271965726108505</v>
      </c>
      <c r="K20" s="12">
        <f t="shared" si="1"/>
        <v>10</v>
      </c>
      <c r="L20" s="12"/>
      <c r="M20" s="21">
        <v>305</v>
      </c>
      <c r="N20" s="23">
        <v>15.48947502868092</v>
      </c>
      <c r="O20" s="12">
        <f t="shared" si="2"/>
        <v>9</v>
      </c>
      <c r="P20" s="12"/>
      <c r="Q20" s="21">
        <v>155</v>
      </c>
      <c r="R20" s="23">
        <v>7.8717004244116149</v>
      </c>
      <c r="S20" s="12">
        <f t="shared" si="3"/>
        <v>18</v>
      </c>
      <c r="T20" s="12"/>
      <c r="U20" s="21">
        <v>65</v>
      </c>
      <c r="V20" s="22">
        <v>3.3010356618500327</v>
      </c>
      <c r="W20" s="12">
        <f t="shared" si="4"/>
        <v>5</v>
      </c>
      <c r="X20" s="12"/>
      <c r="Y20" s="26">
        <v>2231</v>
      </c>
      <c r="Z20" s="37">
        <v>113.30170094749882</v>
      </c>
      <c r="AA20" s="13">
        <f t="shared" si="5"/>
        <v>17</v>
      </c>
      <c r="AB20" s="12"/>
    </row>
    <row r="21" spans="1:28" x14ac:dyDescent="0.35">
      <c r="A21" s="12"/>
      <c r="B21" s="12" t="s">
        <v>25</v>
      </c>
      <c r="C21" s="21">
        <v>1176400</v>
      </c>
      <c r="D21" s="12"/>
      <c r="E21" s="21">
        <v>1130</v>
      </c>
      <c r="F21" s="23">
        <v>96.05690649157674</v>
      </c>
      <c r="G21" s="12">
        <f t="shared" si="0"/>
        <v>11</v>
      </c>
      <c r="H21" s="12"/>
      <c r="I21" s="21">
        <v>55</v>
      </c>
      <c r="J21" s="23">
        <v>4.6753361566696645</v>
      </c>
      <c r="K21" s="12">
        <f t="shared" si="1"/>
        <v>20</v>
      </c>
      <c r="L21" s="12"/>
      <c r="M21" s="21">
        <v>118</v>
      </c>
      <c r="N21" s="23">
        <v>10.030721208854917</v>
      </c>
      <c r="O21" s="12">
        <f t="shared" si="2"/>
        <v>30</v>
      </c>
      <c r="P21" s="12"/>
      <c r="Q21" s="21">
        <v>99</v>
      </c>
      <c r="R21" s="23">
        <v>8.4156050820053956</v>
      </c>
      <c r="S21" s="12">
        <f t="shared" si="3"/>
        <v>17</v>
      </c>
      <c r="T21" s="12"/>
      <c r="U21" s="21">
        <v>20</v>
      </c>
      <c r="V21" s="22">
        <v>1.7001222387889687</v>
      </c>
      <c r="W21" s="12">
        <f t="shared" si="4"/>
        <v>26</v>
      </c>
      <c r="X21" s="12"/>
      <c r="Y21" s="27">
        <v>1376</v>
      </c>
      <c r="Z21" s="37">
        <v>116.96841002868106</v>
      </c>
      <c r="AA21" s="13">
        <f t="shared" si="5"/>
        <v>14</v>
      </c>
      <c r="AB21" s="12"/>
    </row>
    <row r="22" spans="1:28" x14ac:dyDescent="0.35">
      <c r="A22" s="12"/>
      <c r="B22" s="12" t="s">
        <v>26</v>
      </c>
      <c r="C22" s="21">
        <v>928500</v>
      </c>
      <c r="D22" s="12"/>
      <c r="E22" s="21">
        <v>641</v>
      </c>
      <c r="F22" s="23">
        <v>69.038012911508559</v>
      </c>
      <c r="G22" s="12">
        <f t="shared" si="0"/>
        <v>25</v>
      </c>
      <c r="H22" s="12"/>
      <c r="I22" s="21">
        <v>30</v>
      </c>
      <c r="J22" s="23">
        <v>3.2311082485885443</v>
      </c>
      <c r="K22" s="12">
        <f t="shared" si="1"/>
        <v>30</v>
      </c>
      <c r="L22" s="12"/>
      <c r="M22" s="21">
        <v>106</v>
      </c>
      <c r="N22" s="23">
        <v>11.416582478346189</v>
      </c>
      <c r="O22" s="12">
        <f t="shared" si="2"/>
        <v>23</v>
      </c>
      <c r="P22" s="12"/>
      <c r="Q22" s="21">
        <v>70</v>
      </c>
      <c r="R22" s="23">
        <v>7.5392525800399364</v>
      </c>
      <c r="S22" s="12">
        <f t="shared" si="3"/>
        <v>25</v>
      </c>
      <c r="T22" s="12"/>
      <c r="U22" s="21">
        <v>25</v>
      </c>
      <c r="V22" s="22">
        <v>2.6925902071571204</v>
      </c>
      <c r="W22" s="12">
        <f t="shared" si="4"/>
        <v>8</v>
      </c>
      <c r="X22" s="12"/>
      <c r="Y22" s="27">
        <v>852</v>
      </c>
      <c r="Z22" s="37">
        <v>91.763474259914659</v>
      </c>
      <c r="AA22" s="13">
        <f t="shared" si="5"/>
        <v>26</v>
      </c>
      <c r="AB22" s="12"/>
    </row>
    <row r="23" spans="1:28" x14ac:dyDescent="0.35">
      <c r="A23" s="12"/>
      <c r="B23" s="12" t="s">
        <v>27</v>
      </c>
      <c r="C23" s="21">
        <v>1817400</v>
      </c>
      <c r="D23" s="12"/>
      <c r="E23" s="21">
        <v>1466</v>
      </c>
      <c r="F23" s="23">
        <v>80.664907738823985</v>
      </c>
      <c r="G23" s="12">
        <f t="shared" si="0"/>
        <v>19</v>
      </c>
      <c r="H23" s="12"/>
      <c r="I23" s="21">
        <v>70</v>
      </c>
      <c r="J23" s="23">
        <v>3.8516668088115131</v>
      </c>
      <c r="K23" s="12">
        <f t="shared" si="1"/>
        <v>27</v>
      </c>
      <c r="L23" s="12"/>
      <c r="M23" s="21">
        <v>253</v>
      </c>
      <c r="N23" s="23">
        <v>13.921024323275898</v>
      </c>
      <c r="O23" s="12">
        <f t="shared" si="2"/>
        <v>15</v>
      </c>
      <c r="P23" s="12"/>
      <c r="Q23" s="21">
        <v>159</v>
      </c>
      <c r="R23" s="23">
        <v>8.7487860371575792</v>
      </c>
      <c r="S23" s="12">
        <f t="shared" si="3"/>
        <v>16</v>
      </c>
      <c r="T23" s="12"/>
      <c r="U23" s="21">
        <v>35</v>
      </c>
      <c r="V23" s="22">
        <v>1.9258334044057566</v>
      </c>
      <c r="W23" s="12">
        <f t="shared" si="4"/>
        <v>15</v>
      </c>
      <c r="X23" s="12"/>
      <c r="Y23" s="27">
        <v>1927</v>
      </c>
      <c r="Z23" s="37">
        <v>106.03088486542552</v>
      </c>
      <c r="AA23" s="13">
        <f t="shared" si="5"/>
        <v>22</v>
      </c>
      <c r="AB23" s="12"/>
    </row>
    <row r="24" spans="1:28" x14ac:dyDescent="0.35">
      <c r="A24" s="12"/>
      <c r="B24" s="12" t="s">
        <v>28</v>
      </c>
      <c r="C24" s="21">
        <v>1483900</v>
      </c>
      <c r="D24" s="12"/>
      <c r="E24" s="21">
        <v>817</v>
      </c>
      <c r="F24" s="23">
        <v>55.058991295018473</v>
      </c>
      <c r="G24" s="12">
        <f t="shared" si="0"/>
        <v>31</v>
      </c>
      <c r="H24" s="12"/>
      <c r="I24" s="21">
        <v>68</v>
      </c>
      <c r="J24" s="23">
        <v>4.5826333024005583</v>
      </c>
      <c r="K24" s="12">
        <f t="shared" si="1"/>
        <v>21</v>
      </c>
      <c r="L24" s="12"/>
      <c r="M24" s="21">
        <v>132</v>
      </c>
      <c r="N24" s="23">
        <v>8.8956999399540244</v>
      </c>
      <c r="O24" s="12">
        <f t="shared" si="2"/>
        <v>33</v>
      </c>
      <c r="P24" s="12"/>
      <c r="Q24" s="21">
        <v>96</v>
      </c>
      <c r="R24" s="23">
        <v>6.4695999563302005</v>
      </c>
      <c r="S24" s="12">
        <f t="shared" si="3"/>
        <v>30</v>
      </c>
      <c r="T24" s="12"/>
      <c r="U24" s="21">
        <v>27</v>
      </c>
      <c r="V24" s="22">
        <v>1.8195749877178686</v>
      </c>
      <c r="W24" s="12">
        <f t="shared" si="4"/>
        <v>21</v>
      </c>
      <c r="X24" s="12"/>
      <c r="Y24" s="27">
        <v>1076</v>
      </c>
      <c r="Z24" s="37">
        <v>72.513432843867662</v>
      </c>
      <c r="AA24" s="13">
        <f t="shared" si="5"/>
        <v>32</v>
      </c>
      <c r="AB24" s="12"/>
    </row>
    <row r="25" spans="1:28" x14ac:dyDescent="0.35">
      <c r="A25" s="12"/>
      <c r="B25" s="12" t="s">
        <v>29</v>
      </c>
      <c r="C25" s="21">
        <v>1068900</v>
      </c>
      <c r="D25" s="12"/>
      <c r="E25" s="21">
        <v>882</v>
      </c>
      <c r="F25" s="23">
        <v>82.512573344509647</v>
      </c>
      <c r="G25" s="12">
        <f t="shared" si="0"/>
        <v>18</v>
      </c>
      <c r="H25" s="12"/>
      <c r="I25" s="21">
        <v>128</v>
      </c>
      <c r="J25" s="23">
        <v>11.974613818704347</v>
      </c>
      <c r="K25" s="12">
        <f t="shared" si="1"/>
        <v>5</v>
      </c>
      <c r="L25" s="12"/>
      <c r="M25" s="21">
        <v>141</v>
      </c>
      <c r="N25" s="23">
        <v>13.190785534666507</v>
      </c>
      <c r="O25" s="12">
        <f t="shared" si="2"/>
        <v>17</v>
      </c>
      <c r="P25" s="12"/>
      <c r="Q25" s="21">
        <v>70</v>
      </c>
      <c r="R25" s="23">
        <v>6.5486169321039398</v>
      </c>
      <c r="S25" s="12">
        <f t="shared" si="3"/>
        <v>28</v>
      </c>
      <c r="T25" s="12"/>
      <c r="U25" s="21">
        <v>16</v>
      </c>
      <c r="V25" s="22">
        <v>1.4968267273380433</v>
      </c>
      <c r="W25" s="12">
        <f t="shared" si="4"/>
        <v>28</v>
      </c>
      <c r="X25" s="12"/>
      <c r="Y25" s="27">
        <v>1136</v>
      </c>
      <c r="Z25" s="37">
        <v>106.27469764100108</v>
      </c>
      <c r="AA25" s="13">
        <f t="shared" si="5"/>
        <v>21</v>
      </c>
      <c r="AB25" s="12"/>
    </row>
    <row r="26" spans="1:28" x14ac:dyDescent="0.35">
      <c r="A26" s="12"/>
      <c r="B26" s="12" t="s">
        <v>30</v>
      </c>
      <c r="C26" s="21">
        <v>744800</v>
      </c>
      <c r="D26" s="12"/>
      <c r="E26" s="21">
        <v>256</v>
      </c>
      <c r="F26" s="23">
        <v>34.371135764643647</v>
      </c>
      <c r="G26" s="12">
        <f t="shared" si="0"/>
        <v>40</v>
      </c>
      <c r="H26" s="12"/>
      <c r="I26" s="21">
        <v>33</v>
      </c>
      <c r="J26" s="23">
        <v>4.4306542196610952</v>
      </c>
      <c r="K26" s="12">
        <f t="shared" si="1"/>
        <v>22</v>
      </c>
      <c r="L26" s="12"/>
      <c r="M26" s="21">
        <v>33</v>
      </c>
      <c r="N26" s="23">
        <v>4.4306542196610952</v>
      </c>
      <c r="O26" s="12">
        <f t="shared" si="2"/>
        <v>42</v>
      </c>
      <c r="P26" s="12"/>
      <c r="Q26" s="21">
        <v>57</v>
      </c>
      <c r="R26" s="23">
        <v>7.6529481975964373</v>
      </c>
      <c r="S26" s="12">
        <f t="shared" si="3"/>
        <v>22</v>
      </c>
      <c r="T26" s="12"/>
      <c r="U26" s="21">
        <v>36</v>
      </c>
      <c r="V26" s="22">
        <v>4.8334409669030132</v>
      </c>
      <c r="W26" s="12">
        <f t="shared" si="4"/>
        <v>2</v>
      </c>
      <c r="X26" s="12"/>
      <c r="Y26" s="27">
        <v>376</v>
      </c>
      <c r="Z26" s="37">
        <v>50.482605654320359</v>
      </c>
      <c r="AA26" s="13">
        <f t="shared" si="5"/>
        <v>40</v>
      </c>
      <c r="AB26" s="12"/>
    </row>
    <row r="27" spans="1:28" ht="13.5" customHeight="1" x14ac:dyDescent="0.35">
      <c r="A27" s="12"/>
      <c r="B27" s="12" t="s">
        <v>32</v>
      </c>
      <c r="C27" s="21">
        <v>1411200</v>
      </c>
      <c r="D27" s="12"/>
      <c r="E27" s="21">
        <v>2161</v>
      </c>
      <c r="F27" s="23">
        <v>153.13696936197655</v>
      </c>
      <c r="G27" s="12">
        <f t="shared" si="0"/>
        <v>4</v>
      </c>
      <c r="H27" s="12"/>
      <c r="I27" s="21">
        <v>107</v>
      </c>
      <c r="J27" s="23">
        <v>7.5824413335175791</v>
      </c>
      <c r="K27" s="12">
        <f t="shared" si="1"/>
        <v>12</v>
      </c>
      <c r="L27" s="12"/>
      <c r="M27" s="21">
        <v>377</v>
      </c>
      <c r="N27" s="23">
        <v>26.715704511552591</v>
      </c>
      <c r="O27" s="12">
        <f t="shared" si="2"/>
        <v>1</v>
      </c>
      <c r="P27" s="12"/>
      <c r="Q27" s="21">
        <v>282</v>
      </c>
      <c r="R27" s="23">
        <v>19.983630430392125</v>
      </c>
      <c r="S27" s="12">
        <f t="shared" si="3"/>
        <v>4</v>
      </c>
      <c r="T27" s="12"/>
      <c r="U27" s="21">
        <v>47</v>
      </c>
      <c r="V27" s="22">
        <v>3.330605071732021</v>
      </c>
      <c r="W27" s="12">
        <f t="shared" si="4"/>
        <v>4</v>
      </c>
      <c r="X27" s="12"/>
      <c r="Y27" s="27">
        <v>2871</v>
      </c>
      <c r="Z27" s="37">
        <v>203.45036512643895</v>
      </c>
      <c r="AA27" s="13">
        <f t="shared" si="5"/>
        <v>3</v>
      </c>
      <c r="AB27" s="12"/>
    </row>
    <row r="28" spans="1:28" x14ac:dyDescent="0.35">
      <c r="A28" s="12"/>
      <c r="B28" s="12" t="s">
        <v>33</v>
      </c>
      <c r="C28" s="21">
        <v>8769700</v>
      </c>
      <c r="D28" s="12"/>
      <c r="E28" s="21">
        <v>16016</v>
      </c>
      <c r="F28" s="23">
        <v>182.62967807528204</v>
      </c>
      <c r="G28" s="12">
        <f t="shared" si="0"/>
        <v>1</v>
      </c>
      <c r="H28" s="12"/>
      <c r="I28" s="21">
        <v>2116</v>
      </c>
      <c r="J28" s="23">
        <v>24.128646279176877</v>
      </c>
      <c r="K28" s="12">
        <f t="shared" si="1"/>
        <v>2</v>
      </c>
      <c r="L28" s="12"/>
      <c r="M28" s="21">
        <v>2054</v>
      </c>
      <c r="N28" s="23">
        <v>23.421663259654679</v>
      </c>
      <c r="O28" s="12">
        <f t="shared" si="2"/>
        <v>3</v>
      </c>
      <c r="P28" s="12"/>
      <c r="Q28" s="21">
        <v>667</v>
      </c>
      <c r="R28" s="23">
        <v>7.605768935827494</v>
      </c>
      <c r="S28" s="12">
        <f t="shared" si="3"/>
        <v>24</v>
      </c>
      <c r="T28" s="12"/>
      <c r="U28" s="21">
        <v>203</v>
      </c>
      <c r="V28" s="22">
        <v>2.3147992413388025</v>
      </c>
      <c r="W28" s="12">
        <f t="shared" si="4"/>
        <v>12</v>
      </c>
      <c r="X28" s="12"/>
      <c r="Y28" s="27">
        <v>19844</v>
      </c>
      <c r="Z28" s="37">
        <v>226.28017805481375</v>
      </c>
      <c r="AA28" s="13">
        <f t="shared" si="5"/>
        <v>1</v>
      </c>
      <c r="AB28" s="12"/>
    </row>
    <row r="29" spans="1:28" x14ac:dyDescent="0.35">
      <c r="A29" s="12"/>
      <c r="B29" s="12" t="s">
        <v>34</v>
      </c>
      <c r="C29" s="21">
        <v>891700</v>
      </c>
      <c r="D29" s="12"/>
      <c r="E29" s="21">
        <v>517</v>
      </c>
      <c r="F29" s="23">
        <v>57.97712538871027</v>
      </c>
      <c r="G29" s="12">
        <f t="shared" si="0"/>
        <v>30</v>
      </c>
      <c r="H29" s="12"/>
      <c r="I29" s="21">
        <v>47</v>
      </c>
      <c r="J29" s="23">
        <v>5.2706477626100252</v>
      </c>
      <c r="K29" s="12">
        <f t="shared" si="1"/>
        <v>17</v>
      </c>
      <c r="L29" s="12"/>
      <c r="M29" s="21">
        <v>135</v>
      </c>
      <c r="N29" s="23">
        <v>15.139094637284115</v>
      </c>
      <c r="O29" s="12">
        <f t="shared" si="2"/>
        <v>10</v>
      </c>
      <c r="P29" s="12"/>
      <c r="Q29" s="21">
        <v>349</v>
      </c>
      <c r="R29" s="23">
        <v>39.137363173423374</v>
      </c>
      <c r="S29" s="12">
        <f t="shared" si="3"/>
        <v>1</v>
      </c>
      <c r="T29" s="12"/>
      <c r="U29" s="21">
        <v>24</v>
      </c>
      <c r="V29" s="22">
        <v>2.6913946021838422</v>
      </c>
      <c r="W29" s="12">
        <f t="shared" si="4"/>
        <v>9</v>
      </c>
      <c r="X29" s="12"/>
      <c r="Y29" s="27">
        <v>1081</v>
      </c>
      <c r="Z29" s="37">
        <v>121.22489854003057</v>
      </c>
      <c r="AA29" s="13">
        <f t="shared" si="5"/>
        <v>11</v>
      </c>
      <c r="AB29" s="12"/>
    </row>
    <row r="30" spans="1:28" x14ac:dyDescent="0.35">
      <c r="A30" s="12"/>
      <c r="B30" s="12" t="s">
        <v>35</v>
      </c>
      <c r="C30" s="21">
        <v>694800</v>
      </c>
      <c r="D30" s="12"/>
      <c r="E30" s="21">
        <v>336</v>
      </c>
      <c r="F30" s="23">
        <v>48.357430493389714</v>
      </c>
      <c r="G30" s="12">
        <f t="shared" si="0"/>
        <v>33</v>
      </c>
      <c r="H30" s="12"/>
      <c r="I30" s="21">
        <v>16</v>
      </c>
      <c r="J30" s="23">
        <v>2.3027347853995099</v>
      </c>
      <c r="K30" s="12">
        <f t="shared" si="1"/>
        <v>38</v>
      </c>
      <c r="L30" s="12"/>
      <c r="M30" s="21">
        <v>63</v>
      </c>
      <c r="N30" s="23">
        <v>9.0670182175105722</v>
      </c>
      <c r="O30" s="12">
        <f t="shared" si="2"/>
        <v>32</v>
      </c>
      <c r="P30" s="12"/>
      <c r="Q30" s="21">
        <v>54</v>
      </c>
      <c r="R30" s="23">
        <v>7.7717299007233471</v>
      </c>
      <c r="S30" s="12">
        <f t="shared" si="3"/>
        <v>20</v>
      </c>
      <c r="T30" s="12"/>
      <c r="U30" s="21">
        <v>8</v>
      </c>
      <c r="V30" s="22">
        <v>1.151367392699755</v>
      </c>
      <c r="W30" s="12">
        <f t="shared" si="4"/>
        <v>32</v>
      </c>
      <c r="X30" s="12"/>
      <c r="Y30" s="27">
        <v>465</v>
      </c>
      <c r="Z30" s="37">
        <v>66.923229700673261</v>
      </c>
      <c r="AA30" s="13">
        <f t="shared" si="5"/>
        <v>34</v>
      </c>
      <c r="AB30" s="12"/>
    </row>
    <row r="31" spans="1:28" x14ac:dyDescent="0.35">
      <c r="A31" s="12"/>
      <c r="B31" s="12" t="s">
        <v>36</v>
      </c>
      <c r="C31" s="21">
        <v>816500</v>
      </c>
      <c r="D31" s="12"/>
      <c r="E31" s="21">
        <v>235</v>
      </c>
      <c r="F31" s="23">
        <v>28.782864519669104</v>
      </c>
      <c r="G31" s="12">
        <f t="shared" si="0"/>
        <v>41</v>
      </c>
      <c r="H31" s="12"/>
      <c r="I31" s="21">
        <v>20</v>
      </c>
      <c r="J31" s="23">
        <v>2.4496054910356686</v>
      </c>
      <c r="K31" s="12">
        <f t="shared" si="1"/>
        <v>37</v>
      </c>
      <c r="L31" s="12"/>
      <c r="M31" s="21">
        <v>39</v>
      </c>
      <c r="N31" s="23">
        <v>4.7767307075195538</v>
      </c>
      <c r="O31" s="12">
        <f t="shared" si="2"/>
        <v>41</v>
      </c>
      <c r="P31" s="12"/>
      <c r="Q31" s="21">
        <v>28</v>
      </c>
      <c r="R31" s="23">
        <v>3.4294476874499362</v>
      </c>
      <c r="S31" s="12">
        <f t="shared" si="3"/>
        <v>41</v>
      </c>
      <c r="T31" s="12"/>
      <c r="U31" s="21">
        <v>0</v>
      </c>
      <c r="V31" s="22">
        <v>0</v>
      </c>
      <c r="W31" s="12">
        <f t="shared" si="4"/>
        <v>42</v>
      </c>
      <c r="X31" s="12"/>
      <c r="Y31" s="27">
        <v>317</v>
      </c>
      <c r="Z31" s="37">
        <v>38.826247032915347</v>
      </c>
      <c r="AA31" s="13">
        <f t="shared" si="5"/>
        <v>41</v>
      </c>
      <c r="AB31" s="12"/>
    </row>
    <row r="32" spans="1:28" x14ac:dyDescent="0.35">
      <c r="A32" s="12"/>
      <c r="B32" s="12" t="s">
        <v>37</v>
      </c>
      <c r="C32" s="21">
        <v>732500</v>
      </c>
      <c r="D32" s="12"/>
      <c r="E32" s="21">
        <v>425</v>
      </c>
      <c r="F32" s="23">
        <v>58.02428008934374</v>
      </c>
      <c r="G32" s="12">
        <f t="shared" si="0"/>
        <v>29</v>
      </c>
      <c r="H32" s="12"/>
      <c r="I32" s="21">
        <v>38</v>
      </c>
      <c r="J32" s="23">
        <v>5.1880532785766169</v>
      </c>
      <c r="K32" s="12">
        <f t="shared" si="1"/>
        <v>18</v>
      </c>
      <c r="L32" s="12"/>
      <c r="M32" s="21">
        <v>77</v>
      </c>
      <c r="N32" s="23">
        <v>10.512634275010512</v>
      </c>
      <c r="O32" s="12">
        <f t="shared" si="2"/>
        <v>27</v>
      </c>
      <c r="P32" s="12"/>
      <c r="Q32" s="21">
        <v>56</v>
      </c>
      <c r="R32" s="23">
        <v>7.6455522000076446</v>
      </c>
      <c r="S32" s="12">
        <f t="shared" si="3"/>
        <v>23</v>
      </c>
      <c r="T32" s="12"/>
      <c r="U32" s="21">
        <v>7</v>
      </c>
      <c r="V32" s="22">
        <v>0.95569402500095557</v>
      </c>
      <c r="W32" s="12">
        <f t="shared" si="4"/>
        <v>35</v>
      </c>
      <c r="X32" s="12"/>
      <c r="Y32" s="27">
        <v>583</v>
      </c>
      <c r="Z32" s="37">
        <v>79.59565951079388</v>
      </c>
      <c r="AA32" s="13">
        <f t="shared" si="5"/>
        <v>29</v>
      </c>
      <c r="AB32" s="12"/>
    </row>
    <row r="33" spans="1:28" x14ac:dyDescent="0.35">
      <c r="A33" s="12"/>
      <c r="B33" s="12" t="s">
        <v>38</v>
      </c>
      <c r="C33" s="21">
        <v>1443900</v>
      </c>
      <c r="D33" s="12"/>
      <c r="E33" s="21">
        <v>1609</v>
      </c>
      <c r="F33" s="23">
        <v>111.43731979740433</v>
      </c>
      <c r="G33" s="12">
        <f t="shared" si="0"/>
        <v>8</v>
      </c>
      <c r="H33" s="12"/>
      <c r="I33" s="21">
        <v>161</v>
      </c>
      <c r="J33" s="23">
        <v>11.150657854184026</v>
      </c>
      <c r="K33" s="12">
        <f t="shared" si="1"/>
        <v>6</v>
      </c>
      <c r="L33" s="12"/>
      <c r="M33" s="21">
        <v>243</v>
      </c>
      <c r="N33" s="23">
        <v>16.829874897929926</v>
      </c>
      <c r="O33" s="12">
        <f t="shared" si="2"/>
        <v>8</v>
      </c>
      <c r="P33" s="12"/>
      <c r="Q33" s="21">
        <v>218</v>
      </c>
      <c r="R33" s="23">
        <v>15.098406287031784</v>
      </c>
      <c r="S33" s="12">
        <f t="shared" si="3"/>
        <v>6</v>
      </c>
      <c r="T33" s="12"/>
      <c r="U33" s="21">
        <v>44</v>
      </c>
      <c r="V33" s="22">
        <v>3.0473847551807274</v>
      </c>
      <c r="W33" s="12">
        <f t="shared" si="4"/>
        <v>6</v>
      </c>
      <c r="X33" s="12"/>
      <c r="Y33" s="27">
        <v>2187</v>
      </c>
      <c r="Z33" s="37">
        <v>151.46887408136934</v>
      </c>
      <c r="AA33" s="13">
        <f t="shared" si="5"/>
        <v>6</v>
      </c>
      <c r="AB33" s="12"/>
    </row>
    <row r="34" spans="1:28" x14ac:dyDescent="0.35">
      <c r="A34" s="12"/>
      <c r="B34" s="12" t="s">
        <v>39</v>
      </c>
      <c r="C34" s="21">
        <v>1136300</v>
      </c>
      <c r="D34" s="12"/>
      <c r="E34" s="21">
        <v>980</v>
      </c>
      <c r="F34" s="23">
        <v>86.247713995539755</v>
      </c>
      <c r="G34" s="12">
        <f t="shared" si="0"/>
        <v>15</v>
      </c>
      <c r="H34" s="12"/>
      <c r="I34" s="21">
        <v>68</v>
      </c>
      <c r="J34" s="23">
        <v>5.9845352568333716</v>
      </c>
      <c r="K34" s="12">
        <f t="shared" si="1"/>
        <v>16</v>
      </c>
      <c r="L34" s="12"/>
      <c r="M34" s="21">
        <v>153</v>
      </c>
      <c r="N34" s="23">
        <v>13.465204327875085</v>
      </c>
      <c r="O34" s="12">
        <f t="shared" si="2"/>
        <v>16</v>
      </c>
      <c r="P34" s="12"/>
      <c r="Q34" s="21">
        <v>84</v>
      </c>
      <c r="R34" s="23">
        <v>7.3926611996176943</v>
      </c>
      <c r="S34" s="12">
        <f t="shared" si="3"/>
        <v>26</v>
      </c>
      <c r="T34" s="12"/>
      <c r="U34" s="21">
        <v>12</v>
      </c>
      <c r="V34" s="22">
        <v>1.056094457088242</v>
      </c>
      <c r="W34" s="12">
        <f t="shared" si="4"/>
        <v>33</v>
      </c>
      <c r="X34" s="12"/>
      <c r="Y34" s="27">
        <v>1264</v>
      </c>
      <c r="Z34" s="37">
        <v>111.24194947996148</v>
      </c>
      <c r="AA34" s="13">
        <f t="shared" si="5"/>
        <v>18</v>
      </c>
      <c r="AB34" s="12"/>
    </row>
    <row r="35" spans="1:28" x14ac:dyDescent="0.35">
      <c r="A35" s="12"/>
      <c r="B35" s="12" t="s">
        <v>40</v>
      </c>
      <c r="C35" s="21">
        <v>1317500</v>
      </c>
      <c r="D35" s="12"/>
      <c r="E35" s="21">
        <v>1355</v>
      </c>
      <c r="F35" s="23">
        <v>102.84629981024668</v>
      </c>
      <c r="G35" s="12">
        <f t="shared" si="0"/>
        <v>9</v>
      </c>
      <c r="H35" s="12"/>
      <c r="I35" s="21">
        <v>90</v>
      </c>
      <c r="J35" s="23">
        <v>6.8311195445920303</v>
      </c>
      <c r="K35" s="12">
        <f t="shared" si="1"/>
        <v>15</v>
      </c>
      <c r="L35" s="12"/>
      <c r="M35" s="21">
        <v>300</v>
      </c>
      <c r="N35" s="23">
        <v>22.770398481973434</v>
      </c>
      <c r="O35" s="12">
        <f t="shared" si="2"/>
        <v>4</v>
      </c>
      <c r="P35" s="12"/>
      <c r="Q35" s="21">
        <v>218</v>
      </c>
      <c r="R35" s="23">
        <v>16.546489563567363</v>
      </c>
      <c r="S35" s="12">
        <f t="shared" si="3"/>
        <v>5</v>
      </c>
      <c r="T35" s="12"/>
      <c r="U35" s="21">
        <v>24</v>
      </c>
      <c r="V35" s="22">
        <v>1.8216318785578749</v>
      </c>
      <c r="W35" s="12">
        <f t="shared" si="4"/>
        <v>20</v>
      </c>
      <c r="X35" s="12"/>
      <c r="Y35" s="27">
        <v>1900</v>
      </c>
      <c r="Z35" s="37">
        <v>144.21252371916509</v>
      </c>
      <c r="AA35" s="13">
        <f t="shared" si="5"/>
        <v>8</v>
      </c>
      <c r="AB35" s="12"/>
    </row>
    <row r="36" spans="1:28" x14ac:dyDescent="0.35">
      <c r="A36" s="12"/>
      <c r="B36" s="12" t="s">
        <v>41</v>
      </c>
      <c r="C36" s="21">
        <v>1385400</v>
      </c>
      <c r="D36" s="12"/>
      <c r="E36" s="21">
        <v>1288</v>
      </c>
      <c r="F36" s="23">
        <v>92.968667105043764</v>
      </c>
      <c r="G36" s="12">
        <f t="shared" si="0"/>
        <v>13</v>
      </c>
      <c r="H36" s="12"/>
      <c r="I36" s="21">
        <v>39</v>
      </c>
      <c r="J36" s="23">
        <v>2.8150450443297412</v>
      </c>
      <c r="K36" s="12">
        <f t="shared" si="1"/>
        <v>34</v>
      </c>
      <c r="L36" s="12"/>
      <c r="M36" s="21">
        <v>168</v>
      </c>
      <c r="N36" s="23">
        <v>12.126347883266579</v>
      </c>
      <c r="O36" s="12">
        <f t="shared" si="2"/>
        <v>21</v>
      </c>
      <c r="P36" s="12"/>
      <c r="Q36" s="21">
        <v>107</v>
      </c>
      <c r="R36" s="23">
        <v>7.7233287113662135</v>
      </c>
      <c r="S36" s="12">
        <f t="shared" si="3"/>
        <v>21</v>
      </c>
      <c r="T36" s="12"/>
      <c r="U36" s="21">
        <v>26</v>
      </c>
      <c r="V36" s="22">
        <v>1.8766966962198277</v>
      </c>
      <c r="W36" s="12">
        <f t="shared" si="4"/>
        <v>18</v>
      </c>
      <c r="X36" s="12"/>
      <c r="Y36" s="27">
        <v>1591</v>
      </c>
      <c r="Z36" s="37">
        <v>114.83940168022099</v>
      </c>
      <c r="AA36" s="13">
        <f t="shared" si="5"/>
        <v>15</v>
      </c>
      <c r="AB36" s="12"/>
    </row>
    <row r="37" spans="1:28" x14ac:dyDescent="0.35">
      <c r="A37" s="12"/>
      <c r="B37" s="12" t="s">
        <v>42</v>
      </c>
      <c r="C37" s="21">
        <v>1120100</v>
      </c>
      <c r="D37" s="12"/>
      <c r="E37" s="21">
        <v>1096</v>
      </c>
      <c r="F37" s="23">
        <v>97.849367327060619</v>
      </c>
      <c r="G37" s="12">
        <f t="shared" si="0"/>
        <v>10</v>
      </c>
      <c r="H37" s="12"/>
      <c r="I37" s="21">
        <v>30</v>
      </c>
      <c r="J37" s="23">
        <v>2.6783585947188127</v>
      </c>
      <c r="K37" s="12">
        <f t="shared" si="1"/>
        <v>36</v>
      </c>
      <c r="L37" s="12"/>
      <c r="M37" s="21">
        <v>156</v>
      </c>
      <c r="N37" s="23">
        <v>13.927464692537825</v>
      </c>
      <c r="O37" s="12">
        <f t="shared" si="2"/>
        <v>14</v>
      </c>
      <c r="P37" s="12"/>
      <c r="Q37" s="21">
        <v>149</v>
      </c>
      <c r="R37" s="23">
        <v>13.302514353770103</v>
      </c>
      <c r="S37" s="12">
        <f t="shared" si="3"/>
        <v>8</v>
      </c>
      <c r="T37" s="12"/>
      <c r="U37" s="21">
        <v>24</v>
      </c>
      <c r="V37" s="22">
        <v>2.1426868757750501</v>
      </c>
      <c r="W37" s="12">
        <f t="shared" si="4"/>
        <v>14</v>
      </c>
      <c r="X37" s="12"/>
      <c r="Y37" s="27">
        <v>1412</v>
      </c>
      <c r="Z37" s="37">
        <v>126.06141119143211</v>
      </c>
      <c r="AA37" s="13">
        <f t="shared" si="5"/>
        <v>10</v>
      </c>
      <c r="AB37" s="12"/>
    </row>
    <row r="38" spans="1:28" x14ac:dyDescent="0.35">
      <c r="A38" s="12"/>
      <c r="B38" s="12" t="s">
        <v>43</v>
      </c>
      <c r="C38" s="21">
        <v>751200</v>
      </c>
      <c r="D38" s="12"/>
      <c r="E38" s="21">
        <v>457</v>
      </c>
      <c r="F38" s="23">
        <v>60.838020434652378</v>
      </c>
      <c r="G38" s="12">
        <f t="shared" si="0"/>
        <v>28</v>
      </c>
      <c r="H38" s="12"/>
      <c r="I38" s="21">
        <v>33</v>
      </c>
      <c r="J38" s="23">
        <v>4.3931174493293845</v>
      </c>
      <c r="K38" s="12">
        <f t="shared" si="1"/>
        <v>23</v>
      </c>
      <c r="L38" s="12"/>
      <c r="M38" s="21">
        <v>93</v>
      </c>
      <c r="N38" s="23">
        <v>12.380603720837355</v>
      </c>
      <c r="O38" s="12">
        <f t="shared" si="2"/>
        <v>19</v>
      </c>
      <c r="P38" s="12"/>
      <c r="Q38" s="21">
        <v>200</v>
      </c>
      <c r="R38" s="23">
        <v>26.624954238359901</v>
      </c>
      <c r="S38" s="12">
        <f t="shared" si="3"/>
        <v>2</v>
      </c>
      <c r="T38" s="12"/>
      <c r="U38" s="21">
        <v>13</v>
      </c>
      <c r="V38" s="22">
        <v>1.7306220254933937</v>
      </c>
      <c r="W38" s="12">
        <f t="shared" si="4"/>
        <v>23</v>
      </c>
      <c r="X38" s="12"/>
      <c r="Y38" s="27">
        <v>796</v>
      </c>
      <c r="Z38" s="37">
        <v>105.96731786867242</v>
      </c>
      <c r="AA38" s="13">
        <f t="shared" si="5"/>
        <v>23</v>
      </c>
      <c r="AB38" s="12"/>
    </row>
    <row r="39" spans="1:28" x14ac:dyDescent="0.35">
      <c r="A39" s="12"/>
      <c r="B39" s="12" t="s">
        <v>44</v>
      </c>
      <c r="C39" s="21">
        <v>1181000</v>
      </c>
      <c r="D39" s="12"/>
      <c r="E39" s="21">
        <v>1055</v>
      </c>
      <c r="F39" s="23">
        <v>89.334403652633966</v>
      </c>
      <c r="G39" s="12">
        <f t="shared" si="0"/>
        <v>14</v>
      </c>
      <c r="H39" s="12"/>
      <c r="I39" s="21">
        <v>90</v>
      </c>
      <c r="J39" s="23">
        <v>7.6209443874284908</v>
      </c>
      <c r="K39" s="12">
        <f t="shared" si="1"/>
        <v>11</v>
      </c>
      <c r="L39" s="12"/>
      <c r="M39" s="21">
        <v>166</v>
      </c>
      <c r="N39" s="23">
        <v>14.056408536812549</v>
      </c>
      <c r="O39" s="12">
        <f t="shared" si="2"/>
        <v>13</v>
      </c>
      <c r="P39" s="12"/>
      <c r="Q39" s="21">
        <v>111</v>
      </c>
      <c r="R39" s="23">
        <v>9.3991647444951365</v>
      </c>
      <c r="S39" s="12">
        <f t="shared" si="3"/>
        <v>15</v>
      </c>
      <c r="T39" s="12"/>
      <c r="U39" s="21">
        <v>30</v>
      </c>
      <c r="V39" s="22">
        <v>2.5403147958094969</v>
      </c>
      <c r="W39" s="12">
        <f t="shared" si="4"/>
        <v>11</v>
      </c>
      <c r="X39" s="12"/>
      <c r="Y39" s="26">
        <v>1393</v>
      </c>
      <c r="Z39" s="37">
        <v>117.95528368542095</v>
      </c>
      <c r="AA39" s="13">
        <f t="shared" si="5"/>
        <v>13</v>
      </c>
      <c r="AB39" s="12"/>
    </row>
    <row r="40" spans="1:28" x14ac:dyDescent="0.35">
      <c r="A40" s="12"/>
      <c r="B40" s="12" t="s">
        <v>45</v>
      </c>
      <c r="C40" s="21">
        <v>1683600</v>
      </c>
      <c r="D40" s="12"/>
      <c r="E40" s="21">
        <v>1437</v>
      </c>
      <c r="F40" s="23">
        <v>85.351902866327151</v>
      </c>
      <c r="G40" s="12">
        <f t="shared" si="0"/>
        <v>16</v>
      </c>
      <c r="H40" s="12"/>
      <c r="I40" s="21">
        <v>147</v>
      </c>
      <c r="J40" s="23">
        <v>8.7311967441545519</v>
      </c>
      <c r="K40" s="12">
        <f t="shared" si="1"/>
        <v>8</v>
      </c>
      <c r="L40" s="12"/>
      <c r="M40" s="21">
        <v>335</v>
      </c>
      <c r="N40" s="23">
        <v>19.897625233277385</v>
      </c>
      <c r="O40" s="12">
        <f t="shared" si="2"/>
        <v>7</v>
      </c>
      <c r="P40" s="12"/>
      <c r="Q40" s="21">
        <v>188</v>
      </c>
      <c r="R40" s="23">
        <v>11.166428489122829</v>
      </c>
      <c r="S40" s="12">
        <f t="shared" si="3"/>
        <v>9</v>
      </c>
      <c r="T40" s="12"/>
      <c r="U40" s="21">
        <v>83</v>
      </c>
      <c r="V40" s="22">
        <v>4.9298593861552922</v>
      </c>
      <c r="W40" s="12">
        <f t="shared" si="4"/>
        <v>1</v>
      </c>
      <c r="X40" s="12"/>
      <c r="Y40" s="26">
        <v>2006</v>
      </c>
      <c r="Z40" s="37">
        <v>119.14816781478935</v>
      </c>
      <c r="AA40" s="13">
        <f t="shared" si="5"/>
        <v>12</v>
      </c>
      <c r="AB40" s="12"/>
    </row>
    <row r="41" spans="1:28" x14ac:dyDescent="0.35">
      <c r="A41" s="12"/>
      <c r="B41" s="12" t="s">
        <v>46</v>
      </c>
      <c r="C41" s="21">
        <v>2379300</v>
      </c>
      <c r="D41" s="12"/>
      <c r="E41" s="21">
        <v>1474</v>
      </c>
      <c r="F41" s="23">
        <v>61.951020027327374</v>
      </c>
      <c r="G41" s="12">
        <f t="shared" si="0"/>
        <v>27</v>
      </c>
      <c r="H41" s="12"/>
      <c r="I41" s="21">
        <v>81</v>
      </c>
      <c r="J41" s="23">
        <v>3.4043640584894961</v>
      </c>
      <c r="K41" s="12">
        <f t="shared" si="1"/>
        <v>28</v>
      </c>
      <c r="L41" s="12"/>
      <c r="M41" s="21">
        <v>168</v>
      </c>
      <c r="N41" s="23">
        <v>7.0609032324226586</v>
      </c>
      <c r="O41" s="12">
        <f t="shared" si="2"/>
        <v>36</v>
      </c>
      <c r="P41" s="12"/>
      <c r="Q41" s="21">
        <v>112</v>
      </c>
      <c r="R41" s="23">
        <v>4.7072688216151057</v>
      </c>
      <c r="S41" s="12">
        <f t="shared" si="3"/>
        <v>34</v>
      </c>
      <c r="T41" s="12"/>
      <c r="U41" s="21">
        <v>14</v>
      </c>
      <c r="V41" s="22">
        <v>0.58840860270188822</v>
      </c>
      <c r="W41" s="12">
        <f t="shared" si="4"/>
        <v>39</v>
      </c>
      <c r="X41" s="12"/>
      <c r="Y41" s="26">
        <v>1775</v>
      </c>
      <c r="Z41" s="37">
        <v>74.601804985417971</v>
      </c>
      <c r="AA41" s="13">
        <f t="shared" si="5"/>
        <v>31</v>
      </c>
      <c r="AB41" s="12"/>
    </row>
    <row r="42" spans="1:28" x14ac:dyDescent="0.35">
      <c r="A42" s="12"/>
      <c r="B42" s="12" t="s">
        <v>47</v>
      </c>
      <c r="C42" s="21">
        <v>559000</v>
      </c>
      <c r="D42" s="12"/>
      <c r="E42" s="21">
        <v>448</v>
      </c>
      <c r="F42" s="23">
        <v>80.144403040478281</v>
      </c>
      <c r="G42" s="12">
        <f t="shared" si="0"/>
        <v>21</v>
      </c>
      <c r="H42" s="12"/>
      <c r="I42" s="21">
        <v>15</v>
      </c>
      <c r="J42" s="23">
        <v>2.6834063518017284</v>
      </c>
      <c r="K42" s="12">
        <f t="shared" si="1"/>
        <v>35</v>
      </c>
      <c r="L42" s="12"/>
      <c r="M42" s="21">
        <v>60</v>
      </c>
      <c r="N42" s="23">
        <v>10.733625407206913</v>
      </c>
      <c r="O42" s="12">
        <f t="shared" si="2"/>
        <v>26</v>
      </c>
      <c r="P42" s="12"/>
      <c r="Q42" s="21">
        <v>31</v>
      </c>
      <c r="R42" s="23">
        <v>5.5457064603902388</v>
      </c>
      <c r="S42" s="12">
        <f t="shared" si="3"/>
        <v>33</v>
      </c>
      <c r="T42" s="12"/>
      <c r="U42" s="21">
        <v>2</v>
      </c>
      <c r="V42" s="22">
        <v>0.35778751357356381</v>
      </c>
      <c r="W42" s="12">
        <f t="shared" si="4"/>
        <v>41</v>
      </c>
      <c r="X42" s="12"/>
      <c r="Y42" s="26">
        <v>539</v>
      </c>
      <c r="Z42" s="37">
        <v>96.423734908075431</v>
      </c>
      <c r="AA42" s="13">
        <f t="shared" si="5"/>
        <v>24</v>
      </c>
      <c r="AB42" s="12"/>
    </row>
    <row r="43" spans="1:28" x14ac:dyDescent="0.35">
      <c r="A43" s="12"/>
      <c r="B43" s="12" t="s">
        <v>48</v>
      </c>
      <c r="C43" s="21">
        <v>1261100</v>
      </c>
      <c r="D43" s="12"/>
      <c r="E43" s="21">
        <v>903</v>
      </c>
      <c r="F43" s="23">
        <v>71.601770458838104</v>
      </c>
      <c r="G43" s="12">
        <f t="shared" si="0"/>
        <v>24</v>
      </c>
      <c r="H43" s="12"/>
      <c r="I43" s="21">
        <v>28</v>
      </c>
      <c r="J43" s="23">
        <v>2.2202099367081582</v>
      </c>
      <c r="K43" s="12">
        <f t="shared" si="1"/>
        <v>39</v>
      </c>
      <c r="L43" s="12"/>
      <c r="M43" s="21">
        <v>154</v>
      </c>
      <c r="N43" s="23">
        <v>12.211154651894869</v>
      </c>
      <c r="O43" s="12">
        <f t="shared" si="2"/>
        <v>20</v>
      </c>
      <c r="P43" s="12"/>
      <c r="Q43" s="21">
        <v>77</v>
      </c>
      <c r="R43" s="23">
        <v>6.1055773259474346</v>
      </c>
      <c r="S43" s="12">
        <f t="shared" si="3"/>
        <v>31</v>
      </c>
      <c r="T43" s="12"/>
      <c r="U43" s="21">
        <v>23</v>
      </c>
      <c r="V43" s="22">
        <v>1.8237438765817013</v>
      </c>
      <c r="W43" s="12">
        <f t="shared" si="4"/>
        <v>19</v>
      </c>
      <c r="X43" s="12"/>
      <c r="Y43" s="26">
        <v>1152</v>
      </c>
      <c r="Z43" s="37">
        <v>91.345780253135644</v>
      </c>
      <c r="AA43" s="13">
        <f t="shared" si="5"/>
        <v>27</v>
      </c>
      <c r="AB43" s="12"/>
    </row>
    <row r="44" spans="1:28" x14ac:dyDescent="0.35">
      <c r="A44" s="12"/>
      <c r="B44" s="12" t="s">
        <v>7</v>
      </c>
      <c r="C44" s="21">
        <v>2870600</v>
      </c>
      <c r="D44" s="12"/>
      <c r="E44" s="21">
        <v>3843</v>
      </c>
      <c r="F44" s="23">
        <v>133.87673655684921</v>
      </c>
      <c r="G44" s="12">
        <f t="shared" si="0"/>
        <v>5</v>
      </c>
      <c r="H44" s="12"/>
      <c r="I44" s="21">
        <v>242</v>
      </c>
      <c r="J44" s="23">
        <v>8.430437222679549</v>
      </c>
      <c r="K44" s="12">
        <f t="shared" si="1"/>
        <v>9</v>
      </c>
      <c r="L44" s="12"/>
      <c r="M44" s="21">
        <v>348</v>
      </c>
      <c r="N44" s="23">
        <v>12.123108072282987</v>
      </c>
      <c r="O44" s="12">
        <f t="shared" si="2"/>
        <v>22</v>
      </c>
      <c r="P44" s="12"/>
      <c r="Q44" s="21">
        <v>41</v>
      </c>
      <c r="R44" s="23">
        <v>1.4282972154126508</v>
      </c>
      <c r="S44" s="12">
        <f t="shared" si="3"/>
        <v>42</v>
      </c>
      <c r="T44" s="12"/>
      <c r="U44" s="21">
        <v>62</v>
      </c>
      <c r="V44" s="22">
        <v>2.1598640818435206</v>
      </c>
      <c r="W44" s="12">
        <f t="shared" si="4"/>
        <v>13</v>
      </c>
      <c r="X44" s="12"/>
      <c r="Y44" s="26">
        <v>4244</v>
      </c>
      <c r="Z44" s="37">
        <v>147.84618005393389</v>
      </c>
      <c r="AA44" s="13">
        <f t="shared" si="5"/>
        <v>7</v>
      </c>
      <c r="AB44" s="12"/>
    </row>
    <row r="45" spans="1:28" x14ac:dyDescent="0.35">
      <c r="A45" s="12"/>
      <c r="B45" s="12" t="s">
        <v>49</v>
      </c>
      <c r="C45" s="21">
        <v>2295000</v>
      </c>
      <c r="D45" s="12"/>
      <c r="E45" s="21">
        <v>4111</v>
      </c>
      <c r="F45" s="23">
        <v>179.12658903497783</v>
      </c>
      <c r="G45" s="12">
        <f t="shared" si="0"/>
        <v>2</v>
      </c>
      <c r="H45" s="12"/>
      <c r="I45" s="21">
        <v>280</v>
      </c>
      <c r="J45" s="23">
        <v>12.200302828945217</v>
      </c>
      <c r="K45" s="12">
        <f t="shared" si="1"/>
        <v>4</v>
      </c>
      <c r="L45" s="12"/>
      <c r="M45" s="21">
        <v>546</v>
      </c>
      <c r="N45" s="23">
        <v>23.790590516443174</v>
      </c>
      <c r="O45" s="12">
        <f t="shared" si="2"/>
        <v>2</v>
      </c>
      <c r="P45" s="12"/>
      <c r="Q45" s="21">
        <v>322</v>
      </c>
      <c r="R45" s="23">
        <v>14.030348253287002</v>
      </c>
      <c r="S45" s="12">
        <f t="shared" si="3"/>
        <v>7</v>
      </c>
      <c r="T45" s="12"/>
      <c r="U45" s="21">
        <v>60</v>
      </c>
      <c r="V45" s="22">
        <v>2.6143506062025468</v>
      </c>
      <c r="W45" s="12">
        <f t="shared" si="4"/>
        <v>10</v>
      </c>
      <c r="X45" s="12"/>
      <c r="Y45" s="26">
        <v>5155</v>
      </c>
      <c r="Z45" s="37">
        <v>224.61628958290214</v>
      </c>
      <c r="AA45" s="13">
        <f t="shared" si="5"/>
        <v>2</v>
      </c>
      <c r="AB45" s="12"/>
    </row>
    <row r="46" spans="1:28" x14ac:dyDescent="0.35">
      <c r="A46" s="12"/>
      <c r="B46" s="12" t="s">
        <v>50</v>
      </c>
      <c r="C46" s="21">
        <v>710800</v>
      </c>
      <c r="D46" s="12"/>
      <c r="E46" s="21">
        <v>441</v>
      </c>
      <c r="F46" s="23">
        <v>62.041023043808558</v>
      </c>
      <c r="G46" s="12">
        <f t="shared" si="0"/>
        <v>26</v>
      </c>
      <c r="H46" s="12"/>
      <c r="I46" s="21">
        <v>21</v>
      </c>
      <c r="J46" s="23">
        <v>2.9543344306575503</v>
      </c>
      <c r="K46" s="12">
        <f t="shared" si="1"/>
        <v>32</v>
      </c>
      <c r="L46" s="12"/>
      <c r="M46" s="21">
        <v>67</v>
      </c>
      <c r="N46" s="23">
        <v>9.425733659716947</v>
      </c>
      <c r="O46" s="12">
        <f t="shared" si="2"/>
        <v>31</v>
      </c>
      <c r="P46" s="12"/>
      <c r="Q46" s="21">
        <v>27</v>
      </c>
      <c r="R46" s="23">
        <v>3.7984299822739933</v>
      </c>
      <c r="S46" s="12">
        <f t="shared" si="3"/>
        <v>40</v>
      </c>
      <c r="T46" s="12"/>
      <c r="U46" s="21">
        <v>6</v>
      </c>
      <c r="V46" s="22">
        <v>0.84409555161644301</v>
      </c>
      <c r="W46" s="12">
        <f t="shared" si="4"/>
        <v>37</v>
      </c>
      <c r="X46" s="12"/>
      <c r="Y46" s="28">
        <v>541</v>
      </c>
      <c r="Z46" s="37">
        <v>76.10928223741594</v>
      </c>
      <c r="AA46" s="13">
        <f t="shared" si="5"/>
        <v>30</v>
      </c>
      <c r="AB46" s="12"/>
    </row>
    <row r="47" spans="1:28" ht="3.75" customHeight="1" x14ac:dyDescent="0.3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row>
    <row r="48" spans="1:28" x14ac:dyDescent="0.35">
      <c r="B48" s="31" t="s">
        <v>69</v>
      </c>
      <c r="C48" s="29"/>
      <c r="D48" s="29"/>
      <c r="E48" s="29"/>
      <c r="F48" s="29"/>
      <c r="G48" s="29"/>
      <c r="H48" s="29"/>
      <c r="I48" s="29"/>
      <c r="J48" s="29"/>
      <c r="K48" s="29"/>
      <c r="L48" s="29"/>
      <c r="M48" s="29"/>
      <c r="N48" s="29"/>
      <c r="O48" s="29"/>
    </row>
    <row r="49" spans="2:15" x14ac:dyDescent="0.35">
      <c r="B49" s="29" t="s">
        <v>147</v>
      </c>
      <c r="C49" s="29"/>
      <c r="D49" s="29"/>
      <c r="E49" s="29"/>
      <c r="F49" s="29"/>
      <c r="G49" s="29"/>
      <c r="H49" s="29"/>
      <c r="I49" s="29"/>
      <c r="J49" s="29"/>
      <c r="K49" s="29"/>
      <c r="L49" s="29"/>
      <c r="M49" s="29"/>
      <c r="N49" s="29"/>
      <c r="O49" s="29"/>
    </row>
    <row r="50" spans="2:15" x14ac:dyDescent="0.35">
      <c r="B50" s="29" t="s">
        <v>148</v>
      </c>
      <c r="C50" s="29"/>
      <c r="D50" s="29"/>
      <c r="E50" s="29"/>
      <c r="F50" s="29"/>
      <c r="G50" s="29"/>
      <c r="H50" s="29"/>
      <c r="I50" s="29"/>
      <c r="J50" s="29"/>
      <c r="K50" s="29"/>
      <c r="L50" s="29"/>
      <c r="M50" s="29"/>
      <c r="N50" s="29"/>
      <c r="O50" s="29"/>
    </row>
    <row r="51" spans="2:15" x14ac:dyDescent="0.35">
      <c r="B51" s="29" t="s">
        <v>162</v>
      </c>
      <c r="C51" s="29"/>
      <c r="D51" s="29"/>
      <c r="E51" s="29"/>
      <c r="F51" s="29"/>
      <c r="G51" s="29"/>
      <c r="H51" s="29"/>
      <c r="I51" s="29"/>
      <c r="J51" s="29"/>
      <c r="K51" s="29"/>
      <c r="L51" s="29"/>
      <c r="M51" s="29"/>
      <c r="N51" s="29"/>
      <c r="O51" s="29"/>
    </row>
    <row r="52" spans="2:15" x14ac:dyDescent="0.35">
      <c r="M52" s="29"/>
      <c r="N52" s="29"/>
      <c r="O52" s="29"/>
    </row>
    <row r="53" spans="2:15" x14ac:dyDescent="0.35">
      <c r="B53" s="4" t="s">
        <v>70</v>
      </c>
    </row>
    <row r="54" spans="2:15" x14ac:dyDescent="0.35">
      <c r="B54" s="30" t="s">
        <v>74</v>
      </c>
    </row>
    <row r="55" spans="2:15" x14ac:dyDescent="0.35">
      <c r="B55" s="29" t="s">
        <v>80</v>
      </c>
    </row>
    <row r="56" spans="2:15" x14ac:dyDescent="0.35">
      <c r="B56" s="30" t="s">
        <v>75</v>
      </c>
    </row>
  </sheetData>
  <mergeCells count="6">
    <mergeCell ref="Y2:AA2"/>
    <mergeCell ref="E2:G2"/>
    <mergeCell ref="I2:K2"/>
    <mergeCell ref="M2:O2"/>
    <mergeCell ref="Q2:S2"/>
    <mergeCell ref="U2:W2"/>
  </mergeCells>
  <hyperlinks>
    <hyperlink ref="B54" r:id="rId1" xr:uid="{00000000-0004-0000-0700-000000000000}"/>
    <hyperlink ref="B56" r:id="rId2" xr:uid="{00000000-0004-0000-0700-000001000000}"/>
  </hyperlinks>
  <pageMargins left="0.7" right="0.7" top="0.75" bottom="0.75" header="0.3" footer="0.3"/>
  <pageSetup paperSize="9" orientation="portrait" horizontalDpi="1200" verticalDpi="120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autoPageBreaks="0"/>
  </sheetPr>
  <dimension ref="A1:AD56"/>
  <sheetViews>
    <sheetView showGridLines="0" workbookViewId="0">
      <selection sqref="A1:AA56"/>
    </sheetView>
  </sheetViews>
  <sheetFormatPr defaultRowHeight="15" x14ac:dyDescent="0.35"/>
  <cols>
    <col min="1" max="1" width="1.09765625" customWidth="1"/>
    <col min="2" max="2" width="24.8984375" customWidth="1"/>
    <col min="3" max="3" width="13.59765625" customWidth="1"/>
    <col min="4" max="4" width="1.09765625" customWidth="1"/>
    <col min="6" max="6" width="10.3984375" customWidth="1"/>
    <col min="8" max="8" width="1.09765625" customWidth="1"/>
    <col min="10" max="10" width="10.3984375" customWidth="1"/>
    <col min="12" max="12" width="1.09765625" customWidth="1"/>
    <col min="14" max="14" width="10.296875" customWidth="1"/>
    <col min="16" max="16" width="1.09765625" customWidth="1"/>
    <col min="18" max="18" width="10.59765625" customWidth="1"/>
    <col min="20" max="20" width="1.09765625" customWidth="1"/>
    <col min="22" max="22" width="10.8984375" customWidth="1"/>
    <col min="24" max="24" width="1.09765625" customWidth="1"/>
    <col min="26" max="26" width="12.09765625" customWidth="1"/>
    <col min="28" max="28" width="1.09765625" customWidth="1"/>
  </cols>
  <sheetData>
    <row r="1" spans="1:30" ht="22.2" x14ac:dyDescent="0.5">
      <c r="A1" s="16"/>
      <c r="B1" s="34" t="s">
        <v>171</v>
      </c>
      <c r="C1" s="35"/>
      <c r="D1" s="35"/>
      <c r="E1" s="35"/>
      <c r="F1" s="35"/>
      <c r="G1" s="35"/>
      <c r="H1" s="35"/>
      <c r="I1" s="35"/>
      <c r="J1" s="35"/>
      <c r="K1" s="35"/>
      <c r="L1" s="35"/>
      <c r="M1" s="35"/>
      <c r="N1" s="35"/>
      <c r="O1" s="16"/>
      <c r="P1" s="16"/>
      <c r="Q1" s="16"/>
      <c r="R1" s="16"/>
      <c r="S1" s="16"/>
      <c r="T1" s="16"/>
      <c r="U1" s="16"/>
      <c r="V1" s="16"/>
      <c r="W1" s="16"/>
      <c r="X1" s="16"/>
      <c r="Y1" s="16"/>
      <c r="Z1" s="16"/>
      <c r="AA1" s="16"/>
      <c r="AB1" s="16"/>
    </row>
    <row r="2" spans="1:30" ht="15.6" thickBot="1" x14ac:dyDescent="0.4">
      <c r="A2" s="14"/>
      <c r="B2" s="14"/>
      <c r="C2" s="14"/>
      <c r="D2" s="14"/>
      <c r="E2" s="157" t="s">
        <v>55</v>
      </c>
      <c r="F2" s="157"/>
      <c r="G2" s="157"/>
      <c r="H2" s="14"/>
      <c r="I2" s="157" t="s">
        <v>57</v>
      </c>
      <c r="J2" s="157"/>
      <c r="K2" s="157"/>
      <c r="L2" s="14"/>
      <c r="M2" s="157" t="s">
        <v>58</v>
      </c>
      <c r="N2" s="157"/>
      <c r="O2" s="157"/>
      <c r="P2" s="14"/>
      <c r="Q2" s="157" t="s">
        <v>59</v>
      </c>
      <c r="R2" s="157"/>
      <c r="S2" s="157"/>
      <c r="T2" s="14"/>
      <c r="U2" s="157" t="s">
        <v>60</v>
      </c>
      <c r="V2" s="157"/>
      <c r="W2" s="157"/>
      <c r="X2" s="14"/>
      <c r="Y2" s="158" t="s">
        <v>62</v>
      </c>
      <c r="Z2" s="158"/>
      <c r="AA2" s="158"/>
      <c r="AB2" s="14"/>
    </row>
    <row r="3" spans="1:30" ht="46.2" x14ac:dyDescent="0.35">
      <c r="A3" s="14"/>
      <c r="B3" s="14"/>
      <c r="C3" s="15" t="s">
        <v>163</v>
      </c>
      <c r="D3" s="14"/>
      <c r="E3" s="15" t="s">
        <v>56</v>
      </c>
      <c r="F3" s="15" t="s">
        <v>71</v>
      </c>
      <c r="G3" s="15" t="s">
        <v>65</v>
      </c>
      <c r="H3" s="15"/>
      <c r="I3" s="15" t="s">
        <v>56</v>
      </c>
      <c r="J3" s="15" t="s">
        <v>71</v>
      </c>
      <c r="K3" s="15" t="s">
        <v>66</v>
      </c>
      <c r="L3" s="14"/>
      <c r="M3" s="15" t="s">
        <v>56</v>
      </c>
      <c r="N3" s="15" t="s">
        <v>71</v>
      </c>
      <c r="O3" s="15" t="s">
        <v>65</v>
      </c>
      <c r="P3" s="14"/>
      <c r="Q3" s="15" t="s">
        <v>56</v>
      </c>
      <c r="R3" s="15" t="s">
        <v>71</v>
      </c>
      <c r="S3" s="15" t="s">
        <v>65</v>
      </c>
      <c r="T3" s="14"/>
      <c r="U3" s="15" t="s">
        <v>56</v>
      </c>
      <c r="V3" s="15" t="s">
        <v>71</v>
      </c>
      <c r="W3" s="15" t="s">
        <v>65</v>
      </c>
      <c r="X3" s="14"/>
      <c r="Y3" s="24" t="s">
        <v>56</v>
      </c>
      <c r="Z3" s="24" t="s">
        <v>71</v>
      </c>
      <c r="AA3" s="24" t="s">
        <v>65</v>
      </c>
      <c r="AB3" s="14"/>
    </row>
    <row r="4" spans="1:30" ht="16.2" x14ac:dyDescent="0.35">
      <c r="A4" s="12"/>
      <c r="B4" s="13" t="s">
        <v>161</v>
      </c>
      <c r="C4" s="19">
        <v>58744600</v>
      </c>
      <c r="D4" s="13"/>
      <c r="E4" s="19">
        <v>71251</v>
      </c>
      <c r="F4" s="37">
        <f>E4/C4*100000</f>
        <v>121.28944617888283</v>
      </c>
      <c r="G4" s="13"/>
      <c r="H4" s="13"/>
      <c r="I4" s="19">
        <v>8336</v>
      </c>
      <c r="J4" s="37">
        <f>I4/C4*100000</f>
        <v>14.190240464655474</v>
      </c>
      <c r="K4" s="13"/>
      <c r="L4" s="13"/>
      <c r="M4" s="19">
        <v>11638</v>
      </c>
      <c r="N4" s="37">
        <f>M4/C4*100000</f>
        <v>19.81118264487289</v>
      </c>
      <c r="O4" s="13"/>
      <c r="P4" s="13"/>
      <c r="Q4" s="19">
        <v>7226</v>
      </c>
      <c r="R4" s="37">
        <f>Q4/C4*100000</f>
        <v>12.300705086084509</v>
      </c>
      <c r="S4" s="13"/>
      <c r="T4" s="13"/>
      <c r="U4" s="19">
        <v>1651</v>
      </c>
      <c r="V4" s="20">
        <f>U4/C4*100000</f>
        <v>2.8104710901087078</v>
      </c>
      <c r="W4" s="13"/>
      <c r="X4" s="13"/>
      <c r="Y4" s="19">
        <v>94098</v>
      </c>
      <c r="Z4" s="37">
        <f>Y4/C4*100000</f>
        <v>160.18153157907278</v>
      </c>
      <c r="AA4" s="13"/>
      <c r="AB4" s="12"/>
      <c r="AD4" s="9"/>
    </row>
    <row r="5" spans="1:30" x14ac:dyDescent="0.35">
      <c r="A5" s="12"/>
      <c r="B5" s="12" t="s">
        <v>8</v>
      </c>
      <c r="C5" s="21">
        <v>1695000</v>
      </c>
      <c r="D5" s="12"/>
      <c r="E5" s="21">
        <v>2357</v>
      </c>
      <c r="F5" s="23">
        <v>139.05719575264931</v>
      </c>
      <c r="G5" s="12">
        <f>RANK(F5,$F$5:$F$46,0)</f>
        <v>5</v>
      </c>
      <c r="H5" s="12"/>
      <c r="I5" s="21">
        <v>257</v>
      </c>
      <c r="J5" s="23">
        <v>15.162367122796296</v>
      </c>
      <c r="K5" s="12">
        <f>RANK(J5,$J$5:$J$46,0)</f>
        <v>5</v>
      </c>
      <c r="L5" s="12"/>
      <c r="M5" s="21">
        <v>406</v>
      </c>
      <c r="N5" s="23">
        <v>23.953000201771577</v>
      </c>
      <c r="O5" s="12">
        <f>RANK(N5,$N$5:$N$46,0)</f>
        <v>6</v>
      </c>
      <c r="P5" s="12"/>
      <c r="Q5" s="21">
        <v>296</v>
      </c>
      <c r="R5" s="23">
        <v>17.463271083064992</v>
      </c>
      <c r="S5" s="12">
        <f>RANK(R5,$R$5:$R$46,0)</f>
        <v>6</v>
      </c>
      <c r="T5" s="12"/>
      <c r="U5" s="21">
        <v>85</v>
      </c>
      <c r="V5" s="22">
        <v>5.0147906826369066</v>
      </c>
      <c r="W5" s="12">
        <f>RANK(V5,$V$5:$V$46,0)</f>
        <v>2</v>
      </c>
      <c r="X5" s="12"/>
      <c r="Y5" s="19">
        <v>3138</v>
      </c>
      <c r="Z5" s="37">
        <v>185.13427249546606</v>
      </c>
      <c r="AA5" s="13">
        <f>RANK(Z5,$Z$5:$Z$46,0)</f>
        <v>5</v>
      </c>
      <c r="AB5" s="12"/>
    </row>
    <row r="6" spans="1:30" x14ac:dyDescent="0.35">
      <c r="A6" s="12"/>
      <c r="B6" s="12" t="s">
        <v>9</v>
      </c>
      <c r="C6" s="21">
        <v>664600</v>
      </c>
      <c r="D6" s="12"/>
      <c r="E6" s="21">
        <v>787</v>
      </c>
      <c r="F6" s="23">
        <v>118.41709298826362</v>
      </c>
      <c r="G6" s="12">
        <f t="shared" ref="G6:G46" si="0">RANK(F6,$F$5:$F$46,0)</f>
        <v>11</v>
      </c>
      <c r="H6" s="12"/>
      <c r="I6" s="21">
        <v>61</v>
      </c>
      <c r="J6" s="23">
        <v>9.1784532049353</v>
      </c>
      <c r="K6" s="12">
        <f t="shared" ref="K6:K46" si="1">RANK(J6,$J$5:$J$46,0)</f>
        <v>16</v>
      </c>
      <c r="L6" s="12"/>
      <c r="M6" s="21">
        <v>59</v>
      </c>
      <c r="N6" s="23">
        <v>8.8775203129702085</v>
      </c>
      <c r="O6" s="12">
        <f t="shared" ref="O6:O46" si="2">RANK(N6,$N$5:$N$46,0)</f>
        <v>36</v>
      </c>
      <c r="P6" s="12"/>
      <c r="Q6" s="21">
        <v>49</v>
      </c>
      <c r="R6" s="23">
        <v>7.372855853144749</v>
      </c>
      <c r="S6" s="12">
        <f t="shared" ref="S6:S46" si="3">RANK(R6,$R$5:$R$46,0)</f>
        <v>33</v>
      </c>
      <c r="T6" s="12"/>
      <c r="U6" s="21">
        <v>9</v>
      </c>
      <c r="V6" s="22">
        <v>1.3541980138429131</v>
      </c>
      <c r="W6" s="12">
        <f t="shared" ref="W6:W46" si="4">RANK(V6,$V$5:$V$46,0)</f>
        <v>33</v>
      </c>
      <c r="X6" s="12"/>
      <c r="Y6" s="19">
        <v>913</v>
      </c>
      <c r="Z6" s="37">
        <v>137.37586518206439</v>
      </c>
      <c r="AA6" s="13">
        <f t="shared" ref="AA6:AA46" si="5">RANK(Z6,$Z$5:$Z$46,0)</f>
        <v>16</v>
      </c>
      <c r="AB6" s="12"/>
    </row>
    <row r="7" spans="1:30" x14ac:dyDescent="0.35">
      <c r="A7" s="12"/>
      <c r="B7" s="12" t="s">
        <v>11</v>
      </c>
      <c r="C7" s="21">
        <v>847200</v>
      </c>
      <c r="D7" s="12"/>
      <c r="E7" s="21">
        <v>887</v>
      </c>
      <c r="F7" s="23">
        <v>104.70388395929416</v>
      </c>
      <c r="G7" s="12">
        <f t="shared" si="0"/>
        <v>14</v>
      </c>
      <c r="H7" s="12"/>
      <c r="I7" s="21">
        <v>86</v>
      </c>
      <c r="J7" s="23">
        <v>10.151673078353211</v>
      </c>
      <c r="K7" s="12">
        <f t="shared" si="1"/>
        <v>13</v>
      </c>
      <c r="L7" s="12"/>
      <c r="M7" s="21">
        <v>96</v>
      </c>
      <c r="N7" s="23">
        <v>11.332100180487304</v>
      </c>
      <c r="O7" s="12">
        <f t="shared" si="2"/>
        <v>32</v>
      </c>
      <c r="P7" s="12"/>
      <c r="Q7" s="21">
        <v>51</v>
      </c>
      <c r="R7" s="23">
        <v>6.0201782208838797</v>
      </c>
      <c r="S7" s="12">
        <f t="shared" si="3"/>
        <v>35</v>
      </c>
      <c r="T7" s="12"/>
      <c r="U7" s="21">
        <v>11</v>
      </c>
      <c r="V7" s="22">
        <v>1.2984698123475036</v>
      </c>
      <c r="W7" s="12">
        <f t="shared" si="4"/>
        <v>35</v>
      </c>
      <c r="X7" s="12"/>
      <c r="Y7" s="19">
        <v>1095</v>
      </c>
      <c r="Z7" s="37">
        <v>129.25676768368331</v>
      </c>
      <c r="AA7" s="13">
        <f t="shared" si="5"/>
        <v>22</v>
      </c>
      <c r="AB7" s="12"/>
    </row>
    <row r="8" spans="1:30" x14ac:dyDescent="0.35">
      <c r="A8" s="12"/>
      <c r="B8" s="12" t="s">
        <v>12</v>
      </c>
      <c r="C8" s="21">
        <v>1054100</v>
      </c>
      <c r="D8" s="12"/>
      <c r="E8" s="21">
        <v>1014</v>
      </c>
      <c r="F8" s="23">
        <v>96.192977912612378</v>
      </c>
      <c r="G8" s="12">
        <f t="shared" si="0"/>
        <v>19</v>
      </c>
      <c r="H8" s="12"/>
      <c r="I8" s="21">
        <v>96</v>
      </c>
      <c r="J8" s="23">
        <v>9.1070274946851963</v>
      </c>
      <c r="K8" s="12">
        <f t="shared" si="1"/>
        <v>17</v>
      </c>
      <c r="L8" s="12"/>
      <c r="M8" s="21">
        <v>231</v>
      </c>
      <c r="N8" s="23">
        <v>21.913784909086253</v>
      </c>
      <c r="O8" s="12">
        <f t="shared" si="2"/>
        <v>10</v>
      </c>
      <c r="P8" s="12"/>
      <c r="Q8" s="21">
        <v>136</v>
      </c>
      <c r="R8" s="23">
        <v>12.90162228413736</v>
      </c>
      <c r="S8" s="12">
        <f t="shared" si="3"/>
        <v>19</v>
      </c>
      <c r="T8" s="12"/>
      <c r="U8" s="21">
        <v>26</v>
      </c>
      <c r="V8" s="22">
        <v>2.4664866131439069</v>
      </c>
      <c r="W8" s="12">
        <f t="shared" si="4"/>
        <v>23</v>
      </c>
      <c r="X8" s="12"/>
      <c r="Y8" s="19">
        <v>1466</v>
      </c>
      <c r="Z8" s="37">
        <v>139.07189903342186</v>
      </c>
      <c r="AA8" s="13">
        <f t="shared" si="5"/>
        <v>14</v>
      </c>
      <c r="AB8" s="12"/>
    </row>
    <row r="9" spans="1:30" x14ac:dyDescent="0.35">
      <c r="A9" s="12"/>
      <c r="B9" s="12" t="s">
        <v>13</v>
      </c>
      <c r="C9" s="21">
        <v>566200</v>
      </c>
      <c r="D9" s="12"/>
      <c r="E9" s="21">
        <v>721</v>
      </c>
      <c r="F9" s="23">
        <v>127.35140863728695</v>
      </c>
      <c r="G9" s="12">
        <f t="shared" si="0"/>
        <v>8</v>
      </c>
      <c r="H9" s="12"/>
      <c r="I9" s="21">
        <v>19</v>
      </c>
      <c r="J9" s="23">
        <v>3.3560010597898087</v>
      </c>
      <c r="K9" s="12">
        <f t="shared" si="1"/>
        <v>38</v>
      </c>
      <c r="L9" s="12"/>
      <c r="M9" s="21">
        <v>74</v>
      </c>
      <c r="N9" s="23">
        <v>13.070740969707675</v>
      </c>
      <c r="O9" s="12">
        <f t="shared" si="2"/>
        <v>30</v>
      </c>
      <c r="P9" s="12"/>
      <c r="Q9" s="21">
        <v>53</v>
      </c>
      <c r="R9" s="23">
        <v>9.3614766404663072</v>
      </c>
      <c r="S9" s="12">
        <f t="shared" si="3"/>
        <v>28</v>
      </c>
      <c r="T9" s="12"/>
      <c r="U9" s="21">
        <v>17</v>
      </c>
      <c r="V9" s="22">
        <v>3.0027377903382497</v>
      </c>
      <c r="W9" s="12">
        <f t="shared" si="4"/>
        <v>18</v>
      </c>
      <c r="X9" s="12"/>
      <c r="Y9" s="19">
        <v>878</v>
      </c>
      <c r="Z9" s="37">
        <v>155.08257528923431</v>
      </c>
      <c r="AA9" s="13">
        <f t="shared" si="5"/>
        <v>10</v>
      </c>
      <c r="AB9" s="12"/>
    </row>
    <row r="10" spans="1:30" x14ac:dyDescent="0.35">
      <c r="A10" s="12"/>
      <c r="B10" s="12" t="s">
        <v>14</v>
      </c>
      <c r="C10" s="21">
        <v>498400</v>
      </c>
      <c r="D10" s="12"/>
      <c r="E10" s="21">
        <v>263</v>
      </c>
      <c r="F10" s="23">
        <v>52.771507399046904</v>
      </c>
      <c r="G10" s="12">
        <f t="shared" si="0"/>
        <v>38</v>
      </c>
      <c r="H10" s="12"/>
      <c r="I10" s="21">
        <v>44</v>
      </c>
      <c r="J10" s="23">
        <v>8.8286932530724851</v>
      </c>
      <c r="K10" s="12">
        <f t="shared" si="1"/>
        <v>20</v>
      </c>
      <c r="L10" s="12"/>
      <c r="M10" s="21">
        <v>83</v>
      </c>
      <c r="N10" s="23">
        <v>16.654125909204918</v>
      </c>
      <c r="O10" s="12">
        <f t="shared" si="2"/>
        <v>20</v>
      </c>
      <c r="P10" s="12"/>
      <c r="Q10" s="21">
        <v>57</v>
      </c>
      <c r="R10" s="23">
        <v>11.437170805116629</v>
      </c>
      <c r="S10" s="12">
        <f t="shared" si="3"/>
        <v>23</v>
      </c>
      <c r="T10" s="12"/>
      <c r="U10" s="21">
        <v>25</v>
      </c>
      <c r="V10" s="22">
        <v>5.0163029847002756</v>
      </c>
      <c r="W10" s="12">
        <f t="shared" si="4"/>
        <v>1</v>
      </c>
      <c r="X10" s="12"/>
      <c r="Y10" s="19">
        <v>426</v>
      </c>
      <c r="Z10" s="37">
        <v>85.477802859292694</v>
      </c>
      <c r="AA10" s="13">
        <f t="shared" si="5"/>
        <v>34</v>
      </c>
      <c r="AB10" s="12"/>
    </row>
    <row r="11" spans="1:30" x14ac:dyDescent="0.35">
      <c r="A11" s="12"/>
      <c r="B11" s="12" t="s">
        <v>15</v>
      </c>
      <c r="C11" s="21">
        <v>1049000</v>
      </c>
      <c r="D11" s="12"/>
      <c r="E11" s="21">
        <v>562</v>
      </c>
      <c r="F11" s="23">
        <v>53.574833174451861</v>
      </c>
      <c r="G11" s="12">
        <f t="shared" si="0"/>
        <v>36</v>
      </c>
      <c r="H11" s="12"/>
      <c r="I11" s="21">
        <v>31</v>
      </c>
      <c r="J11" s="23">
        <v>2.955195424213537</v>
      </c>
      <c r="K11" s="12">
        <f t="shared" si="1"/>
        <v>41</v>
      </c>
      <c r="L11" s="12"/>
      <c r="M11" s="21">
        <v>84</v>
      </c>
      <c r="N11" s="23">
        <v>8.0076263107721637</v>
      </c>
      <c r="O11" s="12">
        <f t="shared" si="2"/>
        <v>39</v>
      </c>
      <c r="P11" s="12"/>
      <c r="Q11" s="21">
        <v>20</v>
      </c>
      <c r="R11" s="23">
        <v>1.9065776930409915</v>
      </c>
      <c r="S11" s="12">
        <f t="shared" si="3"/>
        <v>42</v>
      </c>
      <c r="T11" s="12"/>
      <c r="U11" s="21">
        <v>10</v>
      </c>
      <c r="V11" s="22">
        <v>0.95328884652049573</v>
      </c>
      <c r="W11" s="12">
        <f t="shared" si="4"/>
        <v>41</v>
      </c>
      <c r="X11" s="12"/>
      <c r="Y11" s="19">
        <v>673</v>
      </c>
      <c r="Z11" s="37">
        <v>64.156339370829372</v>
      </c>
      <c r="AA11" s="13">
        <f t="shared" si="5"/>
        <v>39</v>
      </c>
      <c r="AB11" s="12"/>
    </row>
    <row r="12" spans="1:30" x14ac:dyDescent="0.35">
      <c r="A12" s="12"/>
      <c r="B12" s="12" t="s">
        <v>54</v>
      </c>
      <c r="C12" s="21">
        <v>1749100</v>
      </c>
      <c r="D12" s="12"/>
      <c r="E12" s="21">
        <v>932</v>
      </c>
      <c r="F12" s="23">
        <v>53.28466819431295</v>
      </c>
      <c r="G12" s="12">
        <f t="shared" si="0"/>
        <v>37</v>
      </c>
      <c r="H12" s="12"/>
      <c r="I12" s="21">
        <v>91</v>
      </c>
      <c r="J12" s="23">
        <v>5.2026875597451481</v>
      </c>
      <c r="K12" s="12">
        <f t="shared" si="1"/>
        <v>34</v>
      </c>
      <c r="L12" s="12"/>
      <c r="M12" s="21">
        <v>241</v>
      </c>
      <c r="N12" s="23">
        <v>13.77854617470968</v>
      </c>
      <c r="O12" s="12">
        <f t="shared" si="2"/>
        <v>27</v>
      </c>
      <c r="P12" s="12"/>
      <c r="Q12" s="21">
        <v>194</v>
      </c>
      <c r="R12" s="23">
        <v>11.091443808687458</v>
      </c>
      <c r="S12" s="12">
        <f t="shared" si="3"/>
        <v>24</v>
      </c>
      <c r="T12" s="12"/>
      <c r="U12" s="21">
        <v>50</v>
      </c>
      <c r="V12" s="22">
        <v>2.8586195383215101</v>
      </c>
      <c r="W12" s="12">
        <f t="shared" si="4"/>
        <v>21</v>
      </c>
      <c r="X12" s="12"/>
      <c r="Y12" s="19">
        <v>1467</v>
      </c>
      <c r="Z12" s="37">
        <v>83.871897254353101</v>
      </c>
      <c r="AA12" s="13">
        <f t="shared" si="5"/>
        <v>35</v>
      </c>
      <c r="AB12" s="12"/>
    </row>
    <row r="13" spans="1:30" x14ac:dyDescent="0.35">
      <c r="A13" s="12"/>
      <c r="B13" s="12" t="s">
        <v>17</v>
      </c>
      <c r="C13" s="21">
        <v>770700</v>
      </c>
      <c r="D13" s="12"/>
      <c r="E13" s="21">
        <v>418</v>
      </c>
      <c r="F13" s="23">
        <v>54.237182572996375</v>
      </c>
      <c r="G13" s="12">
        <f t="shared" si="0"/>
        <v>35</v>
      </c>
      <c r="H13" s="12"/>
      <c r="I13" s="21">
        <v>23</v>
      </c>
      <c r="J13" s="23">
        <v>2.9843425817677431</v>
      </c>
      <c r="K13" s="12">
        <f t="shared" si="1"/>
        <v>40</v>
      </c>
      <c r="L13" s="12"/>
      <c r="M13" s="21">
        <v>73</v>
      </c>
      <c r="N13" s="23">
        <v>9.4720438464802275</v>
      </c>
      <c r="O13" s="12">
        <f t="shared" si="2"/>
        <v>34</v>
      </c>
      <c r="P13" s="12"/>
      <c r="Q13" s="21">
        <v>43</v>
      </c>
      <c r="R13" s="23">
        <v>5.5794230876527369</v>
      </c>
      <c r="S13" s="12">
        <f t="shared" si="3"/>
        <v>36</v>
      </c>
      <c r="T13" s="12"/>
      <c r="U13" s="21">
        <v>14</v>
      </c>
      <c r="V13" s="22">
        <v>1.8165563541194958</v>
      </c>
      <c r="W13" s="12">
        <f t="shared" si="4"/>
        <v>29</v>
      </c>
      <c r="X13" s="12"/>
      <c r="Y13" s="19">
        <v>564</v>
      </c>
      <c r="Z13" s="37">
        <v>73.181270265956826</v>
      </c>
      <c r="AA13" s="13">
        <f t="shared" si="5"/>
        <v>38</v>
      </c>
      <c r="AB13" s="12"/>
    </row>
    <row r="14" spans="1:30" x14ac:dyDescent="0.35">
      <c r="A14" s="12"/>
      <c r="B14" s="12" t="s">
        <v>18</v>
      </c>
      <c r="C14" s="21">
        <v>630000</v>
      </c>
      <c r="D14" s="12"/>
      <c r="E14" s="21">
        <v>474</v>
      </c>
      <c r="F14" s="23">
        <v>75.237020423517762</v>
      </c>
      <c r="G14" s="12">
        <f t="shared" si="0"/>
        <v>28</v>
      </c>
      <c r="H14" s="12"/>
      <c r="I14" s="21">
        <v>78</v>
      </c>
      <c r="J14" s="23">
        <v>12.380775512730771</v>
      </c>
      <c r="K14" s="12">
        <f t="shared" si="1"/>
        <v>9</v>
      </c>
      <c r="L14" s="12"/>
      <c r="M14" s="21">
        <v>100</v>
      </c>
      <c r="N14" s="23">
        <v>15.872789118885603</v>
      </c>
      <c r="O14" s="12">
        <f t="shared" si="2"/>
        <v>23</v>
      </c>
      <c r="P14" s="12"/>
      <c r="Q14" s="21">
        <v>91</v>
      </c>
      <c r="R14" s="23">
        <v>14.444238098185899</v>
      </c>
      <c r="S14" s="12">
        <f t="shared" si="3"/>
        <v>13</v>
      </c>
      <c r="T14" s="12"/>
      <c r="U14" s="21">
        <v>21</v>
      </c>
      <c r="V14" s="22">
        <v>3.3332857149659767</v>
      </c>
      <c r="W14" s="12">
        <f t="shared" si="4"/>
        <v>13</v>
      </c>
      <c r="X14" s="12"/>
      <c r="Y14" s="19">
        <v>711</v>
      </c>
      <c r="Z14" s="37">
        <v>112.85553063527664</v>
      </c>
      <c r="AA14" s="13">
        <f t="shared" si="5"/>
        <v>29</v>
      </c>
      <c r="AB14" s="12"/>
    </row>
    <row r="15" spans="1:30" x14ac:dyDescent="0.35">
      <c r="A15" s="12"/>
      <c r="B15" s="12" t="s">
        <v>19</v>
      </c>
      <c r="C15" s="21">
        <v>516800</v>
      </c>
      <c r="D15" s="12"/>
      <c r="E15" s="21">
        <v>171</v>
      </c>
      <c r="F15" s="23">
        <v>33.09118071654985</v>
      </c>
      <c r="G15" s="12">
        <f t="shared" si="0"/>
        <v>42</v>
      </c>
      <c r="H15" s="12"/>
      <c r="I15" s="21">
        <v>9</v>
      </c>
      <c r="J15" s="23">
        <v>1.7416410903447288</v>
      </c>
      <c r="K15" s="12">
        <f t="shared" si="1"/>
        <v>42</v>
      </c>
      <c r="L15" s="12"/>
      <c r="M15" s="21">
        <v>33</v>
      </c>
      <c r="N15" s="23">
        <v>6.3860173312640054</v>
      </c>
      <c r="O15" s="12">
        <f t="shared" si="2"/>
        <v>42</v>
      </c>
      <c r="P15" s="12"/>
      <c r="Q15" s="21">
        <v>16</v>
      </c>
      <c r="R15" s="23">
        <v>3.0962508272795177</v>
      </c>
      <c r="S15" s="12">
        <f t="shared" si="3"/>
        <v>40</v>
      </c>
      <c r="T15" s="12"/>
      <c r="U15" s="21">
        <v>7</v>
      </c>
      <c r="V15" s="22">
        <v>1.3546097369347891</v>
      </c>
      <c r="W15" s="12">
        <f t="shared" si="4"/>
        <v>32</v>
      </c>
      <c r="X15" s="12"/>
      <c r="Y15" s="19">
        <v>223</v>
      </c>
      <c r="Z15" s="37">
        <v>43.153995905208284</v>
      </c>
      <c r="AA15" s="13">
        <f t="shared" si="5"/>
        <v>42</v>
      </c>
      <c r="AB15" s="12"/>
    </row>
    <row r="16" spans="1:30" x14ac:dyDescent="0.35">
      <c r="A16" s="12"/>
      <c r="B16" s="12" t="s">
        <v>20</v>
      </c>
      <c r="C16" s="21">
        <v>1820400</v>
      </c>
      <c r="D16" s="12"/>
      <c r="E16" s="21">
        <v>1537</v>
      </c>
      <c r="F16" s="23">
        <v>84.432966981051749</v>
      </c>
      <c r="G16" s="12">
        <f t="shared" si="0"/>
        <v>24</v>
      </c>
      <c r="H16" s="12"/>
      <c r="I16" s="21">
        <v>140</v>
      </c>
      <c r="J16" s="23">
        <v>7.690706166133535</v>
      </c>
      <c r="K16" s="12">
        <f t="shared" si="1"/>
        <v>24</v>
      </c>
      <c r="L16" s="12"/>
      <c r="M16" s="21">
        <v>240</v>
      </c>
      <c r="N16" s="23">
        <v>13.184067713371777</v>
      </c>
      <c r="O16" s="12">
        <f t="shared" si="2"/>
        <v>28</v>
      </c>
      <c r="P16" s="12"/>
      <c r="Q16" s="21">
        <v>243</v>
      </c>
      <c r="R16" s="23">
        <v>13.348868559788922</v>
      </c>
      <c r="S16" s="12">
        <f t="shared" si="3"/>
        <v>17</v>
      </c>
      <c r="T16" s="12"/>
      <c r="U16" s="21">
        <v>77</v>
      </c>
      <c r="V16" s="22">
        <v>4.2298883913734446</v>
      </c>
      <c r="W16" s="12">
        <f t="shared" si="4"/>
        <v>7</v>
      </c>
      <c r="X16" s="12"/>
      <c r="Y16" s="19">
        <v>2197</v>
      </c>
      <c r="Z16" s="37">
        <v>120.68915319282414</v>
      </c>
      <c r="AA16" s="13">
        <f t="shared" si="5"/>
        <v>25</v>
      </c>
      <c r="AB16" s="12"/>
    </row>
    <row r="17" spans="1:28" x14ac:dyDescent="0.35">
      <c r="A17" s="12"/>
      <c r="B17" s="12" t="s">
        <v>21</v>
      </c>
      <c r="C17" s="21">
        <v>628100</v>
      </c>
      <c r="D17" s="12"/>
      <c r="E17" s="21">
        <v>326</v>
      </c>
      <c r="F17" s="23">
        <v>51.899340751012119</v>
      </c>
      <c r="G17" s="12">
        <f t="shared" si="0"/>
        <v>39</v>
      </c>
      <c r="H17" s="12"/>
      <c r="I17" s="21">
        <v>34</v>
      </c>
      <c r="J17" s="23">
        <v>5.4128146795534109</v>
      </c>
      <c r="K17" s="12">
        <f t="shared" si="1"/>
        <v>33</v>
      </c>
      <c r="L17" s="12"/>
      <c r="M17" s="21">
        <v>74</v>
      </c>
      <c r="N17" s="23">
        <v>11.780831949616248</v>
      </c>
      <c r="O17" s="12">
        <f t="shared" si="2"/>
        <v>31</v>
      </c>
      <c r="P17" s="12"/>
      <c r="Q17" s="21">
        <v>65</v>
      </c>
      <c r="R17" s="23">
        <v>10.348028063852109</v>
      </c>
      <c r="S17" s="12">
        <f t="shared" si="3"/>
        <v>26</v>
      </c>
      <c r="T17" s="12"/>
      <c r="U17" s="21">
        <v>12</v>
      </c>
      <c r="V17" s="22">
        <v>1.9104051810188509</v>
      </c>
      <c r="W17" s="12">
        <f t="shared" si="4"/>
        <v>27</v>
      </c>
      <c r="X17" s="12"/>
      <c r="Y17" s="19">
        <v>498</v>
      </c>
      <c r="Z17" s="37">
        <v>79.281815012282323</v>
      </c>
      <c r="AA17" s="13">
        <f t="shared" si="5"/>
        <v>36</v>
      </c>
      <c r="AB17" s="12"/>
    </row>
    <row r="18" spans="1:28" x14ac:dyDescent="0.35">
      <c r="A18" s="12"/>
      <c r="B18" s="12" t="s">
        <v>22</v>
      </c>
      <c r="C18" s="21">
        <v>2798800</v>
      </c>
      <c r="D18" s="12"/>
      <c r="E18" s="21">
        <v>6435</v>
      </c>
      <c r="F18" s="23">
        <v>229.92004784909525</v>
      </c>
      <c r="G18" s="12">
        <f t="shared" si="0"/>
        <v>1</v>
      </c>
      <c r="H18" s="12"/>
      <c r="I18" s="21">
        <v>1236</v>
      </c>
      <c r="J18" s="23">
        <v>44.161799400385668</v>
      </c>
      <c r="K18" s="12">
        <f t="shared" si="1"/>
        <v>1</v>
      </c>
      <c r="L18" s="12"/>
      <c r="M18" s="21">
        <v>922</v>
      </c>
      <c r="N18" s="23">
        <v>32.942701494462447</v>
      </c>
      <c r="O18" s="12">
        <f t="shared" si="2"/>
        <v>2</v>
      </c>
      <c r="P18" s="12"/>
      <c r="Q18" s="21">
        <v>434</v>
      </c>
      <c r="R18" s="23">
        <v>15.506651245766488</v>
      </c>
      <c r="S18" s="12">
        <f t="shared" si="3"/>
        <v>10</v>
      </c>
      <c r="T18" s="12"/>
      <c r="U18" s="21">
        <v>88</v>
      </c>
      <c r="V18" s="22">
        <v>3.1442057825517304</v>
      </c>
      <c r="W18" s="12">
        <f t="shared" si="4"/>
        <v>15</v>
      </c>
      <c r="X18" s="12"/>
      <c r="Y18" s="19">
        <v>7861</v>
      </c>
      <c r="Z18" s="37">
        <v>280.87047337089945</v>
      </c>
      <c r="AA18" s="13">
        <f t="shared" si="5"/>
        <v>1</v>
      </c>
      <c r="AB18" s="12"/>
    </row>
    <row r="19" spans="1:28" x14ac:dyDescent="0.35">
      <c r="A19" s="12"/>
      <c r="B19" s="12" t="s">
        <v>23</v>
      </c>
      <c r="C19" s="21">
        <v>587700</v>
      </c>
      <c r="D19" s="12"/>
      <c r="E19" s="21">
        <v>397</v>
      </c>
      <c r="F19" s="23">
        <v>67.546529690698137</v>
      </c>
      <c r="G19" s="12">
        <f t="shared" si="0"/>
        <v>31</v>
      </c>
      <c r="H19" s="12"/>
      <c r="I19" s="21">
        <v>19</v>
      </c>
      <c r="J19" s="23">
        <v>3.232705451192103</v>
      </c>
      <c r="K19" s="12">
        <f t="shared" si="1"/>
        <v>39</v>
      </c>
      <c r="L19" s="12"/>
      <c r="M19" s="21">
        <v>151</v>
      </c>
      <c r="N19" s="23">
        <v>25.691501217368813</v>
      </c>
      <c r="O19" s="12">
        <f t="shared" si="2"/>
        <v>4</v>
      </c>
      <c r="P19" s="12"/>
      <c r="Q19" s="21">
        <v>88</v>
      </c>
      <c r="R19" s="23">
        <v>14.972530510784475</v>
      </c>
      <c r="S19" s="12">
        <f t="shared" si="3"/>
        <v>12</v>
      </c>
      <c r="T19" s="12"/>
      <c r="U19" s="21">
        <v>11</v>
      </c>
      <c r="V19" s="22">
        <v>1.8715663138480594</v>
      </c>
      <c r="W19" s="12">
        <f t="shared" si="4"/>
        <v>28</v>
      </c>
      <c r="X19" s="12"/>
      <c r="Y19" s="19">
        <v>666</v>
      </c>
      <c r="Z19" s="37">
        <v>113.31483318389159</v>
      </c>
      <c r="AA19" s="13">
        <f t="shared" si="5"/>
        <v>28</v>
      </c>
      <c r="AB19" s="12"/>
    </row>
    <row r="20" spans="1:28" x14ac:dyDescent="0.35">
      <c r="A20" s="12"/>
      <c r="B20" s="12" t="s">
        <v>24</v>
      </c>
      <c r="C20" s="21">
        <v>1978800</v>
      </c>
      <c r="D20" s="12"/>
      <c r="E20" s="21">
        <v>1841</v>
      </c>
      <c r="F20" s="23">
        <v>93.03670072958765</v>
      </c>
      <c r="G20" s="12">
        <f t="shared" si="0"/>
        <v>21</v>
      </c>
      <c r="H20" s="12"/>
      <c r="I20" s="21">
        <v>167</v>
      </c>
      <c r="J20" s="23">
        <v>8.4395051721027361</v>
      </c>
      <c r="K20" s="12">
        <f t="shared" si="1"/>
        <v>21</v>
      </c>
      <c r="L20" s="12"/>
      <c r="M20" s="21">
        <v>424</v>
      </c>
      <c r="N20" s="23">
        <v>21.427246664500359</v>
      </c>
      <c r="O20" s="12">
        <f t="shared" si="2"/>
        <v>11</v>
      </c>
      <c r="P20" s="12"/>
      <c r="Q20" s="21">
        <v>261</v>
      </c>
      <c r="R20" s="23">
        <v>13.189885328855175</v>
      </c>
      <c r="S20" s="12">
        <f t="shared" si="3"/>
        <v>18</v>
      </c>
      <c r="T20" s="12"/>
      <c r="U20" s="21">
        <v>80</v>
      </c>
      <c r="V20" s="22">
        <v>4.0428767291510113</v>
      </c>
      <c r="W20" s="12">
        <f t="shared" si="4"/>
        <v>10</v>
      </c>
      <c r="X20" s="12"/>
      <c r="Y20" s="19">
        <v>2701</v>
      </c>
      <c r="Z20" s="37">
        <v>136.49762556796099</v>
      </c>
      <c r="AA20" s="13">
        <f t="shared" si="5"/>
        <v>17</v>
      </c>
      <c r="AB20" s="12"/>
    </row>
    <row r="21" spans="1:28" x14ac:dyDescent="0.35">
      <c r="A21" s="12"/>
      <c r="B21" s="12" t="s">
        <v>25</v>
      </c>
      <c r="C21" s="21">
        <v>1180900</v>
      </c>
      <c r="D21" s="12"/>
      <c r="E21" s="21">
        <v>1136</v>
      </c>
      <c r="F21" s="23">
        <v>96.195045616435806</v>
      </c>
      <c r="G21" s="12">
        <f t="shared" si="0"/>
        <v>18</v>
      </c>
      <c r="H21" s="12"/>
      <c r="I21" s="21">
        <v>66</v>
      </c>
      <c r="J21" s="23">
        <v>5.5887966643351792</v>
      </c>
      <c r="K21" s="12">
        <f t="shared" si="1"/>
        <v>32</v>
      </c>
      <c r="L21" s="12"/>
      <c r="M21" s="21">
        <v>121</v>
      </c>
      <c r="N21" s="23">
        <v>10.246127217947828</v>
      </c>
      <c r="O21" s="12">
        <f t="shared" si="2"/>
        <v>33</v>
      </c>
      <c r="P21" s="12"/>
      <c r="Q21" s="21">
        <v>181</v>
      </c>
      <c r="R21" s="23">
        <v>15.326851458252536</v>
      </c>
      <c r="S21" s="12">
        <f t="shared" si="3"/>
        <v>11</v>
      </c>
      <c r="T21" s="12"/>
      <c r="U21" s="21">
        <v>23</v>
      </c>
      <c r="V21" s="22">
        <v>1.9476109587834716</v>
      </c>
      <c r="W21" s="12">
        <f t="shared" si="4"/>
        <v>26</v>
      </c>
      <c r="X21" s="12"/>
      <c r="Y21" s="19">
        <v>1468</v>
      </c>
      <c r="Z21" s="37">
        <v>124.30838641278852</v>
      </c>
      <c r="AA21" s="13">
        <f t="shared" si="5"/>
        <v>24</v>
      </c>
      <c r="AB21" s="12"/>
    </row>
    <row r="22" spans="1:28" x14ac:dyDescent="0.35">
      <c r="A22" s="12"/>
      <c r="B22" s="12" t="s">
        <v>26</v>
      </c>
      <c r="C22" s="21">
        <v>929900</v>
      </c>
      <c r="D22" s="12"/>
      <c r="E22" s="21">
        <v>702</v>
      </c>
      <c r="F22" s="23">
        <v>75.495722984468529</v>
      </c>
      <c r="G22" s="12">
        <f t="shared" si="0"/>
        <v>27</v>
      </c>
      <c r="H22" s="12"/>
      <c r="I22" s="21">
        <v>53</v>
      </c>
      <c r="J22" s="23">
        <v>5.6998195415624391</v>
      </c>
      <c r="K22" s="12">
        <f t="shared" si="1"/>
        <v>31</v>
      </c>
      <c r="L22" s="12"/>
      <c r="M22" s="21">
        <v>150</v>
      </c>
      <c r="N22" s="23">
        <v>16.131564740271052</v>
      </c>
      <c r="O22" s="12">
        <f t="shared" si="2"/>
        <v>22</v>
      </c>
      <c r="P22" s="12"/>
      <c r="Q22" s="21">
        <v>150</v>
      </c>
      <c r="R22" s="23">
        <v>16.131564740271052</v>
      </c>
      <c r="S22" s="12">
        <f t="shared" si="3"/>
        <v>8</v>
      </c>
      <c r="T22" s="12"/>
      <c r="U22" s="21">
        <v>37</v>
      </c>
      <c r="V22" s="22">
        <v>3.9791193026001932</v>
      </c>
      <c r="W22" s="12">
        <f t="shared" si="4"/>
        <v>11</v>
      </c>
      <c r="X22" s="12"/>
      <c r="Y22" s="19">
        <v>1060</v>
      </c>
      <c r="Z22" s="37">
        <v>113.99639083124879</v>
      </c>
      <c r="AA22" s="13">
        <f t="shared" si="5"/>
        <v>27</v>
      </c>
      <c r="AB22" s="12"/>
    </row>
    <row r="23" spans="1:28" x14ac:dyDescent="0.35">
      <c r="A23" s="12"/>
      <c r="B23" s="12" t="s">
        <v>27</v>
      </c>
      <c r="C23" s="21">
        <v>1832300</v>
      </c>
      <c r="D23" s="12"/>
      <c r="E23" s="21">
        <v>2467</v>
      </c>
      <c r="F23" s="23">
        <v>134.64305128333876</v>
      </c>
      <c r="G23" s="12">
        <f t="shared" si="0"/>
        <v>7</v>
      </c>
      <c r="H23" s="12"/>
      <c r="I23" s="21">
        <v>138</v>
      </c>
      <c r="J23" s="23">
        <v>7.5317150697611464</v>
      </c>
      <c r="K23" s="12">
        <f t="shared" si="1"/>
        <v>25</v>
      </c>
      <c r="L23" s="12"/>
      <c r="M23" s="21">
        <v>434</v>
      </c>
      <c r="N23" s="23">
        <v>23.686698117944477</v>
      </c>
      <c r="O23" s="12">
        <f t="shared" si="2"/>
        <v>8</v>
      </c>
      <c r="P23" s="12"/>
      <c r="Q23" s="21">
        <v>348</v>
      </c>
      <c r="R23" s="23">
        <v>18.993020610702022</v>
      </c>
      <c r="S23" s="12">
        <f t="shared" si="3"/>
        <v>5</v>
      </c>
      <c r="T23" s="12"/>
      <c r="U23" s="21">
        <v>57</v>
      </c>
      <c r="V23" s="22">
        <v>3.1109257896839519</v>
      </c>
      <c r="W23" s="12">
        <f t="shared" si="4"/>
        <v>16</v>
      </c>
      <c r="X23" s="12"/>
      <c r="Y23" s="19">
        <v>3359</v>
      </c>
      <c r="Z23" s="37">
        <v>183.32631100962095</v>
      </c>
      <c r="AA23" s="13">
        <f t="shared" si="5"/>
        <v>6</v>
      </c>
      <c r="AB23" s="12"/>
    </row>
    <row r="24" spans="1:28" x14ac:dyDescent="0.35">
      <c r="A24" s="12"/>
      <c r="B24" s="12" t="s">
        <v>28</v>
      </c>
      <c r="C24" s="21">
        <v>1490500</v>
      </c>
      <c r="D24" s="12"/>
      <c r="E24" s="21">
        <v>1561</v>
      </c>
      <c r="F24" s="23">
        <v>104.73016718584472</v>
      </c>
      <c r="G24" s="12">
        <f t="shared" si="0"/>
        <v>13</v>
      </c>
      <c r="H24" s="12"/>
      <c r="I24" s="21">
        <v>150</v>
      </c>
      <c r="J24" s="23">
        <v>10.063757256807628</v>
      </c>
      <c r="K24" s="12">
        <f t="shared" si="1"/>
        <v>14</v>
      </c>
      <c r="L24" s="12"/>
      <c r="M24" s="21">
        <v>301</v>
      </c>
      <c r="N24" s="23">
        <v>20.194606228660643</v>
      </c>
      <c r="O24" s="12">
        <f t="shared" si="2"/>
        <v>13</v>
      </c>
      <c r="P24" s="12"/>
      <c r="Q24" s="21">
        <v>173</v>
      </c>
      <c r="R24" s="23">
        <v>11.606866702851464</v>
      </c>
      <c r="S24" s="12">
        <f t="shared" si="3"/>
        <v>22</v>
      </c>
      <c r="T24" s="12"/>
      <c r="U24" s="21">
        <v>66</v>
      </c>
      <c r="V24" s="22">
        <v>4.4280531929953568</v>
      </c>
      <c r="W24" s="12">
        <f t="shared" si="4"/>
        <v>5</v>
      </c>
      <c r="X24" s="12"/>
      <c r="Y24" s="19">
        <v>2105</v>
      </c>
      <c r="Z24" s="37">
        <v>141.22806017053372</v>
      </c>
      <c r="AA24" s="13">
        <f t="shared" si="5"/>
        <v>12</v>
      </c>
      <c r="AB24" s="12"/>
    </row>
    <row r="25" spans="1:28" x14ac:dyDescent="0.35">
      <c r="A25" s="12"/>
      <c r="B25" s="12" t="s">
        <v>29</v>
      </c>
      <c r="C25" s="21">
        <v>1083200</v>
      </c>
      <c r="D25" s="12"/>
      <c r="E25" s="21">
        <v>1130</v>
      </c>
      <c r="F25" s="23">
        <v>104.31802781690985</v>
      </c>
      <c r="G25" s="12">
        <f t="shared" si="0"/>
        <v>15</v>
      </c>
      <c r="H25" s="12"/>
      <c r="I25" s="21">
        <v>195</v>
      </c>
      <c r="J25" s="23">
        <v>18.001783561325155</v>
      </c>
      <c r="K25" s="12">
        <f t="shared" si="1"/>
        <v>3</v>
      </c>
      <c r="L25" s="12"/>
      <c r="M25" s="21">
        <v>142</v>
      </c>
      <c r="N25" s="23">
        <v>13.108991106195752</v>
      </c>
      <c r="O25" s="12">
        <f t="shared" si="2"/>
        <v>29</v>
      </c>
      <c r="P25" s="12"/>
      <c r="Q25" s="21">
        <v>66</v>
      </c>
      <c r="R25" s="23">
        <v>6.0929113592177435</v>
      </c>
      <c r="S25" s="12">
        <f t="shared" si="3"/>
        <v>34</v>
      </c>
      <c r="T25" s="12"/>
      <c r="U25" s="21">
        <v>16</v>
      </c>
      <c r="V25" s="22">
        <v>1.4770694204164228</v>
      </c>
      <c r="W25" s="12">
        <f t="shared" si="4"/>
        <v>31</v>
      </c>
      <c r="X25" s="12"/>
      <c r="Y25" s="19">
        <v>1437</v>
      </c>
      <c r="Z25" s="37">
        <v>132.65929732114998</v>
      </c>
      <c r="AA25" s="13">
        <f t="shared" si="5"/>
        <v>20</v>
      </c>
      <c r="AB25" s="12"/>
    </row>
    <row r="26" spans="1:28" x14ac:dyDescent="0.35">
      <c r="A26" s="12"/>
      <c r="B26" s="12" t="s">
        <v>30</v>
      </c>
      <c r="C26" s="21">
        <v>751200</v>
      </c>
      <c r="D26" s="12"/>
      <c r="E26" s="21">
        <v>266</v>
      </c>
      <c r="F26" s="23">
        <v>35.411377702280838</v>
      </c>
      <c r="G26" s="12">
        <f t="shared" si="0"/>
        <v>40</v>
      </c>
      <c r="H26" s="12"/>
      <c r="I26" s="21">
        <v>51</v>
      </c>
      <c r="J26" s="23">
        <v>6.7893994842718906</v>
      </c>
      <c r="K26" s="12">
        <f t="shared" si="1"/>
        <v>28</v>
      </c>
      <c r="L26" s="12"/>
      <c r="M26" s="21">
        <v>65</v>
      </c>
      <c r="N26" s="23">
        <v>8.6531562054445654</v>
      </c>
      <c r="O26" s="12">
        <f t="shared" si="2"/>
        <v>37</v>
      </c>
      <c r="P26" s="12"/>
      <c r="Q26" s="21">
        <v>62</v>
      </c>
      <c r="R26" s="23">
        <v>8.2537797651932792</v>
      </c>
      <c r="S26" s="12">
        <f t="shared" si="3"/>
        <v>31</v>
      </c>
      <c r="T26" s="12"/>
      <c r="U26" s="21">
        <v>19</v>
      </c>
      <c r="V26" s="22">
        <v>2.5293841215914887</v>
      </c>
      <c r="W26" s="12">
        <f t="shared" si="4"/>
        <v>22</v>
      </c>
      <c r="X26" s="12"/>
      <c r="Y26" s="19">
        <v>416</v>
      </c>
      <c r="Z26" s="37">
        <v>55.380199714845219</v>
      </c>
      <c r="AA26" s="13">
        <f t="shared" si="5"/>
        <v>40</v>
      </c>
      <c r="AB26" s="12"/>
    </row>
    <row r="27" spans="1:28" x14ac:dyDescent="0.35">
      <c r="A27" s="12"/>
      <c r="B27" s="12" t="s">
        <v>32</v>
      </c>
      <c r="C27" s="21">
        <v>1416800</v>
      </c>
      <c r="D27" s="12"/>
      <c r="E27" s="21">
        <v>1909</v>
      </c>
      <c r="F27" s="23">
        <v>134.73788223669121</v>
      </c>
      <c r="G27" s="12">
        <f t="shared" si="0"/>
        <v>6</v>
      </c>
      <c r="H27" s="12"/>
      <c r="I27" s="21">
        <v>194</v>
      </c>
      <c r="J27" s="23">
        <v>13.692587299066574</v>
      </c>
      <c r="K27" s="12">
        <f t="shared" si="1"/>
        <v>7</v>
      </c>
      <c r="L27" s="12"/>
      <c r="M27" s="21">
        <v>486</v>
      </c>
      <c r="N27" s="23">
        <v>34.302048594568838</v>
      </c>
      <c r="O27" s="12">
        <f t="shared" si="2"/>
        <v>1</v>
      </c>
      <c r="P27" s="12"/>
      <c r="Q27" s="21">
        <v>223</v>
      </c>
      <c r="R27" s="23">
        <v>15.739417359236322</v>
      </c>
      <c r="S27" s="12">
        <f t="shared" si="3"/>
        <v>9</v>
      </c>
      <c r="T27" s="12"/>
      <c r="U27" s="21">
        <v>15</v>
      </c>
      <c r="V27" s="22">
        <v>1.0587052035360753</v>
      </c>
      <c r="W27" s="12">
        <f t="shared" si="4"/>
        <v>39</v>
      </c>
      <c r="X27" s="12"/>
      <c r="Y27" s="19">
        <v>2656</v>
      </c>
      <c r="Z27" s="37">
        <v>187.46140137278775</v>
      </c>
      <c r="AA27" s="13">
        <f t="shared" si="5"/>
        <v>4</v>
      </c>
      <c r="AB27" s="12"/>
    </row>
    <row r="28" spans="1:28" x14ac:dyDescent="0.35">
      <c r="A28" s="12"/>
      <c r="B28" s="12" t="s">
        <v>33</v>
      </c>
      <c r="C28" s="21">
        <v>8825000</v>
      </c>
      <c r="D28" s="12"/>
      <c r="E28" s="21">
        <v>15537</v>
      </c>
      <c r="F28" s="23">
        <v>176.05665722379604</v>
      </c>
      <c r="G28" s="12">
        <f t="shared" si="0"/>
        <v>3</v>
      </c>
      <c r="H28" s="12"/>
      <c r="I28" s="21">
        <v>2521</v>
      </c>
      <c r="J28" s="23">
        <v>28.56657223796034</v>
      </c>
      <c r="K28" s="12">
        <f t="shared" si="1"/>
        <v>2</v>
      </c>
      <c r="L28" s="12"/>
      <c r="M28" s="21">
        <v>2106</v>
      </c>
      <c r="N28" s="23">
        <v>23.864022662889518</v>
      </c>
      <c r="O28" s="12">
        <f t="shared" si="2"/>
        <v>7</v>
      </c>
      <c r="P28" s="12"/>
      <c r="Q28" s="21">
        <v>462</v>
      </c>
      <c r="R28" s="23">
        <v>5.2351274787535411</v>
      </c>
      <c r="S28" s="12">
        <f t="shared" si="3"/>
        <v>38</v>
      </c>
      <c r="T28" s="12"/>
      <c r="U28" s="21">
        <v>180</v>
      </c>
      <c r="V28" s="22">
        <v>2.0396600566572238</v>
      </c>
      <c r="W28" s="12">
        <f t="shared" si="4"/>
        <v>25</v>
      </c>
      <c r="X28" s="12"/>
      <c r="Y28" s="19">
        <v>19503</v>
      </c>
      <c r="Z28" s="37">
        <v>220.9971671388102</v>
      </c>
      <c r="AA28" s="13">
        <f t="shared" si="5"/>
        <v>3</v>
      </c>
      <c r="AB28" s="12"/>
    </row>
    <row r="29" spans="1:28" x14ac:dyDescent="0.35">
      <c r="A29" s="12"/>
      <c r="B29" s="12" t="s">
        <v>34</v>
      </c>
      <c r="C29" s="21">
        <v>898400</v>
      </c>
      <c r="D29" s="12"/>
      <c r="E29" s="21">
        <v>558</v>
      </c>
      <c r="F29" s="23">
        <v>62.111109874330751</v>
      </c>
      <c r="G29" s="12">
        <f t="shared" si="0"/>
        <v>33</v>
      </c>
      <c r="H29" s="12"/>
      <c r="I29" s="21">
        <v>92</v>
      </c>
      <c r="J29" s="23">
        <v>10.240541412972094</v>
      </c>
      <c r="K29" s="12">
        <f t="shared" si="1"/>
        <v>12</v>
      </c>
      <c r="L29" s="12"/>
      <c r="M29" s="21">
        <v>180</v>
      </c>
      <c r="N29" s="23">
        <v>20.035841894945403</v>
      </c>
      <c r="O29" s="12">
        <f t="shared" si="2"/>
        <v>14</v>
      </c>
      <c r="P29" s="12"/>
      <c r="Q29" s="21">
        <v>409</v>
      </c>
      <c r="R29" s="23">
        <v>45.525885194625943</v>
      </c>
      <c r="S29" s="12">
        <f t="shared" si="3"/>
        <v>2</v>
      </c>
      <c r="T29" s="12"/>
      <c r="U29" s="21">
        <v>39</v>
      </c>
      <c r="V29" s="22">
        <v>4.3410990772381703</v>
      </c>
      <c r="W29" s="12">
        <f t="shared" si="4"/>
        <v>6</v>
      </c>
      <c r="X29" s="12"/>
      <c r="Y29" s="19">
        <v>1204</v>
      </c>
      <c r="Z29" s="37">
        <v>134.0175202306348</v>
      </c>
      <c r="AA29" s="13">
        <f t="shared" si="5"/>
        <v>19</v>
      </c>
      <c r="AB29" s="12"/>
    </row>
    <row r="30" spans="1:28" x14ac:dyDescent="0.35">
      <c r="A30" s="12"/>
      <c r="B30" s="12" t="s">
        <v>35</v>
      </c>
      <c r="C30" s="21">
        <v>696300</v>
      </c>
      <c r="D30" s="12"/>
      <c r="E30" s="21">
        <v>467</v>
      </c>
      <c r="F30" s="23">
        <v>67.070333369716948</v>
      </c>
      <c r="G30" s="12">
        <f t="shared" si="0"/>
        <v>32</v>
      </c>
      <c r="H30" s="12"/>
      <c r="I30" s="21">
        <v>46</v>
      </c>
      <c r="J30" s="23">
        <v>6.6064996466958883</v>
      </c>
      <c r="K30" s="12">
        <f t="shared" si="1"/>
        <v>29</v>
      </c>
      <c r="L30" s="12"/>
      <c r="M30" s="21">
        <v>148</v>
      </c>
      <c r="N30" s="23">
        <v>21.255694515456337</v>
      </c>
      <c r="O30" s="12">
        <f t="shared" si="2"/>
        <v>12</v>
      </c>
      <c r="P30" s="12"/>
      <c r="Q30" s="21">
        <v>65</v>
      </c>
      <c r="R30" s="23">
        <v>9.3352712398963646</v>
      </c>
      <c r="S30" s="12">
        <f t="shared" si="3"/>
        <v>29</v>
      </c>
      <c r="T30" s="12"/>
      <c r="U30" s="21">
        <v>7</v>
      </c>
      <c r="V30" s="22">
        <v>1.0053369027580701</v>
      </c>
      <c r="W30" s="12">
        <f t="shared" si="4"/>
        <v>40</v>
      </c>
      <c r="X30" s="12"/>
      <c r="Y30" s="19">
        <v>681</v>
      </c>
      <c r="Z30" s="37">
        <v>97.804918682606512</v>
      </c>
      <c r="AA30" s="13">
        <f t="shared" si="5"/>
        <v>33</v>
      </c>
      <c r="AB30" s="12"/>
    </row>
    <row r="31" spans="1:28" x14ac:dyDescent="0.35">
      <c r="A31" s="12"/>
      <c r="B31" s="12" t="s">
        <v>36</v>
      </c>
      <c r="C31" s="21">
        <v>819800</v>
      </c>
      <c r="D31" s="12"/>
      <c r="E31" s="21">
        <v>276</v>
      </c>
      <c r="F31" s="23">
        <v>33.666912256219838</v>
      </c>
      <c r="G31" s="12">
        <f t="shared" si="0"/>
        <v>41</v>
      </c>
      <c r="H31" s="12"/>
      <c r="I31" s="21">
        <v>39</v>
      </c>
      <c r="J31" s="23">
        <v>4.7572810796832385</v>
      </c>
      <c r="K31" s="12">
        <f t="shared" si="1"/>
        <v>37</v>
      </c>
      <c r="L31" s="12"/>
      <c r="M31" s="21">
        <v>55</v>
      </c>
      <c r="N31" s="23">
        <v>6.708986138014823</v>
      </c>
      <c r="O31" s="12">
        <f t="shared" si="2"/>
        <v>41</v>
      </c>
      <c r="P31" s="12"/>
      <c r="Q31" s="21">
        <v>25</v>
      </c>
      <c r="R31" s="23">
        <v>3.0495391536431016</v>
      </c>
      <c r="S31" s="12">
        <f t="shared" si="3"/>
        <v>41</v>
      </c>
      <c r="T31" s="12"/>
      <c r="U31" s="21">
        <v>7</v>
      </c>
      <c r="V31" s="22">
        <v>0.85387096302006849</v>
      </c>
      <c r="W31" s="12">
        <f t="shared" si="4"/>
        <v>42</v>
      </c>
      <c r="X31" s="12"/>
      <c r="Y31" s="19">
        <v>384</v>
      </c>
      <c r="Z31" s="37">
        <v>46.840921399958042</v>
      </c>
      <c r="AA31" s="13">
        <f t="shared" si="5"/>
        <v>41</v>
      </c>
      <c r="AB31" s="12"/>
    </row>
    <row r="32" spans="1:28" x14ac:dyDescent="0.35">
      <c r="A32" s="12"/>
      <c r="B32" s="12" t="s">
        <v>37</v>
      </c>
      <c r="C32" s="21">
        <v>741200</v>
      </c>
      <c r="D32" s="12"/>
      <c r="E32" s="21">
        <v>591</v>
      </c>
      <c r="F32" s="23">
        <v>79.734595775280653</v>
      </c>
      <c r="G32" s="12">
        <f t="shared" si="0"/>
        <v>26</v>
      </c>
      <c r="H32" s="12"/>
      <c r="I32" s="21">
        <v>53</v>
      </c>
      <c r="J32" s="23">
        <v>7.1504798241791443</v>
      </c>
      <c r="K32" s="12">
        <f t="shared" si="1"/>
        <v>26</v>
      </c>
      <c r="L32" s="12"/>
      <c r="M32" s="21">
        <v>68</v>
      </c>
      <c r="N32" s="23">
        <v>9.1742005291355078</v>
      </c>
      <c r="O32" s="12">
        <f t="shared" si="2"/>
        <v>35</v>
      </c>
      <c r="P32" s="12"/>
      <c r="Q32" s="21">
        <v>65</v>
      </c>
      <c r="R32" s="23">
        <v>8.7694563881442349</v>
      </c>
      <c r="S32" s="12">
        <f t="shared" si="3"/>
        <v>30</v>
      </c>
      <c r="T32" s="12"/>
      <c r="U32" s="21">
        <v>10</v>
      </c>
      <c r="V32" s="22">
        <v>1.3491471366375747</v>
      </c>
      <c r="W32" s="12">
        <f t="shared" si="4"/>
        <v>34</v>
      </c>
      <c r="X32" s="12"/>
      <c r="Y32" s="19">
        <v>744</v>
      </c>
      <c r="Z32" s="37">
        <v>100.37654696583554</v>
      </c>
      <c r="AA32" s="13">
        <f t="shared" si="5"/>
        <v>31</v>
      </c>
      <c r="AB32" s="12"/>
    </row>
    <row r="33" spans="1:28" x14ac:dyDescent="0.35">
      <c r="A33" s="12"/>
      <c r="B33" s="12" t="s">
        <v>38</v>
      </c>
      <c r="C33" s="21">
        <v>1448600</v>
      </c>
      <c r="D33" s="12"/>
      <c r="E33" s="21">
        <v>1785</v>
      </c>
      <c r="F33" s="23">
        <v>123.22514372815083</v>
      </c>
      <c r="G33" s="12">
        <f t="shared" si="0"/>
        <v>9</v>
      </c>
      <c r="H33" s="12"/>
      <c r="I33" s="21">
        <v>243</v>
      </c>
      <c r="J33" s="23">
        <v>16.775187633580195</v>
      </c>
      <c r="K33" s="12">
        <f t="shared" si="1"/>
        <v>4</v>
      </c>
      <c r="L33" s="12"/>
      <c r="M33" s="21">
        <v>282</v>
      </c>
      <c r="N33" s="23">
        <v>19.467501698228869</v>
      </c>
      <c r="O33" s="12">
        <f t="shared" si="2"/>
        <v>15</v>
      </c>
      <c r="P33" s="12"/>
      <c r="Q33" s="21">
        <v>308</v>
      </c>
      <c r="R33" s="23">
        <v>21.262377741327988</v>
      </c>
      <c r="S33" s="12">
        <f t="shared" si="3"/>
        <v>4</v>
      </c>
      <c r="T33" s="12"/>
      <c r="U33" s="21">
        <v>59</v>
      </c>
      <c r="V33" s="22">
        <v>4.0729879439556855</v>
      </c>
      <c r="W33" s="12">
        <f t="shared" si="4"/>
        <v>9</v>
      </c>
      <c r="X33" s="12"/>
      <c r="Y33" s="19">
        <v>2559</v>
      </c>
      <c r="Z33" s="37">
        <v>176.65722285733221</v>
      </c>
      <c r="AA33" s="13">
        <f t="shared" si="5"/>
        <v>7</v>
      </c>
      <c r="AB33" s="12"/>
    </row>
    <row r="34" spans="1:28" x14ac:dyDescent="0.35">
      <c r="A34" s="12"/>
      <c r="B34" s="12" t="s">
        <v>39</v>
      </c>
      <c r="C34" s="21">
        <v>1147100</v>
      </c>
      <c r="D34" s="12"/>
      <c r="E34" s="21">
        <v>1176</v>
      </c>
      <c r="F34" s="23">
        <v>102.52297177131099</v>
      </c>
      <c r="G34" s="12">
        <f t="shared" si="0"/>
        <v>16</v>
      </c>
      <c r="H34" s="12"/>
      <c r="I34" s="21">
        <v>93</v>
      </c>
      <c r="J34" s="23">
        <v>8.1076839921189823</v>
      </c>
      <c r="K34" s="12">
        <f t="shared" si="1"/>
        <v>22</v>
      </c>
      <c r="L34" s="12"/>
      <c r="M34" s="21">
        <v>182</v>
      </c>
      <c r="N34" s="23">
        <v>15.866650393179084</v>
      </c>
      <c r="O34" s="12">
        <f t="shared" si="2"/>
        <v>24</v>
      </c>
      <c r="P34" s="12"/>
      <c r="Q34" s="21">
        <v>89</v>
      </c>
      <c r="R34" s="23">
        <v>7.7589664010601016</v>
      </c>
      <c r="S34" s="12">
        <f t="shared" si="3"/>
        <v>32</v>
      </c>
      <c r="T34" s="12"/>
      <c r="U34" s="21">
        <v>37</v>
      </c>
      <c r="V34" s="22">
        <v>3.2256377172946493</v>
      </c>
      <c r="W34" s="12">
        <f t="shared" si="4"/>
        <v>14</v>
      </c>
      <c r="X34" s="12"/>
      <c r="Y34" s="19">
        <v>1509</v>
      </c>
      <c r="Z34" s="37">
        <v>131.55371122696283</v>
      </c>
      <c r="AA34" s="13">
        <f t="shared" si="5"/>
        <v>21</v>
      </c>
      <c r="AB34" s="12"/>
    </row>
    <row r="35" spans="1:28" x14ac:dyDescent="0.35">
      <c r="A35" s="12"/>
      <c r="B35" s="12" t="s">
        <v>40</v>
      </c>
      <c r="C35" s="21">
        <v>1324400</v>
      </c>
      <c r="D35" s="12"/>
      <c r="E35" s="21">
        <v>1263</v>
      </c>
      <c r="F35" s="23">
        <v>95.365090487351097</v>
      </c>
      <c r="G35" s="12">
        <f t="shared" si="0"/>
        <v>20</v>
      </c>
      <c r="H35" s="12"/>
      <c r="I35" s="21">
        <v>124</v>
      </c>
      <c r="J35" s="23">
        <v>9.3628434049339155</v>
      </c>
      <c r="K35" s="12">
        <f t="shared" si="1"/>
        <v>15</v>
      </c>
      <c r="L35" s="12"/>
      <c r="M35" s="21">
        <v>338</v>
      </c>
      <c r="N35" s="23">
        <v>25.521298958610192</v>
      </c>
      <c r="O35" s="12">
        <f t="shared" si="2"/>
        <v>5</v>
      </c>
      <c r="P35" s="12"/>
      <c r="Q35" s="21">
        <v>139</v>
      </c>
      <c r="R35" s="23">
        <v>10.49544542972431</v>
      </c>
      <c r="S35" s="12">
        <f t="shared" si="3"/>
        <v>25</v>
      </c>
      <c r="T35" s="12"/>
      <c r="U35" s="21">
        <v>39</v>
      </c>
      <c r="V35" s="22">
        <v>2.9447652644550222</v>
      </c>
      <c r="W35" s="12">
        <f t="shared" si="4"/>
        <v>19</v>
      </c>
      <c r="X35" s="12"/>
      <c r="Y35" s="19">
        <v>1800</v>
      </c>
      <c r="Z35" s="37">
        <v>135.91224297484717</v>
      </c>
      <c r="AA35" s="13">
        <f t="shared" si="5"/>
        <v>18</v>
      </c>
      <c r="AB35" s="12"/>
    </row>
    <row r="36" spans="1:28" x14ac:dyDescent="0.35">
      <c r="A36" s="12"/>
      <c r="B36" s="12" t="s">
        <v>41</v>
      </c>
      <c r="C36" s="21">
        <v>1393400</v>
      </c>
      <c r="D36" s="12"/>
      <c r="E36" s="21">
        <v>1683</v>
      </c>
      <c r="F36" s="23">
        <v>120.77979396388089</v>
      </c>
      <c r="G36" s="12">
        <f t="shared" si="0"/>
        <v>10</v>
      </c>
      <c r="H36" s="12"/>
      <c r="I36" s="21">
        <v>97</v>
      </c>
      <c r="J36" s="23">
        <v>6.9611645956603958</v>
      </c>
      <c r="K36" s="12">
        <f t="shared" si="1"/>
        <v>27</v>
      </c>
      <c r="L36" s="12"/>
      <c r="M36" s="21">
        <v>269</v>
      </c>
      <c r="N36" s="23">
        <v>19.304672950852023</v>
      </c>
      <c r="O36" s="12">
        <f t="shared" si="2"/>
        <v>16</v>
      </c>
      <c r="P36" s="12"/>
      <c r="Q36" s="21">
        <v>175</v>
      </c>
      <c r="R36" s="23">
        <v>12.558802105572878</v>
      </c>
      <c r="S36" s="12">
        <f t="shared" si="3"/>
        <v>21</v>
      </c>
      <c r="T36" s="12"/>
      <c r="U36" s="21">
        <v>69</v>
      </c>
      <c r="V36" s="22">
        <v>4.9517562587687349</v>
      </c>
      <c r="W36" s="12">
        <f t="shared" si="4"/>
        <v>3</v>
      </c>
      <c r="X36" s="12"/>
      <c r="Y36" s="19">
        <v>2219</v>
      </c>
      <c r="Z36" s="37">
        <v>159.24561069866411</v>
      </c>
      <c r="AA36" s="13">
        <f t="shared" si="5"/>
        <v>9</v>
      </c>
      <c r="AB36" s="12"/>
    </row>
    <row r="37" spans="1:28" x14ac:dyDescent="0.35">
      <c r="A37" s="12"/>
      <c r="B37" s="12" t="s">
        <v>42</v>
      </c>
      <c r="C37" s="21">
        <v>1126200</v>
      </c>
      <c r="D37" s="12"/>
      <c r="E37" s="21">
        <v>1198</v>
      </c>
      <c r="F37" s="23">
        <v>106.37513840755174</v>
      </c>
      <c r="G37" s="12">
        <f t="shared" si="0"/>
        <v>12</v>
      </c>
      <c r="H37" s="12"/>
      <c r="I37" s="21">
        <v>57</v>
      </c>
      <c r="J37" s="23">
        <v>5.0612544985229126</v>
      </c>
      <c r="K37" s="12">
        <f t="shared" si="1"/>
        <v>35</v>
      </c>
      <c r="L37" s="12"/>
      <c r="M37" s="21">
        <v>210</v>
      </c>
      <c r="N37" s="23">
        <v>18.646727099821259</v>
      </c>
      <c r="O37" s="12">
        <f t="shared" si="2"/>
        <v>17</v>
      </c>
      <c r="P37" s="12"/>
      <c r="Q37" s="21">
        <v>156</v>
      </c>
      <c r="R37" s="23">
        <v>13.851854417010076</v>
      </c>
      <c r="S37" s="12">
        <f t="shared" si="3"/>
        <v>14</v>
      </c>
      <c r="T37" s="12"/>
      <c r="U37" s="21">
        <v>33</v>
      </c>
      <c r="V37" s="22">
        <v>2.9301999728290546</v>
      </c>
      <c r="W37" s="12">
        <f t="shared" si="4"/>
        <v>20</v>
      </c>
      <c r="X37" s="12"/>
      <c r="Y37" s="19">
        <v>1578</v>
      </c>
      <c r="Z37" s="37">
        <v>140.11683506437117</v>
      </c>
      <c r="AA37" s="13">
        <f t="shared" si="5"/>
        <v>13</v>
      </c>
      <c r="AB37" s="12"/>
    </row>
    <row r="38" spans="1:28" x14ac:dyDescent="0.35">
      <c r="A38" s="12"/>
      <c r="B38" s="12" t="s">
        <v>43</v>
      </c>
      <c r="C38" s="21">
        <v>757000</v>
      </c>
      <c r="D38" s="12"/>
      <c r="E38" s="21">
        <v>565</v>
      </c>
      <c r="F38" s="23">
        <v>74.638893072189674</v>
      </c>
      <c r="G38" s="12">
        <f t="shared" si="0"/>
        <v>29</v>
      </c>
      <c r="H38" s="12"/>
      <c r="I38" s="21">
        <v>49</v>
      </c>
      <c r="J38" s="23">
        <v>6.473107540773972</v>
      </c>
      <c r="K38" s="12">
        <f t="shared" si="1"/>
        <v>30</v>
      </c>
      <c r="L38" s="12"/>
      <c r="M38" s="21">
        <v>138</v>
      </c>
      <c r="N38" s="23">
        <v>18.230384502587921</v>
      </c>
      <c r="O38" s="12">
        <f t="shared" si="2"/>
        <v>18</v>
      </c>
      <c r="P38" s="12"/>
      <c r="Q38" s="21">
        <v>378</v>
      </c>
      <c r="R38" s="23">
        <v>49.935401028827783</v>
      </c>
      <c r="S38" s="12">
        <f t="shared" si="3"/>
        <v>1</v>
      </c>
      <c r="T38" s="12"/>
      <c r="U38" s="21">
        <v>26</v>
      </c>
      <c r="V38" s="22">
        <v>3.4347101236759854</v>
      </c>
      <c r="W38" s="12">
        <f t="shared" si="4"/>
        <v>12</v>
      </c>
      <c r="X38" s="12"/>
      <c r="Y38" s="19">
        <v>1118</v>
      </c>
      <c r="Z38" s="37">
        <v>147.69253531806737</v>
      </c>
      <c r="AA38" s="13">
        <f t="shared" si="5"/>
        <v>11</v>
      </c>
      <c r="AB38" s="12"/>
    </row>
    <row r="39" spans="1:28" x14ac:dyDescent="0.35">
      <c r="A39" s="12"/>
      <c r="B39" s="12" t="s">
        <v>44</v>
      </c>
      <c r="C39" s="21">
        <v>1185300</v>
      </c>
      <c r="D39" s="12"/>
      <c r="E39" s="21">
        <v>1179</v>
      </c>
      <c r="F39" s="23">
        <v>99.466726734783236</v>
      </c>
      <c r="G39" s="12">
        <f t="shared" si="0"/>
        <v>17</v>
      </c>
      <c r="H39" s="12"/>
      <c r="I39" s="21">
        <v>161</v>
      </c>
      <c r="J39" s="23">
        <v>13.582818493893214</v>
      </c>
      <c r="K39" s="12">
        <f t="shared" si="1"/>
        <v>8</v>
      </c>
      <c r="L39" s="12"/>
      <c r="M39" s="21">
        <v>196</v>
      </c>
      <c r="N39" s="23">
        <v>16.535605123000437</v>
      </c>
      <c r="O39" s="12">
        <f t="shared" si="2"/>
        <v>21</v>
      </c>
      <c r="P39" s="12"/>
      <c r="Q39" s="21">
        <v>159</v>
      </c>
      <c r="R39" s="23">
        <v>13.414087829372802</v>
      </c>
      <c r="S39" s="12">
        <f t="shared" si="3"/>
        <v>16</v>
      </c>
      <c r="T39" s="12"/>
      <c r="U39" s="21">
        <v>29</v>
      </c>
      <c r="V39" s="22">
        <v>2.4465946355459827</v>
      </c>
      <c r="W39" s="12">
        <f t="shared" si="4"/>
        <v>24</v>
      </c>
      <c r="X39" s="12"/>
      <c r="Y39" s="19">
        <v>1631</v>
      </c>
      <c r="Z39" s="37">
        <v>137.59985691639648</v>
      </c>
      <c r="AA39" s="13">
        <f t="shared" si="5"/>
        <v>15</v>
      </c>
      <c r="AB39" s="12"/>
    </row>
    <row r="40" spans="1:28" x14ac:dyDescent="0.35">
      <c r="A40" s="12"/>
      <c r="B40" s="12" t="s">
        <v>45</v>
      </c>
      <c r="C40" s="21">
        <v>1692800</v>
      </c>
      <c r="D40" s="12"/>
      <c r="E40" s="21">
        <v>1437</v>
      </c>
      <c r="F40" s="23">
        <v>84.890596284072174</v>
      </c>
      <c r="G40" s="12">
        <f t="shared" si="0"/>
        <v>23</v>
      </c>
      <c r="H40" s="12"/>
      <c r="I40" s="21">
        <v>184</v>
      </c>
      <c r="J40" s="23">
        <v>10.869777116401725</v>
      </c>
      <c r="K40" s="12">
        <f t="shared" si="1"/>
        <v>10</v>
      </c>
      <c r="L40" s="12"/>
      <c r="M40" s="21">
        <v>390</v>
      </c>
      <c r="N40" s="23">
        <v>23.039201496721049</v>
      </c>
      <c r="O40" s="12">
        <f t="shared" si="2"/>
        <v>9</v>
      </c>
      <c r="P40" s="12"/>
      <c r="Q40" s="21">
        <v>217</v>
      </c>
      <c r="R40" s="23">
        <v>12.819248012278122</v>
      </c>
      <c r="S40" s="12">
        <f t="shared" si="3"/>
        <v>20</v>
      </c>
      <c r="T40" s="12"/>
      <c r="U40" s="21">
        <v>70</v>
      </c>
      <c r="V40" s="22">
        <v>4.135241294283265</v>
      </c>
      <c r="W40" s="12">
        <f t="shared" si="4"/>
        <v>8</v>
      </c>
      <c r="X40" s="12"/>
      <c r="Y40" s="19">
        <v>2187</v>
      </c>
      <c r="Z40" s="37">
        <v>129.19675300853572</v>
      </c>
      <c r="AA40" s="13">
        <f t="shared" si="5"/>
        <v>23</v>
      </c>
      <c r="AB40" s="12"/>
    </row>
    <row r="41" spans="1:28" x14ac:dyDescent="0.35">
      <c r="A41" s="12"/>
      <c r="B41" s="12" t="s">
        <v>46</v>
      </c>
      <c r="C41" s="21">
        <v>2391700</v>
      </c>
      <c r="D41" s="12"/>
      <c r="E41" s="21">
        <v>1909</v>
      </c>
      <c r="F41" s="23">
        <v>79.817836380543341</v>
      </c>
      <c r="G41" s="12">
        <f t="shared" si="0"/>
        <v>25</v>
      </c>
      <c r="H41" s="12"/>
      <c r="I41" s="21">
        <v>186</v>
      </c>
      <c r="J41" s="23">
        <v>7.7769081020330342</v>
      </c>
      <c r="K41" s="12">
        <f t="shared" si="1"/>
        <v>23</v>
      </c>
      <c r="L41" s="12"/>
      <c r="M41" s="21">
        <v>201</v>
      </c>
      <c r="N41" s="23">
        <v>8.404078110261505</v>
      </c>
      <c r="O41" s="12">
        <f t="shared" si="2"/>
        <v>38</v>
      </c>
      <c r="P41" s="12"/>
      <c r="Q41" s="21">
        <v>233</v>
      </c>
      <c r="R41" s="23">
        <v>9.7420407944822411</v>
      </c>
      <c r="S41" s="12">
        <f t="shared" si="3"/>
        <v>27</v>
      </c>
      <c r="T41" s="12"/>
      <c r="U41" s="21">
        <v>28</v>
      </c>
      <c r="V41" s="22">
        <v>1.170717348693145</v>
      </c>
      <c r="W41" s="12">
        <f t="shared" si="4"/>
        <v>38</v>
      </c>
      <c r="X41" s="12"/>
      <c r="Y41" s="19">
        <v>2396</v>
      </c>
      <c r="Z41" s="37">
        <v>100.17995598102769</v>
      </c>
      <c r="AA41" s="13">
        <f t="shared" si="5"/>
        <v>32</v>
      </c>
      <c r="AB41" s="12"/>
    </row>
    <row r="42" spans="1:28" x14ac:dyDescent="0.35">
      <c r="A42" s="12"/>
      <c r="B42" s="12" t="s">
        <v>47</v>
      </c>
      <c r="C42" s="21">
        <v>564600</v>
      </c>
      <c r="D42" s="12"/>
      <c r="E42" s="21">
        <v>497</v>
      </c>
      <c r="F42" s="23">
        <v>88.032846702399382</v>
      </c>
      <c r="G42" s="12">
        <f t="shared" si="0"/>
        <v>22</v>
      </c>
      <c r="H42" s="12"/>
      <c r="I42" s="21">
        <v>51</v>
      </c>
      <c r="J42" s="23">
        <v>9.0335516736868584</v>
      </c>
      <c r="K42" s="12">
        <f t="shared" si="1"/>
        <v>18</v>
      </c>
      <c r="L42" s="12"/>
      <c r="M42" s="21">
        <v>88</v>
      </c>
      <c r="N42" s="23">
        <v>15.587304848714577</v>
      </c>
      <c r="O42" s="12">
        <f t="shared" si="2"/>
        <v>25</v>
      </c>
      <c r="P42" s="12"/>
      <c r="Q42" s="21">
        <v>77</v>
      </c>
      <c r="R42" s="23">
        <v>13.638891742625256</v>
      </c>
      <c r="S42" s="12">
        <f t="shared" si="3"/>
        <v>15</v>
      </c>
      <c r="T42" s="12"/>
      <c r="U42" s="21">
        <v>9</v>
      </c>
      <c r="V42" s="22">
        <v>1.5941561777094457</v>
      </c>
      <c r="W42" s="12">
        <f t="shared" si="4"/>
        <v>30</v>
      </c>
      <c r="X42" s="12"/>
      <c r="Y42" s="19">
        <v>676</v>
      </c>
      <c r="Z42" s="37">
        <v>119.73884179239836</v>
      </c>
      <c r="AA42" s="13">
        <f t="shared" si="5"/>
        <v>26</v>
      </c>
      <c r="AB42" s="12"/>
    </row>
    <row r="43" spans="1:28" x14ac:dyDescent="0.35">
      <c r="A43" s="12"/>
      <c r="B43" s="12" t="s">
        <v>48</v>
      </c>
      <c r="C43" s="21">
        <v>1272600</v>
      </c>
      <c r="D43" s="12"/>
      <c r="E43" s="21">
        <v>870</v>
      </c>
      <c r="F43" s="23">
        <v>68.361937958791117</v>
      </c>
      <c r="G43" s="12">
        <f t="shared" si="0"/>
        <v>30</v>
      </c>
      <c r="H43" s="12"/>
      <c r="I43" s="21">
        <v>113</v>
      </c>
      <c r="J43" s="23">
        <v>8.8791942406245923</v>
      </c>
      <c r="K43" s="12">
        <f t="shared" si="1"/>
        <v>19</v>
      </c>
      <c r="L43" s="12"/>
      <c r="M43" s="21">
        <v>218</v>
      </c>
      <c r="N43" s="23">
        <v>17.129772959789037</v>
      </c>
      <c r="O43" s="12">
        <f t="shared" si="2"/>
        <v>19</v>
      </c>
      <c r="P43" s="12"/>
      <c r="Q43" s="21">
        <v>213</v>
      </c>
      <c r="R43" s="23">
        <v>16.736888258876444</v>
      </c>
      <c r="S43" s="12">
        <f t="shared" si="3"/>
        <v>7</v>
      </c>
      <c r="T43" s="12"/>
      <c r="U43" s="21">
        <v>39</v>
      </c>
      <c r="V43" s="22">
        <v>3.0645006671182227</v>
      </c>
      <c r="W43" s="12">
        <f t="shared" si="4"/>
        <v>17</v>
      </c>
      <c r="X43" s="12"/>
      <c r="Y43" s="19">
        <v>1330</v>
      </c>
      <c r="Z43" s="37">
        <v>104.50733044274963</v>
      </c>
      <c r="AA43" s="13">
        <f t="shared" si="5"/>
        <v>30</v>
      </c>
      <c r="AB43" s="12"/>
    </row>
    <row r="44" spans="1:28" x14ac:dyDescent="0.35">
      <c r="A44" s="12"/>
      <c r="B44" s="12" t="s">
        <v>7</v>
      </c>
      <c r="C44" s="21">
        <v>2897300</v>
      </c>
      <c r="D44" s="12"/>
      <c r="E44" s="21">
        <v>4151</v>
      </c>
      <c r="F44" s="23">
        <v>143.27117322558254</v>
      </c>
      <c r="G44" s="12">
        <f t="shared" si="0"/>
        <v>4</v>
      </c>
      <c r="H44" s="12"/>
      <c r="I44" s="21">
        <v>303</v>
      </c>
      <c r="J44" s="23">
        <v>10.45800180374645</v>
      </c>
      <c r="K44" s="12">
        <f t="shared" si="1"/>
        <v>11</v>
      </c>
      <c r="L44" s="12"/>
      <c r="M44" s="21">
        <v>410</v>
      </c>
      <c r="N44" s="23">
        <v>14.151091549623908</v>
      </c>
      <c r="O44" s="12">
        <f t="shared" si="2"/>
        <v>26</v>
      </c>
      <c r="P44" s="12"/>
      <c r="Q44" s="21">
        <v>106</v>
      </c>
      <c r="R44" s="23">
        <v>3.6585748884393521</v>
      </c>
      <c r="S44" s="12">
        <f t="shared" si="3"/>
        <v>39</v>
      </c>
      <c r="T44" s="12"/>
      <c r="U44" s="21">
        <v>36</v>
      </c>
      <c r="V44" s="22">
        <v>1.2425348677718555</v>
      </c>
      <c r="W44" s="12">
        <f t="shared" si="4"/>
        <v>37</v>
      </c>
      <c r="X44" s="12"/>
      <c r="Y44" s="19">
        <v>4678</v>
      </c>
      <c r="Z44" s="37">
        <v>161.46050309546499</v>
      </c>
      <c r="AA44" s="13">
        <f t="shared" si="5"/>
        <v>8</v>
      </c>
      <c r="AB44" s="12"/>
    </row>
    <row r="45" spans="1:28" x14ac:dyDescent="0.35">
      <c r="A45" s="12"/>
      <c r="B45" s="12" t="s">
        <v>49</v>
      </c>
      <c r="C45" s="21">
        <v>2307000</v>
      </c>
      <c r="D45" s="12"/>
      <c r="E45" s="21">
        <v>4689</v>
      </c>
      <c r="F45" s="23">
        <v>203.24789177450711</v>
      </c>
      <c r="G45" s="12">
        <f t="shared" si="0"/>
        <v>2</v>
      </c>
      <c r="H45" s="12"/>
      <c r="I45" s="21">
        <v>346</v>
      </c>
      <c r="J45" s="23">
        <v>14.997605151200567</v>
      </c>
      <c r="K45" s="12">
        <f t="shared" si="1"/>
        <v>6</v>
      </c>
      <c r="L45" s="12"/>
      <c r="M45" s="21">
        <v>673</v>
      </c>
      <c r="N45" s="23">
        <v>29.171642389473938</v>
      </c>
      <c r="O45" s="12">
        <f t="shared" si="2"/>
        <v>3</v>
      </c>
      <c r="P45" s="12"/>
      <c r="Q45" s="21">
        <v>534</v>
      </c>
      <c r="R45" s="23">
        <v>23.14659292121706</v>
      </c>
      <c r="S45" s="12">
        <f t="shared" si="3"/>
        <v>3</v>
      </c>
      <c r="T45" s="12"/>
      <c r="U45" s="21">
        <v>108</v>
      </c>
      <c r="V45" s="22">
        <v>4.681333399796709</v>
      </c>
      <c r="W45" s="12">
        <f t="shared" si="4"/>
        <v>4</v>
      </c>
      <c r="X45" s="12"/>
      <c r="Y45" s="19">
        <v>6106</v>
      </c>
      <c r="Z45" s="37">
        <v>264.66871980702501</v>
      </c>
      <c r="AA45" s="13">
        <f t="shared" si="5"/>
        <v>2</v>
      </c>
      <c r="AB45" s="12"/>
    </row>
    <row r="46" spans="1:28" x14ac:dyDescent="0.35">
      <c r="A46" s="12"/>
      <c r="B46" s="12" t="s">
        <v>50</v>
      </c>
      <c r="C46" s="21">
        <v>716400</v>
      </c>
      <c r="D46" s="12"/>
      <c r="E46" s="21">
        <v>442</v>
      </c>
      <c r="F46" s="23">
        <v>61.696859043614936</v>
      </c>
      <c r="G46" s="12">
        <f t="shared" si="0"/>
        <v>34</v>
      </c>
      <c r="H46" s="12"/>
      <c r="I46" s="21">
        <v>35</v>
      </c>
      <c r="J46" s="23">
        <v>4.8854978880690556</v>
      </c>
      <c r="K46" s="12">
        <f t="shared" si="1"/>
        <v>36</v>
      </c>
      <c r="L46" s="12"/>
      <c r="M46" s="21">
        <v>55</v>
      </c>
      <c r="N46" s="23">
        <v>7.6772109669656592</v>
      </c>
      <c r="O46" s="12">
        <f t="shared" si="2"/>
        <v>40</v>
      </c>
      <c r="P46" s="12"/>
      <c r="Q46" s="21">
        <v>38</v>
      </c>
      <c r="R46" s="23">
        <v>5.304254849903546</v>
      </c>
      <c r="S46" s="12">
        <f t="shared" si="3"/>
        <v>37</v>
      </c>
      <c r="T46" s="12"/>
      <c r="U46" s="21">
        <v>9</v>
      </c>
      <c r="V46" s="22">
        <v>1.2562708855034714</v>
      </c>
      <c r="W46" s="12">
        <f t="shared" si="4"/>
        <v>36</v>
      </c>
      <c r="X46" s="12"/>
      <c r="Y46" s="19">
        <v>554</v>
      </c>
      <c r="Z46" s="37">
        <v>77.330452285435911</v>
      </c>
      <c r="AA46" s="13">
        <f t="shared" si="5"/>
        <v>37</v>
      </c>
      <c r="AB46" s="12"/>
    </row>
    <row r="47" spans="1:28" ht="3.75" customHeight="1" x14ac:dyDescent="0.3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row>
    <row r="48" spans="1:28" x14ac:dyDescent="0.35">
      <c r="B48" s="31" t="s">
        <v>69</v>
      </c>
      <c r="C48" s="29"/>
      <c r="D48" s="29"/>
      <c r="E48" s="29"/>
      <c r="F48" s="29"/>
      <c r="G48" s="29"/>
      <c r="H48" s="29"/>
      <c r="I48" s="29"/>
      <c r="J48" s="29"/>
      <c r="K48" s="29"/>
      <c r="L48" s="29"/>
      <c r="M48" s="29"/>
      <c r="N48" s="29"/>
      <c r="O48" s="29"/>
    </row>
    <row r="49" spans="2:15" x14ac:dyDescent="0.35">
      <c r="B49" s="29" t="s">
        <v>147</v>
      </c>
      <c r="C49" s="29"/>
      <c r="D49" s="29"/>
      <c r="E49" s="29"/>
      <c r="F49" s="29"/>
      <c r="G49" s="29"/>
      <c r="H49" s="29"/>
      <c r="I49" s="29"/>
      <c r="J49" s="29"/>
      <c r="K49" s="29"/>
      <c r="L49" s="29"/>
      <c r="M49" s="29"/>
      <c r="N49" s="29"/>
      <c r="O49" s="29"/>
    </row>
    <row r="50" spans="2:15" x14ac:dyDescent="0.35">
      <c r="B50" s="29" t="s">
        <v>172</v>
      </c>
      <c r="C50" s="29"/>
      <c r="D50" s="29"/>
      <c r="E50" s="29"/>
      <c r="F50" s="29"/>
      <c r="G50" s="29"/>
      <c r="H50" s="29"/>
      <c r="I50" s="29"/>
      <c r="J50" s="29"/>
      <c r="K50" s="29"/>
      <c r="L50" s="29"/>
      <c r="M50" s="29"/>
      <c r="N50" s="29"/>
      <c r="O50" s="29"/>
    </row>
    <row r="51" spans="2:15" x14ac:dyDescent="0.35">
      <c r="B51" s="29" t="s">
        <v>162</v>
      </c>
      <c r="C51" s="29"/>
      <c r="D51" s="29"/>
      <c r="E51" s="29"/>
      <c r="F51" s="29"/>
      <c r="G51" s="29"/>
      <c r="H51" s="29"/>
      <c r="I51" s="29"/>
      <c r="J51" s="29"/>
      <c r="K51" s="29"/>
      <c r="L51" s="29"/>
      <c r="M51" s="29"/>
      <c r="N51" s="29"/>
      <c r="O51" s="29"/>
    </row>
    <row r="52" spans="2:15" x14ac:dyDescent="0.35">
      <c r="L52" s="29"/>
      <c r="M52" s="29"/>
      <c r="N52" s="29"/>
      <c r="O52" s="29"/>
    </row>
    <row r="53" spans="2:15" x14ac:dyDescent="0.35">
      <c r="B53" s="4" t="s">
        <v>70</v>
      </c>
    </row>
    <row r="54" spans="2:15" x14ac:dyDescent="0.35">
      <c r="B54" s="30" t="s">
        <v>74</v>
      </c>
    </row>
    <row r="55" spans="2:15" x14ac:dyDescent="0.35">
      <c r="B55" s="29" t="s">
        <v>72</v>
      </c>
    </row>
    <row r="56" spans="2:15" x14ac:dyDescent="0.35">
      <c r="B56" s="30" t="s">
        <v>75</v>
      </c>
    </row>
  </sheetData>
  <mergeCells count="6">
    <mergeCell ref="Y2:AA2"/>
    <mergeCell ref="E2:G2"/>
    <mergeCell ref="I2:K2"/>
    <mergeCell ref="M2:O2"/>
    <mergeCell ref="Q2:S2"/>
    <mergeCell ref="U2:W2"/>
  </mergeCells>
  <hyperlinks>
    <hyperlink ref="B54" r:id="rId1" xr:uid="{00000000-0004-0000-0800-000000000000}"/>
    <hyperlink ref="B56" r:id="rId2" xr:uid="{00000000-0004-0000-0800-000001000000}"/>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99682-EB1D-4849-AD41-689A1E178D54}">
  <dimension ref="A1:AB56"/>
  <sheetViews>
    <sheetView showGridLines="0" topLeftCell="A25" workbookViewId="0">
      <selection activeCell="AE42" sqref="AE42"/>
    </sheetView>
  </sheetViews>
  <sheetFormatPr defaultRowHeight="15" x14ac:dyDescent="0.35"/>
  <cols>
    <col min="1" max="1" width="1.09765625" customWidth="1"/>
    <col min="2" max="2" width="25.09765625" customWidth="1"/>
    <col min="3" max="3" width="13.09765625" customWidth="1"/>
    <col min="4" max="4" width="1.09765625" customWidth="1"/>
    <col min="6" max="6" width="10.09765625" customWidth="1"/>
    <col min="8" max="8" width="1.09765625" customWidth="1"/>
    <col min="10" max="10" width="10.69921875" customWidth="1"/>
    <col min="12" max="12" width="1.09765625" customWidth="1"/>
    <col min="14" max="14" width="10.296875" customWidth="1"/>
    <col min="16" max="16" width="1.09765625" customWidth="1"/>
    <col min="18" max="18" width="10.59765625" customWidth="1"/>
    <col min="19" max="19" width="9.59765625" customWidth="1"/>
    <col min="20" max="20" width="1.09765625" customWidth="1"/>
    <col min="22" max="22" width="10.8984375" customWidth="1"/>
    <col min="24" max="24" width="1.09765625" customWidth="1"/>
    <col min="26" max="26" width="11.296875" customWidth="1"/>
    <col min="28" max="28" width="1.09765625" customWidth="1"/>
  </cols>
  <sheetData>
    <row r="1" spans="1:28" ht="22.2" x14ac:dyDescent="0.5">
      <c r="A1" s="16"/>
      <c r="B1" s="34" t="s">
        <v>180</v>
      </c>
      <c r="C1" s="35"/>
      <c r="D1" s="35"/>
      <c r="E1" s="35"/>
      <c r="F1" s="35"/>
      <c r="G1" s="35"/>
      <c r="H1" s="35"/>
      <c r="I1" s="35"/>
      <c r="J1" s="35"/>
      <c r="K1" s="35"/>
      <c r="L1" s="35"/>
      <c r="M1" s="35"/>
      <c r="N1" s="35"/>
      <c r="O1" s="16"/>
      <c r="P1" s="16"/>
      <c r="Q1" s="16"/>
      <c r="R1" s="16"/>
      <c r="S1" s="16"/>
      <c r="T1" s="16"/>
      <c r="U1" s="16"/>
      <c r="V1" s="16"/>
      <c r="W1" s="16"/>
      <c r="X1" s="16"/>
      <c r="Y1" s="16"/>
      <c r="Z1" s="16"/>
      <c r="AA1" s="16"/>
      <c r="AB1" s="16"/>
    </row>
    <row r="2" spans="1:28" ht="15.6" thickBot="1" x14ac:dyDescent="0.4">
      <c r="A2" s="14"/>
      <c r="B2" s="14"/>
      <c r="C2" s="14"/>
      <c r="D2" s="14"/>
      <c r="E2" s="157" t="s">
        <v>55</v>
      </c>
      <c r="F2" s="157"/>
      <c r="G2" s="157"/>
      <c r="H2" s="14"/>
      <c r="I2" s="157" t="s">
        <v>57</v>
      </c>
      <c r="J2" s="157"/>
      <c r="K2" s="157"/>
      <c r="L2" s="14"/>
      <c r="M2" s="157" t="s">
        <v>58</v>
      </c>
      <c r="N2" s="157"/>
      <c r="O2" s="157"/>
      <c r="P2" s="14"/>
      <c r="Q2" s="157" t="s">
        <v>59</v>
      </c>
      <c r="R2" s="157"/>
      <c r="S2" s="157"/>
      <c r="T2" s="14"/>
      <c r="U2" s="157" t="s">
        <v>60</v>
      </c>
      <c r="V2" s="157"/>
      <c r="W2" s="157"/>
      <c r="X2" s="14"/>
      <c r="Y2" s="158" t="s">
        <v>62</v>
      </c>
      <c r="Z2" s="158"/>
      <c r="AA2" s="158"/>
      <c r="AB2" s="14"/>
    </row>
    <row r="3" spans="1:28" ht="46.2" x14ac:dyDescent="0.35">
      <c r="A3" s="14"/>
      <c r="B3" s="14"/>
      <c r="C3" s="15" t="s">
        <v>181</v>
      </c>
      <c r="D3" s="14"/>
      <c r="E3" s="15" t="s">
        <v>56</v>
      </c>
      <c r="F3" s="15" t="s">
        <v>71</v>
      </c>
      <c r="G3" s="15" t="s">
        <v>65</v>
      </c>
      <c r="H3" s="15"/>
      <c r="I3" s="15" t="s">
        <v>56</v>
      </c>
      <c r="J3" s="15" t="s">
        <v>71</v>
      </c>
      <c r="K3" s="15" t="s">
        <v>66</v>
      </c>
      <c r="L3" s="14"/>
      <c r="M3" s="15" t="s">
        <v>56</v>
      </c>
      <c r="N3" s="15" t="s">
        <v>71</v>
      </c>
      <c r="O3" s="15" t="s">
        <v>65</v>
      </c>
      <c r="P3" s="14"/>
      <c r="Q3" s="15" t="s">
        <v>56</v>
      </c>
      <c r="R3" s="15" t="s">
        <v>71</v>
      </c>
      <c r="S3" s="15" t="s">
        <v>65</v>
      </c>
      <c r="T3" s="14"/>
      <c r="U3" s="15" t="s">
        <v>56</v>
      </c>
      <c r="V3" s="15" t="s">
        <v>71</v>
      </c>
      <c r="W3" s="15" t="s">
        <v>65</v>
      </c>
      <c r="X3" s="14"/>
      <c r="Y3" s="24" t="s">
        <v>56</v>
      </c>
      <c r="Z3" s="24" t="s">
        <v>71</v>
      </c>
      <c r="AA3" s="24" t="s">
        <v>65</v>
      </c>
      <c r="AB3" s="14"/>
    </row>
    <row r="4" spans="1:28" ht="16.2" x14ac:dyDescent="0.35">
      <c r="A4" s="12"/>
      <c r="B4" s="13" t="s">
        <v>161</v>
      </c>
      <c r="C4" s="19">
        <v>59115800</v>
      </c>
      <c r="D4" s="13"/>
      <c r="E4" s="19">
        <v>78991</v>
      </c>
      <c r="F4" s="37">
        <f>E4/C4*100000</f>
        <v>133.62079173418951</v>
      </c>
      <c r="G4" s="13"/>
      <c r="H4" s="13"/>
      <c r="I4" s="19">
        <v>8566</v>
      </c>
      <c r="J4" s="37">
        <f>I4/C4*100000</f>
        <v>14.490203972542028</v>
      </c>
      <c r="K4" s="13"/>
      <c r="L4" s="13"/>
      <c r="M4" s="19">
        <v>14491</v>
      </c>
      <c r="N4" s="37">
        <f>M4/C4*100000</f>
        <v>24.512905179326001</v>
      </c>
      <c r="O4" s="13"/>
      <c r="P4" s="13"/>
      <c r="Q4" s="19">
        <v>8256</v>
      </c>
      <c r="R4" s="37">
        <f>Q4/C4*100000</f>
        <v>13.965809479022528</v>
      </c>
      <c r="S4" s="13"/>
      <c r="T4" s="13"/>
      <c r="U4" s="19">
        <v>2333</v>
      </c>
      <c r="V4" s="20">
        <f>U4/C4*100000</f>
        <v>3.9464914625193264</v>
      </c>
      <c r="W4" s="13"/>
      <c r="X4" s="13"/>
      <c r="Y4" s="19">
        <v>103379</v>
      </c>
      <c r="Z4" s="37">
        <f>Y4/C4*100000</f>
        <v>174.8754140179106</v>
      </c>
      <c r="AA4" s="13"/>
      <c r="AB4" s="12"/>
    </row>
    <row r="5" spans="1:28" x14ac:dyDescent="0.35">
      <c r="A5" s="12"/>
      <c r="B5" s="12" t="s">
        <v>8</v>
      </c>
      <c r="C5" s="21">
        <v>1711500</v>
      </c>
      <c r="D5" s="12"/>
      <c r="E5" s="21">
        <v>2184</v>
      </c>
      <c r="F5" s="46">
        <f t="shared" ref="F5:F46" si="0">E5/C5*100000</f>
        <v>127.60736196319017</v>
      </c>
      <c r="G5" s="12">
        <f>RANK(F5,$F$5:$F$46,0)</f>
        <v>9</v>
      </c>
      <c r="H5" s="12"/>
      <c r="I5" s="21">
        <v>182</v>
      </c>
      <c r="J5" s="46">
        <f t="shared" ref="J5:J46" si="1">I5/C5*100000</f>
        <v>10.633946830265849</v>
      </c>
      <c r="K5" s="12">
        <f>RANK(J5,$J$5:$J$46,0)</f>
        <v>14</v>
      </c>
      <c r="L5" s="12"/>
      <c r="M5" s="21">
        <v>416</v>
      </c>
      <c r="N5" s="46">
        <f t="shared" ref="N5:N46" si="2">M5/C5*100000</f>
        <v>24.306164183464798</v>
      </c>
      <c r="O5" s="12">
        <f>RANK(N5,$N$5:$N$46,0)</f>
        <v>15</v>
      </c>
      <c r="P5" s="12"/>
      <c r="Q5" s="21">
        <v>312</v>
      </c>
      <c r="R5" s="46">
        <f t="shared" ref="R5:R46" si="3">Q5/C5*100000</f>
        <v>18.229623137598598</v>
      </c>
      <c r="S5" s="12">
        <f>RANK(R5,$R$5:$R$46,0)</f>
        <v>9</v>
      </c>
      <c r="T5" s="12"/>
      <c r="U5" s="21">
        <v>65</v>
      </c>
      <c r="V5" s="47">
        <f t="shared" ref="V5:V46" si="4">U5/C5*100000</f>
        <v>3.7978381536663748</v>
      </c>
      <c r="W5" s="12">
        <f>RANK(V5,$V$5:$V$46,0)</f>
        <v>19</v>
      </c>
      <c r="X5" s="12"/>
      <c r="Y5" s="19">
        <v>2961</v>
      </c>
      <c r="Z5" s="37">
        <f t="shared" ref="Z5:Z46" si="5">Y5/C5*100000</f>
        <v>173.00613496932516</v>
      </c>
      <c r="AA5" s="13">
        <f>RANK(Z5,$Z$5:$Z$46,0)</f>
        <v>10</v>
      </c>
      <c r="AB5" s="12"/>
    </row>
    <row r="6" spans="1:28" x14ac:dyDescent="0.35">
      <c r="A6" s="12"/>
      <c r="B6" s="12" t="s">
        <v>9</v>
      </c>
      <c r="C6" s="21">
        <v>669300</v>
      </c>
      <c r="D6" s="12"/>
      <c r="E6" s="21">
        <v>807</v>
      </c>
      <c r="F6" s="46">
        <f t="shared" si="0"/>
        <v>120.57373375168086</v>
      </c>
      <c r="G6" s="12">
        <f t="shared" ref="G6:G46" si="6">RANK(F6,$F$5:$F$46,0)</f>
        <v>12</v>
      </c>
      <c r="H6" s="12"/>
      <c r="I6" s="21">
        <v>76</v>
      </c>
      <c r="J6" s="46">
        <f t="shared" si="1"/>
        <v>11.355147168683699</v>
      </c>
      <c r="K6" s="12">
        <f t="shared" ref="K6:K46" si="7">RANK(J6,$J$5:$J$46,0)</f>
        <v>11</v>
      </c>
      <c r="L6" s="12"/>
      <c r="M6" s="21">
        <v>127</v>
      </c>
      <c r="N6" s="46">
        <f t="shared" si="2"/>
        <v>18.975048558195127</v>
      </c>
      <c r="O6" s="12">
        <f t="shared" ref="O6:O46" si="8">RANK(N6,$N$5:$N$46,0)</f>
        <v>22</v>
      </c>
      <c r="P6" s="12"/>
      <c r="Q6" s="21">
        <v>72</v>
      </c>
      <c r="R6" s="46">
        <f t="shared" si="3"/>
        <v>10.757507844016136</v>
      </c>
      <c r="S6" s="12">
        <f t="shared" ref="S6:S46" si="9">RANK(R6,$R$5:$R$46,0)</f>
        <v>29</v>
      </c>
      <c r="T6" s="12"/>
      <c r="U6" s="21">
        <v>18</v>
      </c>
      <c r="V6" s="47">
        <f t="shared" si="4"/>
        <v>2.6893769610040339</v>
      </c>
      <c r="W6" s="12">
        <f t="shared" ref="W6:W46" si="10">RANK(V6,$V$5:$V$46,0)</f>
        <v>35</v>
      </c>
      <c r="X6" s="12"/>
      <c r="Y6" s="19">
        <v>981</v>
      </c>
      <c r="Z6" s="37">
        <f t="shared" si="5"/>
        <v>146.57104437471986</v>
      </c>
      <c r="AA6" s="13">
        <f t="shared" ref="AA6:AA46" si="11">RANK(Z6,$Z$5:$Z$46,0)</f>
        <v>16</v>
      </c>
      <c r="AB6" s="12"/>
    </row>
    <row r="7" spans="1:28" x14ac:dyDescent="0.35">
      <c r="A7" s="12"/>
      <c r="B7" s="12" t="s">
        <v>11</v>
      </c>
      <c r="C7" s="21">
        <v>852500</v>
      </c>
      <c r="D7" s="12"/>
      <c r="E7" s="21">
        <v>872</v>
      </c>
      <c r="F7" s="46">
        <f t="shared" si="0"/>
        <v>102.28739002932552</v>
      </c>
      <c r="G7" s="12">
        <f t="shared" si="6"/>
        <v>19</v>
      </c>
      <c r="H7" s="12"/>
      <c r="I7" s="21">
        <v>79</v>
      </c>
      <c r="J7" s="46">
        <f t="shared" si="1"/>
        <v>9.2668621700879772</v>
      </c>
      <c r="K7" s="12">
        <f t="shared" si="7"/>
        <v>20</v>
      </c>
      <c r="L7" s="12"/>
      <c r="M7" s="21">
        <v>106</v>
      </c>
      <c r="N7" s="46">
        <f t="shared" si="2"/>
        <v>12.434017595307916</v>
      </c>
      <c r="O7" s="12">
        <f t="shared" si="8"/>
        <v>38</v>
      </c>
      <c r="P7" s="12"/>
      <c r="Q7" s="21">
        <v>53</v>
      </c>
      <c r="R7" s="46">
        <f t="shared" si="3"/>
        <v>6.2170087976539579</v>
      </c>
      <c r="S7" s="12">
        <f t="shared" si="9"/>
        <v>39</v>
      </c>
      <c r="T7" s="12"/>
      <c r="U7" s="21">
        <v>32</v>
      </c>
      <c r="V7" s="47">
        <f t="shared" si="4"/>
        <v>3.7536656891495599</v>
      </c>
      <c r="W7" s="12">
        <f t="shared" si="10"/>
        <v>20</v>
      </c>
      <c r="X7" s="12"/>
      <c r="Y7" s="19">
        <v>1007</v>
      </c>
      <c r="Z7" s="37">
        <f t="shared" si="5"/>
        <v>118.12316715542521</v>
      </c>
      <c r="AA7" s="13">
        <f t="shared" si="11"/>
        <v>30</v>
      </c>
      <c r="AB7" s="12"/>
    </row>
    <row r="8" spans="1:28" x14ac:dyDescent="0.35">
      <c r="A8" s="12"/>
      <c r="B8" s="12" t="s">
        <v>12</v>
      </c>
      <c r="C8" s="21">
        <v>1059300</v>
      </c>
      <c r="D8" s="12"/>
      <c r="E8" s="21">
        <v>1078</v>
      </c>
      <c r="F8" s="46">
        <f t="shared" si="0"/>
        <v>101.76531671858774</v>
      </c>
      <c r="G8" s="12">
        <f t="shared" si="6"/>
        <v>21</v>
      </c>
      <c r="H8" s="12"/>
      <c r="I8" s="21">
        <v>63</v>
      </c>
      <c r="J8" s="46">
        <f t="shared" si="1"/>
        <v>5.9473237043330496</v>
      </c>
      <c r="K8" s="12">
        <f t="shared" si="7"/>
        <v>33</v>
      </c>
      <c r="L8" s="12"/>
      <c r="M8" s="21">
        <v>312</v>
      </c>
      <c r="N8" s="46">
        <f t="shared" si="2"/>
        <v>29.453412630982722</v>
      </c>
      <c r="O8" s="12">
        <f t="shared" si="8"/>
        <v>6</v>
      </c>
      <c r="P8" s="12"/>
      <c r="Q8" s="21">
        <v>186</v>
      </c>
      <c r="R8" s="46">
        <f t="shared" si="3"/>
        <v>17.558765222316623</v>
      </c>
      <c r="S8" s="12">
        <f t="shared" si="9"/>
        <v>11</v>
      </c>
      <c r="T8" s="12"/>
      <c r="U8" s="21">
        <v>45</v>
      </c>
      <c r="V8" s="47">
        <f t="shared" si="4"/>
        <v>4.2480883602378929</v>
      </c>
      <c r="W8" s="12">
        <f t="shared" si="10"/>
        <v>14</v>
      </c>
      <c r="X8" s="12"/>
      <c r="Y8" s="19">
        <v>1657</v>
      </c>
      <c r="Z8" s="37">
        <f t="shared" si="5"/>
        <v>156.42405362031531</v>
      </c>
      <c r="AA8" s="13">
        <f t="shared" si="11"/>
        <v>13</v>
      </c>
      <c r="AB8" s="12"/>
    </row>
    <row r="9" spans="1:28" x14ac:dyDescent="0.35">
      <c r="A9" s="12"/>
      <c r="B9" s="12" t="s">
        <v>13</v>
      </c>
      <c r="C9" s="21">
        <v>567700</v>
      </c>
      <c r="D9" s="12"/>
      <c r="E9" s="21">
        <v>713</v>
      </c>
      <c r="F9" s="46">
        <f t="shared" si="0"/>
        <v>125.59450413951031</v>
      </c>
      <c r="G9" s="12">
        <f t="shared" si="6"/>
        <v>11</v>
      </c>
      <c r="H9" s="12"/>
      <c r="I9" s="21">
        <v>25</v>
      </c>
      <c r="J9" s="46">
        <f t="shared" si="1"/>
        <v>4.4037343667429978</v>
      </c>
      <c r="K9" s="12">
        <f t="shared" si="7"/>
        <v>37</v>
      </c>
      <c r="L9" s="12"/>
      <c r="M9" s="21">
        <v>102</v>
      </c>
      <c r="N9" s="46">
        <f t="shared" si="2"/>
        <v>17.967236216311434</v>
      </c>
      <c r="O9" s="12">
        <f t="shared" si="8"/>
        <v>26</v>
      </c>
      <c r="P9" s="12"/>
      <c r="Q9" s="21">
        <v>47</v>
      </c>
      <c r="R9" s="46">
        <f t="shared" si="3"/>
        <v>8.2790206094768362</v>
      </c>
      <c r="S9" s="12">
        <f t="shared" si="9"/>
        <v>35</v>
      </c>
      <c r="T9" s="12"/>
      <c r="U9" s="21">
        <v>25</v>
      </c>
      <c r="V9" s="47">
        <f t="shared" si="4"/>
        <v>4.4037343667429978</v>
      </c>
      <c r="W9" s="12">
        <f t="shared" si="10"/>
        <v>12</v>
      </c>
      <c r="X9" s="12"/>
      <c r="Y9" s="19">
        <v>894</v>
      </c>
      <c r="Z9" s="37">
        <f t="shared" si="5"/>
        <v>157.47754095472962</v>
      </c>
      <c r="AA9" s="13">
        <f t="shared" si="11"/>
        <v>12</v>
      </c>
      <c r="AB9" s="12"/>
    </row>
    <row r="10" spans="1:28" x14ac:dyDescent="0.35">
      <c r="A10" s="12"/>
      <c r="B10" s="12" t="s">
        <v>14</v>
      </c>
      <c r="C10" s="21">
        <v>498900</v>
      </c>
      <c r="D10" s="12"/>
      <c r="E10" s="21">
        <v>305</v>
      </c>
      <c r="F10" s="46">
        <f t="shared" si="0"/>
        <v>61.13449589096011</v>
      </c>
      <c r="G10" s="12">
        <f t="shared" si="6"/>
        <v>37</v>
      </c>
      <c r="H10" s="12"/>
      <c r="I10" s="21">
        <v>42</v>
      </c>
      <c r="J10" s="46">
        <f t="shared" si="1"/>
        <v>8.418520745640409</v>
      </c>
      <c r="K10" s="12">
        <f t="shared" si="7"/>
        <v>22</v>
      </c>
      <c r="L10" s="12"/>
      <c r="M10" s="21">
        <v>105</v>
      </c>
      <c r="N10" s="46">
        <f t="shared" si="2"/>
        <v>21.046301864101022</v>
      </c>
      <c r="O10" s="12">
        <f t="shared" si="8"/>
        <v>19</v>
      </c>
      <c r="P10" s="12"/>
      <c r="Q10" s="21">
        <v>94</v>
      </c>
      <c r="R10" s="46">
        <f t="shared" si="3"/>
        <v>18.841451192623772</v>
      </c>
      <c r="S10" s="12">
        <f t="shared" si="9"/>
        <v>8</v>
      </c>
      <c r="T10" s="12"/>
      <c r="U10" s="21">
        <v>20</v>
      </c>
      <c r="V10" s="47">
        <f t="shared" si="4"/>
        <v>4.0088194026859094</v>
      </c>
      <c r="W10" s="12">
        <f t="shared" si="10"/>
        <v>15</v>
      </c>
      <c r="X10" s="12"/>
      <c r="Y10" s="19">
        <v>524</v>
      </c>
      <c r="Z10" s="37">
        <f t="shared" si="5"/>
        <v>105.03106835037082</v>
      </c>
      <c r="AA10" s="13">
        <f t="shared" si="11"/>
        <v>33</v>
      </c>
      <c r="AB10" s="12"/>
    </row>
    <row r="11" spans="1:28" x14ac:dyDescent="0.35">
      <c r="A11" s="12"/>
      <c r="B11" s="12" t="s">
        <v>15</v>
      </c>
      <c r="C11" s="21">
        <v>1053300</v>
      </c>
      <c r="D11" s="12"/>
      <c r="E11" s="21">
        <v>721</v>
      </c>
      <c r="F11" s="46">
        <f t="shared" si="0"/>
        <v>68.451533276369503</v>
      </c>
      <c r="G11" s="12">
        <f t="shared" si="6"/>
        <v>33</v>
      </c>
      <c r="H11" s="12"/>
      <c r="I11" s="21">
        <v>32</v>
      </c>
      <c r="J11" s="46">
        <f t="shared" si="1"/>
        <v>3.0380708250261086</v>
      </c>
      <c r="K11" s="12">
        <f t="shared" si="7"/>
        <v>41</v>
      </c>
      <c r="L11" s="12"/>
      <c r="M11" s="21">
        <v>158</v>
      </c>
      <c r="N11" s="46">
        <f t="shared" si="2"/>
        <v>15.000474698566411</v>
      </c>
      <c r="O11" s="12">
        <f t="shared" si="8"/>
        <v>33</v>
      </c>
      <c r="P11" s="12"/>
      <c r="Q11" s="21">
        <v>77</v>
      </c>
      <c r="R11" s="46">
        <f t="shared" si="3"/>
        <v>7.3103579227190725</v>
      </c>
      <c r="S11" s="12">
        <f t="shared" si="9"/>
        <v>37</v>
      </c>
      <c r="T11" s="12"/>
      <c r="U11" s="21">
        <v>26</v>
      </c>
      <c r="V11" s="47">
        <f t="shared" si="4"/>
        <v>2.4684325453337133</v>
      </c>
      <c r="W11" s="12">
        <f t="shared" si="10"/>
        <v>37</v>
      </c>
      <c r="X11" s="12"/>
      <c r="Y11" s="19">
        <v>960</v>
      </c>
      <c r="Z11" s="37">
        <f t="shared" si="5"/>
        <v>91.142124750783253</v>
      </c>
      <c r="AA11" s="13">
        <f t="shared" si="11"/>
        <v>38</v>
      </c>
      <c r="AB11" s="12"/>
    </row>
    <row r="12" spans="1:28" x14ac:dyDescent="0.35">
      <c r="A12" s="12"/>
      <c r="B12" s="12" t="s">
        <v>54</v>
      </c>
      <c r="C12" s="21">
        <v>1762400</v>
      </c>
      <c r="D12" s="12"/>
      <c r="E12" s="21">
        <v>1056</v>
      </c>
      <c r="F12" s="46">
        <f t="shared" si="0"/>
        <v>59.918293236495693</v>
      </c>
      <c r="G12" s="12">
        <f t="shared" si="6"/>
        <v>38</v>
      </c>
      <c r="H12" s="12"/>
      <c r="I12" s="21">
        <v>99</v>
      </c>
      <c r="J12" s="46">
        <f t="shared" si="1"/>
        <v>5.6173399909214714</v>
      </c>
      <c r="K12" s="12">
        <f t="shared" si="7"/>
        <v>34</v>
      </c>
      <c r="L12" s="12"/>
      <c r="M12" s="21">
        <v>311</v>
      </c>
      <c r="N12" s="46">
        <f t="shared" si="2"/>
        <v>17.646391284611891</v>
      </c>
      <c r="O12" s="12">
        <f t="shared" si="8"/>
        <v>27</v>
      </c>
      <c r="P12" s="12"/>
      <c r="Q12" s="21">
        <v>198</v>
      </c>
      <c r="R12" s="46">
        <f t="shared" si="3"/>
        <v>11.234679981842943</v>
      </c>
      <c r="S12" s="12">
        <f t="shared" si="9"/>
        <v>26</v>
      </c>
      <c r="T12" s="12"/>
      <c r="U12" s="21">
        <v>76</v>
      </c>
      <c r="V12" s="47">
        <f t="shared" si="4"/>
        <v>4.312301407172038</v>
      </c>
      <c r="W12" s="12">
        <f t="shared" si="10"/>
        <v>13</v>
      </c>
      <c r="X12" s="12"/>
      <c r="Y12" s="19">
        <v>1693</v>
      </c>
      <c r="Z12" s="37">
        <f t="shared" si="5"/>
        <v>96.06218792555606</v>
      </c>
      <c r="AA12" s="13">
        <f t="shared" si="11"/>
        <v>35</v>
      </c>
      <c r="AB12" s="12"/>
    </row>
    <row r="13" spans="1:28" x14ac:dyDescent="0.35">
      <c r="A13" s="12"/>
      <c r="B13" s="12" t="s">
        <v>17</v>
      </c>
      <c r="C13" s="21">
        <v>772300</v>
      </c>
      <c r="D13" s="12"/>
      <c r="E13" s="21">
        <v>489</v>
      </c>
      <c r="F13" s="46">
        <f t="shared" si="0"/>
        <v>63.317363718762138</v>
      </c>
      <c r="G13" s="12">
        <f t="shared" si="6"/>
        <v>35</v>
      </c>
      <c r="H13" s="12"/>
      <c r="I13" s="21">
        <v>51</v>
      </c>
      <c r="J13" s="46">
        <f t="shared" si="1"/>
        <v>6.6036514307911434</v>
      </c>
      <c r="K13" s="12">
        <f t="shared" si="7"/>
        <v>28</v>
      </c>
      <c r="L13" s="12"/>
      <c r="M13" s="21">
        <v>144</v>
      </c>
      <c r="N13" s="46">
        <f t="shared" si="2"/>
        <v>18.645604039880876</v>
      </c>
      <c r="O13" s="12">
        <f t="shared" si="8"/>
        <v>24</v>
      </c>
      <c r="P13" s="12"/>
      <c r="Q13" s="21">
        <v>65</v>
      </c>
      <c r="R13" s="46">
        <f t="shared" si="3"/>
        <v>8.4164184902240056</v>
      </c>
      <c r="S13" s="12">
        <f t="shared" si="9"/>
        <v>33</v>
      </c>
      <c r="T13" s="12"/>
      <c r="U13" s="21">
        <v>25</v>
      </c>
      <c r="V13" s="47">
        <f t="shared" si="4"/>
        <v>3.2370840347015406</v>
      </c>
      <c r="W13" s="12">
        <f t="shared" si="10"/>
        <v>26</v>
      </c>
      <c r="X13" s="12"/>
      <c r="Y13" s="19">
        <v>726</v>
      </c>
      <c r="Z13" s="37">
        <f t="shared" si="5"/>
        <v>94.004920367732751</v>
      </c>
      <c r="AA13" s="13">
        <f t="shared" si="11"/>
        <v>37</v>
      </c>
      <c r="AB13" s="12"/>
    </row>
    <row r="14" spans="1:28" x14ac:dyDescent="0.35">
      <c r="A14" s="12"/>
      <c r="B14" s="12" t="s">
        <v>18</v>
      </c>
      <c r="C14" s="21">
        <v>633500</v>
      </c>
      <c r="D14" s="12"/>
      <c r="E14" s="21">
        <v>507</v>
      </c>
      <c r="F14" s="46">
        <f t="shared" si="0"/>
        <v>80.031570639305443</v>
      </c>
      <c r="G14" s="12">
        <f t="shared" si="6"/>
        <v>30</v>
      </c>
      <c r="H14" s="12"/>
      <c r="I14" s="21">
        <v>67</v>
      </c>
      <c r="J14" s="46">
        <f t="shared" si="1"/>
        <v>10.576164167324388</v>
      </c>
      <c r="K14" s="12">
        <f t="shared" si="7"/>
        <v>15</v>
      </c>
      <c r="L14" s="12"/>
      <c r="M14" s="21">
        <v>159</v>
      </c>
      <c r="N14" s="46">
        <f t="shared" si="2"/>
        <v>25.098658247829515</v>
      </c>
      <c r="O14" s="12">
        <f t="shared" si="8"/>
        <v>13</v>
      </c>
      <c r="P14" s="12"/>
      <c r="Q14" s="21">
        <v>93</v>
      </c>
      <c r="R14" s="46">
        <f t="shared" si="3"/>
        <v>14.680347277032361</v>
      </c>
      <c r="S14" s="12">
        <f t="shared" si="9"/>
        <v>21</v>
      </c>
      <c r="T14" s="12"/>
      <c r="U14" s="21">
        <v>22</v>
      </c>
      <c r="V14" s="47">
        <f t="shared" si="4"/>
        <v>3.4727703235990526</v>
      </c>
      <c r="W14" s="12">
        <f t="shared" si="10"/>
        <v>24</v>
      </c>
      <c r="X14" s="12"/>
      <c r="Y14" s="19">
        <v>793</v>
      </c>
      <c r="Z14" s="37">
        <f t="shared" si="5"/>
        <v>125.17758484609314</v>
      </c>
      <c r="AA14" s="13">
        <f t="shared" si="11"/>
        <v>27</v>
      </c>
      <c r="AB14" s="12"/>
    </row>
    <row r="15" spans="1:28" x14ac:dyDescent="0.35">
      <c r="A15" s="12"/>
      <c r="B15" s="12" t="s">
        <v>19</v>
      </c>
      <c r="C15" s="21">
        <v>518100</v>
      </c>
      <c r="D15" s="12"/>
      <c r="E15" s="21">
        <v>264</v>
      </c>
      <c r="F15" s="46">
        <f t="shared" si="0"/>
        <v>50.955414012738849</v>
      </c>
      <c r="G15" s="12">
        <f t="shared" si="6"/>
        <v>40</v>
      </c>
      <c r="H15" s="12"/>
      <c r="I15" s="21">
        <v>12</v>
      </c>
      <c r="J15" s="46">
        <f t="shared" si="1"/>
        <v>2.3161551823972206</v>
      </c>
      <c r="K15" s="12">
        <f t="shared" si="7"/>
        <v>42</v>
      </c>
      <c r="L15" s="12"/>
      <c r="M15" s="21">
        <v>62</v>
      </c>
      <c r="N15" s="46">
        <f t="shared" si="2"/>
        <v>11.966801775718972</v>
      </c>
      <c r="O15" s="12">
        <f t="shared" si="8"/>
        <v>39</v>
      </c>
      <c r="P15" s="12"/>
      <c r="Q15" s="21">
        <v>35</v>
      </c>
      <c r="R15" s="46">
        <f t="shared" si="3"/>
        <v>6.7554526153252272</v>
      </c>
      <c r="S15" s="12">
        <f t="shared" si="9"/>
        <v>38</v>
      </c>
      <c r="T15" s="12"/>
      <c r="U15" s="21">
        <v>16</v>
      </c>
      <c r="V15" s="47">
        <f t="shared" si="4"/>
        <v>3.088206909862961</v>
      </c>
      <c r="W15" s="12">
        <f t="shared" si="10"/>
        <v>29</v>
      </c>
      <c r="X15" s="12"/>
      <c r="Y15" s="19">
        <v>371</v>
      </c>
      <c r="Z15" s="37">
        <f t="shared" si="5"/>
        <v>71.607797722447401</v>
      </c>
      <c r="AA15" s="13">
        <f t="shared" si="11"/>
        <v>41</v>
      </c>
      <c r="AB15" s="12"/>
    </row>
    <row r="16" spans="1:28" x14ac:dyDescent="0.35">
      <c r="A16" s="12"/>
      <c r="B16" s="12" t="s">
        <v>20</v>
      </c>
      <c r="C16" s="21">
        <v>1832800</v>
      </c>
      <c r="D16" s="12"/>
      <c r="E16" s="21">
        <v>2048</v>
      </c>
      <c r="F16" s="46">
        <f t="shared" si="0"/>
        <v>111.74159755565256</v>
      </c>
      <c r="G16" s="12">
        <f t="shared" si="6"/>
        <v>15</v>
      </c>
      <c r="H16" s="12"/>
      <c r="I16" s="21">
        <v>222</v>
      </c>
      <c r="J16" s="46">
        <f t="shared" si="1"/>
        <v>12.112614578786557</v>
      </c>
      <c r="K16" s="12">
        <f t="shared" si="7"/>
        <v>7</v>
      </c>
      <c r="L16" s="12"/>
      <c r="M16" s="21">
        <v>380</v>
      </c>
      <c r="N16" s="46">
        <f t="shared" si="2"/>
        <v>20.733304233958972</v>
      </c>
      <c r="O16" s="12">
        <f t="shared" si="8"/>
        <v>21</v>
      </c>
      <c r="P16" s="12"/>
      <c r="Q16" s="21">
        <v>436</v>
      </c>
      <c r="R16" s="46">
        <f t="shared" si="3"/>
        <v>23.788738542121344</v>
      </c>
      <c r="S16" s="12">
        <f t="shared" si="9"/>
        <v>3</v>
      </c>
      <c r="T16" s="12"/>
      <c r="U16" s="21">
        <v>89</v>
      </c>
      <c r="V16" s="47">
        <f t="shared" si="4"/>
        <v>4.8559580969009168</v>
      </c>
      <c r="W16" s="12">
        <f t="shared" si="10"/>
        <v>9</v>
      </c>
      <c r="X16" s="12"/>
      <c r="Y16" s="19">
        <v>3055</v>
      </c>
      <c r="Z16" s="37">
        <f t="shared" si="5"/>
        <v>166.68485377564383</v>
      </c>
      <c r="AA16" s="13">
        <f t="shared" si="11"/>
        <v>11</v>
      </c>
      <c r="AB16" s="12"/>
    </row>
    <row r="17" spans="1:28" x14ac:dyDescent="0.35">
      <c r="A17" s="12"/>
      <c r="B17" s="12" t="s">
        <v>21</v>
      </c>
      <c r="C17" s="21">
        <v>633600</v>
      </c>
      <c r="D17" s="12"/>
      <c r="E17" s="21">
        <v>352</v>
      </c>
      <c r="F17" s="46">
        <f t="shared" si="0"/>
        <v>55.555555555555557</v>
      </c>
      <c r="G17" s="12">
        <f t="shared" si="6"/>
        <v>39</v>
      </c>
      <c r="H17" s="12"/>
      <c r="I17" s="21">
        <v>30</v>
      </c>
      <c r="J17" s="46">
        <f t="shared" si="1"/>
        <v>4.7348484848484844</v>
      </c>
      <c r="K17" s="12">
        <f t="shared" si="7"/>
        <v>36</v>
      </c>
      <c r="L17" s="12"/>
      <c r="M17" s="21">
        <v>49</v>
      </c>
      <c r="N17" s="46">
        <f t="shared" si="2"/>
        <v>7.7335858585858581</v>
      </c>
      <c r="O17" s="12">
        <f t="shared" si="8"/>
        <v>42</v>
      </c>
      <c r="P17" s="12"/>
      <c r="Q17" s="21">
        <v>102</v>
      </c>
      <c r="R17" s="46">
        <f t="shared" si="3"/>
        <v>16.098484848484848</v>
      </c>
      <c r="S17" s="12">
        <f t="shared" si="9"/>
        <v>15</v>
      </c>
      <c r="T17" s="12"/>
      <c r="U17" s="21">
        <v>18</v>
      </c>
      <c r="V17" s="47">
        <f t="shared" si="4"/>
        <v>2.8409090909090908</v>
      </c>
      <c r="W17" s="12">
        <f t="shared" si="10"/>
        <v>32</v>
      </c>
      <c r="X17" s="12"/>
      <c r="Y17" s="19">
        <v>519</v>
      </c>
      <c r="Z17" s="37">
        <f t="shared" si="5"/>
        <v>81.912878787878782</v>
      </c>
      <c r="AA17" s="13">
        <f t="shared" si="11"/>
        <v>40</v>
      </c>
      <c r="AB17" s="12"/>
    </row>
    <row r="18" spans="1:28" x14ac:dyDescent="0.35">
      <c r="A18" s="12"/>
      <c r="B18" s="12" t="s">
        <v>22</v>
      </c>
      <c r="C18" s="21">
        <v>2812600</v>
      </c>
      <c r="D18" s="12"/>
      <c r="E18" s="21">
        <v>6855</v>
      </c>
      <c r="F18" s="46">
        <f t="shared" si="0"/>
        <v>243.72466756737535</v>
      </c>
      <c r="G18" s="12">
        <f t="shared" si="6"/>
        <v>2</v>
      </c>
      <c r="H18" s="12"/>
      <c r="I18" s="21">
        <v>1357</v>
      </c>
      <c r="J18" s="46">
        <f t="shared" si="1"/>
        <v>48.247173433833467</v>
      </c>
      <c r="K18" s="12">
        <f t="shared" si="7"/>
        <v>1</v>
      </c>
      <c r="L18" s="12"/>
      <c r="M18" s="21">
        <v>1161</v>
      </c>
      <c r="N18" s="46">
        <f t="shared" si="2"/>
        <v>41.278532318850885</v>
      </c>
      <c r="O18" s="12">
        <f t="shared" si="8"/>
        <v>1</v>
      </c>
      <c r="P18" s="12"/>
      <c r="Q18" s="21">
        <v>464</v>
      </c>
      <c r="R18" s="46">
        <f t="shared" si="3"/>
        <v>16.497191210979164</v>
      </c>
      <c r="S18" s="12">
        <f t="shared" si="9"/>
        <v>14</v>
      </c>
      <c r="T18" s="12"/>
      <c r="U18" s="21">
        <v>144</v>
      </c>
      <c r="V18" s="47">
        <f t="shared" si="4"/>
        <v>5.1198179620280166</v>
      </c>
      <c r="W18" s="12">
        <f t="shared" si="10"/>
        <v>7</v>
      </c>
      <c r="X18" s="12"/>
      <c r="Y18" s="19">
        <v>8984</v>
      </c>
      <c r="Z18" s="37">
        <f t="shared" si="5"/>
        <v>319.41975396430348</v>
      </c>
      <c r="AA18" s="13">
        <f t="shared" si="11"/>
        <v>2</v>
      </c>
      <c r="AB18" s="12"/>
    </row>
    <row r="19" spans="1:28" x14ac:dyDescent="0.35">
      <c r="A19" s="12"/>
      <c r="B19" s="12" t="s">
        <v>23</v>
      </c>
      <c r="C19" s="21">
        <v>591200</v>
      </c>
      <c r="D19" s="12"/>
      <c r="E19" s="21">
        <v>491</v>
      </c>
      <c r="F19" s="46">
        <f t="shared" si="0"/>
        <v>83.05142083897158</v>
      </c>
      <c r="G19" s="12">
        <f t="shared" si="6"/>
        <v>29</v>
      </c>
      <c r="H19" s="12"/>
      <c r="I19" s="21">
        <v>19</v>
      </c>
      <c r="J19" s="46">
        <f t="shared" si="1"/>
        <v>3.2138024357239514</v>
      </c>
      <c r="K19" s="12">
        <f t="shared" si="7"/>
        <v>39</v>
      </c>
      <c r="L19" s="12"/>
      <c r="M19" s="21">
        <v>160</v>
      </c>
      <c r="N19" s="46">
        <f t="shared" si="2"/>
        <v>27.063599458728014</v>
      </c>
      <c r="O19" s="12">
        <f t="shared" si="8"/>
        <v>8</v>
      </c>
      <c r="P19" s="12"/>
      <c r="Q19" s="21">
        <v>118</v>
      </c>
      <c r="R19" s="46">
        <f t="shared" si="3"/>
        <v>19.959404600811908</v>
      </c>
      <c r="S19" s="12">
        <f t="shared" si="9"/>
        <v>5</v>
      </c>
      <c r="T19" s="12"/>
      <c r="U19" s="21">
        <v>19</v>
      </c>
      <c r="V19" s="47">
        <f t="shared" si="4"/>
        <v>3.2138024357239514</v>
      </c>
      <c r="W19" s="12">
        <f t="shared" si="10"/>
        <v>28</v>
      </c>
      <c r="X19" s="12"/>
      <c r="Y19" s="19">
        <v>715</v>
      </c>
      <c r="Z19" s="37">
        <f t="shared" si="5"/>
        <v>120.94046008119079</v>
      </c>
      <c r="AA19" s="13">
        <f t="shared" si="11"/>
        <v>28</v>
      </c>
      <c r="AB19" s="12"/>
    </row>
    <row r="20" spans="1:28" x14ac:dyDescent="0.35">
      <c r="A20" s="12"/>
      <c r="B20" s="12" t="s">
        <v>24</v>
      </c>
      <c r="C20" s="21">
        <v>1985800</v>
      </c>
      <c r="D20" s="12"/>
      <c r="E20" s="21">
        <v>1849</v>
      </c>
      <c r="F20" s="46">
        <f t="shared" si="0"/>
        <v>93.111088729982868</v>
      </c>
      <c r="G20" s="12">
        <f t="shared" si="6"/>
        <v>24</v>
      </c>
      <c r="H20" s="12"/>
      <c r="I20" s="21">
        <v>163</v>
      </c>
      <c r="J20" s="46">
        <f t="shared" si="1"/>
        <v>8.2082787793332663</v>
      </c>
      <c r="K20" s="12">
        <f t="shared" si="7"/>
        <v>24</v>
      </c>
      <c r="L20" s="12"/>
      <c r="M20" s="21">
        <v>414</v>
      </c>
      <c r="N20" s="46">
        <f t="shared" si="2"/>
        <v>20.848020948736025</v>
      </c>
      <c r="O20" s="12">
        <f t="shared" si="8"/>
        <v>20</v>
      </c>
      <c r="P20" s="12"/>
      <c r="Q20" s="21">
        <v>309</v>
      </c>
      <c r="R20" s="46">
        <f t="shared" si="3"/>
        <v>15.560479403766744</v>
      </c>
      <c r="S20" s="12">
        <f t="shared" si="9"/>
        <v>19</v>
      </c>
      <c r="T20" s="12"/>
      <c r="U20" s="21">
        <v>98</v>
      </c>
      <c r="V20" s="47">
        <f t="shared" si="4"/>
        <v>4.9350387753046627</v>
      </c>
      <c r="W20" s="12">
        <f t="shared" si="10"/>
        <v>8</v>
      </c>
      <c r="X20" s="12"/>
      <c r="Y20" s="19">
        <v>2726</v>
      </c>
      <c r="Z20" s="37">
        <f t="shared" si="5"/>
        <v>137.27465001510726</v>
      </c>
      <c r="AA20" s="13">
        <f t="shared" si="11"/>
        <v>22</v>
      </c>
      <c r="AB20" s="12"/>
    </row>
    <row r="21" spans="1:28" x14ac:dyDescent="0.35">
      <c r="A21" s="12"/>
      <c r="B21" s="12" t="s">
        <v>25</v>
      </c>
      <c r="C21" s="21">
        <v>1184400</v>
      </c>
      <c r="D21" s="12"/>
      <c r="E21" s="21">
        <v>1228</v>
      </c>
      <c r="F21" s="46">
        <f t="shared" si="0"/>
        <v>103.68118878757177</v>
      </c>
      <c r="G21" s="12">
        <f t="shared" si="6"/>
        <v>17</v>
      </c>
      <c r="H21" s="12"/>
      <c r="I21" s="21">
        <v>133</v>
      </c>
      <c r="J21" s="46">
        <f t="shared" si="1"/>
        <v>11.229314420803782</v>
      </c>
      <c r="K21" s="12">
        <f t="shared" si="7"/>
        <v>12</v>
      </c>
      <c r="L21" s="12"/>
      <c r="M21" s="21">
        <v>176</v>
      </c>
      <c r="N21" s="46">
        <f t="shared" si="2"/>
        <v>14.859844647078688</v>
      </c>
      <c r="O21" s="12">
        <f t="shared" si="8"/>
        <v>34</v>
      </c>
      <c r="P21" s="12"/>
      <c r="Q21" s="21">
        <v>116</v>
      </c>
      <c r="R21" s="46">
        <f t="shared" si="3"/>
        <v>9.7939885173927728</v>
      </c>
      <c r="S21" s="12">
        <f t="shared" si="9"/>
        <v>30</v>
      </c>
      <c r="T21" s="12"/>
      <c r="U21" s="21">
        <v>29</v>
      </c>
      <c r="V21" s="47">
        <f t="shared" si="4"/>
        <v>2.4484971293481932</v>
      </c>
      <c r="W21" s="12">
        <f t="shared" si="10"/>
        <v>38</v>
      </c>
      <c r="X21" s="12"/>
      <c r="Y21" s="19">
        <v>1600</v>
      </c>
      <c r="Z21" s="37">
        <f t="shared" si="5"/>
        <v>135.08949679162447</v>
      </c>
      <c r="AA21" s="13">
        <f t="shared" si="11"/>
        <v>23</v>
      </c>
      <c r="AB21" s="12"/>
    </row>
    <row r="22" spans="1:28" x14ac:dyDescent="0.35">
      <c r="A22" s="12"/>
      <c r="B22" s="12" t="s">
        <v>26</v>
      </c>
      <c r="C22" s="21">
        <v>932100</v>
      </c>
      <c r="D22" s="12"/>
      <c r="E22" s="21">
        <v>924</v>
      </c>
      <c r="F22" s="46">
        <f t="shared" si="0"/>
        <v>99.130994528484081</v>
      </c>
      <c r="G22" s="12">
        <f t="shared" si="6"/>
        <v>22</v>
      </c>
      <c r="H22" s="12"/>
      <c r="I22" s="21">
        <v>74</v>
      </c>
      <c r="J22" s="46">
        <f t="shared" si="1"/>
        <v>7.9390623323677714</v>
      </c>
      <c r="K22" s="12">
        <f t="shared" si="7"/>
        <v>25</v>
      </c>
      <c r="L22" s="12"/>
      <c r="M22" s="21">
        <v>197</v>
      </c>
      <c r="N22" s="46">
        <f t="shared" si="2"/>
        <v>21.135071344276366</v>
      </c>
      <c r="O22" s="12">
        <f t="shared" si="8"/>
        <v>18</v>
      </c>
      <c r="P22" s="12"/>
      <c r="Q22" s="21">
        <v>155</v>
      </c>
      <c r="R22" s="46">
        <f t="shared" si="3"/>
        <v>16.629117047527089</v>
      </c>
      <c r="S22" s="12">
        <f t="shared" si="9"/>
        <v>13</v>
      </c>
      <c r="T22" s="12"/>
      <c r="U22" s="21">
        <v>56</v>
      </c>
      <c r="V22" s="47">
        <f t="shared" si="4"/>
        <v>6.0079390623323681</v>
      </c>
      <c r="W22" s="12">
        <f t="shared" si="10"/>
        <v>3</v>
      </c>
      <c r="X22" s="12"/>
      <c r="Y22" s="19">
        <v>1357</v>
      </c>
      <c r="Z22" s="37">
        <f t="shared" si="5"/>
        <v>145.58523763544684</v>
      </c>
      <c r="AA22" s="13">
        <f t="shared" si="11"/>
        <v>18</v>
      </c>
      <c r="AB22" s="12"/>
    </row>
    <row r="23" spans="1:28" x14ac:dyDescent="0.35">
      <c r="A23" s="12"/>
      <c r="B23" s="12" t="s">
        <v>27</v>
      </c>
      <c r="C23" s="21">
        <v>1846500</v>
      </c>
      <c r="D23" s="12"/>
      <c r="E23" s="21">
        <v>3070</v>
      </c>
      <c r="F23" s="46">
        <f t="shared" si="0"/>
        <v>166.26049282426212</v>
      </c>
      <c r="G23" s="12">
        <f t="shared" si="6"/>
        <v>4</v>
      </c>
      <c r="H23" s="12"/>
      <c r="I23" s="21">
        <v>305</v>
      </c>
      <c r="J23" s="46">
        <f t="shared" si="1"/>
        <v>16.517736257785</v>
      </c>
      <c r="K23" s="12">
        <f t="shared" si="7"/>
        <v>4</v>
      </c>
      <c r="L23" s="12"/>
      <c r="M23" s="21">
        <v>610</v>
      </c>
      <c r="N23" s="46">
        <f t="shared" si="2"/>
        <v>33.03547251557</v>
      </c>
      <c r="O23" s="12">
        <f t="shared" si="8"/>
        <v>4</v>
      </c>
      <c r="P23" s="12"/>
      <c r="Q23" s="21">
        <v>612</v>
      </c>
      <c r="R23" s="46">
        <f t="shared" si="3"/>
        <v>33.143785540211212</v>
      </c>
      <c r="S23" s="12">
        <f t="shared" si="9"/>
        <v>2</v>
      </c>
      <c r="T23" s="12"/>
      <c r="U23" s="21">
        <v>105</v>
      </c>
      <c r="V23" s="47">
        <f t="shared" si="4"/>
        <v>5.6864337936636877</v>
      </c>
      <c r="W23" s="12">
        <f t="shared" si="10"/>
        <v>4</v>
      </c>
      <c r="X23" s="12"/>
      <c r="Y23" s="19">
        <v>4395</v>
      </c>
      <c r="Z23" s="37">
        <f t="shared" si="5"/>
        <v>238.01787164906582</v>
      </c>
      <c r="AA23" s="13">
        <f t="shared" si="11"/>
        <v>3</v>
      </c>
      <c r="AB23" s="12"/>
    </row>
    <row r="24" spans="1:28" x14ac:dyDescent="0.35">
      <c r="A24" s="12"/>
      <c r="B24" s="12" t="s">
        <v>28</v>
      </c>
      <c r="C24" s="21">
        <v>1498300</v>
      </c>
      <c r="D24" s="12"/>
      <c r="E24" s="21">
        <v>2022</v>
      </c>
      <c r="F24" s="46">
        <f t="shared" si="0"/>
        <v>134.95294667289593</v>
      </c>
      <c r="G24" s="12">
        <f t="shared" si="6"/>
        <v>7</v>
      </c>
      <c r="H24" s="12"/>
      <c r="I24" s="21">
        <v>173</v>
      </c>
      <c r="J24" s="46">
        <f t="shared" si="1"/>
        <v>11.546419275178536</v>
      </c>
      <c r="K24" s="12">
        <f t="shared" si="7"/>
        <v>10</v>
      </c>
      <c r="L24" s="12"/>
      <c r="M24" s="21">
        <v>465</v>
      </c>
      <c r="N24" s="46">
        <f t="shared" si="2"/>
        <v>31.035173196289129</v>
      </c>
      <c r="O24" s="12">
        <f t="shared" si="8"/>
        <v>5</v>
      </c>
      <c r="P24" s="12"/>
      <c r="Q24" s="21">
        <v>228</v>
      </c>
      <c r="R24" s="46">
        <f t="shared" si="3"/>
        <v>15.217246212374024</v>
      </c>
      <c r="S24" s="12">
        <f t="shared" si="9"/>
        <v>20</v>
      </c>
      <c r="T24" s="12"/>
      <c r="U24" s="21">
        <v>83</v>
      </c>
      <c r="V24" s="47">
        <f t="shared" si="4"/>
        <v>5.5396115597677369</v>
      </c>
      <c r="W24" s="12">
        <f t="shared" si="10"/>
        <v>5</v>
      </c>
      <c r="X24" s="12"/>
      <c r="Y24" s="19">
        <v>2836</v>
      </c>
      <c r="Z24" s="37">
        <f t="shared" si="5"/>
        <v>189.28118534338918</v>
      </c>
      <c r="AA24" s="13">
        <f t="shared" si="11"/>
        <v>7</v>
      </c>
      <c r="AB24" s="12"/>
    </row>
    <row r="25" spans="1:28" x14ac:dyDescent="0.35">
      <c r="A25" s="12"/>
      <c r="B25" s="12" t="s">
        <v>29</v>
      </c>
      <c r="C25" s="21">
        <v>1093200</v>
      </c>
      <c r="D25" s="12"/>
      <c r="E25" s="21">
        <v>1217</v>
      </c>
      <c r="F25" s="46">
        <f t="shared" si="0"/>
        <v>111.32455177460666</v>
      </c>
      <c r="G25" s="12">
        <f t="shared" si="6"/>
        <v>16</v>
      </c>
      <c r="H25" s="12"/>
      <c r="I25" s="21">
        <v>142</v>
      </c>
      <c r="J25" s="46">
        <f t="shared" si="1"/>
        <v>12.989388949871936</v>
      </c>
      <c r="K25" s="12">
        <f t="shared" si="7"/>
        <v>6</v>
      </c>
      <c r="L25" s="12"/>
      <c r="M25" s="21">
        <v>207</v>
      </c>
      <c r="N25" s="46">
        <f t="shared" si="2"/>
        <v>18.935236004390781</v>
      </c>
      <c r="O25" s="12">
        <f t="shared" si="8"/>
        <v>23</v>
      </c>
      <c r="P25" s="12"/>
      <c r="Q25" s="21">
        <v>91</v>
      </c>
      <c r="R25" s="46">
        <f t="shared" si="3"/>
        <v>8.3241858763263821</v>
      </c>
      <c r="S25" s="12">
        <f t="shared" si="9"/>
        <v>34</v>
      </c>
      <c r="T25" s="12"/>
      <c r="U25" s="21">
        <v>33</v>
      </c>
      <c r="V25" s="47">
        <f t="shared" si="4"/>
        <v>3.0186608122941823</v>
      </c>
      <c r="W25" s="12">
        <f t="shared" si="10"/>
        <v>31</v>
      </c>
      <c r="X25" s="12"/>
      <c r="Y25" s="19">
        <v>1600</v>
      </c>
      <c r="Z25" s="37">
        <f t="shared" si="5"/>
        <v>146.35931211123307</v>
      </c>
      <c r="AA25" s="13">
        <f t="shared" si="11"/>
        <v>17</v>
      </c>
      <c r="AB25" s="12"/>
    </row>
    <row r="26" spans="1:28" x14ac:dyDescent="0.35">
      <c r="A26" s="12"/>
      <c r="B26" s="12" t="s">
        <v>30</v>
      </c>
      <c r="C26" s="21">
        <v>755800</v>
      </c>
      <c r="D26" s="12"/>
      <c r="E26" s="21">
        <v>374</v>
      </c>
      <c r="F26" s="46">
        <f t="shared" si="0"/>
        <v>49.483990473670282</v>
      </c>
      <c r="G26" s="12">
        <f t="shared" si="6"/>
        <v>41</v>
      </c>
      <c r="H26" s="12"/>
      <c r="I26" s="21">
        <v>49</v>
      </c>
      <c r="J26" s="46">
        <f t="shared" si="1"/>
        <v>6.4831966128605449</v>
      </c>
      <c r="K26" s="12">
        <f t="shared" si="7"/>
        <v>30</v>
      </c>
      <c r="L26" s="12"/>
      <c r="M26" s="21">
        <v>133</v>
      </c>
      <c r="N26" s="46">
        <f t="shared" si="2"/>
        <v>17.597247949192909</v>
      </c>
      <c r="O26" s="12">
        <f t="shared" si="8"/>
        <v>28</v>
      </c>
      <c r="P26" s="12"/>
      <c r="Q26" s="21">
        <v>82</v>
      </c>
      <c r="R26" s="46">
        <f t="shared" si="3"/>
        <v>10.849431066419688</v>
      </c>
      <c r="S26" s="12">
        <f t="shared" si="9"/>
        <v>28</v>
      </c>
      <c r="T26" s="12"/>
      <c r="U26" s="21">
        <v>29</v>
      </c>
      <c r="V26" s="47">
        <f t="shared" si="4"/>
        <v>3.8369939137337923</v>
      </c>
      <c r="W26" s="12">
        <f t="shared" si="10"/>
        <v>18</v>
      </c>
      <c r="X26" s="12"/>
      <c r="Y26" s="19">
        <v>643</v>
      </c>
      <c r="Z26" s="37">
        <f t="shared" si="5"/>
        <v>85.07541677692511</v>
      </c>
      <c r="AA26" s="13">
        <f t="shared" si="11"/>
        <v>39</v>
      </c>
      <c r="AB26" s="12"/>
    </row>
    <row r="27" spans="1:28" x14ac:dyDescent="0.35">
      <c r="A27" s="12"/>
      <c r="B27" s="12" t="s">
        <v>32</v>
      </c>
      <c r="C27" s="21">
        <v>1423100</v>
      </c>
      <c r="D27" s="12"/>
      <c r="E27" s="21">
        <v>2050</v>
      </c>
      <c r="F27" s="46">
        <f t="shared" si="0"/>
        <v>144.05171808024735</v>
      </c>
      <c r="G27" s="12">
        <f t="shared" si="6"/>
        <v>6</v>
      </c>
      <c r="H27" s="12"/>
      <c r="I27" s="21">
        <v>165</v>
      </c>
      <c r="J27" s="46">
        <f t="shared" si="1"/>
        <v>11.594406577190641</v>
      </c>
      <c r="K27" s="12">
        <f t="shared" si="7"/>
        <v>8</v>
      </c>
      <c r="L27" s="12"/>
      <c r="M27" s="21">
        <v>552</v>
      </c>
      <c r="N27" s="46">
        <f t="shared" si="2"/>
        <v>38.788560185510505</v>
      </c>
      <c r="O27" s="12">
        <f t="shared" si="8"/>
        <v>3</v>
      </c>
      <c r="P27" s="12"/>
      <c r="Q27" s="21">
        <v>256</v>
      </c>
      <c r="R27" s="46">
        <f t="shared" si="3"/>
        <v>17.988897477338206</v>
      </c>
      <c r="S27" s="12">
        <f t="shared" si="9"/>
        <v>10</v>
      </c>
      <c r="T27" s="12"/>
      <c r="U27" s="21">
        <v>46</v>
      </c>
      <c r="V27" s="47">
        <f t="shared" si="4"/>
        <v>3.2323800154592091</v>
      </c>
      <c r="W27" s="12">
        <f t="shared" si="10"/>
        <v>27</v>
      </c>
      <c r="X27" s="12"/>
      <c r="Y27" s="19">
        <v>2944</v>
      </c>
      <c r="Z27" s="37">
        <f t="shared" si="5"/>
        <v>206.87232098938938</v>
      </c>
      <c r="AA27" s="13">
        <f t="shared" si="11"/>
        <v>4</v>
      </c>
      <c r="AB27" s="12"/>
    </row>
    <row r="28" spans="1:28" x14ac:dyDescent="0.35">
      <c r="A28" s="12"/>
      <c r="B28" s="12" t="s">
        <v>33</v>
      </c>
      <c r="C28" s="21">
        <v>8908100</v>
      </c>
      <c r="D28" s="12"/>
      <c r="E28" s="21">
        <v>16160</v>
      </c>
      <c r="F28" s="46">
        <f t="shared" si="0"/>
        <v>181.40793210673431</v>
      </c>
      <c r="G28" s="12">
        <f t="shared" si="6"/>
        <v>3</v>
      </c>
      <c r="H28" s="12"/>
      <c r="I28" s="21">
        <v>2239</v>
      </c>
      <c r="J28" s="46">
        <f t="shared" si="1"/>
        <v>25.134428217015977</v>
      </c>
      <c r="K28" s="12">
        <f t="shared" si="7"/>
        <v>2</v>
      </c>
      <c r="L28" s="12"/>
      <c r="M28" s="21">
        <v>2422</v>
      </c>
      <c r="N28" s="46">
        <f t="shared" si="2"/>
        <v>27.188738339264269</v>
      </c>
      <c r="O28" s="12">
        <f t="shared" si="8"/>
        <v>7</v>
      </c>
      <c r="P28" s="12"/>
      <c r="Q28" s="21">
        <v>415</v>
      </c>
      <c r="R28" s="46">
        <f t="shared" si="3"/>
        <v>4.6586814247707142</v>
      </c>
      <c r="S28" s="12">
        <f t="shared" si="9"/>
        <v>41</v>
      </c>
      <c r="T28" s="12"/>
      <c r="U28" s="21">
        <v>246</v>
      </c>
      <c r="V28" s="47">
        <f t="shared" si="4"/>
        <v>2.761531639743604</v>
      </c>
      <c r="W28" s="12">
        <f t="shared" si="10"/>
        <v>34</v>
      </c>
      <c r="X28" s="12"/>
      <c r="Y28" s="19">
        <v>16980</v>
      </c>
      <c r="Z28" s="37">
        <f t="shared" si="5"/>
        <v>190.61303757254635</v>
      </c>
      <c r="AA28" s="13">
        <f t="shared" si="11"/>
        <v>6</v>
      </c>
      <c r="AB28" s="12"/>
    </row>
    <row r="29" spans="1:28" x14ac:dyDescent="0.35">
      <c r="A29" s="12"/>
      <c r="B29" s="12" t="s">
        <v>34</v>
      </c>
      <c r="C29" s="21">
        <v>903700</v>
      </c>
      <c r="D29" s="12"/>
      <c r="E29" s="21">
        <v>641</v>
      </c>
      <c r="F29" s="46">
        <f t="shared" si="0"/>
        <v>70.930618568108883</v>
      </c>
      <c r="G29" s="12">
        <f t="shared" si="6"/>
        <v>32</v>
      </c>
      <c r="H29" s="12"/>
      <c r="I29" s="21">
        <v>55</v>
      </c>
      <c r="J29" s="46">
        <f t="shared" si="1"/>
        <v>6.086090516764413</v>
      </c>
      <c r="K29" s="12">
        <f t="shared" si="7"/>
        <v>32</v>
      </c>
      <c r="L29" s="12"/>
      <c r="M29" s="21">
        <v>158</v>
      </c>
      <c r="N29" s="46">
        <f t="shared" si="2"/>
        <v>17.483678211795951</v>
      </c>
      <c r="O29" s="12">
        <f t="shared" si="8"/>
        <v>29</v>
      </c>
      <c r="P29" s="12"/>
      <c r="Q29" s="21">
        <v>180</v>
      </c>
      <c r="R29" s="46">
        <f t="shared" si="3"/>
        <v>19.918114418501716</v>
      </c>
      <c r="S29" s="12">
        <f t="shared" si="9"/>
        <v>6</v>
      </c>
      <c r="T29" s="12"/>
      <c r="U29" s="21">
        <v>35</v>
      </c>
      <c r="V29" s="47">
        <f t="shared" si="4"/>
        <v>3.8729666924864441</v>
      </c>
      <c r="W29" s="12">
        <f t="shared" si="10"/>
        <v>16</v>
      </c>
      <c r="X29" s="12"/>
      <c r="Y29" s="19">
        <v>1022</v>
      </c>
      <c r="Z29" s="37">
        <f t="shared" si="5"/>
        <v>113.09062742060419</v>
      </c>
      <c r="AA29" s="13">
        <f t="shared" si="11"/>
        <v>31</v>
      </c>
      <c r="AB29" s="12"/>
    </row>
    <row r="30" spans="1:28" x14ac:dyDescent="0.35">
      <c r="A30" s="12"/>
      <c r="B30" s="12" t="s">
        <v>35</v>
      </c>
      <c r="C30" s="21">
        <v>698400</v>
      </c>
      <c r="D30" s="12"/>
      <c r="E30" s="21">
        <v>616</v>
      </c>
      <c r="F30" s="46">
        <f t="shared" si="0"/>
        <v>88.201603665521191</v>
      </c>
      <c r="G30" s="12">
        <f t="shared" si="6"/>
        <v>26</v>
      </c>
      <c r="H30" s="12"/>
      <c r="I30" s="21">
        <v>46</v>
      </c>
      <c r="J30" s="46">
        <f t="shared" si="1"/>
        <v>6.5864833906071016</v>
      </c>
      <c r="K30" s="12">
        <f t="shared" si="7"/>
        <v>29</v>
      </c>
      <c r="L30" s="12"/>
      <c r="M30" s="21">
        <v>178</v>
      </c>
      <c r="N30" s="46">
        <f t="shared" si="2"/>
        <v>25.486827033218784</v>
      </c>
      <c r="O30" s="12">
        <f t="shared" si="8"/>
        <v>12</v>
      </c>
      <c r="P30" s="12"/>
      <c r="Q30" s="21">
        <v>109</v>
      </c>
      <c r="R30" s="46">
        <f t="shared" si="3"/>
        <v>15.607101947308132</v>
      </c>
      <c r="S30" s="12">
        <f t="shared" si="9"/>
        <v>18</v>
      </c>
      <c r="T30" s="12"/>
      <c r="U30" s="21">
        <v>25</v>
      </c>
      <c r="V30" s="47">
        <f t="shared" si="4"/>
        <v>3.5796105383734251</v>
      </c>
      <c r="W30" s="12">
        <f t="shared" si="10"/>
        <v>23</v>
      </c>
      <c r="X30" s="12"/>
      <c r="Y30" s="19">
        <v>940</v>
      </c>
      <c r="Z30" s="37">
        <f t="shared" si="5"/>
        <v>134.59335624284077</v>
      </c>
      <c r="AA30" s="13">
        <f t="shared" si="11"/>
        <v>24</v>
      </c>
      <c r="AB30" s="12"/>
    </row>
    <row r="31" spans="1:28" x14ac:dyDescent="0.35">
      <c r="A31" s="12"/>
      <c r="B31" s="12" t="s">
        <v>36</v>
      </c>
      <c r="C31" s="21">
        <v>824400</v>
      </c>
      <c r="D31" s="12"/>
      <c r="E31" s="21">
        <v>375</v>
      </c>
      <c r="F31" s="46">
        <f t="shared" si="0"/>
        <v>45.487627365356623</v>
      </c>
      <c r="G31" s="12">
        <f t="shared" si="6"/>
        <v>42</v>
      </c>
      <c r="H31" s="12"/>
      <c r="I31" s="21">
        <v>51</v>
      </c>
      <c r="J31" s="46">
        <f t="shared" si="1"/>
        <v>6.1863173216885006</v>
      </c>
      <c r="K31" s="12">
        <f t="shared" si="7"/>
        <v>31</v>
      </c>
      <c r="L31" s="12"/>
      <c r="M31" s="21">
        <v>93</v>
      </c>
      <c r="N31" s="46">
        <f t="shared" si="2"/>
        <v>11.280931586608443</v>
      </c>
      <c r="O31" s="12">
        <f t="shared" si="8"/>
        <v>40</v>
      </c>
      <c r="P31" s="12"/>
      <c r="Q31" s="21">
        <v>45</v>
      </c>
      <c r="R31" s="46">
        <f t="shared" si="3"/>
        <v>5.4585152838427948</v>
      </c>
      <c r="S31" s="12">
        <f t="shared" si="9"/>
        <v>40</v>
      </c>
      <c r="T31" s="12"/>
      <c r="U31" s="21">
        <v>10</v>
      </c>
      <c r="V31" s="47">
        <f t="shared" si="4"/>
        <v>1.2130033964095099</v>
      </c>
      <c r="W31" s="12">
        <f t="shared" si="10"/>
        <v>42</v>
      </c>
      <c r="X31" s="12"/>
      <c r="Y31" s="19">
        <v>546</v>
      </c>
      <c r="Z31" s="37">
        <f t="shared" si="5"/>
        <v>66.229985443959237</v>
      </c>
      <c r="AA31" s="13">
        <f t="shared" si="11"/>
        <v>42</v>
      </c>
      <c r="AB31" s="12"/>
    </row>
    <row r="32" spans="1:28" x14ac:dyDescent="0.35">
      <c r="A32" s="12"/>
      <c r="B32" s="12" t="s">
        <v>37</v>
      </c>
      <c r="C32" s="21">
        <v>747600</v>
      </c>
      <c r="D32" s="12"/>
      <c r="E32" s="21">
        <v>646</v>
      </c>
      <c r="F32" s="46">
        <f t="shared" si="0"/>
        <v>86.409844836811132</v>
      </c>
      <c r="G32" s="12">
        <f t="shared" si="6"/>
        <v>27</v>
      </c>
      <c r="H32" s="12"/>
      <c r="I32" s="21">
        <v>38</v>
      </c>
      <c r="J32" s="46">
        <f t="shared" si="1"/>
        <v>5.0829320492241843</v>
      </c>
      <c r="K32" s="12">
        <f t="shared" si="7"/>
        <v>35</v>
      </c>
      <c r="L32" s="12"/>
      <c r="M32" s="21">
        <v>81</v>
      </c>
      <c r="N32" s="46">
        <f t="shared" si="2"/>
        <v>10.834670947030498</v>
      </c>
      <c r="O32" s="12">
        <f t="shared" si="8"/>
        <v>41</v>
      </c>
      <c r="P32" s="12"/>
      <c r="Q32" s="21">
        <v>59</v>
      </c>
      <c r="R32" s="46">
        <f t="shared" si="3"/>
        <v>7.8919208132691283</v>
      </c>
      <c r="S32" s="12">
        <f t="shared" si="9"/>
        <v>36</v>
      </c>
      <c r="T32" s="12"/>
      <c r="U32" s="21">
        <v>28</v>
      </c>
      <c r="V32" s="47">
        <f t="shared" si="4"/>
        <v>3.7453183520599254</v>
      </c>
      <c r="W32" s="12">
        <f t="shared" si="10"/>
        <v>21</v>
      </c>
      <c r="X32" s="12"/>
      <c r="Y32" s="19">
        <v>818</v>
      </c>
      <c r="Z32" s="37">
        <f t="shared" si="5"/>
        <v>109.41680042803638</v>
      </c>
      <c r="AA32" s="13">
        <f t="shared" si="11"/>
        <v>32</v>
      </c>
      <c r="AB32" s="12"/>
    </row>
    <row r="33" spans="1:28" x14ac:dyDescent="0.35">
      <c r="A33" s="12"/>
      <c r="B33" s="12" t="s">
        <v>38</v>
      </c>
      <c r="C33" s="21">
        <v>1456600</v>
      </c>
      <c r="D33" s="12"/>
      <c r="E33" s="21">
        <v>1848</v>
      </c>
      <c r="F33" s="46">
        <f t="shared" si="0"/>
        <v>126.87079500205958</v>
      </c>
      <c r="G33" s="12">
        <f t="shared" si="6"/>
        <v>10</v>
      </c>
      <c r="H33" s="12"/>
      <c r="I33" s="21">
        <v>235</v>
      </c>
      <c r="J33" s="46">
        <f t="shared" si="1"/>
        <v>16.133461485651516</v>
      </c>
      <c r="K33" s="12">
        <f t="shared" si="7"/>
        <v>5</v>
      </c>
      <c r="L33" s="12"/>
      <c r="M33" s="21">
        <v>372</v>
      </c>
      <c r="N33" s="46">
        <f t="shared" si="2"/>
        <v>25.538926266648357</v>
      </c>
      <c r="O33" s="12">
        <f t="shared" si="8"/>
        <v>11</v>
      </c>
      <c r="P33" s="12"/>
      <c r="Q33" s="21">
        <v>287</v>
      </c>
      <c r="R33" s="46">
        <f t="shared" si="3"/>
        <v>19.703418920774407</v>
      </c>
      <c r="S33" s="12">
        <f t="shared" si="9"/>
        <v>7</v>
      </c>
      <c r="T33" s="12"/>
      <c r="U33" s="21">
        <v>77</v>
      </c>
      <c r="V33" s="47">
        <f t="shared" si="4"/>
        <v>5.2862831250858164</v>
      </c>
      <c r="W33" s="12">
        <f t="shared" si="10"/>
        <v>6</v>
      </c>
      <c r="X33" s="12"/>
      <c r="Y33" s="19">
        <v>2703</v>
      </c>
      <c r="Z33" s="37">
        <f t="shared" si="5"/>
        <v>185.56913359879169</v>
      </c>
      <c r="AA33" s="13">
        <f t="shared" si="11"/>
        <v>9</v>
      </c>
      <c r="AB33" s="12"/>
    </row>
    <row r="34" spans="1:28" x14ac:dyDescent="0.35">
      <c r="A34" s="12"/>
      <c r="B34" s="12" t="s">
        <v>39</v>
      </c>
      <c r="C34" s="21">
        <v>1154200</v>
      </c>
      <c r="D34" s="12"/>
      <c r="E34" s="21">
        <v>1178</v>
      </c>
      <c r="F34" s="46">
        <f t="shared" si="0"/>
        <v>102.06203430947842</v>
      </c>
      <c r="G34" s="12">
        <f t="shared" si="6"/>
        <v>20</v>
      </c>
      <c r="H34" s="12"/>
      <c r="I34" s="21">
        <v>116</v>
      </c>
      <c r="J34" s="46">
        <f t="shared" si="1"/>
        <v>10.050251256281408</v>
      </c>
      <c r="K34" s="12">
        <f t="shared" si="7"/>
        <v>18</v>
      </c>
      <c r="L34" s="12"/>
      <c r="M34" s="21">
        <v>146</v>
      </c>
      <c r="N34" s="46">
        <f t="shared" si="2"/>
        <v>12.649454167388669</v>
      </c>
      <c r="O34" s="12">
        <f t="shared" si="8"/>
        <v>37</v>
      </c>
      <c r="P34" s="12"/>
      <c r="Q34" s="21">
        <v>101</v>
      </c>
      <c r="R34" s="46">
        <f t="shared" si="3"/>
        <v>8.7506498007277767</v>
      </c>
      <c r="S34" s="12">
        <f t="shared" si="9"/>
        <v>32</v>
      </c>
      <c r="T34" s="12"/>
      <c r="U34" s="21">
        <v>35</v>
      </c>
      <c r="V34" s="47">
        <f t="shared" si="4"/>
        <v>3.0324033962918038</v>
      </c>
      <c r="W34" s="12">
        <f t="shared" si="10"/>
        <v>30</v>
      </c>
      <c r="X34" s="12"/>
      <c r="Y34" s="19">
        <v>1495</v>
      </c>
      <c r="Z34" s="37">
        <f t="shared" si="5"/>
        <v>129.5269450701785</v>
      </c>
      <c r="AA34" s="13">
        <f t="shared" si="11"/>
        <v>25</v>
      </c>
      <c r="AB34" s="12"/>
    </row>
    <row r="35" spans="1:28" x14ac:dyDescent="0.35">
      <c r="A35" s="12"/>
      <c r="B35" s="12" t="s">
        <v>40</v>
      </c>
      <c r="C35" s="21">
        <v>1331000</v>
      </c>
      <c r="D35" s="12"/>
      <c r="E35" s="21">
        <v>1305</v>
      </c>
      <c r="F35" s="46">
        <f t="shared" si="0"/>
        <v>98.046581517655881</v>
      </c>
      <c r="G35" s="12">
        <f t="shared" si="6"/>
        <v>23</v>
      </c>
      <c r="H35" s="12"/>
      <c r="I35" s="21">
        <v>129</v>
      </c>
      <c r="J35" s="46">
        <f t="shared" si="1"/>
        <v>9.6919609316303532</v>
      </c>
      <c r="K35" s="12">
        <f t="shared" si="7"/>
        <v>19</v>
      </c>
      <c r="L35" s="12"/>
      <c r="M35" s="21">
        <v>351</v>
      </c>
      <c r="N35" s="46">
        <f t="shared" si="2"/>
        <v>26.371149511645378</v>
      </c>
      <c r="O35" s="12">
        <f t="shared" si="8"/>
        <v>10</v>
      </c>
      <c r="P35" s="12"/>
      <c r="Q35" s="21">
        <v>181</v>
      </c>
      <c r="R35" s="46">
        <f t="shared" si="3"/>
        <v>13.598797896318557</v>
      </c>
      <c r="S35" s="12">
        <f t="shared" si="9"/>
        <v>25</v>
      </c>
      <c r="T35" s="12"/>
      <c r="U35" s="21">
        <v>60</v>
      </c>
      <c r="V35" s="47">
        <f t="shared" si="4"/>
        <v>4.5078888054094666</v>
      </c>
      <c r="W35" s="12">
        <f t="shared" si="10"/>
        <v>11</v>
      </c>
      <c r="X35" s="12"/>
      <c r="Y35" s="19">
        <v>1906</v>
      </c>
      <c r="Z35" s="37">
        <f t="shared" si="5"/>
        <v>143.20060105184072</v>
      </c>
      <c r="AA35" s="13">
        <f t="shared" si="11"/>
        <v>19</v>
      </c>
      <c r="AB35" s="12"/>
    </row>
    <row r="36" spans="1:28" x14ac:dyDescent="0.35">
      <c r="A36" s="12"/>
      <c r="B36" s="12" t="s">
        <v>41</v>
      </c>
      <c r="C36" s="21">
        <v>1402900</v>
      </c>
      <c r="D36" s="12"/>
      <c r="E36" s="21">
        <v>1879</v>
      </c>
      <c r="F36" s="46">
        <f t="shared" si="0"/>
        <v>133.93684510656499</v>
      </c>
      <c r="G36" s="12">
        <f t="shared" si="6"/>
        <v>8</v>
      </c>
      <c r="H36" s="12"/>
      <c r="I36" s="21">
        <v>145</v>
      </c>
      <c r="J36" s="46">
        <f t="shared" si="1"/>
        <v>10.33573312424264</v>
      </c>
      <c r="K36" s="12">
        <f t="shared" si="7"/>
        <v>16</v>
      </c>
      <c r="L36" s="12"/>
      <c r="M36" s="21">
        <v>379</v>
      </c>
      <c r="N36" s="46">
        <f t="shared" si="2"/>
        <v>27.015467959227312</v>
      </c>
      <c r="O36" s="12">
        <f t="shared" si="8"/>
        <v>9</v>
      </c>
      <c r="P36" s="12"/>
      <c r="Q36" s="21">
        <v>237</v>
      </c>
      <c r="R36" s="46">
        <f t="shared" si="3"/>
        <v>16.893577589279349</v>
      </c>
      <c r="S36" s="12">
        <f t="shared" si="9"/>
        <v>12</v>
      </c>
      <c r="T36" s="12"/>
      <c r="U36" s="21">
        <v>87</v>
      </c>
      <c r="V36" s="47">
        <f t="shared" si="4"/>
        <v>6.2014398745455832</v>
      </c>
      <c r="W36" s="12">
        <f t="shared" si="10"/>
        <v>2</v>
      </c>
      <c r="X36" s="12"/>
      <c r="Y36" s="19">
        <v>2618</v>
      </c>
      <c r="Z36" s="37">
        <f t="shared" si="5"/>
        <v>186.61344358115332</v>
      </c>
      <c r="AA36" s="13">
        <f t="shared" si="11"/>
        <v>8</v>
      </c>
      <c r="AB36" s="12"/>
    </row>
    <row r="37" spans="1:28" x14ac:dyDescent="0.35">
      <c r="A37" s="12"/>
      <c r="B37" s="12" t="s">
        <v>42</v>
      </c>
      <c r="C37" s="21">
        <v>1131100</v>
      </c>
      <c r="D37" s="12"/>
      <c r="E37" s="21">
        <v>1159</v>
      </c>
      <c r="F37" s="46">
        <f t="shared" si="0"/>
        <v>102.466625408894</v>
      </c>
      <c r="G37" s="12">
        <f t="shared" si="6"/>
        <v>18</v>
      </c>
      <c r="H37" s="12"/>
      <c r="I37" s="21">
        <v>35</v>
      </c>
      <c r="J37" s="46">
        <f t="shared" si="1"/>
        <v>3.0943329502254446</v>
      </c>
      <c r="K37" s="12">
        <f t="shared" si="7"/>
        <v>40</v>
      </c>
      <c r="L37" s="12"/>
      <c r="M37" s="21">
        <v>241</v>
      </c>
      <c r="N37" s="46">
        <f t="shared" si="2"/>
        <v>21.306692600123771</v>
      </c>
      <c r="O37" s="12">
        <f t="shared" si="8"/>
        <v>17</v>
      </c>
      <c r="P37" s="12"/>
      <c r="Q37" s="21">
        <v>158</v>
      </c>
      <c r="R37" s="46">
        <f t="shared" si="3"/>
        <v>13.968703032446291</v>
      </c>
      <c r="S37" s="12">
        <f t="shared" si="9"/>
        <v>23</v>
      </c>
      <c r="T37" s="12"/>
      <c r="U37" s="21">
        <v>32</v>
      </c>
      <c r="V37" s="47">
        <f t="shared" si="4"/>
        <v>2.8291044116346917</v>
      </c>
      <c r="W37" s="12">
        <f t="shared" si="10"/>
        <v>33</v>
      </c>
      <c r="X37" s="12"/>
      <c r="Y37" s="19">
        <v>1570</v>
      </c>
      <c r="Z37" s="37">
        <f t="shared" si="5"/>
        <v>138.80293519582708</v>
      </c>
      <c r="AA37" s="13">
        <f t="shared" si="11"/>
        <v>21</v>
      </c>
      <c r="AB37" s="12"/>
    </row>
    <row r="38" spans="1:28" x14ac:dyDescent="0.35">
      <c r="A38" s="12"/>
      <c r="B38" s="12" t="s">
        <v>43</v>
      </c>
      <c r="C38" s="21">
        <v>758600</v>
      </c>
      <c r="D38" s="12"/>
      <c r="E38" s="21">
        <v>606</v>
      </c>
      <c r="F38" s="46">
        <f t="shared" si="0"/>
        <v>79.883996836277348</v>
      </c>
      <c r="G38" s="12">
        <f t="shared" si="6"/>
        <v>31</v>
      </c>
      <c r="H38" s="12"/>
      <c r="I38" s="21">
        <v>57</v>
      </c>
      <c r="J38" s="46">
        <f t="shared" si="1"/>
        <v>7.5138412865805426</v>
      </c>
      <c r="K38" s="12">
        <f t="shared" si="7"/>
        <v>26</v>
      </c>
      <c r="L38" s="12"/>
      <c r="M38" s="21">
        <v>166</v>
      </c>
      <c r="N38" s="46">
        <f t="shared" si="2"/>
        <v>21.882414974953861</v>
      </c>
      <c r="O38" s="12">
        <f t="shared" si="8"/>
        <v>16</v>
      </c>
      <c r="P38" s="12"/>
      <c r="Q38" s="21">
        <v>158</v>
      </c>
      <c r="R38" s="46">
        <f t="shared" si="3"/>
        <v>20.827840759293434</v>
      </c>
      <c r="S38" s="12">
        <f t="shared" si="9"/>
        <v>4</v>
      </c>
      <c r="T38" s="12"/>
      <c r="U38" s="21">
        <v>18</v>
      </c>
      <c r="V38" s="47">
        <f t="shared" si="4"/>
        <v>2.3727919852359611</v>
      </c>
      <c r="W38" s="12">
        <f t="shared" si="10"/>
        <v>39</v>
      </c>
      <c r="X38" s="12"/>
      <c r="Y38" s="19">
        <v>951</v>
      </c>
      <c r="Z38" s="37">
        <f t="shared" si="5"/>
        <v>125.36250988663326</v>
      </c>
      <c r="AA38" s="13">
        <f t="shared" si="11"/>
        <v>26</v>
      </c>
      <c r="AB38" s="12"/>
    </row>
    <row r="39" spans="1:28" x14ac:dyDescent="0.35">
      <c r="A39" s="12"/>
      <c r="B39" s="12" t="s">
        <v>44</v>
      </c>
      <c r="C39" s="21">
        <v>1189900</v>
      </c>
      <c r="D39" s="12"/>
      <c r="E39" s="21">
        <v>1346</v>
      </c>
      <c r="F39" s="46">
        <f t="shared" si="0"/>
        <v>113.11874947474577</v>
      </c>
      <c r="G39" s="12">
        <f t="shared" si="6"/>
        <v>14</v>
      </c>
      <c r="H39" s="12"/>
      <c r="I39" s="21">
        <v>103</v>
      </c>
      <c r="J39" s="46">
        <f t="shared" si="1"/>
        <v>8.6561895957643493</v>
      </c>
      <c r="K39" s="12">
        <f t="shared" si="7"/>
        <v>21</v>
      </c>
      <c r="L39" s="12"/>
      <c r="M39" s="21">
        <v>183</v>
      </c>
      <c r="N39" s="46">
        <f t="shared" si="2"/>
        <v>15.379443650726952</v>
      </c>
      <c r="O39" s="12">
        <f t="shared" si="8"/>
        <v>31</v>
      </c>
      <c r="P39" s="12"/>
      <c r="Q39" s="21">
        <v>190</v>
      </c>
      <c r="R39" s="46">
        <f t="shared" si="3"/>
        <v>15.96772838053618</v>
      </c>
      <c r="S39" s="12">
        <f t="shared" si="9"/>
        <v>17</v>
      </c>
      <c r="T39" s="12"/>
      <c r="U39" s="21">
        <v>46</v>
      </c>
      <c r="V39" s="47">
        <f t="shared" si="4"/>
        <v>3.8658710816034962</v>
      </c>
      <c r="W39" s="12">
        <f t="shared" si="10"/>
        <v>17</v>
      </c>
      <c r="X39" s="12"/>
      <c r="Y39" s="19">
        <v>1802</v>
      </c>
      <c r="Z39" s="37">
        <f t="shared" si="5"/>
        <v>151.44129758803263</v>
      </c>
      <c r="AA39" s="13">
        <f t="shared" si="11"/>
        <v>14</v>
      </c>
      <c r="AB39" s="12"/>
    </row>
    <row r="40" spans="1:28" x14ac:dyDescent="0.35">
      <c r="A40" s="12"/>
      <c r="B40" s="12" t="s">
        <v>45</v>
      </c>
      <c r="C40" s="21">
        <v>1703800</v>
      </c>
      <c r="D40" s="12"/>
      <c r="E40" s="21">
        <v>1523</v>
      </c>
      <c r="F40" s="46">
        <f t="shared" si="0"/>
        <v>89.388425871581177</v>
      </c>
      <c r="G40" s="12">
        <f t="shared" si="6"/>
        <v>25</v>
      </c>
      <c r="H40" s="12"/>
      <c r="I40" s="21">
        <v>197</v>
      </c>
      <c r="J40" s="46">
        <f t="shared" si="1"/>
        <v>11.562389951872285</v>
      </c>
      <c r="K40" s="12">
        <f t="shared" si="7"/>
        <v>9</v>
      </c>
      <c r="L40" s="12"/>
      <c r="M40" s="21">
        <v>423</v>
      </c>
      <c r="N40" s="46">
        <f t="shared" si="2"/>
        <v>24.826857612395823</v>
      </c>
      <c r="O40" s="12">
        <f t="shared" si="8"/>
        <v>14</v>
      </c>
      <c r="P40" s="12"/>
      <c r="Q40" s="21">
        <v>273</v>
      </c>
      <c r="R40" s="46">
        <f t="shared" si="3"/>
        <v>16.023007395234181</v>
      </c>
      <c r="S40" s="12">
        <f t="shared" si="9"/>
        <v>16</v>
      </c>
      <c r="T40" s="12"/>
      <c r="U40" s="21">
        <v>82</v>
      </c>
      <c r="V40" s="47">
        <f t="shared" si="4"/>
        <v>4.8127714520483629</v>
      </c>
      <c r="W40" s="12">
        <f t="shared" si="10"/>
        <v>10</v>
      </c>
      <c r="X40" s="12"/>
      <c r="Y40" s="19">
        <v>2371</v>
      </c>
      <c r="Z40" s="37">
        <f t="shared" si="5"/>
        <v>139.15952576593497</v>
      </c>
      <c r="AA40" s="13">
        <f t="shared" si="11"/>
        <v>20</v>
      </c>
      <c r="AB40" s="12"/>
    </row>
    <row r="41" spans="1:28" x14ac:dyDescent="0.35">
      <c r="A41" s="12"/>
      <c r="B41" s="12" t="s">
        <v>46</v>
      </c>
      <c r="C41" s="21">
        <v>2407600</v>
      </c>
      <c r="D41" s="12"/>
      <c r="E41" s="21">
        <v>2821</v>
      </c>
      <c r="F41" s="46">
        <f t="shared" si="0"/>
        <v>117.17062634989202</v>
      </c>
      <c r="G41" s="12">
        <f t="shared" si="6"/>
        <v>13</v>
      </c>
      <c r="H41" s="12"/>
      <c r="I41" s="21">
        <v>258</v>
      </c>
      <c r="J41" s="46">
        <f t="shared" si="1"/>
        <v>10.716065791659744</v>
      </c>
      <c r="K41" s="12">
        <f t="shared" si="7"/>
        <v>13</v>
      </c>
      <c r="L41" s="12"/>
      <c r="M41" s="21">
        <v>366</v>
      </c>
      <c r="N41" s="46">
        <f t="shared" si="2"/>
        <v>15.201860774214987</v>
      </c>
      <c r="O41" s="12">
        <f t="shared" si="8"/>
        <v>32</v>
      </c>
      <c r="P41" s="12"/>
      <c r="Q41" s="21">
        <v>338</v>
      </c>
      <c r="R41" s="46">
        <f t="shared" si="3"/>
        <v>14.038876889848812</v>
      </c>
      <c r="S41" s="12">
        <f t="shared" si="9"/>
        <v>22</v>
      </c>
      <c r="T41" s="12"/>
      <c r="U41" s="21">
        <v>81</v>
      </c>
      <c r="V41" s="47">
        <f t="shared" si="4"/>
        <v>3.3643462369164316</v>
      </c>
      <c r="W41" s="12">
        <f t="shared" si="10"/>
        <v>25</v>
      </c>
      <c r="X41" s="12"/>
      <c r="Y41" s="19">
        <v>3624</v>
      </c>
      <c r="Z41" s="37">
        <f t="shared" si="5"/>
        <v>150.52334274796476</v>
      </c>
      <c r="AA41" s="13">
        <f t="shared" si="11"/>
        <v>15</v>
      </c>
      <c r="AB41" s="12"/>
    </row>
    <row r="42" spans="1:28" x14ac:dyDescent="0.35">
      <c r="A42" s="12"/>
      <c r="B42" s="12" t="s">
        <v>47</v>
      </c>
      <c r="C42" s="21">
        <v>571000</v>
      </c>
      <c r="D42" s="12"/>
      <c r="E42" s="21">
        <v>487</v>
      </c>
      <c r="F42" s="46">
        <f t="shared" si="0"/>
        <v>85.288966725043792</v>
      </c>
      <c r="G42" s="12">
        <f t="shared" si="6"/>
        <v>28</v>
      </c>
      <c r="H42" s="12"/>
      <c r="I42" s="21">
        <v>48</v>
      </c>
      <c r="J42" s="46">
        <f t="shared" si="1"/>
        <v>8.4063047285464094</v>
      </c>
      <c r="K42" s="12">
        <f t="shared" si="7"/>
        <v>23</v>
      </c>
      <c r="L42" s="12"/>
      <c r="M42" s="21">
        <v>84</v>
      </c>
      <c r="N42" s="46">
        <f t="shared" si="2"/>
        <v>14.711033274956216</v>
      </c>
      <c r="O42" s="12">
        <f t="shared" si="8"/>
        <v>35</v>
      </c>
      <c r="P42" s="12"/>
      <c r="Q42" s="21">
        <v>78</v>
      </c>
      <c r="R42" s="46">
        <f t="shared" si="3"/>
        <v>13.660245183887916</v>
      </c>
      <c r="S42" s="12">
        <f t="shared" si="9"/>
        <v>24</v>
      </c>
      <c r="T42" s="12"/>
      <c r="U42" s="21">
        <v>9</v>
      </c>
      <c r="V42" s="47">
        <f t="shared" si="4"/>
        <v>1.5761821366024518</v>
      </c>
      <c r="W42" s="12">
        <f t="shared" si="10"/>
        <v>41</v>
      </c>
      <c r="X42" s="12"/>
      <c r="Y42" s="19">
        <v>681</v>
      </c>
      <c r="Z42" s="37">
        <f t="shared" si="5"/>
        <v>119.2644483362522</v>
      </c>
      <c r="AA42" s="13">
        <f t="shared" si="11"/>
        <v>29</v>
      </c>
      <c r="AB42" s="12"/>
    </row>
    <row r="43" spans="1:28" x14ac:dyDescent="0.35">
      <c r="A43" s="12"/>
      <c r="B43" s="12" t="s">
        <v>48</v>
      </c>
      <c r="C43" s="21">
        <v>1282200</v>
      </c>
      <c r="D43" s="12"/>
      <c r="E43" s="21">
        <v>800</v>
      </c>
      <c r="F43" s="46">
        <f t="shared" si="0"/>
        <v>62.392762439557011</v>
      </c>
      <c r="G43" s="12">
        <f t="shared" si="6"/>
        <v>36</v>
      </c>
      <c r="H43" s="12"/>
      <c r="I43" s="21">
        <v>89</v>
      </c>
      <c r="J43" s="46">
        <f t="shared" si="1"/>
        <v>6.9411948214007184</v>
      </c>
      <c r="K43" s="12">
        <f t="shared" si="7"/>
        <v>27</v>
      </c>
      <c r="L43" s="12"/>
      <c r="M43" s="21">
        <v>217</v>
      </c>
      <c r="N43" s="46">
        <f t="shared" si="2"/>
        <v>16.924036811729838</v>
      </c>
      <c r="O43" s="12">
        <f t="shared" si="8"/>
        <v>30</v>
      </c>
      <c r="P43" s="12"/>
      <c r="Q43" s="21">
        <v>141</v>
      </c>
      <c r="R43" s="46">
        <f t="shared" si="3"/>
        <v>10.996724379971923</v>
      </c>
      <c r="S43" s="12">
        <f t="shared" si="9"/>
        <v>27</v>
      </c>
      <c r="T43" s="12"/>
      <c r="U43" s="21">
        <v>26</v>
      </c>
      <c r="V43" s="47">
        <f t="shared" si="4"/>
        <v>2.0277647792856026</v>
      </c>
      <c r="W43" s="12">
        <f t="shared" si="10"/>
        <v>40</v>
      </c>
      <c r="X43" s="12"/>
      <c r="Y43" s="19">
        <v>1242</v>
      </c>
      <c r="Z43" s="37">
        <f t="shared" si="5"/>
        <v>96.86476368741225</v>
      </c>
      <c r="AA43" s="13">
        <f t="shared" si="11"/>
        <v>34</v>
      </c>
      <c r="AB43" s="12"/>
    </row>
    <row r="44" spans="1:28" x14ac:dyDescent="0.35">
      <c r="A44" s="12"/>
      <c r="B44" s="12" t="s">
        <v>7</v>
      </c>
      <c r="C44" s="21">
        <v>2916500</v>
      </c>
      <c r="D44" s="12"/>
      <c r="E44" s="21">
        <v>4811</v>
      </c>
      <c r="F44" s="46">
        <f t="shared" si="0"/>
        <v>164.95799759986284</v>
      </c>
      <c r="G44" s="12">
        <f t="shared" si="6"/>
        <v>5</v>
      </c>
      <c r="H44" s="12"/>
      <c r="I44" s="21">
        <v>296</v>
      </c>
      <c r="J44" s="46">
        <f t="shared" si="1"/>
        <v>10.149151380078861</v>
      </c>
      <c r="K44" s="12">
        <f t="shared" si="7"/>
        <v>17</v>
      </c>
      <c r="L44" s="12"/>
      <c r="M44" s="21">
        <v>540</v>
      </c>
      <c r="N44" s="46">
        <f t="shared" si="2"/>
        <v>18.515343733927651</v>
      </c>
      <c r="O44" s="12">
        <f t="shared" si="8"/>
        <v>25</v>
      </c>
      <c r="P44" s="12"/>
      <c r="Q44" s="21">
        <v>132</v>
      </c>
      <c r="R44" s="46">
        <f t="shared" si="3"/>
        <v>4.5259729127378705</v>
      </c>
      <c r="S44" s="12">
        <f t="shared" si="9"/>
        <v>42</v>
      </c>
      <c r="T44" s="12"/>
      <c r="U44" s="21">
        <v>72</v>
      </c>
      <c r="V44" s="47">
        <f t="shared" si="4"/>
        <v>2.4687124978570205</v>
      </c>
      <c r="W44" s="12">
        <f t="shared" si="10"/>
        <v>36</v>
      </c>
      <c r="X44" s="12"/>
      <c r="Y44" s="19">
        <v>5715</v>
      </c>
      <c r="Z44" s="37">
        <f t="shared" si="5"/>
        <v>195.95405451740098</v>
      </c>
      <c r="AA44" s="13">
        <f t="shared" si="11"/>
        <v>5</v>
      </c>
      <c r="AB44" s="12"/>
    </row>
    <row r="45" spans="1:28" x14ac:dyDescent="0.35">
      <c r="A45" s="12"/>
      <c r="B45" s="12" t="s">
        <v>49</v>
      </c>
      <c r="C45" s="21">
        <v>2320200</v>
      </c>
      <c r="D45" s="12"/>
      <c r="E45" s="21">
        <v>6151</v>
      </c>
      <c r="F45" s="46">
        <f t="shared" si="0"/>
        <v>265.10645633997069</v>
      </c>
      <c r="G45" s="12">
        <f t="shared" si="6"/>
        <v>1</v>
      </c>
      <c r="H45" s="12"/>
      <c r="I45" s="21">
        <v>452</v>
      </c>
      <c r="J45" s="46">
        <f t="shared" si="1"/>
        <v>19.481079217308853</v>
      </c>
      <c r="K45" s="12">
        <f t="shared" si="7"/>
        <v>3</v>
      </c>
      <c r="L45" s="12"/>
      <c r="M45" s="21">
        <v>942</v>
      </c>
      <c r="N45" s="46">
        <f t="shared" si="2"/>
        <v>40.59994828032066</v>
      </c>
      <c r="O45" s="12">
        <f t="shared" si="8"/>
        <v>2</v>
      </c>
      <c r="P45" s="12"/>
      <c r="Q45" s="21">
        <v>830</v>
      </c>
      <c r="R45" s="46">
        <f t="shared" si="3"/>
        <v>35.772778208775108</v>
      </c>
      <c r="S45" s="12">
        <f t="shared" si="9"/>
        <v>1</v>
      </c>
      <c r="T45" s="12"/>
      <c r="U45" s="21">
        <v>180</v>
      </c>
      <c r="V45" s="47">
        <f t="shared" si="4"/>
        <v>7.7579519006982149</v>
      </c>
      <c r="W45" s="12">
        <f t="shared" si="10"/>
        <v>1</v>
      </c>
      <c r="X45" s="12"/>
      <c r="Y45" s="19">
        <v>8217</v>
      </c>
      <c r="Z45" s="37">
        <f t="shared" si="5"/>
        <v>354.15050426687355</v>
      </c>
      <c r="AA45" s="13">
        <f t="shared" si="11"/>
        <v>1</v>
      </c>
      <c r="AB45" s="12"/>
    </row>
    <row r="46" spans="1:28" x14ac:dyDescent="0.35">
      <c r="A46" s="12"/>
      <c r="B46" s="12" t="s">
        <v>50</v>
      </c>
      <c r="C46" s="21">
        <v>720100</v>
      </c>
      <c r="D46" s="12"/>
      <c r="E46" s="21">
        <v>487</v>
      </c>
      <c r="F46" s="46">
        <f t="shared" si="0"/>
        <v>67.629495903346751</v>
      </c>
      <c r="G46" s="12">
        <f t="shared" si="6"/>
        <v>34</v>
      </c>
      <c r="H46" s="12"/>
      <c r="I46" s="21">
        <v>26</v>
      </c>
      <c r="J46" s="46">
        <f t="shared" si="1"/>
        <v>3.6106096375503398</v>
      </c>
      <c r="K46" s="12">
        <f t="shared" si="7"/>
        <v>38</v>
      </c>
      <c r="L46" s="12"/>
      <c r="M46" s="21">
        <v>102</v>
      </c>
      <c r="N46" s="46">
        <f t="shared" si="2"/>
        <v>14.164699347312874</v>
      </c>
      <c r="O46" s="12">
        <f t="shared" si="8"/>
        <v>36</v>
      </c>
      <c r="P46" s="12"/>
      <c r="Q46" s="21">
        <v>70</v>
      </c>
      <c r="R46" s="46">
        <f t="shared" si="3"/>
        <v>9.7208721010970702</v>
      </c>
      <c r="S46" s="12">
        <f t="shared" si="9"/>
        <v>31</v>
      </c>
      <c r="T46" s="12"/>
      <c r="U46" s="21">
        <v>26</v>
      </c>
      <c r="V46" s="47">
        <f t="shared" si="4"/>
        <v>3.6106096375503398</v>
      </c>
      <c r="W46" s="12">
        <f t="shared" si="10"/>
        <v>22</v>
      </c>
      <c r="X46" s="12"/>
      <c r="Y46" s="19">
        <v>679</v>
      </c>
      <c r="Z46" s="37">
        <f t="shared" si="5"/>
        <v>94.292459380641574</v>
      </c>
      <c r="AA46" s="13">
        <f t="shared" si="11"/>
        <v>36</v>
      </c>
      <c r="AB46" s="12"/>
    </row>
    <row r="47" spans="1:28" ht="4.5" customHeight="1" x14ac:dyDescent="0.3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row>
    <row r="48" spans="1:28" x14ac:dyDescent="0.35">
      <c r="B48" s="31" t="s">
        <v>69</v>
      </c>
      <c r="C48" s="29"/>
      <c r="D48" s="29"/>
      <c r="E48" s="29"/>
      <c r="F48" s="29"/>
      <c r="G48" s="29"/>
      <c r="H48" s="29"/>
      <c r="I48" s="29"/>
      <c r="J48" s="29"/>
      <c r="K48" s="29"/>
      <c r="L48" s="29"/>
      <c r="M48" s="29"/>
      <c r="N48" s="29"/>
      <c r="O48" s="29"/>
    </row>
    <row r="49" spans="2:15" x14ac:dyDescent="0.35">
      <c r="B49" s="29" t="s">
        <v>147</v>
      </c>
      <c r="C49" s="29"/>
      <c r="D49" s="29"/>
      <c r="E49" s="29"/>
      <c r="F49" s="29"/>
      <c r="G49" s="29"/>
      <c r="H49" s="29"/>
      <c r="I49" s="29"/>
      <c r="J49" s="29"/>
      <c r="K49" s="29"/>
      <c r="L49" s="29"/>
      <c r="M49" s="29"/>
      <c r="N49" s="29"/>
      <c r="O49" s="29"/>
    </row>
    <row r="50" spans="2:15" x14ac:dyDescent="0.35">
      <c r="B50" s="29" t="s">
        <v>172</v>
      </c>
      <c r="C50" s="29"/>
      <c r="D50" s="29"/>
      <c r="E50" s="29"/>
      <c r="F50" s="29"/>
      <c r="G50" s="29"/>
      <c r="H50" s="29"/>
      <c r="I50" s="29"/>
      <c r="J50" s="29"/>
      <c r="K50" s="29"/>
      <c r="L50" s="29"/>
      <c r="M50" s="29"/>
      <c r="N50" s="29"/>
      <c r="O50" s="29"/>
    </row>
    <row r="51" spans="2:15" x14ac:dyDescent="0.35">
      <c r="B51" s="29" t="s">
        <v>162</v>
      </c>
      <c r="C51" s="29"/>
      <c r="D51" s="29"/>
      <c r="E51" s="29"/>
      <c r="F51" s="29"/>
      <c r="G51" s="29"/>
      <c r="H51" s="29"/>
      <c r="I51" s="29"/>
      <c r="J51" s="29"/>
      <c r="K51" s="29"/>
      <c r="L51" s="29"/>
      <c r="M51" s="29"/>
      <c r="N51" s="29"/>
      <c r="O51" s="29"/>
    </row>
    <row r="52" spans="2:15" x14ac:dyDescent="0.35">
      <c r="L52" s="29"/>
      <c r="M52" s="29"/>
      <c r="N52" s="29"/>
      <c r="O52" s="29"/>
    </row>
    <row r="53" spans="2:15" x14ac:dyDescent="0.35">
      <c r="B53" s="4" t="s">
        <v>70</v>
      </c>
    </row>
    <row r="54" spans="2:15" x14ac:dyDescent="0.35">
      <c r="B54" s="30" t="s">
        <v>74</v>
      </c>
    </row>
    <row r="55" spans="2:15" x14ac:dyDescent="0.35">
      <c r="B55" s="29" t="s">
        <v>182</v>
      </c>
    </row>
    <row r="56" spans="2:15" x14ac:dyDescent="0.35">
      <c r="B56" s="30" t="s">
        <v>75</v>
      </c>
    </row>
  </sheetData>
  <mergeCells count="6">
    <mergeCell ref="Y2:AA2"/>
    <mergeCell ref="E2:G2"/>
    <mergeCell ref="I2:K2"/>
    <mergeCell ref="M2:O2"/>
    <mergeCell ref="Q2:S2"/>
    <mergeCell ref="U2:W2"/>
  </mergeCells>
  <hyperlinks>
    <hyperlink ref="B54" r:id="rId1" xr:uid="{96F1E25A-C513-47C5-A37A-D481C45F30CE}"/>
    <hyperlink ref="B56" r:id="rId2" xr:uid="{10268B81-C60D-4DCC-A304-0056D2C46EB0}"/>
  </hyperlinks>
  <pageMargins left="0.7" right="0.7" top="0.75" bottom="0.75" header="0.3" footer="0.3"/>
  <pageSetup paperSize="9" orientation="portrait" horizontalDpi="1200" verticalDpi="12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autoPageBreaks="0"/>
  </sheetPr>
  <dimension ref="A1:I131"/>
  <sheetViews>
    <sheetView showGridLines="0" workbookViewId="0">
      <pane xSplit="1" ySplit="4" topLeftCell="B5" activePane="bottomRight" state="frozen"/>
      <selection pane="topRight" activeCell="B1" sqref="B1"/>
      <selection pane="bottomLeft" activeCell="A4" sqref="A4"/>
      <selection pane="bottomRight" activeCell="D15" sqref="D15"/>
    </sheetView>
  </sheetViews>
  <sheetFormatPr defaultRowHeight="15" x14ac:dyDescent="0.35"/>
  <cols>
    <col min="1" max="1" width="1.3984375" customWidth="1"/>
    <col min="4" max="5" width="8.8984375" customWidth="1"/>
    <col min="6" max="6" width="1.3984375" customWidth="1"/>
  </cols>
  <sheetData>
    <row r="1" spans="1:6" ht="6" customHeight="1" x14ac:dyDescent="0.35">
      <c r="A1" s="16"/>
      <c r="B1" s="16"/>
      <c r="C1" s="16"/>
      <c r="D1" s="16"/>
      <c r="E1" s="16"/>
      <c r="F1" s="16"/>
    </row>
    <row r="2" spans="1:6" ht="76.5" customHeight="1" x14ac:dyDescent="0.5">
      <c r="A2" s="39"/>
      <c r="B2" s="159" t="s">
        <v>216</v>
      </c>
      <c r="C2" s="159"/>
      <c r="D2" s="159"/>
      <c r="E2" s="89"/>
      <c r="F2" s="39"/>
    </row>
    <row r="3" spans="1:6" ht="15" customHeight="1" x14ac:dyDescent="0.5">
      <c r="A3" s="39"/>
      <c r="B3" s="137" t="s">
        <v>301</v>
      </c>
      <c r="C3" s="48"/>
      <c r="D3" s="48"/>
      <c r="E3" s="48"/>
      <c r="F3" s="39"/>
    </row>
    <row r="4" spans="1:6" ht="81" customHeight="1" x14ac:dyDescent="0.35">
      <c r="A4" s="50"/>
      <c r="B4" s="73" t="s">
        <v>82</v>
      </c>
      <c r="C4" s="73" t="s">
        <v>81</v>
      </c>
      <c r="D4" s="68" t="s">
        <v>127</v>
      </c>
      <c r="E4" s="68" t="s">
        <v>208</v>
      </c>
      <c r="F4" s="50"/>
    </row>
    <row r="5" spans="1:6" ht="18" customHeight="1" x14ac:dyDescent="0.35">
      <c r="A5" s="50"/>
      <c r="B5" s="79">
        <v>42095</v>
      </c>
      <c r="C5" s="101">
        <v>3520</v>
      </c>
      <c r="D5" s="56"/>
      <c r="E5" s="56"/>
      <c r="F5" s="50"/>
    </row>
    <row r="6" spans="1:6" x14ac:dyDescent="0.35">
      <c r="A6" s="50"/>
      <c r="B6" s="79">
        <v>42125</v>
      </c>
      <c r="C6" s="101">
        <v>3523</v>
      </c>
      <c r="D6" s="166">
        <f>C6/C5-1</f>
        <v>8.5227272727261827E-4</v>
      </c>
      <c r="E6" s="80"/>
      <c r="F6" s="50"/>
    </row>
    <row r="7" spans="1:6" x14ac:dyDescent="0.35">
      <c r="A7" s="50"/>
      <c r="B7" s="79">
        <v>42156</v>
      </c>
      <c r="C7" s="101">
        <v>3614</v>
      </c>
      <c r="D7" s="80">
        <f t="shared" ref="D7:D70" si="0">C7/C6-1</f>
        <v>2.583025830258312E-2</v>
      </c>
      <c r="E7" s="80"/>
      <c r="F7" s="50"/>
    </row>
    <row r="8" spans="1:6" x14ac:dyDescent="0.35">
      <c r="A8" s="50"/>
      <c r="B8" s="79">
        <v>42186</v>
      </c>
      <c r="C8" s="102">
        <v>3907</v>
      </c>
      <c r="D8" s="80">
        <f t="shared" si="0"/>
        <v>8.1073602656336563E-2</v>
      </c>
      <c r="E8" s="80"/>
      <c r="F8" s="50"/>
    </row>
    <row r="9" spans="1:6" x14ac:dyDescent="0.35">
      <c r="A9" s="50"/>
      <c r="B9" s="79">
        <v>42217</v>
      </c>
      <c r="C9" s="102">
        <v>3598</v>
      </c>
      <c r="D9" s="80">
        <f t="shared" si="0"/>
        <v>-7.9088814947530062E-2</v>
      </c>
      <c r="E9" s="80"/>
      <c r="F9" s="50"/>
    </row>
    <row r="10" spans="1:6" x14ac:dyDescent="0.35">
      <c r="A10" s="50"/>
      <c r="B10" s="79">
        <v>42248</v>
      </c>
      <c r="C10" s="102">
        <v>3335</v>
      </c>
      <c r="D10" s="80">
        <f t="shared" si="0"/>
        <v>-7.3096164535853214E-2</v>
      </c>
      <c r="E10" s="80"/>
      <c r="F10" s="50"/>
    </row>
    <row r="11" spans="1:6" x14ac:dyDescent="0.35">
      <c r="A11" s="50"/>
      <c r="B11" s="79">
        <v>42278</v>
      </c>
      <c r="C11" s="102">
        <v>3591</v>
      </c>
      <c r="D11" s="80">
        <f t="shared" si="0"/>
        <v>7.6761619190404806E-2</v>
      </c>
      <c r="E11" s="80"/>
      <c r="F11" s="50"/>
    </row>
    <row r="12" spans="1:6" x14ac:dyDescent="0.35">
      <c r="A12" s="50"/>
      <c r="B12" s="79">
        <v>42309</v>
      </c>
      <c r="C12" s="102">
        <v>3615</v>
      </c>
      <c r="D12" s="80">
        <f t="shared" si="0"/>
        <v>6.6833751044277356E-3</v>
      </c>
      <c r="E12" s="80"/>
      <c r="F12" s="50"/>
    </row>
    <row r="13" spans="1:6" x14ac:dyDescent="0.35">
      <c r="A13" s="50"/>
      <c r="B13" s="79">
        <v>42339</v>
      </c>
      <c r="C13" s="102">
        <v>3488</v>
      </c>
      <c r="D13" s="80">
        <f t="shared" si="0"/>
        <v>-3.5131396957123084E-2</v>
      </c>
      <c r="E13" s="80"/>
      <c r="F13" s="50"/>
    </row>
    <row r="14" spans="1:6" x14ac:dyDescent="0.35">
      <c r="A14" s="50"/>
      <c r="B14" s="79">
        <v>42370</v>
      </c>
      <c r="C14" s="102">
        <v>3090</v>
      </c>
      <c r="D14" s="80">
        <f t="shared" si="0"/>
        <v>-0.11410550458715596</v>
      </c>
      <c r="E14" s="80"/>
      <c r="F14" s="50"/>
    </row>
    <row r="15" spans="1:6" x14ac:dyDescent="0.35">
      <c r="A15" s="50"/>
      <c r="B15" s="79">
        <v>42401</v>
      </c>
      <c r="C15" s="102">
        <v>3092</v>
      </c>
      <c r="D15" s="166">
        <f t="shared" si="0"/>
        <v>6.4724919093861466E-4</v>
      </c>
      <c r="E15" s="80"/>
      <c r="F15" s="50"/>
    </row>
    <row r="16" spans="1:6" x14ac:dyDescent="0.35">
      <c r="A16" s="50"/>
      <c r="B16" s="79">
        <v>42430</v>
      </c>
      <c r="C16" s="102">
        <v>3488</v>
      </c>
      <c r="D16" s="80">
        <f t="shared" si="0"/>
        <v>0.12807244501940485</v>
      </c>
      <c r="E16" s="80"/>
      <c r="F16" s="50"/>
    </row>
    <row r="17" spans="1:8" x14ac:dyDescent="0.35">
      <c r="A17" s="50"/>
      <c r="B17" s="79">
        <v>42461</v>
      </c>
      <c r="C17" s="102">
        <v>3415</v>
      </c>
      <c r="D17" s="80">
        <f t="shared" si="0"/>
        <v>-2.0928899082568786E-2</v>
      </c>
      <c r="E17" s="80">
        <f>C17/C5-1</f>
        <v>-2.9829545454545414E-2</v>
      </c>
      <c r="F17" s="50"/>
    </row>
    <row r="18" spans="1:8" x14ac:dyDescent="0.35">
      <c r="A18" s="50"/>
      <c r="B18" s="79">
        <v>42491</v>
      </c>
      <c r="C18" s="102">
        <v>3839</v>
      </c>
      <c r="D18" s="80">
        <f t="shared" si="0"/>
        <v>0.12415812591508057</v>
      </c>
      <c r="E18" s="80">
        <f t="shared" ref="E18:E76" si="1">C18/C6-1</f>
        <v>8.969628157820031E-2</v>
      </c>
      <c r="F18" s="50"/>
    </row>
    <row r="19" spans="1:8" x14ac:dyDescent="0.35">
      <c r="A19" s="50"/>
      <c r="B19" s="79">
        <v>42522</v>
      </c>
      <c r="C19" s="102">
        <v>4270</v>
      </c>
      <c r="D19" s="80">
        <f t="shared" si="0"/>
        <v>0.11226882000520977</v>
      </c>
      <c r="E19" s="80">
        <f t="shared" si="1"/>
        <v>0.18151632540121754</v>
      </c>
      <c r="F19" s="50"/>
    </row>
    <row r="20" spans="1:8" x14ac:dyDescent="0.35">
      <c r="A20" s="50"/>
      <c r="B20" s="79">
        <v>42552</v>
      </c>
      <c r="C20" s="102">
        <v>5669</v>
      </c>
      <c r="D20" s="80">
        <f t="shared" si="0"/>
        <v>0.32763466042154565</v>
      </c>
      <c r="E20" s="80">
        <f t="shared" si="1"/>
        <v>0.4509854108011262</v>
      </c>
      <c r="F20" s="50"/>
    </row>
    <row r="21" spans="1:8" ht="14.4" customHeight="1" x14ac:dyDescent="0.35">
      <c r="A21" s="50"/>
      <c r="B21" s="79">
        <v>42583</v>
      </c>
      <c r="C21" s="102">
        <v>4564</v>
      </c>
      <c r="D21" s="80">
        <f t="shared" si="0"/>
        <v>-0.19491973893102843</v>
      </c>
      <c r="E21" s="80">
        <f t="shared" si="1"/>
        <v>0.26848249027237348</v>
      </c>
      <c r="F21" s="50"/>
    </row>
    <row r="22" spans="1:8" ht="13.5" customHeight="1" x14ac:dyDescent="0.35">
      <c r="A22" s="50"/>
      <c r="B22" s="79">
        <v>42614</v>
      </c>
      <c r="C22" s="102">
        <v>4368</v>
      </c>
      <c r="D22" s="80">
        <f t="shared" si="0"/>
        <v>-4.2944785276073594E-2</v>
      </c>
      <c r="E22" s="80">
        <f t="shared" si="1"/>
        <v>0.30974512743628191</v>
      </c>
      <c r="F22" s="50"/>
      <c r="H22" s="29"/>
    </row>
    <row r="23" spans="1:8" ht="16.95" customHeight="1" x14ac:dyDescent="0.35">
      <c r="A23" s="50"/>
      <c r="B23" s="79">
        <v>42644</v>
      </c>
      <c r="C23" s="102">
        <v>4124</v>
      </c>
      <c r="D23" s="80">
        <f t="shared" si="0"/>
        <v>-5.5860805860805884E-2</v>
      </c>
      <c r="E23" s="80">
        <f t="shared" si="1"/>
        <v>0.14842662211083257</v>
      </c>
      <c r="F23" s="50"/>
      <c r="H23" s="29"/>
    </row>
    <row r="24" spans="1:8" x14ac:dyDescent="0.35">
      <c r="A24" s="50"/>
      <c r="B24" s="79">
        <v>42675</v>
      </c>
      <c r="C24" s="102">
        <v>3768</v>
      </c>
      <c r="D24" s="80">
        <f t="shared" si="0"/>
        <v>-8.6323957322987366E-2</v>
      </c>
      <c r="E24" s="80">
        <f t="shared" si="1"/>
        <v>4.2323651452282229E-2</v>
      </c>
      <c r="F24" s="50"/>
    </row>
    <row r="25" spans="1:8" x14ac:dyDescent="0.35">
      <c r="A25" s="50"/>
      <c r="B25" s="79">
        <v>42705</v>
      </c>
      <c r="C25" s="102">
        <v>3770</v>
      </c>
      <c r="D25" s="85">
        <f t="shared" si="0"/>
        <v>5.3078556263264076E-4</v>
      </c>
      <c r="E25" s="80">
        <f t="shared" si="1"/>
        <v>8.0848623853210899E-2</v>
      </c>
      <c r="F25" s="50"/>
    </row>
    <row r="26" spans="1:8" x14ac:dyDescent="0.35">
      <c r="A26" s="50"/>
      <c r="B26" s="79">
        <v>42736</v>
      </c>
      <c r="C26" s="102">
        <v>3436</v>
      </c>
      <c r="D26" s="80">
        <f t="shared" si="0"/>
        <v>-8.8594164456233471E-2</v>
      </c>
      <c r="E26" s="80">
        <f t="shared" si="1"/>
        <v>0.11197411003236235</v>
      </c>
      <c r="F26" s="50"/>
    </row>
    <row r="27" spans="1:8" x14ac:dyDescent="0.35">
      <c r="A27" s="50"/>
      <c r="B27" s="79">
        <v>42767</v>
      </c>
      <c r="C27" s="102">
        <v>3588</v>
      </c>
      <c r="D27" s="80">
        <f t="shared" si="0"/>
        <v>4.4237485448195502E-2</v>
      </c>
      <c r="E27" s="80">
        <f t="shared" si="1"/>
        <v>0.16041397153945658</v>
      </c>
      <c r="F27" s="50"/>
    </row>
    <row r="28" spans="1:8" x14ac:dyDescent="0.35">
      <c r="A28" s="50"/>
      <c r="B28" s="79">
        <v>42795</v>
      </c>
      <c r="C28" s="102">
        <v>4435</v>
      </c>
      <c r="D28" s="80">
        <f t="shared" si="0"/>
        <v>0.23606465997770343</v>
      </c>
      <c r="E28" s="80">
        <f t="shared" si="1"/>
        <v>0.27150229357798161</v>
      </c>
      <c r="F28" s="50"/>
    </row>
    <row r="29" spans="1:8" x14ac:dyDescent="0.35">
      <c r="A29" s="50"/>
      <c r="B29" s="79">
        <v>42826</v>
      </c>
      <c r="C29" s="102">
        <v>4381</v>
      </c>
      <c r="D29" s="80">
        <f t="shared" si="0"/>
        <v>-1.2175873731679832E-2</v>
      </c>
      <c r="E29" s="80">
        <f t="shared" si="1"/>
        <v>0.28286969253294281</v>
      </c>
      <c r="F29" s="50"/>
    </row>
    <row r="30" spans="1:8" x14ac:dyDescent="0.35">
      <c r="A30" s="50"/>
      <c r="B30" s="79">
        <v>42856</v>
      </c>
      <c r="C30" s="102">
        <v>5122</v>
      </c>
      <c r="D30" s="80">
        <f t="shared" si="0"/>
        <v>0.16913946587537088</v>
      </c>
      <c r="E30" s="80">
        <f t="shared" si="1"/>
        <v>0.33420161500390733</v>
      </c>
      <c r="F30" s="50"/>
    </row>
    <row r="31" spans="1:8" x14ac:dyDescent="0.35">
      <c r="A31" s="50"/>
      <c r="B31" s="79">
        <v>42887</v>
      </c>
      <c r="C31" s="102">
        <v>6149</v>
      </c>
      <c r="D31" s="80">
        <f t="shared" si="0"/>
        <v>0.20050761421319807</v>
      </c>
      <c r="E31" s="80">
        <f t="shared" si="1"/>
        <v>0.44004683840749426</v>
      </c>
      <c r="F31" s="50"/>
    </row>
    <row r="32" spans="1:8" x14ac:dyDescent="0.35">
      <c r="A32" s="50"/>
      <c r="B32" s="79">
        <v>42917</v>
      </c>
      <c r="C32" s="102">
        <v>5585</v>
      </c>
      <c r="D32" s="80">
        <f t="shared" si="0"/>
        <v>-9.1722231257114983E-2</v>
      </c>
      <c r="E32" s="80">
        <f t="shared" si="1"/>
        <v>-1.481742811783382E-2</v>
      </c>
      <c r="F32" s="50"/>
    </row>
    <row r="33" spans="1:6" x14ac:dyDescent="0.35">
      <c r="A33" s="50"/>
      <c r="B33" s="79">
        <v>42948</v>
      </c>
      <c r="C33" s="102">
        <v>4945</v>
      </c>
      <c r="D33" s="80">
        <f t="shared" si="0"/>
        <v>-0.11459265890778869</v>
      </c>
      <c r="E33" s="80">
        <f t="shared" si="1"/>
        <v>8.3479404031551185E-2</v>
      </c>
      <c r="F33" s="50"/>
    </row>
    <row r="34" spans="1:6" x14ac:dyDescent="0.35">
      <c r="A34" s="50"/>
      <c r="B34" s="79">
        <v>42979</v>
      </c>
      <c r="C34" s="102">
        <v>4530</v>
      </c>
      <c r="D34" s="80">
        <f t="shared" si="0"/>
        <v>-8.3923154701718961E-2</v>
      </c>
      <c r="E34" s="80">
        <f t="shared" si="1"/>
        <v>3.7087912087912178E-2</v>
      </c>
      <c r="F34" s="50"/>
    </row>
    <row r="35" spans="1:6" x14ac:dyDescent="0.35">
      <c r="A35" s="50"/>
      <c r="B35" s="79">
        <v>43009</v>
      </c>
      <c r="C35" s="102">
        <v>4692</v>
      </c>
      <c r="D35" s="80">
        <f t="shared" si="0"/>
        <v>3.5761589403973559E-2</v>
      </c>
      <c r="E35" s="80">
        <f t="shared" si="1"/>
        <v>0.13773035887487883</v>
      </c>
      <c r="F35" s="50"/>
    </row>
    <row r="36" spans="1:6" x14ac:dyDescent="0.35">
      <c r="A36" s="50"/>
      <c r="B36" s="79">
        <v>43040</v>
      </c>
      <c r="C36" s="102">
        <v>4273</v>
      </c>
      <c r="D36" s="80">
        <f t="shared" si="0"/>
        <v>-8.9300937766410904E-2</v>
      </c>
      <c r="E36" s="80">
        <f t="shared" si="1"/>
        <v>0.13402335456475578</v>
      </c>
      <c r="F36" s="50"/>
    </row>
    <row r="37" spans="1:6" x14ac:dyDescent="0.35">
      <c r="A37" s="50"/>
      <c r="B37" s="79">
        <v>43070</v>
      </c>
      <c r="C37" s="102">
        <v>4066</v>
      </c>
      <c r="D37" s="80">
        <f t="shared" si="0"/>
        <v>-4.8443716358530287E-2</v>
      </c>
      <c r="E37" s="80">
        <f t="shared" si="1"/>
        <v>7.8514588859416534E-2</v>
      </c>
      <c r="F37" s="50"/>
    </row>
    <row r="38" spans="1:6" x14ac:dyDescent="0.35">
      <c r="A38" s="50"/>
      <c r="B38" s="79">
        <v>43101</v>
      </c>
      <c r="C38" s="102">
        <v>4029</v>
      </c>
      <c r="D38" s="80">
        <f t="shared" si="0"/>
        <v>-9.0998524348253618E-3</v>
      </c>
      <c r="E38" s="80">
        <f t="shared" si="1"/>
        <v>0.17258440046565782</v>
      </c>
      <c r="F38" s="50"/>
    </row>
    <row r="39" spans="1:6" x14ac:dyDescent="0.35">
      <c r="A39" s="50"/>
      <c r="B39" s="79">
        <v>43132</v>
      </c>
      <c r="C39" s="102">
        <v>3806</v>
      </c>
      <c r="D39" s="80">
        <f t="shared" si="0"/>
        <v>-5.5348721767187858E-2</v>
      </c>
      <c r="E39" s="80">
        <f t="shared" si="1"/>
        <v>6.0758082497212929E-2</v>
      </c>
      <c r="F39" s="50"/>
    </row>
    <row r="40" spans="1:6" x14ac:dyDescent="0.35">
      <c r="A40" s="50"/>
      <c r="B40" s="79">
        <v>43160</v>
      </c>
      <c r="C40" s="102">
        <v>4784</v>
      </c>
      <c r="D40" s="80">
        <f t="shared" si="0"/>
        <v>0.25696269048870213</v>
      </c>
      <c r="E40" s="80">
        <f t="shared" si="1"/>
        <v>7.8692220969560411E-2</v>
      </c>
      <c r="F40" s="50"/>
    </row>
    <row r="41" spans="1:6" x14ac:dyDescent="0.35">
      <c r="A41" s="50"/>
      <c r="B41" s="79">
        <v>43191</v>
      </c>
      <c r="C41" s="102">
        <v>4891</v>
      </c>
      <c r="D41" s="80">
        <f t="shared" si="0"/>
        <v>2.236622073578598E-2</v>
      </c>
      <c r="E41" s="80">
        <f t="shared" si="1"/>
        <v>0.11641177813284642</v>
      </c>
      <c r="F41" s="50"/>
    </row>
    <row r="42" spans="1:6" x14ac:dyDescent="0.35">
      <c r="A42" s="50"/>
      <c r="B42" s="79">
        <v>43221</v>
      </c>
      <c r="C42" s="102">
        <v>5578</v>
      </c>
      <c r="D42" s="80">
        <f t="shared" si="0"/>
        <v>0.14046207319566562</v>
      </c>
      <c r="E42" s="80">
        <f t="shared" si="1"/>
        <v>8.9027723545489934E-2</v>
      </c>
      <c r="F42" s="50"/>
    </row>
    <row r="43" spans="1:6" x14ac:dyDescent="0.35">
      <c r="A43" s="50"/>
      <c r="B43" s="79">
        <v>43252</v>
      </c>
      <c r="C43" s="102">
        <v>5748</v>
      </c>
      <c r="D43" s="80">
        <f t="shared" si="0"/>
        <v>3.0476873431337426E-2</v>
      </c>
      <c r="E43" s="80">
        <f t="shared" si="1"/>
        <v>-6.5213855911530283E-2</v>
      </c>
      <c r="F43" s="50"/>
    </row>
    <row r="44" spans="1:6" x14ac:dyDescent="0.35">
      <c r="A44" s="50"/>
      <c r="B44" s="79">
        <v>43282</v>
      </c>
      <c r="C44" s="102">
        <v>6143</v>
      </c>
      <c r="D44" s="80">
        <f t="shared" si="0"/>
        <v>6.8719554627696633E-2</v>
      </c>
      <c r="E44" s="80">
        <f t="shared" si="1"/>
        <v>9.9910474485228384E-2</v>
      </c>
      <c r="F44" s="50"/>
    </row>
    <row r="45" spans="1:6" x14ac:dyDescent="0.35">
      <c r="A45" s="50"/>
      <c r="B45" s="79">
        <v>43313</v>
      </c>
      <c r="C45" s="102">
        <v>5108</v>
      </c>
      <c r="D45" s="80">
        <f t="shared" si="0"/>
        <v>-0.16848445384991051</v>
      </c>
      <c r="E45" s="80">
        <f t="shared" si="1"/>
        <v>3.2962588473205212E-2</v>
      </c>
      <c r="F45" s="50"/>
    </row>
    <row r="46" spans="1:6" x14ac:dyDescent="0.35">
      <c r="A46" s="50"/>
      <c r="B46" s="79">
        <v>43344</v>
      </c>
      <c r="C46" s="102">
        <v>4844</v>
      </c>
      <c r="D46" s="80">
        <f t="shared" si="0"/>
        <v>-5.1683633516053207E-2</v>
      </c>
      <c r="E46" s="80">
        <f t="shared" si="1"/>
        <v>6.9315673289183311E-2</v>
      </c>
      <c r="F46" s="50"/>
    </row>
    <row r="47" spans="1:6" x14ac:dyDescent="0.35">
      <c r="A47" s="50"/>
      <c r="B47" s="79">
        <v>43374</v>
      </c>
      <c r="C47" s="102">
        <v>5106</v>
      </c>
      <c r="D47" s="80">
        <f t="shared" si="0"/>
        <v>5.4087530966143715E-2</v>
      </c>
      <c r="E47" s="80">
        <f t="shared" si="1"/>
        <v>8.8235294117646967E-2</v>
      </c>
      <c r="F47" s="50"/>
    </row>
    <row r="48" spans="1:6" x14ac:dyDescent="0.35">
      <c r="A48" s="50"/>
      <c r="B48" s="79">
        <v>43405</v>
      </c>
      <c r="C48" s="102">
        <v>4755</v>
      </c>
      <c r="D48" s="80">
        <f t="shared" si="0"/>
        <v>-6.874265569917748E-2</v>
      </c>
      <c r="E48" s="80">
        <f t="shared" si="1"/>
        <v>0.11280131055464548</v>
      </c>
      <c r="F48" s="50"/>
    </row>
    <row r="49" spans="1:6" x14ac:dyDescent="0.35">
      <c r="A49" s="50"/>
      <c r="B49" s="79">
        <v>43435</v>
      </c>
      <c r="C49" s="102">
        <v>4688</v>
      </c>
      <c r="D49" s="80">
        <f t="shared" si="0"/>
        <v>-1.409043112513142E-2</v>
      </c>
      <c r="E49" s="80">
        <f t="shared" si="1"/>
        <v>0.15297589768814568</v>
      </c>
      <c r="F49" s="50"/>
    </row>
    <row r="50" spans="1:6" x14ac:dyDescent="0.35">
      <c r="A50" s="50"/>
      <c r="B50" s="79">
        <v>43466</v>
      </c>
      <c r="C50" s="102">
        <v>4271</v>
      </c>
      <c r="D50" s="80">
        <f t="shared" si="0"/>
        <v>-8.8950511945392496E-2</v>
      </c>
      <c r="E50" s="80">
        <f t="shared" si="1"/>
        <v>6.0064532141970606E-2</v>
      </c>
      <c r="F50" s="50"/>
    </row>
    <row r="51" spans="1:6" x14ac:dyDescent="0.35">
      <c r="A51" s="50"/>
      <c r="B51" s="79">
        <v>43497</v>
      </c>
      <c r="C51" s="102">
        <v>4526</v>
      </c>
      <c r="D51" s="80">
        <f t="shared" si="0"/>
        <v>5.9704987122453756E-2</v>
      </c>
      <c r="E51" s="80">
        <f t="shared" si="1"/>
        <v>0.18917498686284806</v>
      </c>
      <c r="F51" s="50"/>
    </row>
    <row r="52" spans="1:6" x14ac:dyDescent="0.35">
      <c r="A52" s="50"/>
      <c r="B52" s="79">
        <v>43525</v>
      </c>
      <c r="C52" s="102">
        <v>5538</v>
      </c>
      <c r="D52" s="80">
        <f t="shared" si="0"/>
        <v>0.22359699513919584</v>
      </c>
      <c r="E52" s="80">
        <f t="shared" si="1"/>
        <v>0.15760869565217384</v>
      </c>
      <c r="F52" s="50"/>
    </row>
    <row r="53" spans="1:6" ht="16.5" customHeight="1" x14ac:dyDescent="0.35">
      <c r="A53" s="50"/>
      <c r="B53" s="79">
        <v>43556</v>
      </c>
      <c r="C53" s="102">
        <v>5377</v>
      </c>
      <c r="D53" s="80">
        <f t="shared" si="0"/>
        <v>-2.9071867100036064E-2</v>
      </c>
      <c r="E53" s="80">
        <f t="shared" si="1"/>
        <v>9.9366182784706547E-2</v>
      </c>
      <c r="F53" s="50"/>
    </row>
    <row r="54" spans="1:6" x14ac:dyDescent="0.35">
      <c r="A54" s="77"/>
      <c r="B54" s="79">
        <v>43586</v>
      </c>
      <c r="C54" s="102">
        <v>5506</v>
      </c>
      <c r="D54" s="80">
        <f t="shared" si="0"/>
        <v>2.3991073089083104E-2</v>
      </c>
      <c r="E54" s="80">
        <f t="shared" si="1"/>
        <v>-1.290785227680169E-2</v>
      </c>
      <c r="F54" s="52"/>
    </row>
    <row r="55" spans="1:6" ht="18" customHeight="1" x14ac:dyDescent="0.35">
      <c r="A55" s="78"/>
      <c r="B55" s="79">
        <v>43617</v>
      </c>
      <c r="C55" s="102">
        <v>5377</v>
      </c>
      <c r="D55" s="100">
        <f t="shared" si="0"/>
        <v>-2.3428986560116272E-2</v>
      </c>
      <c r="E55" s="80">
        <f t="shared" si="1"/>
        <v>-6.4544189283228914E-2</v>
      </c>
      <c r="F55" s="78"/>
    </row>
    <row r="56" spans="1:6" x14ac:dyDescent="0.35">
      <c r="A56" s="50"/>
      <c r="B56" s="79">
        <v>43647</v>
      </c>
      <c r="C56" s="102">
        <v>6174</v>
      </c>
      <c r="D56" s="80">
        <f t="shared" si="0"/>
        <v>0.14822391668216484</v>
      </c>
      <c r="E56" s="80">
        <f t="shared" si="1"/>
        <v>5.0463942699006115E-3</v>
      </c>
      <c r="F56" s="50"/>
    </row>
    <row r="57" spans="1:6" x14ac:dyDescent="0.35">
      <c r="A57" s="50"/>
      <c r="B57" s="79">
        <v>43678</v>
      </c>
      <c r="C57" s="102">
        <v>5610</v>
      </c>
      <c r="D57" s="80">
        <f t="shared" si="0"/>
        <v>-9.135082604470357E-2</v>
      </c>
      <c r="E57" s="80">
        <f t="shared" si="1"/>
        <v>9.8277212216131504E-2</v>
      </c>
      <c r="F57" s="50"/>
    </row>
    <row r="58" spans="1:6" x14ac:dyDescent="0.35">
      <c r="A58" s="50"/>
      <c r="B58" s="79">
        <v>43709</v>
      </c>
      <c r="C58" s="102">
        <v>5173</v>
      </c>
      <c r="D58" s="80">
        <f t="shared" si="0"/>
        <v>-7.7896613190730823E-2</v>
      </c>
      <c r="E58" s="80">
        <f t="shared" si="1"/>
        <v>6.7919075144508678E-2</v>
      </c>
      <c r="F58" s="50"/>
    </row>
    <row r="59" spans="1:6" x14ac:dyDescent="0.35">
      <c r="A59" s="50"/>
      <c r="B59" s="79">
        <v>43739</v>
      </c>
      <c r="C59" s="102">
        <v>5310</v>
      </c>
      <c r="D59" s="80">
        <f t="shared" si="0"/>
        <v>2.6483665184612315E-2</v>
      </c>
      <c r="E59" s="80">
        <f t="shared" si="1"/>
        <v>3.9952996474735603E-2</v>
      </c>
      <c r="F59" s="50"/>
    </row>
    <row r="60" spans="1:6" x14ac:dyDescent="0.35">
      <c r="A60" s="50"/>
      <c r="B60" s="79">
        <v>43770</v>
      </c>
      <c r="C60" s="102">
        <v>4903</v>
      </c>
      <c r="D60" s="80">
        <f t="shared" si="0"/>
        <v>-7.664783427495292E-2</v>
      </c>
      <c r="E60" s="80">
        <f t="shared" si="1"/>
        <v>3.1125131440588927E-2</v>
      </c>
      <c r="F60" s="50"/>
    </row>
    <row r="61" spans="1:6" x14ac:dyDescent="0.35">
      <c r="A61" s="50"/>
      <c r="B61" s="79">
        <v>43800</v>
      </c>
      <c r="C61" s="102">
        <v>4935</v>
      </c>
      <c r="D61" s="80">
        <f t="shared" si="0"/>
        <v>6.5266163573323155E-3</v>
      </c>
      <c r="E61" s="80">
        <f t="shared" si="1"/>
        <v>5.2687713310580309E-2</v>
      </c>
      <c r="F61" s="50"/>
    </row>
    <row r="62" spans="1:6" x14ac:dyDescent="0.35">
      <c r="A62" s="50"/>
      <c r="B62" s="79">
        <v>43831</v>
      </c>
      <c r="C62" s="71">
        <v>4740</v>
      </c>
      <c r="D62" s="80">
        <f t="shared" si="0"/>
        <v>-3.951367781155013E-2</v>
      </c>
      <c r="E62" s="80">
        <f t="shared" si="1"/>
        <v>0.10981034886443464</v>
      </c>
      <c r="F62" s="50"/>
    </row>
    <row r="63" spans="1:6" x14ac:dyDescent="0.35">
      <c r="A63" s="50"/>
      <c r="B63" s="79">
        <v>43862</v>
      </c>
      <c r="C63" s="71">
        <v>4963</v>
      </c>
      <c r="D63" s="80">
        <f t="shared" si="0"/>
        <v>4.7046413502109807E-2</v>
      </c>
      <c r="E63" s="80">
        <f t="shared" si="1"/>
        <v>9.655324790101627E-2</v>
      </c>
      <c r="F63" s="50"/>
    </row>
    <row r="64" spans="1:6" ht="14.25" customHeight="1" x14ac:dyDescent="0.35">
      <c r="A64" s="50"/>
      <c r="B64" s="79">
        <v>43891</v>
      </c>
      <c r="C64" s="71">
        <v>5073</v>
      </c>
      <c r="D64" s="80">
        <f t="shared" si="0"/>
        <v>2.2164013701390317E-2</v>
      </c>
      <c r="E64" s="80">
        <f t="shared" si="1"/>
        <v>-8.3965330444203734E-2</v>
      </c>
      <c r="F64" s="50"/>
    </row>
    <row r="65" spans="1:6" ht="14.25" customHeight="1" x14ac:dyDescent="0.35">
      <c r="A65" s="50"/>
      <c r="B65" s="79">
        <v>43922</v>
      </c>
      <c r="C65" s="71">
        <v>4012</v>
      </c>
      <c r="D65" s="80">
        <f t="shared" si="0"/>
        <v>-0.20914646165976736</v>
      </c>
      <c r="E65" s="80">
        <f t="shared" si="1"/>
        <v>-0.25385902919843784</v>
      </c>
      <c r="F65" s="50"/>
    </row>
    <row r="66" spans="1:6" ht="14.25" customHeight="1" x14ac:dyDescent="0.35">
      <c r="A66" s="50"/>
      <c r="B66" s="79">
        <v>43952</v>
      </c>
      <c r="C66" s="71">
        <v>5074</v>
      </c>
      <c r="D66" s="80">
        <f t="shared" si="0"/>
        <v>0.26470588235294112</v>
      </c>
      <c r="E66" s="80">
        <f t="shared" si="1"/>
        <v>-7.8459861968761313E-2</v>
      </c>
      <c r="F66" s="50"/>
    </row>
    <row r="67" spans="1:6" ht="14.25" customHeight="1" x14ac:dyDescent="0.35">
      <c r="A67" s="50"/>
      <c r="B67" s="79">
        <v>43983</v>
      </c>
      <c r="C67" s="71">
        <v>7208</v>
      </c>
      <c r="D67" s="80">
        <f t="shared" si="0"/>
        <v>0.42057548285376423</v>
      </c>
      <c r="E67" s="80">
        <f t="shared" si="1"/>
        <v>0.34052445601636605</v>
      </c>
      <c r="F67" s="50"/>
    </row>
    <row r="68" spans="1:6" ht="14.25" customHeight="1" x14ac:dyDescent="0.35">
      <c r="A68" s="50"/>
      <c r="B68" s="79">
        <v>44013</v>
      </c>
      <c r="C68" s="71">
        <v>7331</v>
      </c>
      <c r="D68" s="80">
        <f t="shared" si="0"/>
        <v>1.7064372918978998E-2</v>
      </c>
      <c r="E68" s="80">
        <f t="shared" si="1"/>
        <v>0.18739876903142205</v>
      </c>
      <c r="F68" s="50"/>
    </row>
    <row r="69" spans="1:6" ht="14.25" customHeight="1" x14ac:dyDescent="0.35">
      <c r="A69" s="50"/>
      <c r="B69" s="79">
        <v>44044</v>
      </c>
      <c r="C69" s="71">
        <v>7175</v>
      </c>
      <c r="D69" s="80">
        <f t="shared" si="0"/>
        <v>-2.1279498022097942E-2</v>
      </c>
      <c r="E69" s="80">
        <f t="shared" si="1"/>
        <v>0.27896613190730846</v>
      </c>
      <c r="F69" s="50"/>
    </row>
    <row r="70" spans="1:6" ht="14.25" customHeight="1" x14ac:dyDescent="0.35">
      <c r="A70" s="50"/>
      <c r="B70" s="79">
        <v>44075</v>
      </c>
      <c r="C70" s="71">
        <v>6240</v>
      </c>
      <c r="D70" s="80">
        <f t="shared" si="0"/>
        <v>-0.13031358885017419</v>
      </c>
      <c r="E70" s="80">
        <f t="shared" si="1"/>
        <v>0.20626329016044842</v>
      </c>
      <c r="F70" s="50"/>
    </row>
    <row r="71" spans="1:6" ht="14.25" customHeight="1" x14ac:dyDescent="0.35">
      <c r="A71" s="50"/>
      <c r="B71" s="79">
        <v>44105</v>
      </c>
      <c r="C71" s="71">
        <v>5472</v>
      </c>
      <c r="D71" s="80">
        <f t="shared" ref="D71:D76" si="2">C71/C70-1</f>
        <v>-0.12307692307692308</v>
      </c>
      <c r="E71" s="80">
        <f t="shared" si="1"/>
        <v>3.050847457627115E-2</v>
      </c>
      <c r="F71" s="50"/>
    </row>
    <row r="72" spans="1:6" ht="14.25" customHeight="1" x14ac:dyDescent="0.35">
      <c r="A72" s="50"/>
      <c r="B72" s="79">
        <v>44136</v>
      </c>
      <c r="C72" s="71">
        <v>4701</v>
      </c>
      <c r="D72" s="80">
        <f t="shared" si="2"/>
        <v>-0.14089912280701755</v>
      </c>
      <c r="E72" s="80">
        <f t="shared" si="1"/>
        <v>-4.1199265755659797E-2</v>
      </c>
      <c r="F72" s="50"/>
    </row>
    <row r="73" spans="1:6" ht="14.25" customHeight="1" x14ac:dyDescent="0.35">
      <c r="A73" s="50"/>
      <c r="B73" s="79">
        <v>44166</v>
      </c>
      <c r="C73" s="71">
        <v>4547</v>
      </c>
      <c r="D73" s="80">
        <f t="shared" si="2"/>
        <v>-3.2758987449478805E-2</v>
      </c>
      <c r="E73" s="80">
        <f t="shared" si="1"/>
        <v>-7.8622087132725449E-2</v>
      </c>
      <c r="F73" s="50"/>
    </row>
    <row r="74" spans="1:6" ht="14.25" customHeight="1" x14ac:dyDescent="0.35">
      <c r="A74" s="50"/>
      <c r="B74" s="79">
        <v>44197</v>
      </c>
      <c r="C74" s="71">
        <v>4093</v>
      </c>
      <c r="D74" s="80">
        <f t="shared" si="2"/>
        <v>-9.9846052342203673E-2</v>
      </c>
      <c r="E74" s="80">
        <f t="shared" si="1"/>
        <v>-0.13649789029535864</v>
      </c>
      <c r="F74" s="50"/>
    </row>
    <row r="75" spans="1:6" ht="14.25" customHeight="1" x14ac:dyDescent="0.35">
      <c r="A75" s="50"/>
      <c r="B75" s="79">
        <v>44228</v>
      </c>
      <c r="C75" s="71">
        <v>4144</v>
      </c>
      <c r="D75" s="80">
        <f t="shared" si="2"/>
        <v>1.2460298069875364E-2</v>
      </c>
      <c r="E75" s="80">
        <f t="shared" si="1"/>
        <v>-0.16502115655853311</v>
      </c>
      <c r="F75" s="50"/>
    </row>
    <row r="76" spans="1:6" ht="14.25" customHeight="1" x14ac:dyDescent="0.35">
      <c r="A76" s="50"/>
      <c r="B76" s="79">
        <v>44256</v>
      </c>
      <c r="C76" s="71">
        <v>5575</v>
      </c>
      <c r="D76" s="80">
        <f t="shared" si="2"/>
        <v>0.34531853281853286</v>
      </c>
      <c r="E76" s="80">
        <f t="shared" si="1"/>
        <v>9.8955253301793888E-2</v>
      </c>
      <c r="F76" s="50"/>
    </row>
    <row r="77" spans="1:6" ht="6" customHeight="1" x14ac:dyDescent="0.35">
      <c r="A77" s="50"/>
      <c r="B77" s="79"/>
      <c r="C77" s="71"/>
      <c r="D77" s="80"/>
      <c r="E77" s="80"/>
      <c r="F77" s="50"/>
    </row>
    <row r="78" spans="1:6" ht="14.25" customHeight="1" x14ac:dyDescent="0.35">
      <c r="A78" s="50"/>
      <c r="B78" s="82" t="s">
        <v>168</v>
      </c>
      <c r="C78" s="81"/>
      <c r="D78" s="75"/>
      <c r="E78" s="75"/>
      <c r="F78" s="41"/>
    </row>
    <row r="79" spans="1:6" ht="28.5" customHeight="1" x14ac:dyDescent="0.35">
      <c r="A79" s="50"/>
      <c r="B79" s="160" t="s">
        <v>297</v>
      </c>
      <c r="C79" s="160"/>
      <c r="D79" s="160"/>
      <c r="E79" s="160"/>
      <c r="F79" s="160"/>
    </row>
    <row r="80" spans="1:6" ht="14.25" customHeight="1" x14ac:dyDescent="0.35">
      <c r="A80" s="50"/>
      <c r="B80" s="43"/>
      <c r="C80" s="42"/>
      <c r="D80" s="41"/>
      <c r="E80" s="41"/>
      <c r="F80" s="41"/>
    </row>
    <row r="81" spans="1:9" ht="14.25" customHeight="1" x14ac:dyDescent="0.35">
      <c r="A81" s="50"/>
      <c r="B81" s="43"/>
      <c r="C81" s="42"/>
      <c r="D81" s="41"/>
      <c r="E81" s="41"/>
      <c r="F81" s="41"/>
    </row>
    <row r="82" spans="1:9" ht="6" customHeight="1" x14ac:dyDescent="0.35">
      <c r="A82" s="50"/>
      <c r="B82" s="43"/>
      <c r="C82" s="42"/>
      <c r="D82" s="41"/>
      <c r="E82" s="41"/>
      <c r="F82" s="41"/>
    </row>
    <row r="83" spans="1:9" ht="13.5" customHeight="1" x14ac:dyDescent="0.35">
      <c r="A83" s="41"/>
      <c r="B83" s="43"/>
      <c r="C83" s="42"/>
      <c r="D83" s="41"/>
      <c r="E83" s="41"/>
      <c r="F83" s="41"/>
      <c r="G83" s="41"/>
    </row>
    <row r="84" spans="1:9" ht="44.25" customHeight="1" x14ac:dyDescent="0.35">
      <c r="A84" s="41"/>
      <c r="B84" s="43"/>
      <c r="C84" s="42"/>
      <c r="D84" s="41"/>
      <c r="E84" s="41"/>
      <c r="F84" s="41"/>
      <c r="G84" s="44"/>
      <c r="H84" s="38"/>
      <c r="I84" s="38"/>
    </row>
    <row r="85" spans="1:9" x14ac:dyDescent="0.35">
      <c r="A85" s="41"/>
      <c r="B85" s="43"/>
      <c r="C85" s="42"/>
      <c r="D85" s="41"/>
      <c r="E85" s="41"/>
      <c r="F85" s="41"/>
      <c r="G85" s="41"/>
    </row>
    <row r="86" spans="1:9" x14ac:dyDescent="0.35">
      <c r="A86" s="41"/>
      <c r="B86" s="43"/>
      <c r="C86" s="42"/>
      <c r="D86" s="41"/>
      <c r="E86" s="41"/>
      <c r="F86" s="41"/>
      <c r="G86" s="41"/>
    </row>
    <row r="87" spans="1:9" x14ac:dyDescent="0.35">
      <c r="A87" s="41"/>
      <c r="B87" s="43"/>
      <c r="C87" s="42"/>
      <c r="D87" s="41"/>
      <c r="E87" s="41"/>
      <c r="F87" s="41"/>
      <c r="G87" s="41"/>
    </row>
    <row r="88" spans="1:9" x14ac:dyDescent="0.35">
      <c r="A88" s="41"/>
      <c r="B88" s="43"/>
      <c r="C88" s="42"/>
      <c r="D88" s="41"/>
      <c r="E88" s="41"/>
      <c r="F88" s="41"/>
      <c r="G88" s="41"/>
    </row>
    <row r="89" spans="1:9" x14ac:dyDescent="0.35">
      <c r="A89" s="41"/>
      <c r="B89" s="43"/>
      <c r="C89" s="42"/>
      <c r="D89" s="41"/>
      <c r="E89" s="41"/>
      <c r="F89" s="41"/>
      <c r="G89" s="41"/>
    </row>
    <row r="90" spans="1:9" x14ac:dyDescent="0.35">
      <c r="A90" s="41"/>
      <c r="B90" s="43"/>
      <c r="C90" s="42"/>
      <c r="D90" s="41"/>
      <c r="E90" s="41"/>
      <c r="F90" s="41"/>
      <c r="G90" s="41"/>
    </row>
    <row r="91" spans="1:9" x14ac:dyDescent="0.35">
      <c r="A91" s="41"/>
      <c r="B91" s="43"/>
      <c r="C91" s="42"/>
      <c r="D91" s="41"/>
      <c r="E91" s="41"/>
      <c r="F91" s="41"/>
      <c r="G91" s="41"/>
    </row>
    <row r="92" spans="1:9" x14ac:dyDescent="0.35">
      <c r="A92" s="41"/>
      <c r="B92" s="43"/>
      <c r="C92" s="42"/>
      <c r="D92" s="41"/>
      <c r="E92" s="41"/>
      <c r="F92" s="41"/>
      <c r="G92" s="41"/>
    </row>
    <row r="93" spans="1:9" x14ac:dyDescent="0.35">
      <c r="A93" s="41"/>
      <c r="B93" s="43"/>
      <c r="C93" s="42"/>
      <c r="D93" s="41"/>
      <c r="E93" s="41"/>
      <c r="F93" s="41"/>
      <c r="G93" s="41"/>
    </row>
    <row r="94" spans="1:9" x14ac:dyDescent="0.35">
      <c r="A94" s="41"/>
      <c r="B94" s="43"/>
      <c r="C94" s="42"/>
      <c r="D94" s="41"/>
      <c r="E94" s="41"/>
      <c r="F94" s="41"/>
      <c r="G94" s="41"/>
    </row>
    <row r="95" spans="1:9" x14ac:dyDescent="0.35">
      <c r="A95" s="41"/>
      <c r="B95" s="43"/>
      <c r="C95" s="42"/>
      <c r="D95" s="41"/>
      <c r="E95" s="41"/>
      <c r="F95" s="41"/>
      <c r="G95" s="41"/>
    </row>
    <row r="96" spans="1:9" x14ac:dyDescent="0.35">
      <c r="A96" s="41"/>
      <c r="B96" s="43"/>
      <c r="C96" s="42"/>
      <c r="D96" s="41"/>
      <c r="E96" s="41"/>
      <c r="F96" s="41"/>
      <c r="G96" s="41"/>
    </row>
    <row r="97" spans="1:7" x14ac:dyDescent="0.35">
      <c r="A97" s="41"/>
      <c r="B97" s="43"/>
      <c r="C97" s="42"/>
      <c r="D97" s="41"/>
      <c r="E97" s="41"/>
      <c r="F97" s="41"/>
      <c r="G97" s="41"/>
    </row>
    <row r="98" spans="1:7" x14ac:dyDescent="0.35">
      <c r="A98" s="41"/>
      <c r="B98" s="43"/>
      <c r="C98" s="42"/>
      <c r="D98" s="41"/>
      <c r="E98" s="41"/>
      <c r="F98" s="41"/>
      <c r="G98" s="41"/>
    </row>
    <row r="99" spans="1:7" x14ac:dyDescent="0.35">
      <c r="A99" s="41"/>
      <c r="B99" s="43"/>
      <c r="C99" s="42"/>
      <c r="D99" s="41"/>
      <c r="E99" s="41"/>
      <c r="F99" s="41"/>
      <c r="G99" s="41"/>
    </row>
    <row r="100" spans="1:7" x14ac:dyDescent="0.35">
      <c r="A100" s="41"/>
      <c r="B100" s="43"/>
      <c r="C100" s="42"/>
      <c r="D100" s="41"/>
      <c r="E100" s="41"/>
      <c r="F100" s="41"/>
      <c r="G100" s="41"/>
    </row>
    <row r="101" spans="1:7" x14ac:dyDescent="0.35">
      <c r="A101" s="41"/>
      <c r="B101" s="43"/>
      <c r="C101" s="42"/>
      <c r="D101" s="41"/>
      <c r="E101" s="41"/>
      <c r="F101" s="41"/>
      <c r="G101" s="41"/>
    </row>
    <row r="102" spans="1:7" x14ac:dyDescent="0.35">
      <c r="A102" s="41"/>
      <c r="B102" s="43"/>
      <c r="C102" s="42"/>
      <c r="D102" s="41"/>
      <c r="E102" s="41"/>
      <c r="F102" s="41"/>
      <c r="G102" s="41"/>
    </row>
    <row r="103" spans="1:7" x14ac:dyDescent="0.35">
      <c r="A103" s="41"/>
      <c r="B103" s="43"/>
      <c r="C103" s="42"/>
      <c r="D103" s="41"/>
      <c r="E103" s="41"/>
      <c r="F103" s="41"/>
      <c r="G103" s="41"/>
    </row>
    <row r="104" spans="1:7" x14ac:dyDescent="0.35">
      <c r="A104" s="41"/>
      <c r="B104" s="43"/>
      <c r="C104" s="42"/>
      <c r="D104" s="41"/>
      <c r="E104" s="41"/>
      <c r="F104" s="41"/>
      <c r="G104" s="41"/>
    </row>
    <row r="105" spans="1:7" x14ac:dyDescent="0.35">
      <c r="A105" s="41"/>
      <c r="B105" s="43"/>
      <c r="C105" s="42"/>
      <c r="D105" s="41"/>
      <c r="E105" s="41"/>
      <c r="F105" s="41"/>
      <c r="G105" s="41"/>
    </row>
    <row r="106" spans="1:7" x14ac:dyDescent="0.35">
      <c r="A106" s="41"/>
      <c r="B106" s="43"/>
      <c r="C106" s="42"/>
      <c r="D106" s="41"/>
      <c r="E106" s="41"/>
      <c r="F106" s="41"/>
      <c r="G106" s="41"/>
    </row>
    <row r="107" spans="1:7" x14ac:dyDescent="0.35">
      <c r="A107" s="41"/>
      <c r="B107" s="43"/>
      <c r="C107" s="42"/>
      <c r="D107" s="41"/>
      <c r="E107" s="41"/>
      <c r="F107" s="41"/>
      <c r="G107" s="41"/>
    </row>
    <row r="108" spans="1:7" x14ac:dyDescent="0.35">
      <c r="A108" s="41"/>
      <c r="B108" s="43"/>
      <c r="C108" s="42"/>
      <c r="D108" s="41"/>
      <c r="E108" s="41"/>
      <c r="F108" s="41"/>
      <c r="G108" s="41"/>
    </row>
    <row r="109" spans="1:7" x14ac:dyDescent="0.35">
      <c r="A109" s="41"/>
      <c r="B109" s="43"/>
      <c r="C109" s="42"/>
      <c r="D109" s="41"/>
      <c r="E109" s="41"/>
      <c r="F109" s="41"/>
      <c r="G109" s="41"/>
    </row>
    <row r="110" spans="1:7" x14ac:dyDescent="0.35">
      <c r="A110" s="41"/>
      <c r="B110" s="43"/>
      <c r="C110" s="42"/>
      <c r="D110" s="41"/>
      <c r="E110" s="41"/>
      <c r="F110" s="41"/>
      <c r="G110" s="41"/>
    </row>
    <row r="111" spans="1:7" x14ac:dyDescent="0.35">
      <c r="A111" s="41"/>
      <c r="B111" s="43"/>
      <c r="C111" s="42"/>
      <c r="D111" s="41"/>
      <c r="E111" s="41"/>
      <c r="F111" s="41"/>
      <c r="G111" s="41"/>
    </row>
    <row r="112" spans="1:7" x14ac:dyDescent="0.35">
      <c r="A112" s="41"/>
      <c r="B112" s="43"/>
      <c r="C112" s="42"/>
      <c r="D112" s="41"/>
      <c r="E112" s="41"/>
      <c r="F112" s="41"/>
      <c r="G112" s="41"/>
    </row>
    <row r="113" spans="1:7" x14ac:dyDescent="0.35">
      <c r="A113" s="41"/>
      <c r="B113" s="43"/>
      <c r="C113" s="42"/>
      <c r="D113" s="41"/>
      <c r="E113" s="41"/>
      <c r="F113" s="41"/>
      <c r="G113" s="41"/>
    </row>
    <row r="114" spans="1:7" x14ac:dyDescent="0.35">
      <c r="A114" s="41"/>
      <c r="B114" s="43"/>
      <c r="C114" s="42"/>
      <c r="D114" s="41"/>
      <c r="E114" s="41"/>
      <c r="F114" s="41"/>
      <c r="G114" s="41"/>
    </row>
    <row r="115" spans="1:7" x14ac:dyDescent="0.35">
      <c r="A115" s="41"/>
      <c r="B115" s="43"/>
      <c r="C115" s="42"/>
      <c r="D115" s="41"/>
      <c r="E115" s="41"/>
      <c r="F115" s="41"/>
      <c r="G115" s="41"/>
    </row>
    <row r="116" spans="1:7" x14ac:dyDescent="0.35">
      <c r="A116" s="41"/>
      <c r="B116" s="43"/>
      <c r="C116" s="42"/>
      <c r="D116" s="41"/>
      <c r="E116" s="41"/>
      <c r="F116" s="41"/>
      <c r="G116" s="41"/>
    </row>
    <row r="117" spans="1:7" x14ac:dyDescent="0.35">
      <c r="A117" s="41"/>
      <c r="B117" s="43"/>
      <c r="C117" s="42"/>
      <c r="D117" s="41"/>
      <c r="E117" s="41"/>
      <c r="F117" s="41"/>
      <c r="G117" s="41"/>
    </row>
    <row r="118" spans="1:7" x14ac:dyDescent="0.35">
      <c r="A118" s="41"/>
      <c r="B118" s="43"/>
      <c r="C118" s="42"/>
      <c r="D118" s="41"/>
      <c r="E118" s="41"/>
      <c r="F118" s="41"/>
      <c r="G118" s="41"/>
    </row>
    <row r="119" spans="1:7" x14ac:dyDescent="0.35">
      <c r="A119" s="41"/>
      <c r="B119" s="43"/>
      <c r="C119" s="42"/>
      <c r="D119" s="41"/>
      <c r="E119" s="41"/>
      <c r="F119" s="41"/>
      <c r="G119" s="41"/>
    </row>
    <row r="120" spans="1:7" x14ac:dyDescent="0.35">
      <c r="A120" s="41"/>
      <c r="B120" s="43"/>
      <c r="C120" s="42"/>
      <c r="D120" s="41"/>
      <c r="E120" s="41"/>
      <c r="F120" s="41"/>
      <c r="G120" s="41"/>
    </row>
    <row r="121" spans="1:7" x14ac:dyDescent="0.35">
      <c r="A121" s="41"/>
      <c r="B121" s="43"/>
      <c r="C121" s="42"/>
      <c r="D121" s="41"/>
      <c r="E121" s="41"/>
      <c r="F121" s="41"/>
      <c r="G121" s="41"/>
    </row>
    <row r="122" spans="1:7" x14ac:dyDescent="0.35">
      <c r="A122" s="41"/>
      <c r="B122" s="43"/>
      <c r="C122" s="42"/>
      <c r="D122" s="41"/>
      <c r="E122" s="41"/>
      <c r="F122" s="41"/>
      <c r="G122" s="41"/>
    </row>
    <row r="123" spans="1:7" x14ac:dyDescent="0.35">
      <c r="A123" s="41"/>
      <c r="B123" s="43"/>
      <c r="C123" s="42"/>
      <c r="D123" s="41"/>
      <c r="E123" s="41"/>
      <c r="F123" s="41"/>
      <c r="G123" s="41"/>
    </row>
    <row r="124" spans="1:7" x14ac:dyDescent="0.35">
      <c r="A124" s="41"/>
      <c r="B124" s="43"/>
      <c r="C124" s="42"/>
      <c r="D124" s="41"/>
      <c r="E124" s="41"/>
      <c r="F124" s="41"/>
      <c r="G124" s="41"/>
    </row>
    <row r="125" spans="1:7" x14ac:dyDescent="0.35">
      <c r="A125" s="41"/>
      <c r="B125" s="43"/>
      <c r="C125" s="42"/>
      <c r="D125" s="41"/>
      <c r="E125" s="41"/>
      <c r="F125" s="41"/>
      <c r="G125" s="41"/>
    </row>
    <row r="126" spans="1:7" x14ac:dyDescent="0.35">
      <c r="A126" s="41"/>
      <c r="B126" s="41"/>
      <c r="C126" s="41"/>
      <c r="D126" s="41"/>
      <c r="E126" s="41"/>
      <c r="F126" s="41"/>
      <c r="G126" s="41"/>
    </row>
    <row r="127" spans="1:7" x14ac:dyDescent="0.35">
      <c r="A127" s="41"/>
      <c r="B127" s="29"/>
      <c r="C127" s="29"/>
      <c r="G127" s="41"/>
    </row>
    <row r="128" spans="1:7" x14ac:dyDescent="0.35">
      <c r="A128" s="41"/>
      <c r="B128" s="40"/>
      <c r="C128" s="40"/>
      <c r="G128" s="41"/>
    </row>
    <row r="129" spans="1:7" x14ac:dyDescent="0.35">
      <c r="A129" s="41"/>
      <c r="G129" s="41"/>
    </row>
    <row r="130" spans="1:7" x14ac:dyDescent="0.35">
      <c r="A130" s="41"/>
      <c r="G130" s="41"/>
    </row>
    <row r="131" spans="1:7" x14ac:dyDescent="0.35">
      <c r="A131" s="41"/>
      <c r="G131" s="41"/>
    </row>
  </sheetData>
  <mergeCells count="2">
    <mergeCell ref="B2:D2"/>
    <mergeCell ref="B79:F7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autoPageBreaks="0"/>
  </sheetPr>
  <dimension ref="A1:P45"/>
  <sheetViews>
    <sheetView showGridLines="0" workbookViewId="0">
      <selection activeCell="A41" sqref="A41"/>
    </sheetView>
  </sheetViews>
  <sheetFormatPr defaultRowHeight="15" x14ac:dyDescent="0.35"/>
  <cols>
    <col min="1" max="1" width="1.3984375" customWidth="1"/>
    <col min="2" max="2" width="24.3984375" bestFit="1" customWidth="1"/>
    <col min="3" max="3" width="13.296875" customWidth="1"/>
    <col min="4" max="4" width="9.69921875" customWidth="1"/>
    <col min="5" max="5" width="1.3984375" customWidth="1"/>
    <col min="6" max="6" width="10.3984375" customWidth="1"/>
    <col min="8" max="8" width="1.3984375" customWidth="1"/>
    <col min="9" max="9" width="11.8984375" customWidth="1"/>
    <col min="10" max="10" width="1.3984375" customWidth="1"/>
    <col min="11" max="11" width="11.296875" customWidth="1"/>
    <col min="13" max="13" width="10.8984375" customWidth="1"/>
    <col min="16" max="16" width="1.3984375" customWidth="1"/>
    <col min="17" max="17" width="10.8984375" customWidth="1"/>
    <col min="18" max="18" width="11.59765625" customWidth="1"/>
    <col min="22" max="22" width="24.3984375" bestFit="1" customWidth="1"/>
  </cols>
  <sheetData>
    <row r="1" spans="1:16" ht="22.2" x14ac:dyDescent="0.5">
      <c r="A1" s="10"/>
      <c r="B1" s="34" t="s">
        <v>217</v>
      </c>
      <c r="C1" s="36"/>
      <c r="D1" s="36"/>
      <c r="E1" s="36"/>
      <c r="F1" s="36"/>
      <c r="G1" s="36"/>
      <c r="H1" s="36"/>
      <c r="I1" s="10"/>
      <c r="J1" s="10"/>
      <c r="K1" s="91"/>
      <c r="L1" s="91"/>
      <c r="M1" s="91"/>
      <c r="N1" s="91"/>
      <c r="O1" s="91"/>
      <c r="P1" s="91"/>
    </row>
    <row r="2" spans="1:16" ht="6" customHeight="1" x14ac:dyDescent="0.35">
      <c r="A2" s="10"/>
      <c r="B2" s="10"/>
      <c r="C2" s="10"/>
      <c r="D2" s="10"/>
      <c r="E2" s="10"/>
      <c r="F2" s="10"/>
      <c r="G2" s="10"/>
      <c r="H2" s="10"/>
      <c r="I2" s="10"/>
      <c r="J2" s="10"/>
      <c r="K2" s="91"/>
      <c r="L2" s="91"/>
      <c r="M2" s="91"/>
      <c r="N2" s="91"/>
      <c r="O2" s="91"/>
      <c r="P2" s="91"/>
    </row>
    <row r="3" spans="1:16" x14ac:dyDescent="0.35">
      <c r="A3" s="56"/>
      <c r="B3" s="56"/>
      <c r="C3" s="156" t="s">
        <v>183</v>
      </c>
      <c r="D3" s="156"/>
      <c r="E3" s="76"/>
      <c r="F3" s="156" t="s">
        <v>273</v>
      </c>
      <c r="G3" s="156"/>
      <c r="H3" s="76"/>
      <c r="I3" s="161" t="s">
        <v>279</v>
      </c>
      <c r="J3" s="56"/>
      <c r="K3" s="92"/>
      <c r="L3" s="92"/>
      <c r="M3" s="92"/>
      <c r="N3" s="92"/>
      <c r="O3" s="92"/>
      <c r="P3" s="93"/>
    </row>
    <row r="4" spans="1:16" ht="60.75" customHeight="1" x14ac:dyDescent="0.35">
      <c r="A4" s="56"/>
      <c r="B4" s="84" t="s">
        <v>130</v>
      </c>
      <c r="C4" s="55" t="s">
        <v>115</v>
      </c>
      <c r="D4" s="55" t="s">
        <v>125</v>
      </c>
      <c r="E4" s="55"/>
      <c r="F4" s="55" t="s">
        <v>115</v>
      </c>
      <c r="G4" s="55" t="s">
        <v>125</v>
      </c>
      <c r="H4" s="55"/>
      <c r="I4" s="162"/>
      <c r="J4" s="51"/>
      <c r="K4" s="3"/>
    </row>
    <row r="5" spans="1:16" ht="15.75" customHeight="1" x14ac:dyDescent="0.35">
      <c r="A5" s="56"/>
      <c r="B5" s="83" t="s">
        <v>83</v>
      </c>
      <c r="C5" s="73">
        <v>22</v>
      </c>
      <c r="D5" s="56">
        <v>24</v>
      </c>
      <c r="E5" s="56"/>
      <c r="F5" s="56">
        <v>22</v>
      </c>
      <c r="G5" s="56">
        <f>RANK(F5,$F$5:$F$36)</f>
        <v>16</v>
      </c>
      <c r="H5" s="56"/>
      <c r="I5" s="73" t="s">
        <v>207</v>
      </c>
      <c r="J5" s="94"/>
    </row>
    <row r="6" spans="1:16" x14ac:dyDescent="0.35">
      <c r="A6" s="56"/>
      <c r="B6" s="83" t="s">
        <v>84</v>
      </c>
      <c r="C6" s="73">
        <v>33</v>
      </c>
      <c r="D6" s="56">
        <v>21</v>
      </c>
      <c r="E6" s="56"/>
      <c r="F6" s="56">
        <v>12</v>
      </c>
      <c r="G6" s="56">
        <f t="shared" ref="G6:G36" si="0">RANK(F6,$F$5:$F$36)</f>
        <v>26</v>
      </c>
      <c r="H6" s="56"/>
      <c r="I6" s="95">
        <f t="shared" ref="I6:I36" si="1">F6-C6</f>
        <v>-21</v>
      </c>
      <c r="J6" s="94"/>
    </row>
    <row r="7" spans="1:16" x14ac:dyDescent="0.35">
      <c r="A7" s="56"/>
      <c r="B7" s="83" t="s">
        <v>85</v>
      </c>
      <c r="C7" s="73">
        <v>9</v>
      </c>
      <c r="D7" s="56">
        <v>31</v>
      </c>
      <c r="E7" s="56"/>
      <c r="F7" s="56">
        <v>9</v>
      </c>
      <c r="G7" s="56">
        <f t="shared" si="0"/>
        <v>28</v>
      </c>
      <c r="H7" s="56"/>
      <c r="I7" s="73" t="s">
        <v>207</v>
      </c>
      <c r="J7" s="94"/>
    </row>
    <row r="8" spans="1:16" x14ac:dyDescent="0.35">
      <c r="A8" s="56"/>
      <c r="B8" s="83" t="s">
        <v>86</v>
      </c>
      <c r="C8" s="73">
        <v>40</v>
      </c>
      <c r="D8" s="56">
        <v>4</v>
      </c>
      <c r="E8" s="56"/>
      <c r="F8" s="56">
        <v>39</v>
      </c>
      <c r="G8" s="56">
        <f t="shared" si="0"/>
        <v>7</v>
      </c>
      <c r="H8" s="56"/>
      <c r="I8" s="95">
        <f t="shared" si="1"/>
        <v>-1</v>
      </c>
      <c r="J8" s="94"/>
    </row>
    <row r="9" spans="1:16" x14ac:dyDescent="0.35">
      <c r="A9" s="56"/>
      <c r="B9" s="83" t="s">
        <v>87</v>
      </c>
      <c r="C9" s="73">
        <v>15</v>
      </c>
      <c r="D9" s="56">
        <v>30</v>
      </c>
      <c r="E9" s="56"/>
      <c r="F9" s="56">
        <v>13</v>
      </c>
      <c r="G9" s="56">
        <f t="shared" si="0"/>
        <v>24</v>
      </c>
      <c r="H9" s="56"/>
      <c r="I9" s="95">
        <f t="shared" si="1"/>
        <v>-2</v>
      </c>
      <c r="J9" s="94"/>
    </row>
    <row r="10" spans="1:16" x14ac:dyDescent="0.35">
      <c r="A10" s="56"/>
      <c r="B10" s="83" t="s">
        <v>88</v>
      </c>
      <c r="C10" s="73">
        <v>34</v>
      </c>
      <c r="D10" s="56">
        <v>6</v>
      </c>
      <c r="E10" s="56"/>
      <c r="F10" s="56">
        <v>50</v>
      </c>
      <c r="G10" s="56">
        <f t="shared" si="0"/>
        <v>3</v>
      </c>
      <c r="H10" s="56"/>
      <c r="I10" s="95">
        <f t="shared" si="1"/>
        <v>16</v>
      </c>
      <c r="J10" s="94"/>
    </row>
    <row r="11" spans="1:16" x14ac:dyDescent="0.35">
      <c r="A11" s="56"/>
      <c r="B11" s="83" t="s">
        <v>89</v>
      </c>
      <c r="C11" s="73">
        <v>37</v>
      </c>
      <c r="D11" s="56">
        <v>21</v>
      </c>
      <c r="E11" s="56"/>
      <c r="F11" s="56">
        <v>19</v>
      </c>
      <c r="G11" s="56">
        <f t="shared" si="0"/>
        <v>19</v>
      </c>
      <c r="H11" s="56"/>
      <c r="I11" s="95">
        <f t="shared" si="1"/>
        <v>-18</v>
      </c>
      <c r="J11" s="94"/>
    </row>
    <row r="12" spans="1:16" x14ac:dyDescent="0.35">
      <c r="A12" s="56"/>
      <c r="B12" s="83" t="s">
        <v>90</v>
      </c>
      <c r="C12" s="73">
        <v>50</v>
      </c>
      <c r="D12" s="56">
        <v>12</v>
      </c>
      <c r="E12" s="56"/>
      <c r="F12" s="56">
        <v>42</v>
      </c>
      <c r="G12" s="56">
        <f t="shared" si="0"/>
        <v>4</v>
      </c>
      <c r="H12" s="56"/>
      <c r="I12" s="95">
        <f t="shared" si="1"/>
        <v>-8</v>
      </c>
      <c r="J12" s="94"/>
    </row>
    <row r="13" spans="1:16" x14ac:dyDescent="0.35">
      <c r="A13" s="56"/>
      <c r="B13" s="83" t="s">
        <v>91</v>
      </c>
      <c r="C13" s="73">
        <v>24</v>
      </c>
      <c r="D13" s="56">
        <v>19</v>
      </c>
      <c r="E13" s="56"/>
      <c r="F13" s="56">
        <v>22</v>
      </c>
      <c r="G13" s="56">
        <f t="shared" si="0"/>
        <v>16</v>
      </c>
      <c r="H13" s="56"/>
      <c r="I13" s="95">
        <f t="shared" si="1"/>
        <v>-2</v>
      </c>
      <c r="J13" s="94"/>
    </row>
    <row r="14" spans="1:16" x14ac:dyDescent="0.35">
      <c r="A14" s="56"/>
      <c r="B14" s="83" t="s">
        <v>92</v>
      </c>
      <c r="C14" s="73">
        <v>18</v>
      </c>
      <c r="D14" s="56">
        <v>24</v>
      </c>
      <c r="E14" s="56"/>
      <c r="F14" s="56">
        <v>13</v>
      </c>
      <c r="G14" s="56">
        <f t="shared" si="0"/>
        <v>24</v>
      </c>
      <c r="H14" s="56"/>
      <c r="I14" s="95">
        <f t="shared" si="1"/>
        <v>-5</v>
      </c>
      <c r="J14" s="94"/>
    </row>
    <row r="15" spans="1:16" x14ac:dyDescent="0.35">
      <c r="A15" s="56"/>
      <c r="B15" s="83" t="s">
        <v>93</v>
      </c>
      <c r="C15" s="73">
        <v>36</v>
      </c>
      <c r="D15" s="56">
        <v>13</v>
      </c>
      <c r="E15" s="56"/>
      <c r="F15" s="56">
        <v>29</v>
      </c>
      <c r="G15" s="56">
        <f t="shared" si="0"/>
        <v>11</v>
      </c>
      <c r="H15" s="56"/>
      <c r="I15" s="73" t="s">
        <v>207</v>
      </c>
      <c r="J15" s="94"/>
    </row>
    <row r="16" spans="1:16" x14ac:dyDescent="0.35">
      <c r="A16" s="56"/>
      <c r="B16" s="83" t="s">
        <v>94</v>
      </c>
      <c r="C16" s="73">
        <v>43</v>
      </c>
      <c r="D16" s="56">
        <v>17</v>
      </c>
      <c r="E16" s="56"/>
      <c r="F16" s="56">
        <v>28</v>
      </c>
      <c r="G16" s="56">
        <f t="shared" si="0"/>
        <v>13</v>
      </c>
      <c r="H16" s="56"/>
      <c r="I16" s="95">
        <f t="shared" si="1"/>
        <v>-15</v>
      </c>
      <c r="J16" s="94"/>
    </row>
    <row r="17" spans="1:10" x14ac:dyDescent="0.35">
      <c r="A17" s="56"/>
      <c r="B17" s="83" t="s">
        <v>95</v>
      </c>
      <c r="C17" s="73">
        <v>36</v>
      </c>
      <c r="D17" s="56">
        <v>15</v>
      </c>
      <c r="E17" s="56"/>
      <c r="F17" s="56">
        <v>32</v>
      </c>
      <c r="G17" s="56">
        <f t="shared" si="0"/>
        <v>8</v>
      </c>
      <c r="H17" s="56"/>
      <c r="I17" s="95">
        <f t="shared" si="1"/>
        <v>-4</v>
      </c>
      <c r="J17" s="94"/>
    </row>
    <row r="18" spans="1:10" x14ac:dyDescent="0.35">
      <c r="A18" s="56"/>
      <c r="B18" s="83" t="s">
        <v>96</v>
      </c>
      <c r="C18" s="73">
        <v>21</v>
      </c>
      <c r="D18" s="56">
        <v>17</v>
      </c>
      <c r="E18" s="56"/>
      <c r="F18" s="56">
        <v>17</v>
      </c>
      <c r="G18" s="56">
        <f t="shared" si="0"/>
        <v>21</v>
      </c>
      <c r="H18" s="56"/>
      <c r="I18" s="95">
        <f t="shared" si="1"/>
        <v>-4</v>
      </c>
      <c r="J18" s="94"/>
    </row>
    <row r="19" spans="1:10" x14ac:dyDescent="0.35">
      <c r="A19" s="56"/>
      <c r="B19" s="83" t="s">
        <v>97</v>
      </c>
      <c r="C19" s="73">
        <v>14</v>
      </c>
      <c r="D19" s="56">
        <v>27</v>
      </c>
      <c r="E19" s="56"/>
      <c r="F19" s="56">
        <v>17</v>
      </c>
      <c r="G19" s="56">
        <f t="shared" si="0"/>
        <v>21</v>
      </c>
      <c r="H19" s="56"/>
      <c r="I19" s="95">
        <f t="shared" si="1"/>
        <v>3</v>
      </c>
      <c r="J19" s="94"/>
    </row>
    <row r="20" spans="1:10" x14ac:dyDescent="0.35">
      <c r="A20" s="56"/>
      <c r="B20" s="83" t="s">
        <v>98</v>
      </c>
      <c r="C20" s="73">
        <v>33</v>
      </c>
      <c r="D20" s="56">
        <v>15</v>
      </c>
      <c r="E20" s="56"/>
      <c r="F20" s="56">
        <v>19</v>
      </c>
      <c r="G20" s="56">
        <f t="shared" si="0"/>
        <v>19</v>
      </c>
      <c r="H20" s="56"/>
      <c r="I20" s="95">
        <f t="shared" si="1"/>
        <v>-14</v>
      </c>
      <c r="J20" s="94"/>
    </row>
    <row r="21" spans="1:10" x14ac:dyDescent="0.35">
      <c r="A21" s="56"/>
      <c r="B21" s="83" t="s">
        <v>99</v>
      </c>
      <c r="C21" s="73">
        <v>31</v>
      </c>
      <c r="D21" s="56">
        <v>8</v>
      </c>
      <c r="E21" s="56"/>
      <c r="F21" s="56">
        <v>30</v>
      </c>
      <c r="G21" s="56">
        <f t="shared" si="0"/>
        <v>10</v>
      </c>
      <c r="H21" s="56"/>
      <c r="I21" s="95">
        <f t="shared" si="1"/>
        <v>-1</v>
      </c>
      <c r="J21" s="94"/>
    </row>
    <row r="22" spans="1:10" x14ac:dyDescent="0.35">
      <c r="A22" s="56"/>
      <c r="B22" s="83" t="s">
        <v>100</v>
      </c>
      <c r="C22" s="73">
        <v>26</v>
      </c>
      <c r="D22" s="56">
        <v>14</v>
      </c>
      <c r="E22" s="56"/>
      <c r="F22" s="56">
        <v>29</v>
      </c>
      <c r="G22" s="56">
        <f t="shared" si="0"/>
        <v>11</v>
      </c>
      <c r="H22" s="56"/>
      <c r="I22" s="95">
        <f t="shared" si="1"/>
        <v>3</v>
      </c>
      <c r="J22" s="94"/>
    </row>
    <row r="23" spans="1:10" x14ac:dyDescent="0.35">
      <c r="A23" s="56"/>
      <c r="B23" s="83" t="s">
        <v>101</v>
      </c>
      <c r="C23" s="73">
        <v>36</v>
      </c>
      <c r="D23" s="56">
        <v>19</v>
      </c>
      <c r="E23" s="56"/>
      <c r="F23" s="56">
        <v>17</v>
      </c>
      <c r="G23" s="56">
        <f t="shared" si="0"/>
        <v>21</v>
      </c>
      <c r="H23" s="56"/>
      <c r="I23" s="95">
        <f t="shared" si="1"/>
        <v>-19</v>
      </c>
      <c r="J23" s="94"/>
    </row>
    <row r="24" spans="1:10" x14ac:dyDescent="0.35">
      <c r="A24" s="56"/>
      <c r="B24" s="83" t="s">
        <v>102</v>
      </c>
      <c r="C24" s="73">
        <v>14</v>
      </c>
      <c r="D24" s="56">
        <v>29</v>
      </c>
      <c r="E24" s="56"/>
      <c r="F24" s="56">
        <v>7</v>
      </c>
      <c r="G24" s="56">
        <f t="shared" si="0"/>
        <v>32</v>
      </c>
      <c r="H24" s="56"/>
      <c r="I24" s="95">
        <f t="shared" si="1"/>
        <v>-7</v>
      </c>
      <c r="J24" s="94"/>
    </row>
    <row r="25" spans="1:10" x14ac:dyDescent="0.35">
      <c r="A25" s="56"/>
      <c r="B25" s="83" t="s">
        <v>103</v>
      </c>
      <c r="C25" s="73">
        <v>28</v>
      </c>
      <c r="D25" s="56">
        <v>11</v>
      </c>
      <c r="E25" s="56"/>
      <c r="F25" s="56">
        <v>32</v>
      </c>
      <c r="G25" s="56">
        <f t="shared" si="0"/>
        <v>8</v>
      </c>
      <c r="H25" s="56"/>
      <c r="I25" s="95">
        <f t="shared" si="1"/>
        <v>4</v>
      </c>
      <c r="J25" s="94"/>
    </row>
    <row r="26" spans="1:10" x14ac:dyDescent="0.35">
      <c r="A26" s="56"/>
      <c r="B26" s="83" t="s">
        <v>104</v>
      </c>
      <c r="C26" s="73">
        <v>23</v>
      </c>
      <c r="D26" s="56">
        <v>28</v>
      </c>
      <c r="E26" s="56"/>
      <c r="F26" s="56">
        <v>10</v>
      </c>
      <c r="G26" s="56">
        <f t="shared" si="0"/>
        <v>27</v>
      </c>
      <c r="H26" s="56"/>
      <c r="I26" s="95">
        <f t="shared" si="1"/>
        <v>-13</v>
      </c>
      <c r="J26" s="94"/>
    </row>
    <row r="27" spans="1:10" x14ac:dyDescent="0.35">
      <c r="A27" s="56"/>
      <c r="B27" s="83" t="s">
        <v>105</v>
      </c>
      <c r="C27" s="73">
        <v>14</v>
      </c>
      <c r="D27" s="56">
        <v>26</v>
      </c>
      <c r="E27" s="56"/>
      <c r="F27" s="56">
        <v>8</v>
      </c>
      <c r="G27" s="56">
        <f t="shared" si="0"/>
        <v>30</v>
      </c>
      <c r="H27" s="56"/>
      <c r="I27" s="95">
        <f t="shared" si="1"/>
        <v>-6</v>
      </c>
      <c r="J27" s="94"/>
    </row>
    <row r="28" spans="1:10" x14ac:dyDescent="0.35">
      <c r="A28" s="56"/>
      <c r="B28" s="83" t="s">
        <v>106</v>
      </c>
      <c r="C28" s="73">
        <v>63</v>
      </c>
      <c r="D28" s="56">
        <v>3</v>
      </c>
      <c r="E28" s="56"/>
      <c r="F28" s="56">
        <v>42</v>
      </c>
      <c r="G28" s="56">
        <f t="shared" si="0"/>
        <v>4</v>
      </c>
      <c r="H28" s="56"/>
      <c r="I28" s="73" t="s">
        <v>207</v>
      </c>
      <c r="J28" s="94"/>
    </row>
    <row r="29" spans="1:10" x14ac:dyDescent="0.35">
      <c r="A29" s="56"/>
      <c r="B29" s="83" t="s">
        <v>107</v>
      </c>
      <c r="C29" s="73">
        <v>36</v>
      </c>
      <c r="D29" s="56">
        <v>10</v>
      </c>
      <c r="E29" s="56"/>
      <c r="F29" s="56">
        <v>20</v>
      </c>
      <c r="G29" s="56">
        <f t="shared" si="0"/>
        <v>18</v>
      </c>
      <c r="H29" s="56"/>
      <c r="I29" s="95">
        <f t="shared" si="1"/>
        <v>-16</v>
      </c>
      <c r="J29" s="94"/>
    </row>
    <row r="30" spans="1:10" x14ac:dyDescent="0.35">
      <c r="A30" s="56"/>
      <c r="B30" s="83" t="s">
        <v>108</v>
      </c>
      <c r="C30" s="73">
        <v>15</v>
      </c>
      <c r="D30" s="56">
        <v>32</v>
      </c>
      <c r="E30" s="56"/>
      <c r="F30" s="56">
        <v>9</v>
      </c>
      <c r="G30" s="56">
        <f t="shared" si="0"/>
        <v>28</v>
      </c>
      <c r="H30" s="56"/>
      <c r="I30" s="95">
        <f t="shared" si="1"/>
        <v>-6</v>
      </c>
      <c r="J30" s="94"/>
    </row>
    <row r="31" spans="1:10" x14ac:dyDescent="0.35">
      <c r="A31" s="56"/>
      <c r="B31" s="83" t="s">
        <v>109</v>
      </c>
      <c r="C31" s="73">
        <v>44</v>
      </c>
      <c r="D31" s="56">
        <v>7</v>
      </c>
      <c r="E31" s="56"/>
      <c r="F31" s="56">
        <v>40</v>
      </c>
      <c r="G31" s="56">
        <f t="shared" si="0"/>
        <v>6</v>
      </c>
      <c r="H31" s="56"/>
      <c r="I31" s="95">
        <f t="shared" si="1"/>
        <v>-4</v>
      </c>
      <c r="J31" s="94"/>
    </row>
    <row r="32" spans="1:10" x14ac:dyDescent="0.35">
      <c r="A32" s="56"/>
      <c r="B32" s="83" t="s">
        <v>110</v>
      </c>
      <c r="C32" s="73">
        <v>19</v>
      </c>
      <c r="D32" s="56">
        <v>23</v>
      </c>
      <c r="E32" s="56"/>
      <c r="F32" s="56">
        <v>8</v>
      </c>
      <c r="G32" s="56">
        <f t="shared" si="0"/>
        <v>30</v>
      </c>
      <c r="H32" s="56"/>
      <c r="I32" s="95">
        <f t="shared" si="1"/>
        <v>-11</v>
      </c>
      <c r="J32" s="94"/>
    </row>
    <row r="33" spans="1:15" x14ac:dyDescent="0.35">
      <c r="A33" s="56"/>
      <c r="B33" s="83" t="s">
        <v>111</v>
      </c>
      <c r="C33" s="73">
        <v>67</v>
      </c>
      <c r="D33" s="56">
        <v>2</v>
      </c>
      <c r="E33" s="56"/>
      <c r="F33" s="56">
        <v>62</v>
      </c>
      <c r="G33" s="56">
        <f t="shared" si="0"/>
        <v>2</v>
      </c>
      <c r="H33" s="56"/>
      <c r="I33" s="95">
        <f t="shared" si="1"/>
        <v>-5</v>
      </c>
      <c r="J33" s="94"/>
    </row>
    <row r="34" spans="1:15" x14ac:dyDescent="0.35">
      <c r="A34" s="56"/>
      <c r="B34" s="83" t="s">
        <v>112</v>
      </c>
      <c r="C34" s="73">
        <v>51</v>
      </c>
      <c r="D34" s="56">
        <v>5</v>
      </c>
      <c r="E34" s="56"/>
      <c r="F34" s="56">
        <v>27</v>
      </c>
      <c r="G34" s="56">
        <f t="shared" si="0"/>
        <v>14</v>
      </c>
      <c r="H34" s="56"/>
      <c r="I34" s="95">
        <f t="shared" si="1"/>
        <v>-24</v>
      </c>
      <c r="J34" s="94"/>
    </row>
    <row r="35" spans="1:15" x14ac:dyDescent="0.35">
      <c r="A35" s="56"/>
      <c r="B35" s="83" t="s">
        <v>113</v>
      </c>
      <c r="C35" s="73">
        <v>31</v>
      </c>
      <c r="D35" s="56">
        <v>9</v>
      </c>
      <c r="E35" s="56"/>
      <c r="F35" s="56">
        <v>24</v>
      </c>
      <c r="G35" s="56">
        <f t="shared" si="0"/>
        <v>15</v>
      </c>
      <c r="H35" s="56"/>
      <c r="I35" s="95">
        <f t="shared" si="1"/>
        <v>-7</v>
      </c>
      <c r="J35" s="94"/>
    </row>
    <row r="36" spans="1:15" x14ac:dyDescent="0.35">
      <c r="A36" s="56"/>
      <c r="B36" s="83" t="s">
        <v>114</v>
      </c>
      <c r="C36" s="73">
        <v>97</v>
      </c>
      <c r="D36" s="56">
        <v>1</v>
      </c>
      <c r="E36" s="56"/>
      <c r="F36" s="56">
        <v>86</v>
      </c>
      <c r="G36" s="56">
        <f t="shared" si="0"/>
        <v>1</v>
      </c>
      <c r="H36" s="56"/>
      <c r="I36" s="95">
        <f t="shared" si="1"/>
        <v>-11</v>
      </c>
      <c r="J36" s="94"/>
    </row>
    <row r="37" spans="1:15" ht="6" customHeight="1" x14ac:dyDescent="0.35">
      <c r="A37" s="50"/>
      <c r="B37" s="50"/>
      <c r="C37" s="50"/>
      <c r="D37" s="50"/>
      <c r="E37" s="50"/>
      <c r="F37" s="50"/>
      <c r="G37" s="50"/>
      <c r="H37" s="50"/>
      <c r="I37" s="50"/>
      <c r="J37" s="50"/>
      <c r="K37" s="41"/>
      <c r="L37" s="41"/>
      <c r="M37" s="41"/>
    </row>
    <row r="38" spans="1:15" ht="13.5" customHeight="1" x14ac:dyDescent="0.35">
      <c r="A38" s="75" t="s">
        <v>281</v>
      </c>
      <c r="B38" s="75"/>
      <c r="C38" s="41"/>
      <c r="D38" s="41"/>
      <c r="E38" s="41"/>
      <c r="F38" s="41"/>
      <c r="G38" s="41"/>
      <c r="H38" s="41"/>
      <c r="I38" s="41"/>
      <c r="J38" s="41"/>
      <c r="K38" s="41"/>
      <c r="L38" s="41"/>
      <c r="M38" s="41"/>
    </row>
    <row r="39" spans="1:15" ht="6" customHeight="1" x14ac:dyDescent="0.35">
      <c r="A39" s="29"/>
      <c r="B39" s="29"/>
      <c r="C39" s="29"/>
      <c r="D39" s="29"/>
      <c r="E39" s="29"/>
      <c r="F39" s="29"/>
      <c r="G39" s="29"/>
      <c r="H39" s="29"/>
      <c r="I39" s="29"/>
      <c r="J39" s="29"/>
      <c r="K39" s="29"/>
      <c r="L39" s="29"/>
      <c r="M39" s="29"/>
      <c r="N39" s="29"/>
      <c r="O39" s="29"/>
    </row>
    <row r="40" spans="1:15" x14ac:dyDescent="0.35">
      <c r="A40" s="29" t="s">
        <v>199</v>
      </c>
      <c r="B40" s="29"/>
      <c r="C40" s="29"/>
      <c r="D40" s="29"/>
      <c r="E40" s="29"/>
      <c r="F40" s="29"/>
      <c r="G40" s="29"/>
      <c r="H40" s="29"/>
      <c r="I40" s="29"/>
      <c r="J40" s="29"/>
      <c r="K40" s="29"/>
      <c r="L40" s="29"/>
      <c r="M40" s="29"/>
      <c r="N40" s="29"/>
      <c r="O40" s="29"/>
    </row>
    <row r="41" spans="1:15" x14ac:dyDescent="0.35">
      <c r="A41" s="64" t="s">
        <v>280</v>
      </c>
      <c r="B41" s="29"/>
      <c r="C41" s="29"/>
      <c r="D41" s="29"/>
      <c r="E41" s="29"/>
      <c r="F41" s="29"/>
      <c r="G41" s="29"/>
      <c r="H41" s="29"/>
      <c r="I41" s="29"/>
      <c r="J41" s="29"/>
      <c r="K41" s="29"/>
      <c r="L41" s="29"/>
      <c r="M41" s="29"/>
      <c r="N41" s="29"/>
      <c r="O41" s="29"/>
    </row>
    <row r="42" spans="1:15" ht="7.5" customHeight="1" x14ac:dyDescent="0.35">
      <c r="A42" s="29"/>
      <c r="B42" s="29"/>
      <c r="C42" s="29"/>
      <c r="D42" s="29"/>
      <c r="E42" s="29"/>
      <c r="F42" s="29"/>
      <c r="G42" s="29"/>
      <c r="H42" s="29"/>
      <c r="I42" s="29"/>
      <c r="J42" s="29"/>
      <c r="K42" s="29"/>
      <c r="L42" s="29"/>
      <c r="M42" s="29"/>
      <c r="N42" s="29"/>
      <c r="O42" s="29"/>
    </row>
    <row r="43" spans="1:15" x14ac:dyDescent="0.35">
      <c r="G43" s="29"/>
      <c r="H43" s="29"/>
      <c r="I43" s="29"/>
      <c r="J43" s="29"/>
      <c r="K43" s="29"/>
      <c r="L43" s="29"/>
      <c r="M43" s="29"/>
      <c r="N43" s="29"/>
      <c r="O43" s="29"/>
    </row>
    <row r="44" spans="1:15" x14ac:dyDescent="0.35">
      <c r="G44" s="29"/>
      <c r="H44" s="29"/>
      <c r="I44" s="29"/>
      <c r="J44" s="29"/>
      <c r="K44" s="29"/>
      <c r="L44" s="29"/>
      <c r="M44" s="29"/>
      <c r="N44" s="29"/>
      <c r="O44" s="29"/>
    </row>
    <row r="45" spans="1:15" x14ac:dyDescent="0.35">
      <c r="G45" s="29"/>
      <c r="H45" s="29"/>
      <c r="I45" s="29"/>
      <c r="J45" s="29"/>
      <c r="K45" s="29"/>
      <c r="L45" s="29"/>
      <c r="M45" s="29"/>
      <c r="N45" s="29"/>
      <c r="O45" s="29"/>
    </row>
  </sheetData>
  <sortState xmlns:xlrd2="http://schemas.microsoft.com/office/spreadsheetml/2017/richdata2" ref="O5:P36">
    <sortCondition ref="O5:O36"/>
  </sortState>
  <mergeCells count="3">
    <mergeCell ref="C3:D3"/>
    <mergeCell ref="F3:G3"/>
    <mergeCell ref="I3:I4"/>
  </mergeCells>
  <hyperlinks>
    <hyperlink ref="A41" r:id="rId1" display="MPS, Hate Crime or Special Crime Dashboard Accessed 31 December 2018" xr:uid="{00000000-0004-0000-0B00-000001000000}"/>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autoPageBreaks="0"/>
  </sheetPr>
  <dimension ref="A1:U43"/>
  <sheetViews>
    <sheetView showGridLines="0" workbookViewId="0">
      <selection sqref="A1:P43"/>
    </sheetView>
  </sheetViews>
  <sheetFormatPr defaultRowHeight="15" x14ac:dyDescent="0.35"/>
  <cols>
    <col min="1" max="1" width="1.09765625" customWidth="1"/>
    <col min="2" max="2" width="24.3984375" bestFit="1" customWidth="1"/>
    <col min="3" max="3" width="10.09765625" customWidth="1"/>
    <col min="4" max="4" width="10" customWidth="1"/>
    <col min="5" max="5" width="11.296875" customWidth="1"/>
    <col min="8" max="8" width="1.09765625" customWidth="1"/>
    <col min="9" max="9" width="10.8984375" customWidth="1"/>
    <col min="10" max="10" width="11.296875" customWidth="1"/>
    <col min="11" max="11" width="11" customWidth="1"/>
    <col min="12" max="12" width="11.09765625" customWidth="1"/>
    <col min="14" max="15" width="11.3984375" customWidth="1"/>
    <col min="16" max="16" width="1.09765625" customWidth="1"/>
  </cols>
  <sheetData>
    <row r="1" spans="1:20" ht="21" x14ac:dyDescent="0.5">
      <c r="A1" s="10"/>
      <c r="B1" s="34" t="s">
        <v>132</v>
      </c>
      <c r="C1" s="34"/>
      <c r="D1" s="34"/>
      <c r="E1" s="34"/>
      <c r="F1" s="34"/>
      <c r="G1" s="34"/>
      <c r="H1" s="34"/>
      <c r="I1" s="34"/>
      <c r="J1" s="34"/>
      <c r="K1" s="11"/>
      <c r="L1" s="11"/>
      <c r="M1" s="11"/>
      <c r="N1" s="11"/>
      <c r="O1" s="11"/>
      <c r="P1" s="10"/>
    </row>
    <row r="2" spans="1:20" x14ac:dyDescent="0.35">
      <c r="A2" s="10"/>
      <c r="B2" s="10" t="s">
        <v>122</v>
      </c>
      <c r="C2" s="10"/>
      <c r="D2" s="10"/>
      <c r="E2" s="10"/>
      <c r="F2" s="10"/>
      <c r="G2" s="10"/>
      <c r="H2" s="10"/>
      <c r="I2" s="10"/>
      <c r="J2" s="10"/>
      <c r="K2" s="10"/>
      <c r="L2" s="10"/>
      <c r="M2" s="10"/>
      <c r="N2" s="10"/>
      <c r="O2" s="10"/>
      <c r="P2" s="10"/>
    </row>
    <row r="3" spans="1:20" ht="15.6" thickBot="1" x14ac:dyDescent="0.4">
      <c r="A3" s="14"/>
      <c r="B3" s="14"/>
      <c r="C3" s="157" t="s">
        <v>5</v>
      </c>
      <c r="D3" s="157"/>
      <c r="E3" s="157"/>
      <c r="F3" s="157"/>
      <c r="G3" s="157"/>
      <c r="H3" s="14"/>
      <c r="I3" s="157" t="s">
        <v>6</v>
      </c>
      <c r="J3" s="157"/>
      <c r="K3" s="157"/>
      <c r="L3" s="157"/>
      <c r="M3" s="157"/>
      <c r="N3" s="14"/>
      <c r="O3" s="14"/>
      <c r="P3" s="14"/>
    </row>
    <row r="4" spans="1:20" ht="60" x14ac:dyDescent="0.35">
      <c r="A4" s="14"/>
      <c r="B4" s="14" t="s">
        <v>120</v>
      </c>
      <c r="C4" s="15" t="s">
        <v>165</v>
      </c>
      <c r="D4" s="15" t="s">
        <v>115</v>
      </c>
      <c r="E4" s="15" t="s">
        <v>116</v>
      </c>
      <c r="F4" s="15" t="s">
        <v>117</v>
      </c>
      <c r="G4" s="15" t="s">
        <v>118</v>
      </c>
      <c r="H4" s="15"/>
      <c r="I4" s="15" t="s">
        <v>128</v>
      </c>
      <c r="J4" s="15" t="s">
        <v>119</v>
      </c>
      <c r="K4" s="15" t="s">
        <v>116</v>
      </c>
      <c r="L4" s="15" t="s">
        <v>117</v>
      </c>
      <c r="M4" s="15" t="s">
        <v>118</v>
      </c>
      <c r="N4" s="15" t="s">
        <v>121</v>
      </c>
      <c r="O4" s="15" t="s">
        <v>123</v>
      </c>
      <c r="P4" s="14"/>
    </row>
    <row r="5" spans="1:20" x14ac:dyDescent="0.35">
      <c r="A5" s="12"/>
      <c r="B5" s="12" t="s">
        <v>83</v>
      </c>
      <c r="C5" s="21">
        <v>204800</v>
      </c>
      <c r="D5" s="21">
        <v>329</v>
      </c>
      <c r="E5" s="23">
        <f t="shared" ref="E5:E36" si="0">D5/C5*10000</f>
        <v>16.064453125</v>
      </c>
      <c r="F5" s="12">
        <f t="shared" ref="F5:F36" si="1">RANK(D5,$D$5:$D$36,0)</f>
        <v>25</v>
      </c>
      <c r="G5" s="12">
        <f>RANK(E5,$E$4:$E$36,0)</f>
        <v>22</v>
      </c>
      <c r="H5" s="12"/>
      <c r="I5" s="21">
        <v>209100</v>
      </c>
      <c r="J5" s="21">
        <v>361</v>
      </c>
      <c r="K5" s="21">
        <f t="shared" ref="K5:K36" si="2">J5/I5*10000</f>
        <v>17.264466762314683</v>
      </c>
      <c r="L5" s="12">
        <f t="shared" ref="L5:L36" si="3">RANK(J5,$J$4:$J$36,0)</f>
        <v>25</v>
      </c>
      <c r="M5" s="12">
        <f>RANK(K5,$K$4:$K$36,0)</f>
        <v>17</v>
      </c>
      <c r="N5" s="32">
        <f t="shared" ref="N5:N36" si="4">J5/D5-1</f>
        <v>9.7264437689969618E-2</v>
      </c>
      <c r="O5" s="12">
        <f>RANK(N5,$N$4:$N$36,0)</f>
        <v>4</v>
      </c>
      <c r="P5" s="12"/>
    </row>
    <row r="6" spans="1:20" x14ac:dyDescent="0.35">
      <c r="A6" s="12"/>
      <c r="B6" s="12" t="s">
        <v>84</v>
      </c>
      <c r="C6" s="21">
        <v>377700</v>
      </c>
      <c r="D6" s="21">
        <v>727</v>
      </c>
      <c r="E6" s="23">
        <f t="shared" si="0"/>
        <v>19.248080487159122</v>
      </c>
      <c r="F6" s="12">
        <f t="shared" si="1"/>
        <v>5</v>
      </c>
      <c r="G6" s="12">
        <f t="shared" ref="G6:G36" si="5">RANK(E6,$E$4:$E$36,0)</f>
        <v>15</v>
      </c>
      <c r="H6" s="12"/>
      <c r="I6" s="21">
        <v>384200</v>
      </c>
      <c r="J6" s="21">
        <v>706</v>
      </c>
      <c r="K6" s="21">
        <f t="shared" si="2"/>
        <v>18.375845913586673</v>
      </c>
      <c r="L6" s="12">
        <f t="shared" si="3"/>
        <v>5</v>
      </c>
      <c r="M6" s="12">
        <f t="shared" ref="M6:M36" si="6">RANK(K6,$K$4:$K$36,0)</f>
        <v>14</v>
      </c>
      <c r="N6" s="32">
        <f t="shared" si="4"/>
        <v>-2.8885832187070193E-2</v>
      </c>
      <c r="O6" s="12">
        <f t="shared" ref="O6:O36" si="7">RANK(N6,$N$4:$N$36,0)</f>
        <v>17</v>
      </c>
      <c r="P6" s="12"/>
      <c r="T6" s="2"/>
    </row>
    <row r="7" spans="1:20" x14ac:dyDescent="0.35">
      <c r="A7" s="12"/>
      <c r="B7" s="12" t="s">
        <v>85</v>
      </c>
      <c r="C7" s="21">
        <v>244000</v>
      </c>
      <c r="D7" s="21">
        <v>268</v>
      </c>
      <c r="E7" s="23">
        <f t="shared" si="0"/>
        <v>10.983606557377049</v>
      </c>
      <c r="F7" s="12">
        <f t="shared" si="1"/>
        <v>29</v>
      </c>
      <c r="G7" s="12">
        <f t="shared" si="5"/>
        <v>32</v>
      </c>
      <c r="H7" s="12"/>
      <c r="I7" s="21">
        <v>246500</v>
      </c>
      <c r="J7" s="21">
        <v>240</v>
      </c>
      <c r="K7" s="21">
        <f t="shared" si="2"/>
        <v>9.736308316430021</v>
      </c>
      <c r="L7" s="12">
        <f t="shared" si="3"/>
        <v>30</v>
      </c>
      <c r="M7" s="12">
        <f t="shared" si="6"/>
        <v>32</v>
      </c>
      <c r="N7" s="32">
        <f t="shared" si="4"/>
        <v>-0.10447761194029848</v>
      </c>
      <c r="O7" s="12">
        <f t="shared" si="7"/>
        <v>26</v>
      </c>
      <c r="P7" s="12"/>
    </row>
    <row r="8" spans="1:20" x14ac:dyDescent="0.35">
      <c r="A8" s="12"/>
      <c r="B8" s="12" t="s">
        <v>86</v>
      </c>
      <c r="C8" s="21">
        <v>324900</v>
      </c>
      <c r="D8" s="21">
        <v>639</v>
      </c>
      <c r="E8" s="23">
        <f t="shared" si="0"/>
        <v>19.667590027700829</v>
      </c>
      <c r="F8" s="12">
        <f t="shared" si="1"/>
        <v>11</v>
      </c>
      <c r="G8" s="12">
        <f t="shared" si="5"/>
        <v>14</v>
      </c>
      <c r="H8" s="12"/>
      <c r="I8" s="21">
        <v>331800</v>
      </c>
      <c r="J8" s="21">
        <v>651</v>
      </c>
      <c r="K8" s="21">
        <f t="shared" si="2"/>
        <v>19.620253164556964</v>
      </c>
      <c r="L8" s="12">
        <f t="shared" si="3"/>
        <v>9</v>
      </c>
      <c r="M8" s="12">
        <f t="shared" si="6"/>
        <v>13</v>
      </c>
      <c r="N8" s="32">
        <f t="shared" si="4"/>
        <v>1.8779342723004744E-2</v>
      </c>
      <c r="O8" s="12">
        <f t="shared" si="7"/>
        <v>10</v>
      </c>
      <c r="P8" s="12"/>
    </row>
    <row r="9" spans="1:20" x14ac:dyDescent="0.35">
      <c r="A9" s="12"/>
      <c r="B9" s="12" t="s">
        <v>87</v>
      </c>
      <c r="C9" s="21">
        <v>325400</v>
      </c>
      <c r="D9" s="21">
        <v>427</v>
      </c>
      <c r="E9" s="23">
        <f t="shared" si="0"/>
        <v>13.122311001843885</v>
      </c>
      <c r="F9" s="12">
        <f t="shared" si="1"/>
        <v>23</v>
      </c>
      <c r="G9" s="12">
        <f t="shared" si="5"/>
        <v>25</v>
      </c>
      <c r="H9" s="12"/>
      <c r="I9" s="21">
        <v>329700</v>
      </c>
      <c r="J9" s="21">
        <v>363</v>
      </c>
      <c r="K9" s="21">
        <f t="shared" si="2"/>
        <v>11.010009099181074</v>
      </c>
      <c r="L9" s="12">
        <f t="shared" si="3"/>
        <v>24</v>
      </c>
      <c r="M9" s="12">
        <f t="shared" si="6"/>
        <v>30</v>
      </c>
      <c r="N9" s="32">
        <f t="shared" si="4"/>
        <v>-0.14988290398126469</v>
      </c>
      <c r="O9" s="12">
        <f t="shared" si="7"/>
        <v>32</v>
      </c>
      <c r="P9" s="12"/>
    </row>
    <row r="10" spans="1:20" x14ac:dyDescent="0.35">
      <c r="A10" s="12"/>
      <c r="B10" s="12" t="s">
        <v>88</v>
      </c>
      <c r="C10" s="21">
        <v>239200</v>
      </c>
      <c r="D10" s="21">
        <v>689</v>
      </c>
      <c r="E10" s="23">
        <f t="shared" si="0"/>
        <v>28.804347826086957</v>
      </c>
      <c r="F10" s="12">
        <f t="shared" si="1"/>
        <v>7</v>
      </c>
      <c r="G10" s="12">
        <f t="shared" si="5"/>
        <v>5</v>
      </c>
      <c r="H10" s="12"/>
      <c r="I10" s="21">
        <v>248000</v>
      </c>
      <c r="J10" s="21">
        <v>694</v>
      </c>
      <c r="K10" s="21">
        <f t="shared" si="2"/>
        <v>27.983870967741936</v>
      </c>
      <c r="L10" s="12">
        <f t="shared" si="3"/>
        <v>7</v>
      </c>
      <c r="M10" s="12">
        <f t="shared" si="6"/>
        <v>3</v>
      </c>
      <c r="N10" s="32">
        <f t="shared" si="4"/>
        <v>7.2568940493469292E-3</v>
      </c>
      <c r="O10" s="12">
        <f t="shared" si="7"/>
        <v>13</v>
      </c>
      <c r="P10" s="12"/>
    </row>
    <row r="11" spans="1:20" x14ac:dyDescent="0.35">
      <c r="A11" s="12"/>
      <c r="B11" s="12" t="s">
        <v>89</v>
      </c>
      <c r="C11" s="21">
        <v>380300</v>
      </c>
      <c r="D11" s="21">
        <v>613</v>
      </c>
      <c r="E11" s="23">
        <f t="shared" si="0"/>
        <v>16.118853536681566</v>
      </c>
      <c r="F11" s="12">
        <f t="shared" si="1"/>
        <v>13</v>
      </c>
      <c r="G11" s="12">
        <f t="shared" si="5"/>
        <v>21</v>
      </c>
      <c r="H11" s="12"/>
      <c r="I11" s="21">
        <v>386000</v>
      </c>
      <c r="J11" s="21">
        <v>622</v>
      </c>
      <c r="K11" s="21">
        <f t="shared" si="2"/>
        <v>16.1139896373057</v>
      </c>
      <c r="L11" s="12">
        <f t="shared" si="3"/>
        <v>11</v>
      </c>
      <c r="M11" s="12">
        <f t="shared" si="6"/>
        <v>20</v>
      </c>
      <c r="N11" s="32">
        <f t="shared" si="4"/>
        <v>1.4681892332789603E-2</v>
      </c>
      <c r="O11" s="12">
        <f t="shared" si="7"/>
        <v>11</v>
      </c>
      <c r="P11" s="12"/>
    </row>
    <row r="12" spans="1:20" x14ac:dyDescent="0.35">
      <c r="A12" s="12"/>
      <c r="B12" s="12" t="s">
        <v>90</v>
      </c>
      <c r="C12" s="21">
        <v>340100</v>
      </c>
      <c r="D12" s="21">
        <v>740</v>
      </c>
      <c r="E12" s="23">
        <f t="shared" si="0"/>
        <v>21.758306380476331</v>
      </c>
      <c r="F12" s="12">
        <f t="shared" si="1"/>
        <v>4</v>
      </c>
      <c r="G12" s="12">
        <f t="shared" si="5"/>
        <v>9</v>
      </c>
      <c r="H12" s="12"/>
      <c r="I12" s="21">
        <v>347900</v>
      </c>
      <c r="J12" s="21">
        <v>710</v>
      </c>
      <c r="K12" s="21">
        <f t="shared" si="2"/>
        <v>20.408163265306126</v>
      </c>
      <c r="L12" s="12">
        <f t="shared" si="3"/>
        <v>4</v>
      </c>
      <c r="M12" s="12">
        <f t="shared" si="6"/>
        <v>12</v>
      </c>
      <c r="N12" s="32">
        <f t="shared" si="4"/>
        <v>-4.0540540540540571E-2</v>
      </c>
      <c r="O12" s="12">
        <f t="shared" si="7"/>
        <v>19</v>
      </c>
      <c r="P12" s="12"/>
    </row>
    <row r="13" spans="1:20" x14ac:dyDescent="0.35">
      <c r="A13" s="12"/>
      <c r="B13" s="12" t="s">
        <v>91</v>
      </c>
      <c r="C13" s="21">
        <v>326800</v>
      </c>
      <c r="D13" s="21">
        <v>419</v>
      </c>
      <c r="E13" s="23">
        <f t="shared" si="0"/>
        <v>12.821297429620564</v>
      </c>
      <c r="F13" s="12">
        <f t="shared" si="1"/>
        <v>24</v>
      </c>
      <c r="G13" s="12">
        <f t="shared" si="5"/>
        <v>26</v>
      </c>
      <c r="H13" s="12"/>
      <c r="I13" s="21">
        <v>334100</v>
      </c>
      <c r="J13" s="21">
        <v>419</v>
      </c>
      <c r="K13" s="21">
        <f t="shared" si="2"/>
        <v>12.541155342711763</v>
      </c>
      <c r="L13" s="12">
        <f t="shared" si="3"/>
        <v>23</v>
      </c>
      <c r="M13" s="12">
        <f t="shared" si="6"/>
        <v>28</v>
      </c>
      <c r="N13" s="32">
        <f t="shared" si="4"/>
        <v>0</v>
      </c>
      <c r="O13" s="12">
        <f t="shared" si="7"/>
        <v>15</v>
      </c>
      <c r="P13" s="12"/>
    </row>
    <row r="14" spans="1:20" x14ac:dyDescent="0.35">
      <c r="A14" s="12"/>
      <c r="B14" s="12" t="s">
        <v>92</v>
      </c>
      <c r="C14" s="21">
        <v>275200</v>
      </c>
      <c r="D14" s="21">
        <v>578</v>
      </c>
      <c r="E14" s="23">
        <f t="shared" si="0"/>
        <v>21.002906976744185</v>
      </c>
      <c r="F14" s="12">
        <f t="shared" si="1"/>
        <v>14</v>
      </c>
      <c r="G14" s="12">
        <f t="shared" si="5"/>
        <v>11</v>
      </c>
      <c r="H14" s="12"/>
      <c r="I14" s="21">
        <v>279200</v>
      </c>
      <c r="J14" s="21">
        <v>494</v>
      </c>
      <c r="K14" s="21">
        <f t="shared" si="2"/>
        <v>17.693409742120341</v>
      </c>
      <c r="L14" s="12">
        <f t="shared" si="3"/>
        <v>16</v>
      </c>
      <c r="M14" s="12">
        <f t="shared" si="6"/>
        <v>16</v>
      </c>
      <c r="N14" s="32">
        <f t="shared" si="4"/>
        <v>-0.1453287197231834</v>
      </c>
      <c r="O14" s="12">
        <f t="shared" si="7"/>
        <v>31</v>
      </c>
      <c r="P14" s="12"/>
    </row>
    <row r="15" spans="1:20" x14ac:dyDescent="0.35">
      <c r="A15" s="12"/>
      <c r="B15" s="12" t="s">
        <v>93</v>
      </c>
      <c r="C15" s="21">
        <v>272100</v>
      </c>
      <c r="D15" s="21">
        <v>747</v>
      </c>
      <c r="E15" s="23">
        <f t="shared" si="0"/>
        <v>27.453142227122381</v>
      </c>
      <c r="F15" s="12">
        <f t="shared" si="1"/>
        <v>3</v>
      </c>
      <c r="G15" s="12">
        <f t="shared" si="5"/>
        <v>7</v>
      </c>
      <c r="H15" s="12"/>
      <c r="I15" s="21">
        <v>277000</v>
      </c>
      <c r="J15" s="21">
        <v>705</v>
      </c>
      <c r="K15" s="21">
        <f t="shared" si="2"/>
        <v>25.451263537906136</v>
      </c>
      <c r="L15" s="12">
        <f t="shared" si="3"/>
        <v>6</v>
      </c>
      <c r="M15" s="12">
        <f t="shared" si="6"/>
        <v>6</v>
      </c>
      <c r="N15" s="32">
        <f t="shared" si="4"/>
        <v>-5.6224899598393607E-2</v>
      </c>
      <c r="O15" s="12">
        <f t="shared" si="7"/>
        <v>22</v>
      </c>
      <c r="P15" s="12"/>
    </row>
    <row r="16" spans="1:20" x14ac:dyDescent="0.35">
      <c r="A16" s="12"/>
      <c r="B16" s="12" t="s">
        <v>94</v>
      </c>
      <c r="C16" s="21">
        <v>174500</v>
      </c>
      <c r="D16" s="21">
        <v>545</v>
      </c>
      <c r="E16" s="23">
        <f t="shared" si="0"/>
        <v>31.232091690544411</v>
      </c>
      <c r="F16" s="12">
        <f t="shared" si="1"/>
        <v>15</v>
      </c>
      <c r="G16" s="12">
        <f t="shared" si="5"/>
        <v>3</v>
      </c>
      <c r="H16" s="12"/>
      <c r="I16" s="21">
        <v>180800</v>
      </c>
      <c r="J16" s="21">
        <v>488</v>
      </c>
      <c r="K16" s="21">
        <f t="shared" si="2"/>
        <v>26.991150442477874</v>
      </c>
      <c r="L16" s="12">
        <f t="shared" si="3"/>
        <v>18</v>
      </c>
      <c r="M16" s="12">
        <f t="shared" si="6"/>
        <v>4</v>
      </c>
      <c r="N16" s="32">
        <f t="shared" si="4"/>
        <v>-0.1045871559633027</v>
      </c>
      <c r="O16" s="12">
        <f t="shared" si="7"/>
        <v>27</v>
      </c>
      <c r="P16" s="12"/>
    </row>
    <row r="17" spans="1:16" x14ac:dyDescent="0.35">
      <c r="A17" s="12"/>
      <c r="B17" s="12" t="s">
        <v>95</v>
      </c>
      <c r="C17" s="21">
        <v>272100</v>
      </c>
      <c r="D17" s="21">
        <v>703</v>
      </c>
      <c r="E17" s="23">
        <f t="shared" si="0"/>
        <v>25.836089672914369</v>
      </c>
      <c r="F17" s="12">
        <f t="shared" si="1"/>
        <v>6</v>
      </c>
      <c r="G17" s="12">
        <f t="shared" si="5"/>
        <v>8</v>
      </c>
      <c r="H17" s="12"/>
      <c r="I17" s="21">
        <v>275900</v>
      </c>
      <c r="J17" s="21">
        <v>658</v>
      </c>
      <c r="K17" s="21">
        <f t="shared" si="2"/>
        <v>23.84922073214933</v>
      </c>
      <c r="L17" s="12">
        <f t="shared" si="3"/>
        <v>8</v>
      </c>
      <c r="M17" s="12">
        <f t="shared" si="6"/>
        <v>8</v>
      </c>
      <c r="N17" s="32">
        <f t="shared" si="4"/>
        <v>-6.4011379800853474E-2</v>
      </c>
      <c r="O17" s="12">
        <f t="shared" si="7"/>
        <v>23</v>
      </c>
      <c r="P17" s="12"/>
    </row>
    <row r="18" spans="1:16" x14ac:dyDescent="0.35">
      <c r="A18" s="12"/>
      <c r="B18" s="12" t="s">
        <v>96</v>
      </c>
      <c r="C18" s="21">
        <v>247100</v>
      </c>
      <c r="D18" s="21">
        <v>298</v>
      </c>
      <c r="E18" s="23">
        <f t="shared" si="0"/>
        <v>12.059894779441521</v>
      </c>
      <c r="F18" s="12">
        <f t="shared" si="1"/>
        <v>26</v>
      </c>
      <c r="G18" s="12">
        <f t="shared" si="5"/>
        <v>29</v>
      </c>
      <c r="H18" s="12"/>
      <c r="I18" s="21">
        <v>250600</v>
      </c>
      <c r="J18" s="21">
        <v>346</v>
      </c>
      <c r="K18" s="21">
        <f t="shared" si="2"/>
        <v>13.806863527533919</v>
      </c>
      <c r="L18" s="12">
        <f t="shared" si="3"/>
        <v>26</v>
      </c>
      <c r="M18" s="12">
        <f t="shared" si="6"/>
        <v>25</v>
      </c>
      <c r="N18" s="32">
        <f t="shared" si="4"/>
        <v>0.16107382550335569</v>
      </c>
      <c r="O18" s="12">
        <f t="shared" si="7"/>
        <v>3</v>
      </c>
      <c r="P18" s="12"/>
    </row>
    <row r="19" spans="1:16" x14ac:dyDescent="0.35">
      <c r="A19" s="12"/>
      <c r="B19" s="12" t="s">
        <v>97</v>
      </c>
      <c r="C19" s="21">
        <v>250700</v>
      </c>
      <c r="D19" s="21">
        <v>298</v>
      </c>
      <c r="E19" s="23">
        <f t="shared" si="0"/>
        <v>11.886717191862783</v>
      </c>
      <c r="F19" s="12">
        <f t="shared" si="1"/>
        <v>26</v>
      </c>
      <c r="G19" s="12">
        <f t="shared" si="5"/>
        <v>30</v>
      </c>
      <c r="H19" s="12"/>
      <c r="I19" s="21">
        <v>252700</v>
      </c>
      <c r="J19" s="21">
        <v>308</v>
      </c>
      <c r="K19" s="21">
        <f t="shared" si="2"/>
        <v>12.18836565096953</v>
      </c>
      <c r="L19" s="12">
        <f t="shared" si="3"/>
        <v>27</v>
      </c>
      <c r="M19" s="12">
        <f t="shared" si="6"/>
        <v>29</v>
      </c>
      <c r="N19" s="32">
        <f t="shared" si="4"/>
        <v>3.3557046979865834E-2</v>
      </c>
      <c r="O19" s="12">
        <f t="shared" si="7"/>
        <v>9</v>
      </c>
      <c r="P19" s="12"/>
    </row>
    <row r="20" spans="1:16" x14ac:dyDescent="0.35">
      <c r="A20" s="12"/>
      <c r="B20" s="12" t="s">
        <v>98</v>
      </c>
      <c r="C20" s="21">
        <v>300900</v>
      </c>
      <c r="D20" s="21">
        <v>537</v>
      </c>
      <c r="E20" s="23">
        <f t="shared" si="0"/>
        <v>17.846460618145564</v>
      </c>
      <c r="F20" s="12">
        <f t="shared" si="1"/>
        <v>18</v>
      </c>
      <c r="G20" s="12">
        <f t="shared" si="5"/>
        <v>18</v>
      </c>
      <c r="H20" s="12"/>
      <c r="I20" s="21">
        <v>306000</v>
      </c>
      <c r="J20" s="21">
        <v>498</v>
      </c>
      <c r="K20" s="21">
        <f t="shared" si="2"/>
        <v>16.274509803921568</v>
      </c>
      <c r="L20" s="12">
        <f t="shared" si="3"/>
        <v>15</v>
      </c>
      <c r="M20" s="12">
        <f t="shared" si="6"/>
        <v>19</v>
      </c>
      <c r="N20" s="32">
        <f t="shared" si="4"/>
        <v>-7.2625698324022325E-2</v>
      </c>
      <c r="O20" s="12">
        <f t="shared" si="7"/>
        <v>24</v>
      </c>
      <c r="P20" s="12"/>
    </row>
    <row r="21" spans="1:16" x14ac:dyDescent="0.35">
      <c r="A21" s="12"/>
      <c r="B21" s="12" t="s">
        <v>99</v>
      </c>
      <c r="C21" s="21">
        <v>270900</v>
      </c>
      <c r="D21" s="21">
        <v>543</v>
      </c>
      <c r="E21" s="23">
        <f t="shared" si="0"/>
        <v>20.044296788482836</v>
      </c>
      <c r="F21" s="12">
        <f t="shared" si="1"/>
        <v>16</v>
      </c>
      <c r="G21" s="12">
        <f t="shared" si="5"/>
        <v>13</v>
      </c>
      <c r="H21" s="12"/>
      <c r="I21" s="21">
        <v>275300</v>
      </c>
      <c r="J21" s="21">
        <v>581</v>
      </c>
      <c r="K21" s="21">
        <f t="shared" si="2"/>
        <v>21.104249909189974</v>
      </c>
      <c r="L21" s="12">
        <f t="shared" si="3"/>
        <v>13</v>
      </c>
      <c r="M21" s="12">
        <f t="shared" si="6"/>
        <v>10</v>
      </c>
      <c r="N21" s="32">
        <f t="shared" si="4"/>
        <v>6.9981583793738533E-2</v>
      </c>
      <c r="O21" s="12">
        <f t="shared" si="7"/>
        <v>6</v>
      </c>
      <c r="P21" s="12"/>
    </row>
    <row r="22" spans="1:16" x14ac:dyDescent="0.35">
      <c r="A22" s="12"/>
      <c r="B22" s="12" t="s">
        <v>100</v>
      </c>
      <c r="C22" s="21">
        <v>227500</v>
      </c>
      <c r="D22" s="21">
        <v>677</v>
      </c>
      <c r="E22" s="23">
        <f t="shared" si="0"/>
        <v>29.758241758241756</v>
      </c>
      <c r="F22" s="12">
        <f t="shared" si="1"/>
        <v>8</v>
      </c>
      <c r="G22" s="12">
        <f t="shared" si="5"/>
        <v>4</v>
      </c>
      <c r="H22" s="12"/>
      <c r="I22" s="21">
        <v>232600</v>
      </c>
      <c r="J22" s="21">
        <v>604</v>
      </c>
      <c r="K22" s="21">
        <f t="shared" si="2"/>
        <v>25.96732588134136</v>
      </c>
      <c r="L22" s="12">
        <f t="shared" si="3"/>
        <v>12</v>
      </c>
      <c r="M22" s="12">
        <f t="shared" si="6"/>
        <v>5</v>
      </c>
      <c r="N22" s="32">
        <f t="shared" si="4"/>
        <v>-0.10782865583456425</v>
      </c>
      <c r="O22" s="12">
        <f t="shared" si="7"/>
        <v>28</v>
      </c>
      <c r="P22" s="12"/>
    </row>
    <row r="23" spans="1:16" x14ac:dyDescent="0.35">
      <c r="A23" s="12"/>
      <c r="B23" s="12" t="s">
        <v>101</v>
      </c>
      <c r="C23" s="21">
        <v>154200</v>
      </c>
      <c r="D23" s="21">
        <v>507</v>
      </c>
      <c r="E23" s="23">
        <f t="shared" si="0"/>
        <v>32.879377431906619</v>
      </c>
      <c r="F23" s="12">
        <f t="shared" si="1"/>
        <v>19</v>
      </c>
      <c r="G23" s="12">
        <f t="shared" si="5"/>
        <v>2</v>
      </c>
      <c r="H23" s="12"/>
      <c r="I23" s="21">
        <v>156200</v>
      </c>
      <c r="J23" s="21">
        <v>482</v>
      </c>
      <c r="K23" s="21">
        <f t="shared" si="2"/>
        <v>30.857874519846352</v>
      </c>
      <c r="L23" s="12">
        <f t="shared" si="3"/>
        <v>20</v>
      </c>
      <c r="M23" s="12">
        <f t="shared" si="6"/>
        <v>2</v>
      </c>
      <c r="N23" s="32">
        <f t="shared" si="4"/>
        <v>-4.9309664694280109E-2</v>
      </c>
      <c r="O23" s="12">
        <f t="shared" si="7"/>
        <v>20</v>
      </c>
      <c r="P23" s="12"/>
    </row>
    <row r="24" spans="1:16" x14ac:dyDescent="0.35">
      <c r="A24" s="12"/>
      <c r="B24" s="12" t="s">
        <v>102</v>
      </c>
      <c r="C24" s="21">
        <v>172700</v>
      </c>
      <c r="D24" s="21">
        <v>219</v>
      </c>
      <c r="E24" s="23">
        <f t="shared" si="0"/>
        <v>12.680949623624784</v>
      </c>
      <c r="F24" s="12">
        <f t="shared" si="1"/>
        <v>32</v>
      </c>
      <c r="G24" s="12">
        <f t="shared" si="5"/>
        <v>27</v>
      </c>
      <c r="H24" s="12"/>
      <c r="I24" s="21">
        <v>177600</v>
      </c>
      <c r="J24" s="21">
        <v>229</v>
      </c>
      <c r="K24" s="21">
        <f t="shared" si="2"/>
        <v>12.894144144144144</v>
      </c>
      <c r="L24" s="12">
        <f t="shared" si="3"/>
        <v>31</v>
      </c>
      <c r="M24" s="12">
        <f t="shared" si="6"/>
        <v>27</v>
      </c>
      <c r="N24" s="32">
        <f t="shared" si="4"/>
        <v>4.5662100456621113E-2</v>
      </c>
      <c r="O24" s="12">
        <f t="shared" si="7"/>
        <v>8</v>
      </c>
      <c r="P24" s="12"/>
    </row>
    <row r="25" spans="1:16" x14ac:dyDescent="0.35">
      <c r="A25" s="12"/>
      <c r="B25" s="12" t="s">
        <v>103</v>
      </c>
      <c r="C25" s="21">
        <v>323100</v>
      </c>
      <c r="D25" s="21">
        <v>652</v>
      </c>
      <c r="E25" s="23">
        <f t="shared" si="0"/>
        <v>20.179510987310429</v>
      </c>
      <c r="F25" s="12">
        <f t="shared" si="1"/>
        <v>9</v>
      </c>
      <c r="G25" s="12">
        <f t="shared" si="5"/>
        <v>12</v>
      </c>
      <c r="H25" s="12"/>
      <c r="I25" s="21">
        <v>328400</v>
      </c>
      <c r="J25" s="21">
        <v>711</v>
      </c>
      <c r="K25" s="21">
        <f t="shared" si="2"/>
        <v>21.650426309378808</v>
      </c>
      <c r="L25" s="12">
        <f t="shared" si="3"/>
        <v>3</v>
      </c>
      <c r="M25" s="12">
        <f t="shared" si="6"/>
        <v>9</v>
      </c>
      <c r="N25" s="32">
        <f t="shared" si="4"/>
        <v>9.0490797546012303E-2</v>
      </c>
      <c r="O25" s="12">
        <f t="shared" si="7"/>
        <v>5</v>
      </c>
      <c r="P25" s="12"/>
    </row>
    <row r="26" spans="1:16" x14ac:dyDescent="0.35">
      <c r="A26" s="12"/>
      <c r="B26" s="12" t="s">
        <v>104</v>
      </c>
      <c r="C26" s="21">
        <v>299600</v>
      </c>
      <c r="D26" s="21">
        <v>539</v>
      </c>
      <c r="E26" s="23">
        <f t="shared" si="0"/>
        <v>17.990654205607477</v>
      </c>
      <c r="F26" s="12">
        <f t="shared" si="1"/>
        <v>17</v>
      </c>
      <c r="G26" s="12">
        <f t="shared" si="5"/>
        <v>17</v>
      </c>
      <c r="H26" s="12"/>
      <c r="I26" s="21">
        <v>303700</v>
      </c>
      <c r="J26" s="21">
        <v>483</v>
      </c>
      <c r="K26" s="21">
        <f t="shared" si="2"/>
        <v>15.903852486005928</v>
      </c>
      <c r="L26" s="12">
        <f t="shared" si="3"/>
        <v>19</v>
      </c>
      <c r="M26" s="12">
        <f t="shared" si="6"/>
        <v>21</v>
      </c>
      <c r="N26" s="32">
        <f t="shared" si="4"/>
        <v>-0.10389610389610393</v>
      </c>
      <c r="O26" s="12">
        <f t="shared" si="7"/>
        <v>25</v>
      </c>
      <c r="P26" s="12"/>
    </row>
    <row r="27" spans="1:16" x14ac:dyDescent="0.35">
      <c r="A27" s="12"/>
      <c r="B27" s="12" t="s">
        <v>105</v>
      </c>
      <c r="C27" s="21">
        <v>203500</v>
      </c>
      <c r="D27" s="21">
        <v>278</v>
      </c>
      <c r="E27" s="23">
        <f t="shared" si="0"/>
        <v>13.66093366093366</v>
      </c>
      <c r="F27" s="12">
        <f t="shared" si="1"/>
        <v>28</v>
      </c>
      <c r="G27" s="12">
        <f t="shared" si="5"/>
        <v>24</v>
      </c>
      <c r="H27" s="12"/>
      <c r="I27" s="21">
        <v>209300</v>
      </c>
      <c r="J27" s="21">
        <v>277</v>
      </c>
      <c r="K27" s="21">
        <f t="shared" si="2"/>
        <v>13.234591495461061</v>
      </c>
      <c r="L27" s="12">
        <f t="shared" si="3"/>
        <v>29</v>
      </c>
      <c r="M27" s="12">
        <f t="shared" si="6"/>
        <v>26</v>
      </c>
      <c r="N27" s="32">
        <f t="shared" si="4"/>
        <v>-3.597122302158251E-3</v>
      </c>
      <c r="O27" s="12">
        <f t="shared" si="7"/>
        <v>16</v>
      </c>
      <c r="P27" s="12"/>
    </row>
    <row r="28" spans="1:16" x14ac:dyDescent="0.35">
      <c r="A28" s="12"/>
      <c r="B28" s="12" t="s">
        <v>106</v>
      </c>
      <c r="C28" s="21">
        <v>333900</v>
      </c>
      <c r="D28" s="21">
        <v>638</v>
      </c>
      <c r="E28" s="23">
        <f t="shared" si="0"/>
        <v>19.107517220724766</v>
      </c>
      <c r="F28" s="12">
        <f t="shared" si="1"/>
        <v>12</v>
      </c>
      <c r="G28" s="12">
        <f t="shared" si="5"/>
        <v>16</v>
      </c>
      <c r="H28" s="12"/>
      <c r="I28" s="21">
        <v>345600</v>
      </c>
      <c r="J28" s="21">
        <v>567</v>
      </c>
      <c r="K28" s="21">
        <f t="shared" si="2"/>
        <v>16.40625</v>
      </c>
      <c r="L28" s="12">
        <f t="shared" si="3"/>
        <v>14</v>
      </c>
      <c r="M28" s="12">
        <f t="shared" si="6"/>
        <v>18</v>
      </c>
      <c r="N28" s="32">
        <f t="shared" si="4"/>
        <v>-0.11128526645768022</v>
      </c>
      <c r="O28" s="12">
        <f t="shared" si="7"/>
        <v>29</v>
      </c>
      <c r="P28" s="12"/>
    </row>
    <row r="29" spans="1:16" x14ac:dyDescent="0.35">
      <c r="A29" s="12"/>
      <c r="B29" s="12" t="s">
        <v>107</v>
      </c>
      <c r="C29" s="21">
        <v>300000</v>
      </c>
      <c r="D29" s="21">
        <v>450</v>
      </c>
      <c r="E29" s="23">
        <f t="shared" si="0"/>
        <v>15</v>
      </c>
      <c r="F29" s="12">
        <f t="shared" si="1"/>
        <v>22</v>
      </c>
      <c r="G29" s="12">
        <f t="shared" si="5"/>
        <v>23</v>
      </c>
      <c r="H29" s="12"/>
      <c r="I29" s="21">
        <v>305900</v>
      </c>
      <c r="J29" s="21">
        <v>454</v>
      </c>
      <c r="K29" s="21">
        <f t="shared" si="2"/>
        <v>14.841451454723765</v>
      </c>
      <c r="L29" s="12">
        <f t="shared" si="3"/>
        <v>22</v>
      </c>
      <c r="M29" s="12">
        <f t="shared" si="6"/>
        <v>23</v>
      </c>
      <c r="N29" s="32">
        <f t="shared" si="4"/>
        <v>8.8888888888889461E-3</v>
      </c>
      <c r="O29" s="12">
        <f t="shared" si="7"/>
        <v>12</v>
      </c>
      <c r="P29" s="12"/>
    </row>
    <row r="30" spans="1:16" x14ac:dyDescent="0.35">
      <c r="A30" s="12"/>
      <c r="B30" s="12" t="s">
        <v>108</v>
      </c>
      <c r="C30" s="21">
        <v>194600</v>
      </c>
      <c r="D30" s="21">
        <v>226</v>
      </c>
      <c r="E30" s="23">
        <f t="shared" si="0"/>
        <v>11.613566289825282</v>
      </c>
      <c r="F30" s="12">
        <f t="shared" si="1"/>
        <v>31</v>
      </c>
      <c r="G30" s="12">
        <f t="shared" si="5"/>
        <v>31</v>
      </c>
      <c r="H30" s="12"/>
      <c r="I30" s="21">
        <v>198000</v>
      </c>
      <c r="J30" s="21">
        <v>217</v>
      </c>
      <c r="K30" s="21">
        <f t="shared" si="2"/>
        <v>10.95959595959596</v>
      </c>
      <c r="L30" s="12">
        <f t="shared" si="3"/>
        <v>32</v>
      </c>
      <c r="M30" s="12">
        <f t="shared" si="6"/>
        <v>31</v>
      </c>
      <c r="N30" s="32">
        <f t="shared" si="4"/>
        <v>-3.9823008849557473E-2</v>
      </c>
      <c r="O30" s="12">
        <f t="shared" si="7"/>
        <v>18</v>
      </c>
      <c r="P30" s="12"/>
    </row>
    <row r="31" spans="1:16" x14ac:dyDescent="0.35">
      <c r="A31" s="12"/>
      <c r="B31" s="12" t="s">
        <v>109</v>
      </c>
      <c r="C31" s="21">
        <v>308100</v>
      </c>
      <c r="D31" s="21">
        <v>648</v>
      </c>
      <c r="E31" s="23">
        <f t="shared" si="0"/>
        <v>21.03213242453749</v>
      </c>
      <c r="F31" s="12">
        <f t="shared" si="1"/>
        <v>10</v>
      </c>
      <c r="G31" s="12">
        <f t="shared" si="5"/>
        <v>10</v>
      </c>
      <c r="H31" s="12"/>
      <c r="I31" s="21">
        <v>315900</v>
      </c>
      <c r="J31" s="21">
        <v>649</v>
      </c>
      <c r="K31" s="21">
        <f t="shared" si="2"/>
        <v>20.544476100031655</v>
      </c>
      <c r="L31" s="12">
        <f t="shared" si="3"/>
        <v>10</v>
      </c>
      <c r="M31" s="12">
        <f t="shared" si="6"/>
        <v>11</v>
      </c>
      <c r="N31" s="32">
        <f t="shared" si="4"/>
        <v>1.5432098765431057E-3</v>
      </c>
      <c r="O31" s="12">
        <f t="shared" si="7"/>
        <v>14</v>
      </c>
      <c r="P31" s="12"/>
    </row>
    <row r="32" spans="1:16" x14ac:dyDescent="0.35">
      <c r="A32" s="12"/>
      <c r="B32" s="12" t="s">
        <v>110</v>
      </c>
      <c r="C32" s="21">
        <v>200000</v>
      </c>
      <c r="D32" s="21">
        <v>242</v>
      </c>
      <c r="E32" s="23">
        <f t="shared" si="0"/>
        <v>12.1</v>
      </c>
      <c r="F32" s="12">
        <f t="shared" si="1"/>
        <v>30</v>
      </c>
      <c r="G32" s="12">
        <f t="shared" si="5"/>
        <v>28</v>
      </c>
      <c r="H32" s="12"/>
      <c r="I32" s="21">
        <v>202500</v>
      </c>
      <c r="J32" s="21">
        <v>283</v>
      </c>
      <c r="K32" s="21">
        <f t="shared" si="2"/>
        <v>13.975308641975309</v>
      </c>
      <c r="L32" s="12">
        <f t="shared" si="3"/>
        <v>28</v>
      </c>
      <c r="M32" s="12">
        <f t="shared" si="6"/>
        <v>24</v>
      </c>
      <c r="N32" s="32">
        <f t="shared" si="4"/>
        <v>0.16942148760330578</v>
      </c>
      <c r="O32" s="12">
        <f t="shared" si="7"/>
        <v>2</v>
      </c>
      <c r="P32" s="12"/>
    </row>
    <row r="33" spans="1:21" x14ac:dyDescent="0.35">
      <c r="A33" s="12"/>
      <c r="B33" s="12" t="s">
        <v>111</v>
      </c>
      <c r="C33" s="21">
        <v>302900</v>
      </c>
      <c r="D33" s="21">
        <v>844</v>
      </c>
      <c r="E33" s="23">
        <f t="shared" si="0"/>
        <v>27.863981512050181</v>
      </c>
      <c r="F33" s="12">
        <f t="shared" si="1"/>
        <v>2</v>
      </c>
      <c r="G33" s="12">
        <f t="shared" si="5"/>
        <v>6</v>
      </c>
      <c r="H33" s="12"/>
      <c r="I33" s="21">
        <v>308400</v>
      </c>
      <c r="J33" s="21">
        <v>742</v>
      </c>
      <c r="K33" s="21">
        <f t="shared" si="2"/>
        <v>24.059662775616086</v>
      </c>
      <c r="L33" s="12">
        <f t="shared" si="3"/>
        <v>2</v>
      </c>
      <c r="M33" s="12">
        <f t="shared" si="6"/>
        <v>7</v>
      </c>
      <c r="N33" s="32">
        <f t="shared" si="4"/>
        <v>-0.12085308056872035</v>
      </c>
      <c r="O33" s="12">
        <f t="shared" si="7"/>
        <v>30</v>
      </c>
      <c r="P33" s="12"/>
    </row>
    <row r="34" spans="1:21" x14ac:dyDescent="0.35">
      <c r="A34" s="12"/>
      <c r="B34" s="12" t="s">
        <v>112</v>
      </c>
      <c r="C34" s="21">
        <v>270900</v>
      </c>
      <c r="D34" s="21">
        <v>467</v>
      </c>
      <c r="E34" s="23">
        <f t="shared" si="0"/>
        <v>17.238833517903284</v>
      </c>
      <c r="F34" s="12">
        <f t="shared" si="1"/>
        <v>21</v>
      </c>
      <c r="G34" s="12">
        <f t="shared" si="5"/>
        <v>19</v>
      </c>
      <c r="H34" s="12"/>
      <c r="I34" s="21">
        <v>276300</v>
      </c>
      <c r="J34" s="21">
        <v>492</v>
      </c>
      <c r="K34" s="21">
        <f t="shared" si="2"/>
        <v>17.806731813246472</v>
      </c>
      <c r="L34" s="12">
        <f t="shared" si="3"/>
        <v>17</v>
      </c>
      <c r="M34" s="12">
        <f t="shared" si="6"/>
        <v>15</v>
      </c>
      <c r="N34" s="32">
        <f t="shared" si="4"/>
        <v>5.3533190578158418E-2</v>
      </c>
      <c r="O34" s="12">
        <f t="shared" si="7"/>
        <v>7</v>
      </c>
      <c r="P34" s="12"/>
    </row>
    <row r="35" spans="1:21" x14ac:dyDescent="0.35">
      <c r="A35" s="12"/>
      <c r="B35" s="12" t="s">
        <v>113</v>
      </c>
      <c r="C35" s="21">
        <v>309000</v>
      </c>
      <c r="D35" s="21">
        <v>506</v>
      </c>
      <c r="E35" s="23">
        <f t="shared" si="0"/>
        <v>16.375404530744337</v>
      </c>
      <c r="F35" s="12">
        <f t="shared" si="1"/>
        <v>20</v>
      </c>
      <c r="G35" s="12">
        <f t="shared" si="5"/>
        <v>20</v>
      </c>
      <c r="H35" s="12"/>
      <c r="I35" s="21">
        <v>318300</v>
      </c>
      <c r="J35" s="21">
        <v>479</v>
      </c>
      <c r="K35" s="21">
        <f t="shared" si="2"/>
        <v>15.048696198554824</v>
      </c>
      <c r="L35" s="12">
        <f t="shared" si="3"/>
        <v>21</v>
      </c>
      <c r="M35" s="12">
        <f t="shared" si="6"/>
        <v>22</v>
      </c>
      <c r="N35" s="32">
        <f t="shared" si="4"/>
        <v>-5.3359683794466428E-2</v>
      </c>
      <c r="O35" s="12">
        <f t="shared" si="7"/>
        <v>21</v>
      </c>
      <c r="P35" s="12"/>
    </row>
    <row r="36" spans="1:21" x14ac:dyDescent="0.35">
      <c r="A36" s="12"/>
      <c r="B36" s="12" t="s">
        <v>114</v>
      </c>
      <c r="C36" s="21">
        <v>238100</v>
      </c>
      <c r="D36" s="21">
        <v>1166</v>
      </c>
      <c r="E36" s="23">
        <f t="shared" si="0"/>
        <v>48.971020579588412</v>
      </c>
      <c r="F36" s="12">
        <f t="shared" si="1"/>
        <v>1</v>
      </c>
      <c r="G36" s="12">
        <f t="shared" si="5"/>
        <v>1</v>
      </c>
      <c r="H36" s="12"/>
      <c r="I36" s="21">
        <v>236600</v>
      </c>
      <c r="J36" s="21">
        <v>1370</v>
      </c>
      <c r="K36" s="21">
        <f t="shared" si="2"/>
        <v>57.903634826711752</v>
      </c>
      <c r="L36" s="12">
        <f t="shared" si="3"/>
        <v>1</v>
      </c>
      <c r="M36" s="12">
        <f t="shared" si="6"/>
        <v>1</v>
      </c>
      <c r="N36" s="32">
        <f t="shared" si="4"/>
        <v>0.17495711835334471</v>
      </c>
      <c r="O36" s="12">
        <f t="shared" si="7"/>
        <v>1</v>
      </c>
      <c r="P36" s="12"/>
    </row>
    <row r="37" spans="1:21" ht="2.25" customHeight="1" x14ac:dyDescent="0.35">
      <c r="A37" s="14"/>
      <c r="B37" s="14"/>
      <c r="C37" s="14"/>
      <c r="D37" s="14"/>
      <c r="E37" s="14"/>
      <c r="F37" s="14"/>
      <c r="G37" s="14"/>
      <c r="H37" s="14"/>
      <c r="I37" s="14"/>
      <c r="J37" s="14"/>
      <c r="K37" s="14"/>
      <c r="L37" s="14"/>
      <c r="M37" s="14"/>
      <c r="N37" s="14"/>
      <c r="O37" s="14"/>
      <c r="P37" s="14"/>
      <c r="U37" t="e">
        <f>D37/C37*$T$6</f>
        <v>#DIV/0!</v>
      </c>
    </row>
    <row r="38" spans="1:21" x14ac:dyDescent="0.35">
      <c r="A38" s="31" t="s">
        <v>129</v>
      </c>
    </row>
    <row r="39" spans="1:21" x14ac:dyDescent="0.35">
      <c r="A39" s="29" t="s">
        <v>164</v>
      </c>
      <c r="B39" s="29"/>
      <c r="C39" s="29"/>
      <c r="D39" s="29"/>
      <c r="E39" s="29"/>
      <c r="F39" s="29"/>
    </row>
    <row r="40" spans="1:21" ht="8.25" customHeight="1" x14ac:dyDescent="0.35"/>
    <row r="41" spans="1:21" x14ac:dyDescent="0.35">
      <c r="A41" s="31" t="s">
        <v>70</v>
      </c>
      <c r="B41" s="29"/>
      <c r="C41" s="29"/>
      <c r="D41" s="29"/>
      <c r="E41" s="29"/>
      <c r="F41" s="29"/>
    </row>
    <row r="42" spans="1:21" x14ac:dyDescent="0.35">
      <c r="A42" s="30" t="s">
        <v>131</v>
      </c>
      <c r="B42" s="29"/>
      <c r="C42" s="29"/>
      <c r="D42" s="29"/>
      <c r="E42" s="29"/>
      <c r="F42" s="29"/>
    </row>
    <row r="43" spans="1:21" x14ac:dyDescent="0.35">
      <c r="A43" s="30" t="s">
        <v>142</v>
      </c>
      <c r="B43" s="29"/>
      <c r="C43" s="29"/>
      <c r="D43" s="29"/>
      <c r="E43" s="29"/>
      <c r="F43" s="29"/>
    </row>
  </sheetData>
  <mergeCells count="2">
    <mergeCell ref="C3:G3"/>
    <mergeCell ref="I3:M3"/>
  </mergeCells>
  <conditionalFormatting sqref="N5:N36">
    <cfRule type="cellIs" dxfId="0" priority="1" operator="lessThan">
      <formula>0</formula>
    </cfRule>
  </conditionalFormatting>
  <hyperlinks>
    <hyperlink ref="A42" r:id="rId1" xr:uid="{00000000-0004-0000-0A00-000000000000}"/>
    <hyperlink ref="A43" r:id="rId2" xr:uid="{00000000-0004-0000-0A00-000001000000}"/>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autoPageBreaks="0"/>
  </sheetPr>
  <dimension ref="A1:M47"/>
  <sheetViews>
    <sheetView showGridLines="0" workbookViewId="0">
      <selection activeCell="F42" sqref="F42"/>
    </sheetView>
  </sheetViews>
  <sheetFormatPr defaultRowHeight="15" x14ac:dyDescent="0.35"/>
  <cols>
    <col min="1" max="1" width="1.3984375" customWidth="1"/>
    <col min="2" max="2" width="24.3984375" bestFit="1" customWidth="1"/>
    <col min="3" max="3" width="10.59765625" customWidth="1"/>
    <col min="4" max="4" width="9.69921875" customWidth="1"/>
    <col min="5" max="5" width="1.3984375" customWidth="1"/>
    <col min="7" max="7" width="10" customWidth="1"/>
    <col min="8" max="8" width="1.3984375" customWidth="1"/>
    <col min="9" max="9" width="11.8984375" customWidth="1"/>
    <col min="10" max="10" width="1.3984375" customWidth="1"/>
    <col min="11" max="11" width="10.09765625" customWidth="1"/>
    <col min="13" max="13" width="1.3984375" customWidth="1"/>
  </cols>
  <sheetData>
    <row r="1" spans="1:13" ht="6" customHeight="1" x14ac:dyDescent="0.35">
      <c r="A1" s="16"/>
      <c r="B1" s="16"/>
      <c r="C1" s="16"/>
      <c r="D1" s="16"/>
      <c r="E1" s="16"/>
      <c r="F1" s="16"/>
      <c r="G1" s="16"/>
      <c r="H1" s="16"/>
      <c r="I1" s="16"/>
      <c r="J1" s="16"/>
      <c r="K1" s="41"/>
      <c r="L1" s="41"/>
      <c r="M1" s="41"/>
    </row>
    <row r="2" spans="1:13" ht="21" x14ac:dyDescent="0.5">
      <c r="A2" s="36"/>
      <c r="B2" s="34" t="s">
        <v>218</v>
      </c>
      <c r="C2" s="36"/>
      <c r="D2" s="36"/>
      <c r="E2" s="36"/>
      <c r="F2" s="36"/>
      <c r="G2" s="10"/>
      <c r="H2" s="10"/>
      <c r="I2" s="10"/>
      <c r="J2" s="10"/>
      <c r="K2" s="96"/>
      <c r="L2" s="96"/>
      <c r="M2" s="96"/>
    </row>
    <row r="3" spans="1:13" ht="6" customHeight="1" x14ac:dyDescent="0.35">
      <c r="A3" s="10"/>
      <c r="B3" s="16"/>
      <c r="C3" s="16"/>
      <c r="D3" s="10"/>
      <c r="E3" s="10"/>
      <c r="F3" s="10"/>
      <c r="G3" s="10"/>
      <c r="H3" s="10"/>
      <c r="I3" s="10"/>
      <c r="J3" s="10"/>
      <c r="K3" s="96"/>
      <c r="L3" s="96"/>
      <c r="M3" s="96"/>
    </row>
    <row r="4" spans="1:13" x14ac:dyDescent="0.35">
      <c r="A4" s="50"/>
      <c r="B4" s="56"/>
      <c r="C4" s="156" t="s">
        <v>183</v>
      </c>
      <c r="D4" s="156"/>
      <c r="E4" s="76"/>
      <c r="F4" s="156" t="s">
        <v>273</v>
      </c>
      <c r="G4" s="156"/>
      <c r="H4" s="76"/>
      <c r="I4" s="76"/>
      <c r="J4" s="76"/>
      <c r="K4" s="92"/>
      <c r="L4" s="41"/>
      <c r="M4" s="41"/>
    </row>
    <row r="5" spans="1:13" ht="57" customHeight="1" x14ac:dyDescent="0.35">
      <c r="A5" s="50"/>
      <c r="B5" s="53" t="s">
        <v>124</v>
      </c>
      <c r="C5" s="90" t="s">
        <v>115</v>
      </c>
      <c r="D5" s="90" t="s">
        <v>126</v>
      </c>
      <c r="E5" s="97"/>
      <c r="F5" s="90" t="s">
        <v>115</v>
      </c>
      <c r="G5" s="90" t="s">
        <v>125</v>
      </c>
      <c r="H5" s="90"/>
      <c r="I5" s="90" t="s">
        <v>279</v>
      </c>
      <c r="J5" s="50"/>
      <c r="K5" s="41"/>
      <c r="L5" s="41"/>
      <c r="M5" s="41"/>
    </row>
    <row r="6" spans="1:13" x14ac:dyDescent="0.35">
      <c r="A6" s="50"/>
      <c r="B6" s="56" t="s">
        <v>83</v>
      </c>
      <c r="C6" s="56">
        <v>2</v>
      </c>
      <c r="D6" s="56">
        <v>31</v>
      </c>
      <c r="E6" s="50"/>
      <c r="F6" s="56">
        <v>2</v>
      </c>
      <c r="G6" s="56">
        <f t="shared" ref="G6:G37" si="0">RANK(F6,$F$6:$F$37)</f>
        <v>28</v>
      </c>
      <c r="H6" s="56"/>
      <c r="I6" s="150" t="str">
        <f>IF(F6-C6=0,"No change")</f>
        <v>No change</v>
      </c>
      <c r="J6" s="50"/>
      <c r="K6" s="41"/>
      <c r="L6" s="41"/>
      <c r="M6" s="41"/>
    </row>
    <row r="7" spans="1:13" x14ac:dyDescent="0.35">
      <c r="A7" s="50"/>
      <c r="B7" s="56" t="s">
        <v>84</v>
      </c>
      <c r="C7" s="56">
        <v>156</v>
      </c>
      <c r="D7" s="56">
        <v>1</v>
      </c>
      <c r="E7" s="50"/>
      <c r="F7" s="56">
        <v>128</v>
      </c>
      <c r="G7" s="56">
        <f t="shared" si="0"/>
        <v>1</v>
      </c>
      <c r="H7" s="56"/>
      <c r="I7" s="98">
        <f t="shared" ref="I7:I37" si="1">F7-C7</f>
        <v>-28</v>
      </c>
      <c r="J7" s="50"/>
      <c r="K7" s="41"/>
      <c r="L7" s="41"/>
      <c r="M7" s="41"/>
    </row>
    <row r="8" spans="1:13" x14ac:dyDescent="0.35">
      <c r="A8" s="50"/>
      <c r="B8" s="56" t="s">
        <v>85</v>
      </c>
      <c r="C8" s="56">
        <v>2</v>
      </c>
      <c r="D8" s="56">
        <v>31</v>
      </c>
      <c r="E8" s="50"/>
      <c r="F8" s="56">
        <v>2</v>
      </c>
      <c r="G8" s="56">
        <f t="shared" si="0"/>
        <v>28</v>
      </c>
      <c r="H8" s="56"/>
      <c r="I8" s="150" t="str">
        <f>IF(F6-C6=0,"No change")</f>
        <v>No change</v>
      </c>
      <c r="J8" s="50"/>
      <c r="K8" s="41"/>
      <c r="L8" s="41"/>
      <c r="M8" s="41"/>
    </row>
    <row r="9" spans="1:13" x14ac:dyDescent="0.35">
      <c r="A9" s="50"/>
      <c r="B9" s="56" t="s">
        <v>86</v>
      </c>
      <c r="C9" s="56">
        <v>16</v>
      </c>
      <c r="D9" s="56">
        <v>10</v>
      </c>
      <c r="E9" s="50"/>
      <c r="F9" s="56">
        <v>12</v>
      </c>
      <c r="G9" s="56">
        <f t="shared" si="0"/>
        <v>11</v>
      </c>
      <c r="H9" s="56"/>
      <c r="I9" s="98">
        <f t="shared" si="1"/>
        <v>-4</v>
      </c>
      <c r="J9" s="50"/>
      <c r="K9" s="41"/>
      <c r="L9" s="41"/>
      <c r="M9" s="41"/>
    </row>
    <row r="10" spans="1:13" x14ac:dyDescent="0.35">
      <c r="A10" s="50"/>
      <c r="B10" s="56" t="s">
        <v>87</v>
      </c>
      <c r="C10" s="56">
        <v>2</v>
      </c>
      <c r="D10" s="56">
        <v>12</v>
      </c>
      <c r="E10" s="50"/>
      <c r="F10" s="56">
        <v>1</v>
      </c>
      <c r="G10" s="56">
        <f t="shared" si="0"/>
        <v>31</v>
      </c>
      <c r="H10" s="56"/>
      <c r="I10" s="98">
        <f t="shared" si="1"/>
        <v>-1</v>
      </c>
      <c r="J10" s="50"/>
      <c r="K10" s="41"/>
      <c r="L10" s="41"/>
      <c r="M10" s="41"/>
    </row>
    <row r="11" spans="1:13" x14ac:dyDescent="0.35">
      <c r="A11" s="50"/>
      <c r="B11" s="56" t="s">
        <v>88</v>
      </c>
      <c r="C11" s="56">
        <v>63</v>
      </c>
      <c r="D11" s="56">
        <v>4</v>
      </c>
      <c r="E11" s="50"/>
      <c r="F11" s="56">
        <v>36</v>
      </c>
      <c r="G11" s="56">
        <f t="shared" si="0"/>
        <v>5</v>
      </c>
      <c r="H11" s="56"/>
      <c r="I11" s="98">
        <f t="shared" si="1"/>
        <v>-27</v>
      </c>
      <c r="J11" s="50"/>
      <c r="K11" s="41"/>
      <c r="L11" s="41"/>
      <c r="M11" s="41"/>
    </row>
    <row r="12" spans="1:13" x14ac:dyDescent="0.35">
      <c r="A12" s="50"/>
      <c r="B12" s="56" t="s">
        <v>89</v>
      </c>
      <c r="C12" s="56">
        <v>7</v>
      </c>
      <c r="D12" s="56">
        <v>18</v>
      </c>
      <c r="E12" s="50"/>
      <c r="F12" s="56">
        <v>4</v>
      </c>
      <c r="G12" s="56">
        <f t="shared" si="0"/>
        <v>23</v>
      </c>
      <c r="H12" s="56"/>
      <c r="I12" s="98">
        <f t="shared" si="1"/>
        <v>-3</v>
      </c>
      <c r="J12" s="50"/>
      <c r="K12" s="41"/>
      <c r="L12" s="41"/>
      <c r="M12" s="41"/>
    </row>
    <row r="13" spans="1:13" x14ac:dyDescent="0.35">
      <c r="A13" s="50"/>
      <c r="B13" s="56" t="s">
        <v>90</v>
      </c>
      <c r="C13" s="56">
        <v>6</v>
      </c>
      <c r="D13" s="56">
        <v>21</v>
      </c>
      <c r="E13" s="50"/>
      <c r="F13" s="56">
        <v>10</v>
      </c>
      <c r="G13" s="56">
        <f t="shared" si="0"/>
        <v>13</v>
      </c>
      <c r="H13" s="56"/>
      <c r="I13" s="98">
        <f t="shared" si="1"/>
        <v>4</v>
      </c>
      <c r="J13" s="50"/>
      <c r="K13" s="41"/>
      <c r="L13" s="41"/>
      <c r="M13" s="41"/>
    </row>
    <row r="14" spans="1:13" x14ac:dyDescent="0.35">
      <c r="A14" s="50"/>
      <c r="B14" s="56" t="s">
        <v>91</v>
      </c>
      <c r="C14" s="56">
        <v>12</v>
      </c>
      <c r="D14" s="56">
        <v>7</v>
      </c>
      <c r="E14" s="50"/>
      <c r="F14" s="56">
        <v>15</v>
      </c>
      <c r="G14" s="56">
        <f t="shared" si="0"/>
        <v>9</v>
      </c>
      <c r="H14" s="56"/>
      <c r="I14" s="98">
        <f t="shared" si="1"/>
        <v>3</v>
      </c>
      <c r="J14" s="50"/>
      <c r="K14" s="41"/>
      <c r="L14" s="41"/>
      <c r="M14" s="41"/>
    </row>
    <row r="15" spans="1:13" x14ac:dyDescent="0.35">
      <c r="A15" s="50"/>
      <c r="B15" s="56" t="s">
        <v>92</v>
      </c>
      <c r="C15" s="56">
        <v>8</v>
      </c>
      <c r="D15" s="56">
        <v>26</v>
      </c>
      <c r="E15" s="50"/>
      <c r="F15" s="56">
        <v>5</v>
      </c>
      <c r="G15" s="56">
        <f t="shared" si="0"/>
        <v>21</v>
      </c>
      <c r="H15" s="56"/>
      <c r="I15" s="98">
        <f t="shared" si="1"/>
        <v>-3</v>
      </c>
      <c r="J15" s="50"/>
      <c r="K15" s="41"/>
      <c r="L15" s="41"/>
      <c r="M15" s="41"/>
    </row>
    <row r="16" spans="1:13" x14ac:dyDescent="0.35">
      <c r="A16" s="50"/>
      <c r="B16" s="56" t="s">
        <v>93</v>
      </c>
      <c r="C16" s="56">
        <v>99</v>
      </c>
      <c r="D16" s="56">
        <v>3</v>
      </c>
      <c r="E16" s="50"/>
      <c r="F16" s="56">
        <v>126</v>
      </c>
      <c r="G16" s="56">
        <f t="shared" si="0"/>
        <v>2</v>
      </c>
      <c r="H16" s="56"/>
      <c r="I16" s="98">
        <f t="shared" si="1"/>
        <v>27</v>
      </c>
      <c r="J16" s="50"/>
      <c r="K16" s="41"/>
      <c r="L16" s="41"/>
      <c r="M16" s="41"/>
    </row>
    <row r="17" spans="1:13" x14ac:dyDescent="0.35">
      <c r="A17" s="50"/>
      <c r="B17" s="56" t="s">
        <v>94</v>
      </c>
      <c r="C17" s="56">
        <v>9</v>
      </c>
      <c r="D17" s="56">
        <v>10</v>
      </c>
      <c r="E17" s="50"/>
      <c r="F17" s="56">
        <v>6</v>
      </c>
      <c r="G17" s="56">
        <f t="shared" si="0"/>
        <v>20</v>
      </c>
      <c r="H17" s="56"/>
      <c r="I17" s="98">
        <f t="shared" si="1"/>
        <v>-3</v>
      </c>
      <c r="J17" s="50"/>
      <c r="K17" s="41"/>
      <c r="L17" s="41"/>
      <c r="M17" s="41"/>
    </row>
    <row r="18" spans="1:13" x14ac:dyDescent="0.35">
      <c r="A18" s="50"/>
      <c r="B18" s="56" t="s">
        <v>95</v>
      </c>
      <c r="C18" s="56">
        <v>29</v>
      </c>
      <c r="D18" s="56">
        <v>5</v>
      </c>
      <c r="E18" s="50"/>
      <c r="F18" s="56">
        <v>34</v>
      </c>
      <c r="G18" s="56">
        <f t="shared" si="0"/>
        <v>6</v>
      </c>
      <c r="H18" s="56"/>
      <c r="I18" s="98">
        <f t="shared" si="1"/>
        <v>5</v>
      </c>
      <c r="J18" s="50"/>
      <c r="K18" s="41"/>
      <c r="L18" s="41"/>
      <c r="M18" s="41"/>
    </row>
    <row r="19" spans="1:13" x14ac:dyDescent="0.35">
      <c r="A19" s="50"/>
      <c r="B19" s="56" t="s">
        <v>96</v>
      </c>
      <c r="C19" s="56">
        <v>15</v>
      </c>
      <c r="D19" s="56">
        <v>6</v>
      </c>
      <c r="E19" s="50"/>
      <c r="F19" s="56">
        <v>17</v>
      </c>
      <c r="G19" s="56">
        <f t="shared" si="0"/>
        <v>8</v>
      </c>
      <c r="H19" s="56"/>
      <c r="I19" s="98">
        <f t="shared" si="1"/>
        <v>2</v>
      </c>
      <c r="J19" s="50"/>
      <c r="K19" s="41"/>
      <c r="L19" s="41"/>
      <c r="M19" s="41"/>
    </row>
    <row r="20" spans="1:13" x14ac:dyDescent="0.35">
      <c r="A20" s="50"/>
      <c r="B20" s="56" t="s">
        <v>97</v>
      </c>
      <c r="C20" s="56">
        <v>8</v>
      </c>
      <c r="D20" s="56">
        <v>23</v>
      </c>
      <c r="E20" s="50"/>
      <c r="F20" s="56">
        <v>3</v>
      </c>
      <c r="G20" s="56">
        <f t="shared" si="0"/>
        <v>26</v>
      </c>
      <c r="H20" s="56"/>
      <c r="I20" s="98">
        <f t="shared" si="1"/>
        <v>-5</v>
      </c>
      <c r="J20" s="50"/>
      <c r="K20" s="41"/>
      <c r="L20" s="41"/>
      <c r="M20" s="41"/>
    </row>
    <row r="21" spans="1:13" x14ac:dyDescent="0.35">
      <c r="A21" s="50"/>
      <c r="B21" s="56" t="s">
        <v>98</v>
      </c>
      <c r="C21" s="56">
        <v>0</v>
      </c>
      <c r="D21" s="56">
        <v>18</v>
      </c>
      <c r="E21" s="50"/>
      <c r="F21" s="56">
        <v>8</v>
      </c>
      <c r="G21" s="56">
        <f t="shared" si="0"/>
        <v>16</v>
      </c>
      <c r="H21" s="56"/>
      <c r="I21" s="98">
        <f t="shared" si="1"/>
        <v>8</v>
      </c>
      <c r="J21" s="50"/>
      <c r="K21" s="41"/>
      <c r="L21" s="41"/>
      <c r="M21" s="41"/>
    </row>
    <row r="22" spans="1:13" x14ac:dyDescent="0.35">
      <c r="A22" s="50"/>
      <c r="B22" s="56" t="s">
        <v>99</v>
      </c>
      <c r="C22" s="56">
        <v>3</v>
      </c>
      <c r="D22" s="56">
        <v>26</v>
      </c>
      <c r="E22" s="50"/>
      <c r="F22" s="56">
        <v>3</v>
      </c>
      <c r="G22" s="56">
        <f t="shared" si="0"/>
        <v>26</v>
      </c>
      <c r="H22" s="56"/>
      <c r="I22" s="150" t="str">
        <f>IF(F6-C6=0,"No change")</f>
        <v>No change</v>
      </c>
      <c r="J22" s="50"/>
      <c r="K22" s="41"/>
      <c r="L22" s="41"/>
      <c r="M22" s="41"/>
    </row>
    <row r="23" spans="1:13" x14ac:dyDescent="0.35">
      <c r="A23" s="50"/>
      <c r="B23" s="56" t="s">
        <v>100</v>
      </c>
      <c r="C23" s="56">
        <v>11</v>
      </c>
      <c r="D23" s="56">
        <v>8</v>
      </c>
      <c r="E23" s="50"/>
      <c r="F23" s="56">
        <v>14</v>
      </c>
      <c r="G23" s="56">
        <f t="shared" si="0"/>
        <v>10</v>
      </c>
      <c r="H23" s="56"/>
      <c r="I23" s="98">
        <f t="shared" si="1"/>
        <v>3</v>
      </c>
      <c r="J23" s="50"/>
      <c r="K23" s="41"/>
      <c r="L23" s="41"/>
      <c r="M23" s="41"/>
    </row>
    <row r="24" spans="1:13" x14ac:dyDescent="0.35">
      <c r="A24" s="50"/>
      <c r="B24" s="56" t="s">
        <v>101</v>
      </c>
      <c r="C24" s="56">
        <v>8</v>
      </c>
      <c r="D24" s="56">
        <v>23</v>
      </c>
      <c r="E24" s="50"/>
      <c r="F24" s="56">
        <v>9</v>
      </c>
      <c r="G24" s="56">
        <f t="shared" si="0"/>
        <v>15</v>
      </c>
      <c r="H24" s="56"/>
      <c r="I24" s="98">
        <f t="shared" si="1"/>
        <v>1</v>
      </c>
      <c r="J24" s="50"/>
      <c r="K24" s="41"/>
      <c r="L24" s="41"/>
      <c r="M24" s="41"/>
    </row>
    <row r="25" spans="1:13" x14ac:dyDescent="0.35">
      <c r="A25" s="50"/>
      <c r="B25" s="56" t="s">
        <v>102</v>
      </c>
      <c r="C25" s="56">
        <v>6</v>
      </c>
      <c r="D25" s="56">
        <v>26</v>
      </c>
      <c r="E25" s="50"/>
      <c r="F25" s="56">
        <v>10</v>
      </c>
      <c r="G25" s="56">
        <f t="shared" si="0"/>
        <v>13</v>
      </c>
      <c r="H25" s="56"/>
      <c r="I25" s="98">
        <f t="shared" si="1"/>
        <v>4</v>
      </c>
      <c r="J25" s="50"/>
      <c r="K25" s="41"/>
      <c r="L25" s="41"/>
      <c r="M25" s="41"/>
    </row>
    <row r="26" spans="1:13" x14ac:dyDescent="0.35">
      <c r="A26" s="50"/>
      <c r="B26" s="56" t="s">
        <v>103</v>
      </c>
      <c r="C26" s="56">
        <v>13</v>
      </c>
      <c r="D26" s="56">
        <v>18</v>
      </c>
      <c r="E26" s="50"/>
      <c r="F26" s="56">
        <v>8</v>
      </c>
      <c r="G26" s="56">
        <f t="shared" si="0"/>
        <v>16</v>
      </c>
      <c r="H26" s="56"/>
      <c r="I26" s="98">
        <f t="shared" si="1"/>
        <v>-5</v>
      </c>
      <c r="J26" s="50"/>
      <c r="K26" s="41"/>
      <c r="L26" s="41"/>
      <c r="M26" s="41"/>
    </row>
    <row r="27" spans="1:13" x14ac:dyDescent="0.35">
      <c r="A27" s="50"/>
      <c r="B27" s="56" t="s">
        <v>104</v>
      </c>
      <c r="C27" s="56">
        <v>4</v>
      </c>
      <c r="D27" s="56">
        <v>14</v>
      </c>
      <c r="E27" s="50"/>
      <c r="F27" s="56">
        <v>8</v>
      </c>
      <c r="G27" s="56">
        <f t="shared" si="0"/>
        <v>16</v>
      </c>
      <c r="H27" s="56"/>
      <c r="I27" s="98">
        <f t="shared" si="1"/>
        <v>4</v>
      </c>
      <c r="J27" s="50"/>
      <c r="K27" s="41"/>
      <c r="L27" s="41"/>
      <c r="M27" s="41"/>
    </row>
    <row r="28" spans="1:13" x14ac:dyDescent="0.35">
      <c r="A28" s="50"/>
      <c r="B28" s="56" t="s">
        <v>105</v>
      </c>
      <c r="C28" s="56">
        <v>2</v>
      </c>
      <c r="D28" s="56">
        <v>30</v>
      </c>
      <c r="E28" s="50"/>
      <c r="F28" s="56">
        <v>4</v>
      </c>
      <c r="G28" s="56">
        <f t="shared" si="0"/>
        <v>23</v>
      </c>
      <c r="H28" s="56"/>
      <c r="I28" s="98">
        <f t="shared" si="1"/>
        <v>2</v>
      </c>
      <c r="J28" s="50"/>
      <c r="K28" s="41"/>
      <c r="L28" s="41"/>
      <c r="M28" s="41"/>
    </row>
    <row r="29" spans="1:13" x14ac:dyDescent="0.35">
      <c r="A29" s="50"/>
      <c r="B29" s="56" t="s">
        <v>106</v>
      </c>
      <c r="C29" s="56">
        <v>3</v>
      </c>
      <c r="D29" s="56">
        <v>9</v>
      </c>
      <c r="E29" s="50"/>
      <c r="F29" s="56">
        <v>4</v>
      </c>
      <c r="G29" s="56">
        <f t="shared" si="0"/>
        <v>23</v>
      </c>
      <c r="H29" s="56"/>
      <c r="I29" s="98">
        <f t="shared" si="1"/>
        <v>1</v>
      </c>
      <c r="J29" s="50"/>
      <c r="K29" s="41"/>
      <c r="L29" s="41"/>
      <c r="M29" s="41"/>
    </row>
    <row r="30" spans="1:13" x14ac:dyDescent="0.35">
      <c r="A30" s="50"/>
      <c r="B30" s="56" t="s">
        <v>107</v>
      </c>
      <c r="C30" s="56">
        <v>6</v>
      </c>
      <c r="D30" s="56">
        <v>17</v>
      </c>
      <c r="E30" s="50"/>
      <c r="F30" s="56">
        <v>22</v>
      </c>
      <c r="G30" s="56">
        <f t="shared" si="0"/>
        <v>7</v>
      </c>
      <c r="H30" s="56"/>
      <c r="I30" s="98">
        <f t="shared" si="1"/>
        <v>16</v>
      </c>
      <c r="J30" s="50"/>
      <c r="K30" s="41"/>
      <c r="L30" s="41"/>
      <c r="M30" s="41"/>
    </row>
    <row r="31" spans="1:13" x14ac:dyDescent="0.35">
      <c r="A31" s="50"/>
      <c r="B31" s="56" t="s">
        <v>108</v>
      </c>
      <c r="C31" s="56">
        <v>1</v>
      </c>
      <c r="D31" s="56">
        <v>15</v>
      </c>
      <c r="E31" s="50"/>
      <c r="F31" s="56">
        <v>5</v>
      </c>
      <c r="G31" s="56">
        <f t="shared" si="0"/>
        <v>21</v>
      </c>
      <c r="H31" s="56"/>
      <c r="I31" s="98">
        <f t="shared" si="1"/>
        <v>4</v>
      </c>
      <c r="J31" s="50"/>
      <c r="K31" s="41"/>
      <c r="L31" s="41"/>
      <c r="M31" s="41"/>
    </row>
    <row r="32" spans="1:13" x14ac:dyDescent="0.35">
      <c r="A32" s="50"/>
      <c r="B32" s="56" t="s">
        <v>109</v>
      </c>
      <c r="C32" s="56">
        <v>9</v>
      </c>
      <c r="D32" s="56">
        <v>21</v>
      </c>
      <c r="E32" s="50"/>
      <c r="F32" s="56">
        <v>8</v>
      </c>
      <c r="G32" s="56">
        <f t="shared" si="0"/>
        <v>16</v>
      </c>
      <c r="H32" s="56"/>
      <c r="I32" s="98">
        <f t="shared" si="1"/>
        <v>-1</v>
      </c>
      <c r="J32" s="50"/>
      <c r="K32" s="41"/>
      <c r="L32" s="41"/>
      <c r="M32" s="41"/>
    </row>
    <row r="33" spans="1:13" x14ac:dyDescent="0.35">
      <c r="A33" s="50"/>
      <c r="B33" s="56" t="s">
        <v>110</v>
      </c>
      <c r="C33" s="56">
        <v>2</v>
      </c>
      <c r="D33" s="56">
        <v>26</v>
      </c>
      <c r="E33" s="50"/>
      <c r="F33" s="56">
        <v>0</v>
      </c>
      <c r="G33" s="56">
        <f t="shared" si="0"/>
        <v>32</v>
      </c>
      <c r="H33" s="56"/>
      <c r="I33" s="98">
        <f t="shared" si="1"/>
        <v>-2</v>
      </c>
      <c r="J33" s="50"/>
      <c r="K33" s="41"/>
      <c r="L33" s="41"/>
      <c r="M33" s="41"/>
    </row>
    <row r="34" spans="1:13" x14ac:dyDescent="0.35">
      <c r="A34" s="50"/>
      <c r="B34" s="56" t="s">
        <v>111</v>
      </c>
      <c r="C34" s="56">
        <v>10</v>
      </c>
      <c r="D34" s="56">
        <v>12</v>
      </c>
      <c r="E34" s="50"/>
      <c r="F34" s="56">
        <v>45</v>
      </c>
      <c r="G34" s="56">
        <f t="shared" si="0"/>
        <v>4</v>
      </c>
      <c r="H34" s="56"/>
      <c r="I34" s="98">
        <f t="shared" si="1"/>
        <v>35</v>
      </c>
      <c r="J34" s="50"/>
      <c r="K34" s="41"/>
      <c r="L34" s="41"/>
      <c r="M34" s="41"/>
    </row>
    <row r="35" spans="1:13" x14ac:dyDescent="0.35">
      <c r="A35" s="50"/>
      <c r="B35" s="56" t="s">
        <v>112</v>
      </c>
      <c r="C35" s="56">
        <v>6</v>
      </c>
      <c r="D35" s="56">
        <v>23</v>
      </c>
      <c r="E35" s="50"/>
      <c r="F35" s="56">
        <v>11</v>
      </c>
      <c r="G35" s="56">
        <f t="shared" si="0"/>
        <v>12</v>
      </c>
      <c r="H35" s="56"/>
      <c r="I35" s="98">
        <f t="shared" si="1"/>
        <v>5</v>
      </c>
      <c r="J35" s="50"/>
      <c r="K35" s="41"/>
      <c r="L35" s="41"/>
      <c r="M35" s="41"/>
    </row>
    <row r="36" spans="1:13" x14ac:dyDescent="0.35">
      <c r="A36" s="50"/>
      <c r="B36" s="56" t="s">
        <v>113</v>
      </c>
      <c r="C36" s="56">
        <v>9</v>
      </c>
      <c r="D36" s="56">
        <v>15</v>
      </c>
      <c r="E36" s="50"/>
      <c r="F36" s="56">
        <v>2</v>
      </c>
      <c r="G36" s="56">
        <f t="shared" si="0"/>
        <v>28</v>
      </c>
      <c r="H36" s="56"/>
      <c r="I36" s="98">
        <f t="shared" si="1"/>
        <v>-7</v>
      </c>
      <c r="J36" s="50"/>
      <c r="K36" s="41"/>
      <c r="L36" s="41"/>
      <c r="M36" s="41"/>
    </row>
    <row r="37" spans="1:13" x14ac:dyDescent="0.35">
      <c r="A37" s="50"/>
      <c r="B37" s="56" t="s">
        <v>114</v>
      </c>
      <c r="C37" s="56">
        <v>50</v>
      </c>
      <c r="D37" s="56">
        <v>2</v>
      </c>
      <c r="E37" s="50"/>
      <c r="F37" s="56">
        <v>48</v>
      </c>
      <c r="G37" s="56">
        <f t="shared" si="0"/>
        <v>3</v>
      </c>
      <c r="H37" s="56"/>
      <c r="I37" s="98">
        <f t="shared" si="1"/>
        <v>-2</v>
      </c>
      <c r="J37" s="50"/>
      <c r="K37" s="41"/>
      <c r="L37" s="41"/>
      <c r="M37" s="41"/>
    </row>
    <row r="38" spans="1:13" ht="6" customHeight="1" x14ac:dyDescent="0.35">
      <c r="A38" s="50"/>
      <c r="B38" s="50"/>
      <c r="C38" s="50"/>
      <c r="D38" s="50"/>
      <c r="E38" s="50"/>
      <c r="F38" s="50"/>
      <c r="G38" s="50"/>
      <c r="H38" s="50"/>
      <c r="I38" s="50"/>
      <c r="J38" s="50"/>
      <c r="K38" s="41"/>
      <c r="L38" s="41"/>
      <c r="M38" s="41"/>
    </row>
    <row r="39" spans="1:13" ht="13.5" customHeight="1" x14ac:dyDescent="0.35">
      <c r="A39" s="75" t="s">
        <v>278</v>
      </c>
      <c r="B39" s="75"/>
      <c r="C39" s="75"/>
      <c r="D39" s="75"/>
      <c r="E39" s="75"/>
      <c r="F39" s="75"/>
      <c r="G39" s="75"/>
      <c r="H39" s="75"/>
      <c r="I39" s="75"/>
      <c r="J39" s="75"/>
      <c r="K39" s="41"/>
      <c r="L39" s="41"/>
      <c r="M39" s="41"/>
    </row>
    <row r="40" spans="1:13" ht="6" customHeight="1" x14ac:dyDescent="0.35">
      <c r="A40" s="75"/>
      <c r="B40" s="75"/>
      <c r="C40" s="75"/>
      <c r="D40" s="75"/>
      <c r="E40" s="75"/>
      <c r="F40" s="75"/>
      <c r="G40" s="75"/>
      <c r="H40" s="75"/>
      <c r="I40" s="75"/>
      <c r="J40" s="75"/>
      <c r="K40" s="41"/>
      <c r="L40" s="41"/>
      <c r="M40" s="41"/>
    </row>
    <row r="41" spans="1:13" x14ac:dyDescent="0.35">
      <c r="A41" s="29" t="s">
        <v>199</v>
      </c>
      <c r="B41" s="29"/>
      <c r="C41" s="29"/>
      <c r="D41" s="29"/>
      <c r="E41" s="29"/>
      <c r="F41" s="29"/>
    </row>
    <row r="42" spans="1:13" ht="15" customHeight="1" x14ac:dyDescent="0.35">
      <c r="A42" s="30" t="s">
        <v>302</v>
      </c>
      <c r="B42" s="29"/>
      <c r="C42" s="29"/>
      <c r="D42" s="29"/>
      <c r="E42" s="29"/>
      <c r="F42" s="29"/>
    </row>
    <row r="44" spans="1:13" x14ac:dyDescent="0.35">
      <c r="A44" s="29"/>
      <c r="B44" s="29"/>
      <c r="C44" s="29"/>
      <c r="D44" s="29"/>
      <c r="E44" s="29"/>
      <c r="F44" s="29"/>
    </row>
    <row r="45" spans="1:13" ht="9.75" customHeight="1" x14ac:dyDescent="0.35">
      <c r="A45" s="29"/>
      <c r="B45" s="29"/>
      <c r="C45" s="29"/>
      <c r="D45" s="29"/>
      <c r="E45" s="29"/>
      <c r="F45" s="29"/>
    </row>
    <row r="47" spans="1:13" ht="15.75" customHeight="1" x14ac:dyDescent="0.35"/>
  </sheetData>
  <mergeCells count="2">
    <mergeCell ref="C4:D4"/>
    <mergeCell ref="F4:G4"/>
  </mergeCells>
  <hyperlinks>
    <hyperlink ref="A42" r:id="rId1" display="MPS, Hate Crime or Special Crime Dashboard Accessed 31 December 2018" xr:uid="{00000000-0004-0000-0C00-000001000000}"/>
  </hyperlinks>
  <pageMargins left="0.7" right="0.7" top="0.75" bottom="0.75" header="0.3" footer="0.3"/>
  <pageSetup paperSize="9" orientation="portrait" horizontalDpi="1200" verticalDpi="1200" r:id="rId2"/>
  <ignoredErrors>
    <ignoredError sqref="I8 I22" formula="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autoPageBreaks="0"/>
  </sheetPr>
  <dimension ref="A1:Q27"/>
  <sheetViews>
    <sheetView showGridLines="0" workbookViewId="0">
      <selection activeCell="E40" sqref="E40"/>
    </sheetView>
  </sheetViews>
  <sheetFormatPr defaultRowHeight="15" x14ac:dyDescent="0.35"/>
  <cols>
    <col min="1" max="1" width="1.3984375" customWidth="1"/>
    <col min="2" max="2" width="23.296875" customWidth="1"/>
    <col min="17" max="17" width="1.3984375" customWidth="1"/>
  </cols>
  <sheetData>
    <row r="1" spans="1:17" ht="6" customHeight="1" x14ac:dyDescent="0.35">
      <c r="A1" s="16"/>
      <c r="B1" s="16"/>
      <c r="C1" s="16"/>
      <c r="D1" s="16"/>
      <c r="E1" s="16"/>
      <c r="F1" s="16"/>
      <c r="G1" s="16"/>
      <c r="H1" s="16"/>
      <c r="I1" s="16"/>
      <c r="J1" s="16"/>
      <c r="K1" s="16"/>
      <c r="L1" s="16"/>
      <c r="M1" s="16"/>
      <c r="N1" s="16"/>
      <c r="O1" s="16"/>
      <c r="P1" s="16"/>
      <c r="Q1" s="16"/>
    </row>
    <row r="2" spans="1:17" ht="21" x14ac:dyDescent="0.5">
      <c r="A2" s="33"/>
      <c r="B2" s="34" t="s">
        <v>219</v>
      </c>
      <c r="C2" s="36"/>
      <c r="D2" s="36"/>
      <c r="E2" s="36"/>
      <c r="F2" s="36"/>
      <c r="G2" s="36"/>
      <c r="H2" s="36"/>
      <c r="I2" s="33"/>
      <c r="J2" s="33"/>
      <c r="K2" s="33"/>
      <c r="L2" s="33"/>
      <c r="M2" s="33"/>
      <c r="N2" s="33"/>
      <c r="O2" s="33"/>
      <c r="P2" s="33"/>
      <c r="Q2" s="33"/>
    </row>
    <row r="3" spans="1:17" ht="6" customHeight="1" x14ac:dyDescent="0.5">
      <c r="A3" s="33"/>
      <c r="B3" s="34"/>
      <c r="C3" s="36"/>
      <c r="D3" s="36"/>
      <c r="E3" s="36"/>
      <c r="F3" s="36"/>
      <c r="G3" s="36"/>
      <c r="H3" s="36"/>
      <c r="I3" s="33"/>
      <c r="J3" s="33"/>
      <c r="K3" s="33"/>
      <c r="L3" s="33"/>
      <c r="M3" s="33"/>
      <c r="N3" s="33"/>
      <c r="O3" s="33"/>
      <c r="P3" s="33"/>
      <c r="Q3" s="33"/>
    </row>
    <row r="4" spans="1:17" x14ac:dyDescent="0.35">
      <c r="A4" s="56"/>
      <c r="B4" s="53" t="s">
        <v>133</v>
      </c>
      <c r="C4" s="53">
        <v>2007</v>
      </c>
      <c r="D4" s="53">
        <v>2008</v>
      </c>
      <c r="E4" s="53">
        <v>2009</v>
      </c>
      <c r="F4" s="53">
        <v>2010</v>
      </c>
      <c r="G4" s="53">
        <v>2011</v>
      </c>
      <c r="H4" s="53">
        <v>2012</v>
      </c>
      <c r="I4" s="53">
        <v>2013</v>
      </c>
      <c r="J4" s="53">
        <v>2014</v>
      </c>
      <c r="K4" s="53">
        <v>2015</v>
      </c>
      <c r="L4" s="53">
        <v>2016</v>
      </c>
      <c r="M4" s="53">
        <v>2017</v>
      </c>
      <c r="N4" s="53">
        <v>2018</v>
      </c>
      <c r="O4" s="53">
        <v>2019</v>
      </c>
      <c r="P4" s="53">
        <v>2020</v>
      </c>
      <c r="Q4" s="56"/>
    </row>
    <row r="5" spans="1:17" x14ac:dyDescent="0.35">
      <c r="A5" s="56"/>
      <c r="B5" s="86" t="s">
        <v>81</v>
      </c>
      <c r="C5" s="56"/>
      <c r="D5" s="56"/>
      <c r="E5" s="56"/>
      <c r="F5" s="56"/>
      <c r="G5" s="56"/>
      <c r="H5" s="56"/>
      <c r="I5" s="56"/>
      <c r="J5" s="56"/>
      <c r="K5" s="56"/>
      <c r="L5" s="56"/>
      <c r="M5" s="56"/>
      <c r="N5" s="56"/>
      <c r="O5" s="56"/>
      <c r="P5" s="56"/>
      <c r="Q5" s="56"/>
    </row>
    <row r="6" spans="1:17" x14ac:dyDescent="0.35">
      <c r="A6" s="56"/>
      <c r="B6" s="56" t="s">
        <v>134</v>
      </c>
      <c r="C6" s="71">
        <v>1</v>
      </c>
      <c r="D6" s="71">
        <v>1</v>
      </c>
      <c r="E6" s="71">
        <v>3</v>
      </c>
      <c r="F6" s="71">
        <v>0</v>
      </c>
      <c r="G6" s="71">
        <v>2</v>
      </c>
      <c r="H6" s="71">
        <v>2</v>
      </c>
      <c r="I6" s="71">
        <v>0</v>
      </c>
      <c r="J6" s="71">
        <v>1</v>
      </c>
      <c r="K6" s="71">
        <v>4</v>
      </c>
      <c r="L6" s="71">
        <v>0</v>
      </c>
      <c r="M6" s="71">
        <v>0</v>
      </c>
      <c r="N6" s="71">
        <v>2</v>
      </c>
      <c r="O6" s="71">
        <v>1</v>
      </c>
      <c r="P6" s="71">
        <v>3</v>
      </c>
      <c r="Q6" s="56"/>
    </row>
    <row r="7" spans="1:17" x14ac:dyDescent="0.35">
      <c r="A7" s="56"/>
      <c r="B7" s="56" t="s">
        <v>135</v>
      </c>
      <c r="C7" s="71">
        <v>116</v>
      </c>
      <c r="D7" s="71">
        <v>87</v>
      </c>
      <c r="E7" s="71">
        <v>121</v>
      </c>
      <c r="F7" s="71">
        <v>115</v>
      </c>
      <c r="G7" s="71">
        <v>93</v>
      </c>
      <c r="H7" s="71">
        <v>67</v>
      </c>
      <c r="I7" s="71">
        <v>69</v>
      </c>
      <c r="J7" s="71">
        <v>80</v>
      </c>
      <c r="K7" s="71">
        <v>83</v>
      </c>
      <c r="L7" s="71">
        <v>109</v>
      </c>
      <c r="M7" s="71">
        <v>149</v>
      </c>
      <c r="N7" s="71">
        <v>124</v>
      </c>
      <c r="O7" s="71">
        <v>157</v>
      </c>
      <c r="P7" s="71">
        <v>97</v>
      </c>
      <c r="Q7" s="56"/>
    </row>
    <row r="8" spans="1:17" x14ac:dyDescent="0.35">
      <c r="A8" s="56"/>
      <c r="B8" s="56" t="s">
        <v>136</v>
      </c>
      <c r="C8" s="71">
        <v>65</v>
      </c>
      <c r="D8" s="71">
        <v>76</v>
      </c>
      <c r="E8" s="71">
        <v>89</v>
      </c>
      <c r="F8" s="71">
        <v>83</v>
      </c>
      <c r="G8" s="71">
        <v>64</v>
      </c>
      <c r="H8" s="71">
        <v>53</v>
      </c>
      <c r="I8" s="71">
        <v>49</v>
      </c>
      <c r="J8" s="71">
        <v>81</v>
      </c>
      <c r="K8" s="71">
        <v>65</v>
      </c>
      <c r="L8" s="71">
        <v>81</v>
      </c>
      <c r="M8" s="71">
        <v>93</v>
      </c>
      <c r="N8" s="71">
        <v>79</v>
      </c>
      <c r="O8" s="71">
        <v>88</v>
      </c>
      <c r="P8" s="71">
        <v>72</v>
      </c>
      <c r="Q8" s="56"/>
    </row>
    <row r="9" spans="1:17" x14ac:dyDescent="0.35">
      <c r="A9" s="56"/>
      <c r="B9" s="56" t="s">
        <v>137</v>
      </c>
      <c r="C9" s="71">
        <v>24</v>
      </c>
      <c r="D9" s="71">
        <v>28</v>
      </c>
      <c r="E9" s="71">
        <v>45</v>
      </c>
      <c r="F9" s="71">
        <v>32</v>
      </c>
      <c r="G9" s="71">
        <v>30</v>
      </c>
      <c r="H9" s="71">
        <v>39</v>
      </c>
      <c r="I9" s="71">
        <v>38</v>
      </c>
      <c r="J9" s="71">
        <v>91</v>
      </c>
      <c r="K9" s="71">
        <v>79</v>
      </c>
      <c r="L9" s="71">
        <v>107</v>
      </c>
      <c r="M9" s="71">
        <v>98</v>
      </c>
      <c r="N9" s="71">
        <v>108</v>
      </c>
      <c r="O9" s="71">
        <v>98</v>
      </c>
      <c r="P9" s="71">
        <v>85</v>
      </c>
      <c r="Q9" s="56"/>
    </row>
    <row r="10" spans="1:17" x14ac:dyDescent="0.35">
      <c r="A10" s="56"/>
      <c r="B10" s="56" t="s">
        <v>138</v>
      </c>
      <c r="C10" s="71">
        <v>336</v>
      </c>
      <c r="D10" s="71">
        <v>317</v>
      </c>
      <c r="E10" s="71">
        <v>611</v>
      </c>
      <c r="F10" s="71">
        <v>391</v>
      </c>
      <c r="G10" s="71">
        <v>413</v>
      </c>
      <c r="H10" s="71">
        <v>477</v>
      </c>
      <c r="I10" s="71">
        <v>374</v>
      </c>
      <c r="J10" s="71">
        <v>899</v>
      </c>
      <c r="K10" s="71">
        <v>717</v>
      </c>
      <c r="L10" s="71">
        <v>1059</v>
      </c>
      <c r="M10" s="71">
        <v>1065</v>
      </c>
      <c r="N10" s="71">
        <v>1334</v>
      </c>
      <c r="O10" s="71">
        <v>1443</v>
      </c>
      <c r="P10" s="71">
        <v>1399</v>
      </c>
      <c r="Q10" s="56"/>
    </row>
    <row r="11" spans="1:17" x14ac:dyDescent="0.35">
      <c r="A11" s="56"/>
      <c r="B11" s="56" t="s">
        <v>139</v>
      </c>
      <c r="C11" s="71">
        <v>19</v>
      </c>
      <c r="D11" s="71">
        <v>37</v>
      </c>
      <c r="E11" s="71">
        <v>62</v>
      </c>
      <c r="F11" s="71">
        <v>25</v>
      </c>
      <c r="G11" s="71">
        <v>7</v>
      </c>
      <c r="H11" s="71">
        <v>12</v>
      </c>
      <c r="I11" s="71">
        <v>5</v>
      </c>
      <c r="J11" s="71">
        <v>30</v>
      </c>
      <c r="K11" s="71">
        <v>12</v>
      </c>
      <c r="L11" s="71">
        <v>19</v>
      </c>
      <c r="M11" s="71">
        <v>15</v>
      </c>
      <c r="N11" s="71">
        <v>43</v>
      </c>
      <c r="O11" s="71">
        <v>18</v>
      </c>
      <c r="P11" s="71">
        <v>12</v>
      </c>
      <c r="Q11" s="56"/>
    </row>
    <row r="12" spans="1:17" ht="16.5" customHeight="1" x14ac:dyDescent="0.35">
      <c r="A12" s="56"/>
      <c r="B12" s="61" t="s">
        <v>140</v>
      </c>
      <c r="C12" s="67">
        <f>SUM(C6:C11)</f>
        <v>561</v>
      </c>
      <c r="D12" s="67">
        <f t="shared" ref="D12:O12" si="0">SUM(D6:D11)</f>
        <v>546</v>
      </c>
      <c r="E12" s="67">
        <f t="shared" si="0"/>
        <v>931</v>
      </c>
      <c r="F12" s="67">
        <f t="shared" si="0"/>
        <v>646</v>
      </c>
      <c r="G12" s="67">
        <f t="shared" si="0"/>
        <v>609</v>
      </c>
      <c r="H12" s="67">
        <f t="shared" si="0"/>
        <v>650</v>
      </c>
      <c r="I12" s="67">
        <f t="shared" si="0"/>
        <v>535</v>
      </c>
      <c r="J12" s="67">
        <f t="shared" si="0"/>
        <v>1182</v>
      </c>
      <c r="K12" s="67">
        <f t="shared" si="0"/>
        <v>960</v>
      </c>
      <c r="L12" s="67">
        <f t="shared" si="0"/>
        <v>1375</v>
      </c>
      <c r="M12" s="67">
        <f t="shared" si="0"/>
        <v>1420</v>
      </c>
      <c r="N12" s="67">
        <f t="shared" si="0"/>
        <v>1690</v>
      </c>
      <c r="O12" s="67">
        <f t="shared" si="0"/>
        <v>1805</v>
      </c>
      <c r="P12" s="67">
        <f>SUM(P6:P11)</f>
        <v>1668</v>
      </c>
      <c r="Q12" s="56"/>
    </row>
    <row r="13" spans="1:17" ht="6" customHeight="1" x14ac:dyDescent="0.35">
      <c r="A13" s="56"/>
      <c r="B13" s="56"/>
      <c r="C13" s="56"/>
      <c r="D13" s="56"/>
      <c r="E13" s="56"/>
      <c r="F13" s="56"/>
      <c r="G13" s="56"/>
      <c r="H13" s="56"/>
      <c r="I13" s="56"/>
      <c r="J13" s="56"/>
      <c r="K13" s="56"/>
      <c r="L13" s="56"/>
      <c r="M13" s="56"/>
      <c r="N13" s="56"/>
      <c r="O13" s="56"/>
      <c r="P13" s="56"/>
      <c r="Q13" s="56"/>
    </row>
    <row r="14" spans="1:17" x14ac:dyDescent="0.35">
      <c r="A14" s="56"/>
      <c r="B14" s="86" t="s">
        <v>141</v>
      </c>
      <c r="C14" s="56"/>
      <c r="D14" s="56"/>
      <c r="E14" s="56"/>
      <c r="F14" s="56"/>
      <c r="G14" s="56"/>
      <c r="H14" s="56"/>
      <c r="I14" s="56"/>
      <c r="J14" s="56"/>
      <c r="K14" s="56"/>
      <c r="L14" s="56"/>
      <c r="M14" s="56"/>
      <c r="N14" s="56"/>
      <c r="O14" s="56"/>
      <c r="P14" s="56"/>
      <c r="Q14" s="56"/>
    </row>
    <row r="15" spans="1:17" x14ac:dyDescent="0.35">
      <c r="A15" s="56"/>
      <c r="B15" s="56" t="s">
        <v>134</v>
      </c>
      <c r="C15" s="85">
        <f t="shared" ref="C15:C20" si="1">C6/$C$12</f>
        <v>1.7825311942959001E-3</v>
      </c>
      <c r="D15" s="85">
        <f t="shared" ref="D15:D20" si="2">D6/$D$12</f>
        <v>1.8315018315018315E-3</v>
      </c>
      <c r="E15" s="85">
        <f t="shared" ref="E15:E20" si="3">E6/$E$12</f>
        <v>3.22234156820623E-3</v>
      </c>
      <c r="F15" s="85">
        <f t="shared" ref="F15:F20" si="4">F6/$F$12</f>
        <v>0</v>
      </c>
      <c r="G15" s="85">
        <f t="shared" ref="G15:G20" si="5">G6/$G$12</f>
        <v>3.2840722495894909E-3</v>
      </c>
      <c r="H15" s="85">
        <f t="shared" ref="H15:H20" si="6">H6/$H$12</f>
        <v>3.0769230769230769E-3</v>
      </c>
      <c r="I15" s="85">
        <f t="shared" ref="I15:I20" si="7">I6/$I$12</f>
        <v>0</v>
      </c>
      <c r="J15" s="85">
        <f t="shared" ref="J15:J20" si="8">J6/$J$12</f>
        <v>8.4602368866328254E-4</v>
      </c>
      <c r="K15" s="85">
        <f t="shared" ref="K15:K20" si="9">K6/$K$12</f>
        <v>4.1666666666666666E-3</v>
      </c>
      <c r="L15" s="85">
        <f t="shared" ref="L15:L20" si="10">L6/$L$12</f>
        <v>0</v>
      </c>
      <c r="M15" s="85">
        <f t="shared" ref="M15:M20" si="11">M6/$M$12</f>
        <v>0</v>
      </c>
      <c r="N15" s="85">
        <f t="shared" ref="N15:N20" si="12">N6/$N$12</f>
        <v>1.1834319526627219E-3</v>
      </c>
      <c r="O15" s="85">
        <f t="shared" ref="O15:O20" si="13">O6/$O$12</f>
        <v>5.54016620498615E-4</v>
      </c>
      <c r="P15" s="85">
        <f t="shared" ref="P15:P20" si="14">P6/$P$12</f>
        <v>1.7985611510791368E-3</v>
      </c>
      <c r="Q15" s="56"/>
    </row>
    <row r="16" spans="1:17" x14ac:dyDescent="0.35">
      <c r="A16" s="56"/>
      <c r="B16" s="56" t="s">
        <v>135</v>
      </c>
      <c r="C16" s="60">
        <f t="shared" si="1"/>
        <v>0.20677361853832443</v>
      </c>
      <c r="D16" s="60">
        <f t="shared" si="2"/>
        <v>0.15934065934065933</v>
      </c>
      <c r="E16" s="60">
        <f t="shared" si="3"/>
        <v>0.12996777658431793</v>
      </c>
      <c r="F16" s="60">
        <f t="shared" si="4"/>
        <v>0.17801857585139319</v>
      </c>
      <c r="G16" s="60">
        <f t="shared" si="5"/>
        <v>0.15270935960591134</v>
      </c>
      <c r="H16" s="60">
        <f t="shared" si="6"/>
        <v>0.10307692307692308</v>
      </c>
      <c r="I16" s="60">
        <f t="shared" si="7"/>
        <v>0.12897196261682242</v>
      </c>
      <c r="J16" s="60">
        <f t="shared" si="8"/>
        <v>6.7681895093062605E-2</v>
      </c>
      <c r="K16" s="60">
        <f t="shared" si="9"/>
        <v>8.6458333333333331E-2</v>
      </c>
      <c r="L16" s="60">
        <f t="shared" si="10"/>
        <v>7.9272727272727272E-2</v>
      </c>
      <c r="M16" s="60">
        <f t="shared" si="11"/>
        <v>0.10492957746478873</v>
      </c>
      <c r="N16" s="60">
        <f t="shared" si="12"/>
        <v>7.3372781065088752E-2</v>
      </c>
      <c r="O16" s="60">
        <f t="shared" si="13"/>
        <v>8.6980609418282548E-2</v>
      </c>
      <c r="P16" s="60">
        <f t="shared" si="14"/>
        <v>5.8153477218225419E-2</v>
      </c>
      <c r="Q16" s="56"/>
    </row>
    <row r="17" spans="1:17" x14ac:dyDescent="0.35">
      <c r="A17" s="56"/>
      <c r="B17" s="56" t="s">
        <v>136</v>
      </c>
      <c r="C17" s="60">
        <f t="shared" si="1"/>
        <v>0.11586452762923351</v>
      </c>
      <c r="D17" s="60">
        <f t="shared" si="2"/>
        <v>0.1391941391941392</v>
      </c>
      <c r="E17" s="60">
        <f t="shared" si="3"/>
        <v>9.5596133190118157E-2</v>
      </c>
      <c r="F17" s="60">
        <f t="shared" si="4"/>
        <v>0.12848297213622292</v>
      </c>
      <c r="G17" s="60">
        <f t="shared" si="5"/>
        <v>0.10509031198686371</v>
      </c>
      <c r="H17" s="60">
        <f t="shared" si="6"/>
        <v>8.1538461538461532E-2</v>
      </c>
      <c r="I17" s="60">
        <f t="shared" si="7"/>
        <v>9.1588785046728974E-2</v>
      </c>
      <c r="J17" s="60">
        <f t="shared" si="8"/>
        <v>6.8527918781725886E-2</v>
      </c>
      <c r="K17" s="60">
        <f t="shared" si="9"/>
        <v>6.7708333333333329E-2</v>
      </c>
      <c r="L17" s="60">
        <f t="shared" si="10"/>
        <v>5.8909090909090911E-2</v>
      </c>
      <c r="M17" s="60">
        <f t="shared" si="11"/>
        <v>6.5492957746478869E-2</v>
      </c>
      <c r="N17" s="60">
        <f t="shared" si="12"/>
        <v>4.6745562130177512E-2</v>
      </c>
      <c r="O17" s="60">
        <f t="shared" si="13"/>
        <v>4.8753462603878119E-2</v>
      </c>
      <c r="P17" s="60">
        <f t="shared" si="14"/>
        <v>4.3165467625899283E-2</v>
      </c>
      <c r="Q17" s="56"/>
    </row>
    <row r="18" spans="1:17" x14ac:dyDescent="0.35">
      <c r="A18" s="56"/>
      <c r="B18" s="56" t="s">
        <v>137</v>
      </c>
      <c r="C18" s="60">
        <f t="shared" si="1"/>
        <v>4.2780748663101602E-2</v>
      </c>
      <c r="D18" s="60">
        <f t="shared" si="2"/>
        <v>5.128205128205128E-2</v>
      </c>
      <c r="E18" s="60">
        <f t="shared" si="3"/>
        <v>4.8335123523093451E-2</v>
      </c>
      <c r="F18" s="60">
        <f t="shared" si="4"/>
        <v>4.9535603715170282E-2</v>
      </c>
      <c r="G18" s="60">
        <f t="shared" si="5"/>
        <v>4.9261083743842367E-2</v>
      </c>
      <c r="H18" s="60">
        <f t="shared" si="6"/>
        <v>0.06</v>
      </c>
      <c r="I18" s="60">
        <f t="shared" si="7"/>
        <v>7.1028037383177575E-2</v>
      </c>
      <c r="J18" s="60">
        <f t="shared" si="8"/>
        <v>7.6988155668358718E-2</v>
      </c>
      <c r="K18" s="60">
        <f t="shared" si="9"/>
        <v>8.2291666666666666E-2</v>
      </c>
      <c r="L18" s="60">
        <f t="shared" si="10"/>
        <v>7.7818181818181814E-2</v>
      </c>
      <c r="M18" s="60">
        <f t="shared" si="11"/>
        <v>6.9014084507042259E-2</v>
      </c>
      <c r="N18" s="60">
        <f t="shared" si="12"/>
        <v>6.3905325443786978E-2</v>
      </c>
      <c r="O18" s="60">
        <f t="shared" si="13"/>
        <v>5.4293628808864264E-2</v>
      </c>
      <c r="P18" s="60">
        <f t="shared" si="14"/>
        <v>5.0959232613908875E-2</v>
      </c>
      <c r="Q18" s="56"/>
    </row>
    <row r="19" spans="1:17" x14ac:dyDescent="0.35">
      <c r="A19" s="56"/>
      <c r="B19" s="56" t="s">
        <v>138</v>
      </c>
      <c r="C19" s="60">
        <f t="shared" si="1"/>
        <v>0.59893048128342241</v>
      </c>
      <c r="D19" s="60">
        <f t="shared" si="2"/>
        <v>0.58058608058608063</v>
      </c>
      <c r="E19" s="60">
        <f t="shared" si="3"/>
        <v>0.6562835660580022</v>
      </c>
      <c r="F19" s="60">
        <f t="shared" si="4"/>
        <v>0.60526315789473684</v>
      </c>
      <c r="G19" s="60">
        <f t="shared" si="5"/>
        <v>0.67816091954022983</v>
      </c>
      <c r="H19" s="60">
        <f t="shared" si="6"/>
        <v>0.73384615384615381</v>
      </c>
      <c r="I19" s="60">
        <f t="shared" si="7"/>
        <v>0.69906542056074772</v>
      </c>
      <c r="J19" s="60">
        <f t="shared" si="8"/>
        <v>0.760575296108291</v>
      </c>
      <c r="K19" s="60">
        <f t="shared" si="9"/>
        <v>0.74687499999999996</v>
      </c>
      <c r="L19" s="60">
        <f t="shared" si="10"/>
        <v>0.77018181818181819</v>
      </c>
      <c r="M19" s="60">
        <f t="shared" si="11"/>
        <v>0.75</v>
      </c>
      <c r="N19" s="60">
        <f t="shared" si="12"/>
        <v>0.78934911242603545</v>
      </c>
      <c r="O19" s="60">
        <f t="shared" si="13"/>
        <v>0.79944598337950135</v>
      </c>
      <c r="P19" s="60">
        <f t="shared" si="14"/>
        <v>0.83872901678657075</v>
      </c>
      <c r="Q19" s="56"/>
    </row>
    <row r="20" spans="1:17" x14ac:dyDescent="0.35">
      <c r="A20" s="56"/>
      <c r="B20" s="56" t="s">
        <v>139</v>
      </c>
      <c r="C20" s="60">
        <f t="shared" si="1"/>
        <v>3.3868092691622102E-2</v>
      </c>
      <c r="D20" s="60">
        <f t="shared" si="2"/>
        <v>6.7765567765567761E-2</v>
      </c>
      <c r="E20" s="60">
        <f t="shared" si="3"/>
        <v>6.6595059076262078E-2</v>
      </c>
      <c r="F20" s="60">
        <f t="shared" si="4"/>
        <v>3.8699690402476783E-2</v>
      </c>
      <c r="G20" s="60">
        <f t="shared" si="5"/>
        <v>1.1494252873563218E-2</v>
      </c>
      <c r="H20" s="60">
        <f t="shared" si="6"/>
        <v>1.8461538461538463E-2</v>
      </c>
      <c r="I20" s="60">
        <f t="shared" si="7"/>
        <v>9.3457943925233638E-3</v>
      </c>
      <c r="J20" s="60">
        <f t="shared" si="8"/>
        <v>2.5380710659898477E-2</v>
      </c>
      <c r="K20" s="60">
        <f t="shared" si="9"/>
        <v>1.2500000000000001E-2</v>
      </c>
      <c r="L20" s="60">
        <f t="shared" si="10"/>
        <v>1.3818181818181818E-2</v>
      </c>
      <c r="M20" s="60">
        <f t="shared" si="11"/>
        <v>1.0563380281690141E-2</v>
      </c>
      <c r="N20" s="60">
        <f t="shared" si="12"/>
        <v>2.5443786982248522E-2</v>
      </c>
      <c r="O20" s="60">
        <f t="shared" si="13"/>
        <v>9.9722991689750688E-3</v>
      </c>
      <c r="P20" s="60">
        <f t="shared" si="14"/>
        <v>7.1942446043165471E-3</v>
      </c>
      <c r="Q20" s="56"/>
    </row>
    <row r="21" spans="1:17" ht="6" customHeight="1" x14ac:dyDescent="0.35">
      <c r="A21" s="56"/>
      <c r="B21" s="56"/>
      <c r="C21" s="56"/>
      <c r="D21" s="56"/>
      <c r="E21" s="56"/>
      <c r="F21" s="56"/>
      <c r="G21" s="56"/>
      <c r="H21" s="56"/>
      <c r="I21" s="56"/>
      <c r="J21" s="56"/>
      <c r="K21" s="56"/>
      <c r="L21" s="56"/>
      <c r="M21" s="56"/>
      <c r="N21" s="56"/>
      <c r="O21" s="56"/>
      <c r="P21" s="56"/>
      <c r="Q21" s="56"/>
    </row>
    <row r="22" spans="1:17" ht="13.5" customHeight="1" x14ac:dyDescent="0.35">
      <c r="A22" s="64" t="s">
        <v>272</v>
      </c>
      <c r="B22" s="29"/>
      <c r="C22" s="29"/>
      <c r="D22" s="29"/>
      <c r="E22" s="29"/>
      <c r="F22" s="29"/>
    </row>
    <row r="27" spans="1:17" x14ac:dyDescent="0.35">
      <c r="C27" s="45"/>
    </row>
  </sheetData>
  <hyperlinks>
    <hyperlink ref="A22" r:id="rId1" location="page=50" xr:uid="{00000000-0004-0000-0D00-000000000000}"/>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BB190-3021-419B-8182-516514A7881C}">
  <dimension ref="A1:J68"/>
  <sheetViews>
    <sheetView showGridLines="0" workbookViewId="0">
      <selection activeCell="K54" sqref="K54"/>
    </sheetView>
  </sheetViews>
  <sheetFormatPr defaultRowHeight="15" x14ac:dyDescent="0.35"/>
  <cols>
    <col min="1" max="1" width="1.3984375" customWidth="1"/>
    <col min="2" max="2" width="8.09765625" customWidth="1"/>
    <col min="3" max="3" width="8" customWidth="1"/>
    <col min="4" max="4" width="12.3984375" customWidth="1"/>
    <col min="5" max="5" width="12.09765625" customWidth="1"/>
    <col min="6" max="6" width="1.3984375" customWidth="1"/>
    <col min="7" max="7" width="11.09765625" customWidth="1"/>
    <col min="8" max="8" width="12" customWidth="1"/>
    <col min="9" max="9" width="11.09765625" customWidth="1"/>
    <col min="10" max="10" width="1.3984375" customWidth="1"/>
  </cols>
  <sheetData>
    <row r="1" spans="1:10" ht="6" customHeight="1" x14ac:dyDescent="0.35">
      <c r="A1" s="16"/>
      <c r="B1" s="16"/>
      <c r="C1" s="16"/>
      <c r="D1" s="16"/>
      <c r="E1" s="16"/>
      <c r="F1" s="16"/>
      <c r="G1" s="16"/>
      <c r="H1" s="16"/>
      <c r="I1" s="16"/>
      <c r="J1" s="16"/>
    </row>
    <row r="2" spans="1:10" ht="18.600000000000001" x14ac:dyDescent="0.4">
      <c r="A2" s="33"/>
      <c r="B2" s="159" t="s">
        <v>269</v>
      </c>
      <c r="C2" s="159"/>
      <c r="D2" s="159"/>
      <c r="E2" s="159"/>
      <c r="F2" s="159"/>
      <c r="G2" s="159"/>
      <c r="H2" s="159"/>
      <c r="I2" s="159"/>
      <c r="J2" s="33"/>
    </row>
    <row r="3" spans="1:10" ht="15" customHeight="1" x14ac:dyDescent="0.35">
      <c r="A3" s="33"/>
      <c r="B3" s="137" t="s">
        <v>274</v>
      </c>
      <c r="C3" s="33"/>
      <c r="D3" s="33"/>
      <c r="E3" s="33"/>
      <c r="F3" s="33"/>
      <c r="G3" s="33"/>
      <c r="H3" s="33"/>
      <c r="I3" s="33"/>
      <c r="J3" s="33"/>
    </row>
    <row r="4" spans="1:10" ht="6" customHeight="1" x14ac:dyDescent="0.35">
      <c r="A4" s="33"/>
      <c r="B4" s="10"/>
      <c r="C4" s="33"/>
      <c r="D4" s="33"/>
      <c r="E4" s="33"/>
      <c r="F4" s="33"/>
      <c r="G4" s="33"/>
      <c r="H4" s="33"/>
      <c r="I4" s="33"/>
      <c r="J4" s="33"/>
    </row>
    <row r="5" spans="1:10" x14ac:dyDescent="0.35">
      <c r="A5" s="125"/>
      <c r="B5" s="56"/>
      <c r="C5" s="156" t="s">
        <v>261</v>
      </c>
      <c r="D5" s="156"/>
      <c r="E5" s="156"/>
      <c r="F5" s="56"/>
      <c r="G5" s="156" t="s">
        <v>262</v>
      </c>
      <c r="H5" s="156"/>
      <c r="I5" s="156"/>
      <c r="J5" s="125"/>
    </row>
    <row r="6" spans="1:10" ht="57.6" customHeight="1" x14ac:dyDescent="0.35">
      <c r="A6" s="125"/>
      <c r="B6" s="53"/>
      <c r="C6" s="54" t="s">
        <v>212</v>
      </c>
      <c r="D6" s="54" t="s">
        <v>263</v>
      </c>
      <c r="E6" s="153" t="s">
        <v>211</v>
      </c>
      <c r="F6" s="53"/>
      <c r="G6" s="54" t="s">
        <v>212</v>
      </c>
      <c r="H6" s="54" t="s">
        <v>264</v>
      </c>
      <c r="I6" s="103" t="s">
        <v>265</v>
      </c>
      <c r="J6" s="125"/>
    </row>
    <row r="7" spans="1:10" x14ac:dyDescent="0.35">
      <c r="A7" s="125"/>
      <c r="B7" s="86" t="s">
        <v>55</v>
      </c>
      <c r="C7" s="56"/>
      <c r="D7" s="56"/>
      <c r="E7" s="56"/>
      <c r="F7" s="56"/>
      <c r="G7" s="56"/>
      <c r="H7" s="56"/>
      <c r="I7" s="61"/>
      <c r="J7" s="125"/>
    </row>
    <row r="8" spans="1:10" x14ac:dyDescent="0.35">
      <c r="A8" s="125"/>
      <c r="B8" s="56" t="s">
        <v>0</v>
      </c>
      <c r="C8" s="71">
        <v>9933</v>
      </c>
      <c r="D8" s="71">
        <v>1841</v>
      </c>
      <c r="E8" s="71">
        <f>C8+D8</f>
        <v>11774</v>
      </c>
      <c r="F8" s="56"/>
      <c r="G8" s="85">
        <f>C8/E8</f>
        <v>0.84363852556480379</v>
      </c>
      <c r="H8" s="85">
        <f>D8/E8</f>
        <v>0.15636147443519618</v>
      </c>
      <c r="I8" s="126" t="s">
        <v>266</v>
      </c>
      <c r="J8" s="125"/>
    </row>
    <row r="9" spans="1:10" x14ac:dyDescent="0.35">
      <c r="A9" s="125"/>
      <c r="B9" s="56" t="s">
        <v>1</v>
      </c>
      <c r="C9" s="71">
        <v>9107</v>
      </c>
      <c r="D9" s="71">
        <v>1828</v>
      </c>
      <c r="E9" s="71">
        <f t="shared" ref="E9:E15" si="0">C9+D9</f>
        <v>10935</v>
      </c>
      <c r="F9" s="56"/>
      <c r="G9" s="85">
        <f t="shared" ref="G9:G15" si="1">C9/E9</f>
        <v>0.83283036122542298</v>
      </c>
      <c r="H9" s="85">
        <f t="shared" ref="H9:H16" si="2">D9/E9</f>
        <v>0.16716963877457705</v>
      </c>
      <c r="I9" s="87">
        <f t="shared" ref="I9:I16" si="3">E9/E8-1</f>
        <v>-7.1258705622558205E-2</v>
      </c>
      <c r="J9" s="125"/>
    </row>
    <row r="10" spans="1:10" x14ac:dyDescent="0.35">
      <c r="A10" s="125"/>
      <c r="B10" s="56" t="s">
        <v>2</v>
      </c>
      <c r="C10" s="71">
        <v>10069</v>
      </c>
      <c r="D10" s="71">
        <v>1749</v>
      </c>
      <c r="E10" s="71">
        <f t="shared" si="0"/>
        <v>11818</v>
      </c>
      <c r="F10" s="56"/>
      <c r="G10" s="85">
        <f t="shared" si="1"/>
        <v>0.85200541546793029</v>
      </c>
      <c r="H10" s="85">
        <f t="shared" si="2"/>
        <v>0.14799458453206973</v>
      </c>
      <c r="I10" s="87">
        <f t="shared" si="3"/>
        <v>8.0749885688157219E-2</v>
      </c>
      <c r="J10" s="125"/>
    </row>
    <row r="11" spans="1:10" x14ac:dyDescent="0.35">
      <c r="A11" s="125"/>
      <c r="B11" s="56" t="s">
        <v>3</v>
      </c>
      <c r="C11" s="71">
        <v>10123</v>
      </c>
      <c r="D11" s="71">
        <v>2007</v>
      </c>
      <c r="E11" s="71">
        <f t="shared" si="0"/>
        <v>12130</v>
      </c>
      <c r="F11" s="56"/>
      <c r="G11" s="85">
        <f t="shared" si="1"/>
        <v>0.83454245671887883</v>
      </c>
      <c r="H11" s="85">
        <f t="shared" si="2"/>
        <v>0.16545754328112119</v>
      </c>
      <c r="I11" s="87">
        <f t="shared" si="3"/>
        <v>2.6400406160094869E-2</v>
      </c>
      <c r="J11" s="125"/>
    </row>
    <row r="12" spans="1:10" x14ac:dyDescent="0.35">
      <c r="A12" s="125"/>
      <c r="B12" s="56" t="s">
        <v>4</v>
      </c>
      <c r="C12" s="71">
        <v>10337</v>
      </c>
      <c r="D12" s="71">
        <v>1958</v>
      </c>
      <c r="E12" s="71">
        <f t="shared" si="0"/>
        <v>12295</v>
      </c>
      <c r="F12" s="56"/>
      <c r="G12" s="85">
        <f t="shared" si="1"/>
        <v>0.84074827165514432</v>
      </c>
      <c r="H12" s="85">
        <f t="shared" si="2"/>
        <v>0.15925172834485563</v>
      </c>
      <c r="I12" s="87">
        <f t="shared" si="3"/>
        <v>1.3602638087386598E-2</v>
      </c>
      <c r="J12" s="125"/>
    </row>
    <row r="13" spans="1:10" x14ac:dyDescent="0.35">
      <c r="A13" s="125"/>
      <c r="B13" s="56" t="s">
        <v>5</v>
      </c>
      <c r="C13" s="71">
        <v>9583</v>
      </c>
      <c r="D13" s="71">
        <v>1828</v>
      </c>
      <c r="E13" s="71">
        <f t="shared" si="0"/>
        <v>11411</v>
      </c>
      <c r="F13" s="56"/>
      <c r="G13" s="85">
        <f t="shared" si="1"/>
        <v>0.8398036981859609</v>
      </c>
      <c r="H13" s="85">
        <f t="shared" si="2"/>
        <v>0.16019630181403907</v>
      </c>
      <c r="I13" s="87">
        <f t="shared" si="3"/>
        <v>-7.1899145994306579E-2</v>
      </c>
      <c r="J13" s="125"/>
    </row>
    <row r="14" spans="1:10" x14ac:dyDescent="0.35">
      <c r="A14" s="125"/>
      <c r="B14" s="56" t="s">
        <v>6</v>
      </c>
      <c r="C14" s="71">
        <v>9450</v>
      </c>
      <c r="D14" s="71">
        <v>1611</v>
      </c>
      <c r="E14" s="71">
        <f t="shared" si="0"/>
        <v>11061</v>
      </c>
      <c r="F14" s="56"/>
      <c r="G14" s="85">
        <f t="shared" si="1"/>
        <v>0.85435313262815293</v>
      </c>
      <c r="H14" s="85">
        <f t="shared" si="2"/>
        <v>0.14564686737184704</v>
      </c>
      <c r="I14" s="87">
        <f t="shared" si="3"/>
        <v>-3.0672158443607045E-2</v>
      </c>
      <c r="J14" s="125"/>
    </row>
    <row r="15" spans="1:10" x14ac:dyDescent="0.35">
      <c r="A15" s="125"/>
      <c r="B15" s="56" t="s">
        <v>173</v>
      </c>
      <c r="C15" s="71">
        <v>8416</v>
      </c>
      <c r="D15" s="71">
        <v>1515</v>
      </c>
      <c r="E15" s="71">
        <f t="shared" si="0"/>
        <v>9931</v>
      </c>
      <c r="F15" s="56"/>
      <c r="G15" s="85">
        <f t="shared" si="1"/>
        <v>0.8474473869700937</v>
      </c>
      <c r="H15" s="85">
        <f t="shared" si="2"/>
        <v>0.15255261302990636</v>
      </c>
      <c r="I15" s="87">
        <f t="shared" si="3"/>
        <v>-0.10216074495976857</v>
      </c>
      <c r="J15" s="125"/>
    </row>
    <row r="16" spans="1:10" x14ac:dyDescent="0.35">
      <c r="A16" s="125"/>
      <c r="B16" s="56" t="s">
        <v>183</v>
      </c>
      <c r="C16" s="71">
        <v>7268</v>
      </c>
      <c r="D16" s="71">
        <f>E16-C16</f>
        <v>1264</v>
      </c>
      <c r="E16" s="71">
        <v>8532</v>
      </c>
      <c r="F16" s="56"/>
      <c r="G16" s="85">
        <f>C16/E16</f>
        <v>0.85185185185185186</v>
      </c>
      <c r="H16" s="85">
        <f t="shared" si="2"/>
        <v>0.14814814814814814</v>
      </c>
      <c r="I16" s="87">
        <f t="shared" si="3"/>
        <v>-0.14087201691672535</v>
      </c>
      <c r="J16" s="125"/>
    </row>
    <row r="17" spans="1:10" x14ac:dyDescent="0.35">
      <c r="A17" s="125"/>
      <c r="B17" s="56" t="s">
        <v>273</v>
      </c>
      <c r="C17" s="71">
        <v>7115</v>
      </c>
      <c r="D17" s="71">
        <v>1087</v>
      </c>
      <c r="E17" s="71">
        <v>8202</v>
      </c>
      <c r="F17" s="56"/>
      <c r="G17" s="85">
        <v>0.86747134845159712</v>
      </c>
      <c r="H17" s="85">
        <v>0.13252865154840282</v>
      </c>
      <c r="I17" s="87">
        <v>-3.8677918424753877E-2</v>
      </c>
      <c r="J17" s="125"/>
    </row>
    <row r="18" spans="1:10" ht="6" customHeight="1" x14ac:dyDescent="0.35">
      <c r="A18" s="125"/>
      <c r="B18" s="56"/>
      <c r="C18" s="71"/>
      <c r="D18" s="71"/>
      <c r="E18" s="71"/>
      <c r="F18" s="56"/>
      <c r="G18" s="85"/>
      <c r="H18" s="85"/>
      <c r="I18" s="87"/>
      <c r="J18" s="125"/>
    </row>
    <row r="19" spans="1:10" x14ac:dyDescent="0.35">
      <c r="A19" s="125"/>
      <c r="B19" s="86" t="s">
        <v>57</v>
      </c>
      <c r="C19" s="56"/>
      <c r="D19" s="56"/>
      <c r="E19" s="56"/>
      <c r="F19" s="56"/>
      <c r="G19" s="56"/>
      <c r="H19" s="56"/>
      <c r="I19" s="61"/>
      <c r="J19" s="125"/>
    </row>
    <row r="20" spans="1:10" x14ac:dyDescent="0.35">
      <c r="A20" s="125"/>
      <c r="B20" s="56" t="s">
        <v>0</v>
      </c>
      <c r="C20" s="56">
        <v>479</v>
      </c>
      <c r="D20" s="56">
        <v>114</v>
      </c>
      <c r="E20" s="56">
        <f>C20+D20</f>
        <v>593</v>
      </c>
      <c r="F20" s="56"/>
      <c r="G20" s="85">
        <f>C20/E20</f>
        <v>0.80775716694772348</v>
      </c>
      <c r="H20" s="85">
        <f>D20/E20</f>
        <v>0.19224283305227655</v>
      </c>
      <c r="I20" s="126" t="s">
        <v>266</v>
      </c>
      <c r="J20" s="125"/>
    </row>
    <row r="21" spans="1:10" x14ac:dyDescent="0.35">
      <c r="A21" s="125"/>
      <c r="B21" s="56" t="s">
        <v>1</v>
      </c>
      <c r="C21" s="56">
        <v>308</v>
      </c>
      <c r="D21" s="56">
        <v>91</v>
      </c>
      <c r="E21" s="56">
        <f t="shared" ref="E21:E27" si="4">C21+D21</f>
        <v>399</v>
      </c>
      <c r="F21" s="56"/>
      <c r="G21" s="85">
        <f t="shared" ref="G21:G28" si="5">C21/E21</f>
        <v>0.77192982456140347</v>
      </c>
      <c r="H21" s="85">
        <f t="shared" ref="H21:H28" si="6">D21/E21</f>
        <v>0.22807017543859648</v>
      </c>
      <c r="I21" s="87">
        <f t="shared" ref="I21:I28" si="7">E21/E20-1</f>
        <v>-0.32715008431703207</v>
      </c>
      <c r="J21" s="125"/>
    </row>
    <row r="22" spans="1:10" x14ac:dyDescent="0.35">
      <c r="A22" s="125"/>
      <c r="B22" s="56" t="s">
        <v>2</v>
      </c>
      <c r="C22" s="56">
        <v>463</v>
      </c>
      <c r="D22" s="56">
        <v>87</v>
      </c>
      <c r="E22" s="56">
        <f t="shared" si="4"/>
        <v>550</v>
      </c>
      <c r="F22" s="56"/>
      <c r="G22" s="85">
        <f t="shared" si="5"/>
        <v>0.8418181818181818</v>
      </c>
      <c r="H22" s="85">
        <f t="shared" si="6"/>
        <v>0.15818181818181817</v>
      </c>
      <c r="I22" s="87">
        <f t="shared" si="7"/>
        <v>0.37844611528822059</v>
      </c>
      <c r="J22" s="125"/>
    </row>
    <row r="23" spans="1:10" x14ac:dyDescent="0.35">
      <c r="A23" s="125"/>
      <c r="B23" s="56" t="s">
        <v>3</v>
      </c>
      <c r="C23" s="56">
        <v>557</v>
      </c>
      <c r="D23" s="56">
        <v>108</v>
      </c>
      <c r="E23" s="56">
        <f t="shared" si="4"/>
        <v>665</v>
      </c>
      <c r="F23" s="56"/>
      <c r="G23" s="85">
        <f t="shared" si="5"/>
        <v>0.837593984962406</v>
      </c>
      <c r="H23" s="85">
        <f t="shared" si="6"/>
        <v>0.162406015037594</v>
      </c>
      <c r="I23" s="87">
        <f t="shared" si="7"/>
        <v>0.20909090909090899</v>
      </c>
      <c r="J23" s="125"/>
    </row>
    <row r="24" spans="1:10" x14ac:dyDescent="0.35">
      <c r="A24" s="125"/>
      <c r="B24" s="56" t="s">
        <v>4</v>
      </c>
      <c r="C24" s="56">
        <v>583</v>
      </c>
      <c r="D24" s="56">
        <v>154</v>
      </c>
      <c r="E24" s="56">
        <f t="shared" si="4"/>
        <v>737</v>
      </c>
      <c r="F24" s="56"/>
      <c r="G24" s="85">
        <f t="shared" si="5"/>
        <v>0.79104477611940294</v>
      </c>
      <c r="H24" s="85">
        <f t="shared" si="6"/>
        <v>0.20895522388059701</v>
      </c>
      <c r="I24" s="87">
        <f t="shared" si="7"/>
        <v>0.10827067669172941</v>
      </c>
      <c r="J24" s="125"/>
    </row>
    <row r="25" spans="1:10" x14ac:dyDescent="0.35">
      <c r="A25" s="125"/>
      <c r="B25" s="56" t="s">
        <v>5</v>
      </c>
      <c r="C25" s="56">
        <v>478</v>
      </c>
      <c r="D25" s="56">
        <v>115</v>
      </c>
      <c r="E25" s="56">
        <f t="shared" si="4"/>
        <v>593</v>
      </c>
      <c r="F25" s="56"/>
      <c r="G25" s="85">
        <f t="shared" si="5"/>
        <v>0.80607082630691396</v>
      </c>
      <c r="H25" s="85">
        <f t="shared" si="6"/>
        <v>0.19392917369308602</v>
      </c>
      <c r="I25" s="87">
        <f t="shared" si="7"/>
        <v>-0.19538670284938942</v>
      </c>
      <c r="J25" s="125"/>
    </row>
    <row r="26" spans="1:10" x14ac:dyDescent="0.35">
      <c r="A26" s="125"/>
      <c r="B26" s="56" t="s">
        <v>6</v>
      </c>
      <c r="C26" s="56">
        <v>691</v>
      </c>
      <c r="D26" s="56">
        <v>129</v>
      </c>
      <c r="E26" s="56">
        <f t="shared" si="4"/>
        <v>820</v>
      </c>
      <c r="F26" s="56"/>
      <c r="G26" s="85">
        <f t="shared" si="5"/>
        <v>0.84268292682926826</v>
      </c>
      <c r="H26" s="85">
        <f t="shared" si="6"/>
        <v>0.15731707317073171</v>
      </c>
      <c r="I26" s="87">
        <f t="shared" si="7"/>
        <v>0.38279932546374362</v>
      </c>
      <c r="J26" s="125"/>
    </row>
    <row r="27" spans="1:10" x14ac:dyDescent="0.35">
      <c r="A27" s="125"/>
      <c r="B27" s="56" t="s">
        <v>173</v>
      </c>
      <c r="C27" s="56">
        <v>507</v>
      </c>
      <c r="D27" s="56">
        <v>98</v>
      </c>
      <c r="E27" s="56">
        <f t="shared" si="4"/>
        <v>605</v>
      </c>
      <c r="F27" s="56"/>
      <c r="G27" s="85">
        <f t="shared" si="5"/>
        <v>0.83801652892561984</v>
      </c>
      <c r="H27" s="85">
        <f t="shared" si="6"/>
        <v>0.16198347107438016</v>
      </c>
      <c r="I27" s="87">
        <f t="shared" si="7"/>
        <v>-0.26219512195121952</v>
      </c>
      <c r="J27" s="125"/>
    </row>
    <row r="28" spans="1:10" x14ac:dyDescent="0.35">
      <c r="A28" s="125"/>
      <c r="B28" s="56" t="s">
        <v>183</v>
      </c>
      <c r="C28" s="56">
        <v>384</v>
      </c>
      <c r="D28" s="56">
        <f>E28-C28</f>
        <v>69</v>
      </c>
      <c r="E28" s="56">
        <v>453</v>
      </c>
      <c r="F28" s="56"/>
      <c r="G28" s="85">
        <f t="shared" si="5"/>
        <v>0.84768211920529801</v>
      </c>
      <c r="H28" s="85">
        <f t="shared" si="6"/>
        <v>0.15231788079470199</v>
      </c>
      <c r="I28" s="87">
        <f t="shared" si="7"/>
        <v>-0.25123966942148757</v>
      </c>
      <c r="J28" s="125"/>
    </row>
    <row r="29" spans="1:10" x14ac:dyDescent="0.35">
      <c r="A29" s="125"/>
      <c r="B29" s="56" t="s">
        <v>273</v>
      </c>
      <c r="C29" s="56">
        <v>294</v>
      </c>
      <c r="D29" s="56">
        <v>68</v>
      </c>
      <c r="E29" s="56">
        <v>362</v>
      </c>
      <c r="F29" s="56"/>
      <c r="G29" s="85">
        <v>0.81215469613259672</v>
      </c>
      <c r="H29" s="85">
        <v>0.18784530386740331</v>
      </c>
      <c r="I29" s="87">
        <v>-0.20088300220750555</v>
      </c>
      <c r="J29" s="125"/>
    </row>
    <row r="30" spans="1:10" ht="6" customHeight="1" x14ac:dyDescent="0.35">
      <c r="A30" s="125"/>
      <c r="B30" s="56"/>
      <c r="C30" s="56"/>
      <c r="D30" s="56"/>
      <c r="E30" s="56"/>
      <c r="F30" s="56"/>
      <c r="G30" s="85"/>
      <c r="H30" s="85"/>
      <c r="I30" s="87"/>
      <c r="J30" s="125"/>
    </row>
    <row r="31" spans="1:10" x14ac:dyDescent="0.35">
      <c r="A31" s="125"/>
      <c r="B31" s="86" t="s">
        <v>267</v>
      </c>
      <c r="C31" s="56"/>
      <c r="D31" s="56"/>
      <c r="E31" s="56"/>
      <c r="F31" s="56"/>
      <c r="G31" s="56"/>
      <c r="H31" s="56"/>
      <c r="I31" s="61"/>
      <c r="J31" s="125"/>
    </row>
    <row r="32" spans="1:10" x14ac:dyDescent="0.35">
      <c r="A32" s="125"/>
      <c r="B32" s="56" t="s">
        <v>0</v>
      </c>
      <c r="C32" s="71">
        <v>951</v>
      </c>
      <c r="D32" s="56">
        <v>257</v>
      </c>
      <c r="E32" s="71">
        <f>C32+D32</f>
        <v>1208</v>
      </c>
      <c r="F32" s="56"/>
      <c r="G32" s="85">
        <f>C32/E32</f>
        <v>0.78725165562913912</v>
      </c>
      <c r="H32" s="85">
        <f>D32/E32</f>
        <v>0.21274834437086093</v>
      </c>
      <c r="I32" s="126" t="s">
        <v>266</v>
      </c>
      <c r="J32" s="125"/>
    </row>
    <row r="33" spans="1:10" x14ac:dyDescent="0.35">
      <c r="A33" s="125"/>
      <c r="B33" s="56" t="s">
        <v>1</v>
      </c>
      <c r="C33" s="71">
        <v>885</v>
      </c>
      <c r="D33" s="56">
        <v>211</v>
      </c>
      <c r="E33" s="71">
        <f t="shared" ref="E33:E39" si="8">C33+D33</f>
        <v>1096</v>
      </c>
      <c r="F33" s="56"/>
      <c r="G33" s="85">
        <f t="shared" ref="G33:G40" si="9">C33/E33</f>
        <v>0.80748175182481752</v>
      </c>
      <c r="H33" s="85">
        <f t="shared" ref="H33:H40" si="10">D33/E33</f>
        <v>0.19251824817518248</v>
      </c>
      <c r="I33" s="87">
        <f t="shared" ref="I33:I40" si="11">E33/E32-1</f>
        <v>-9.27152317880795E-2</v>
      </c>
      <c r="J33" s="125"/>
    </row>
    <row r="34" spans="1:10" x14ac:dyDescent="0.35">
      <c r="A34" s="125"/>
      <c r="B34" s="56" t="s">
        <v>2</v>
      </c>
      <c r="C34" s="71">
        <v>913</v>
      </c>
      <c r="D34" s="56">
        <v>219</v>
      </c>
      <c r="E34" s="71">
        <f t="shared" si="8"/>
        <v>1132</v>
      </c>
      <c r="F34" s="56"/>
      <c r="G34" s="85">
        <f t="shared" si="9"/>
        <v>0.80653710247349819</v>
      </c>
      <c r="H34" s="85">
        <f t="shared" si="10"/>
        <v>0.19346289752650175</v>
      </c>
      <c r="I34" s="87">
        <f t="shared" si="11"/>
        <v>3.2846715328467058E-2</v>
      </c>
      <c r="J34" s="125"/>
    </row>
    <row r="35" spans="1:10" x14ac:dyDescent="0.35">
      <c r="A35" s="125"/>
      <c r="B35" s="56" t="s">
        <v>3</v>
      </c>
      <c r="C35" s="71">
        <v>1037</v>
      </c>
      <c r="D35" s="56">
        <v>240</v>
      </c>
      <c r="E35" s="71">
        <f t="shared" si="8"/>
        <v>1277</v>
      </c>
      <c r="F35" s="56"/>
      <c r="G35" s="85">
        <f t="shared" si="9"/>
        <v>0.81205951448707914</v>
      </c>
      <c r="H35" s="85">
        <f t="shared" si="10"/>
        <v>0.18794048551292092</v>
      </c>
      <c r="I35" s="87">
        <f t="shared" si="11"/>
        <v>0.12809187279151946</v>
      </c>
      <c r="J35" s="125"/>
    </row>
    <row r="36" spans="1:10" x14ac:dyDescent="0.35">
      <c r="A36" s="125"/>
      <c r="B36" s="56" t="s">
        <v>4</v>
      </c>
      <c r="C36" s="71">
        <v>1219</v>
      </c>
      <c r="D36" s="56">
        <v>250</v>
      </c>
      <c r="E36" s="71">
        <f t="shared" si="8"/>
        <v>1469</v>
      </c>
      <c r="F36" s="56"/>
      <c r="G36" s="85">
        <f t="shared" si="9"/>
        <v>0.82981620149761748</v>
      </c>
      <c r="H36" s="85">
        <f t="shared" si="10"/>
        <v>0.17018379850238258</v>
      </c>
      <c r="I36" s="87">
        <f t="shared" si="11"/>
        <v>0.15035238841033682</v>
      </c>
      <c r="J36" s="125"/>
    </row>
    <row r="37" spans="1:10" x14ac:dyDescent="0.35">
      <c r="A37" s="125"/>
      <c r="B37" s="56" t="s">
        <v>5</v>
      </c>
      <c r="C37" s="71">
        <v>1211</v>
      </c>
      <c r="D37" s="56">
        <v>256</v>
      </c>
      <c r="E37" s="71">
        <f t="shared" si="8"/>
        <v>1467</v>
      </c>
      <c r="F37" s="56"/>
      <c r="G37" s="85">
        <f t="shared" si="9"/>
        <v>0.82549420586230404</v>
      </c>
      <c r="H37" s="85">
        <f t="shared" si="10"/>
        <v>0.17450579413769599</v>
      </c>
      <c r="I37" s="87">
        <f t="shared" si="11"/>
        <v>-1.3614703880190371E-3</v>
      </c>
      <c r="J37" s="125"/>
    </row>
    <row r="38" spans="1:10" x14ac:dyDescent="0.35">
      <c r="A38" s="125"/>
      <c r="B38" s="56" t="s">
        <v>6</v>
      </c>
      <c r="C38" s="71">
        <v>1282</v>
      </c>
      <c r="D38" s="56">
        <v>236</v>
      </c>
      <c r="E38" s="71">
        <f t="shared" si="8"/>
        <v>1518</v>
      </c>
      <c r="F38" s="56"/>
      <c r="G38" s="85">
        <f t="shared" si="9"/>
        <v>0.84453227931488806</v>
      </c>
      <c r="H38" s="85">
        <f t="shared" si="10"/>
        <v>0.155467720685112</v>
      </c>
      <c r="I38" s="87">
        <f t="shared" si="11"/>
        <v>3.4764826175869068E-2</v>
      </c>
      <c r="J38" s="125"/>
    </row>
    <row r="39" spans="1:10" x14ac:dyDescent="0.35">
      <c r="A39" s="125"/>
      <c r="B39" s="56" t="s">
        <v>173</v>
      </c>
      <c r="C39" s="71">
        <v>1475</v>
      </c>
      <c r="D39" s="56">
        <v>238</v>
      </c>
      <c r="E39" s="71">
        <f t="shared" si="8"/>
        <v>1713</v>
      </c>
      <c r="F39" s="56"/>
      <c r="G39" s="85">
        <f t="shared" si="9"/>
        <v>0.86106246351430238</v>
      </c>
      <c r="H39" s="85">
        <f t="shared" si="10"/>
        <v>0.13893753648569759</v>
      </c>
      <c r="I39" s="87">
        <f t="shared" si="11"/>
        <v>0.12845849802371534</v>
      </c>
      <c r="J39" s="125"/>
    </row>
    <row r="40" spans="1:10" x14ac:dyDescent="0.35">
      <c r="A40" s="50"/>
      <c r="B40" s="56" t="s">
        <v>183</v>
      </c>
      <c r="C40" s="71">
        <v>1396</v>
      </c>
      <c r="D40" s="71">
        <f>E40-C40</f>
        <v>209</v>
      </c>
      <c r="E40" s="71">
        <v>1605</v>
      </c>
      <c r="F40" s="56"/>
      <c r="G40" s="85">
        <f t="shared" si="9"/>
        <v>0.86978193146417448</v>
      </c>
      <c r="H40" s="85">
        <f t="shared" si="10"/>
        <v>0.13021806853582554</v>
      </c>
      <c r="I40" s="87">
        <f t="shared" si="11"/>
        <v>-6.3047285464098102E-2</v>
      </c>
      <c r="J40" s="125"/>
    </row>
    <row r="41" spans="1:10" x14ac:dyDescent="0.35">
      <c r="A41" s="50"/>
      <c r="B41" s="56" t="s">
        <v>273</v>
      </c>
      <c r="C41" s="71">
        <v>1618</v>
      </c>
      <c r="D41" s="71">
        <v>205</v>
      </c>
      <c r="E41" s="71">
        <v>1823</v>
      </c>
      <c r="F41" s="56"/>
      <c r="G41" s="85">
        <v>0.88754799780581461</v>
      </c>
      <c r="H41" s="85">
        <v>0.11245200219418541</v>
      </c>
      <c r="I41" s="87">
        <v>0.13582554517133949</v>
      </c>
      <c r="J41" s="125"/>
    </row>
    <row r="42" spans="1:10" ht="6" customHeight="1" x14ac:dyDescent="0.35">
      <c r="A42" s="125"/>
      <c r="B42" s="56"/>
      <c r="C42" s="71"/>
      <c r="D42" s="56"/>
      <c r="E42" s="71"/>
      <c r="F42" s="56"/>
      <c r="G42" s="85"/>
      <c r="H42" s="85"/>
      <c r="I42" s="87"/>
      <c r="J42" s="125"/>
    </row>
    <row r="43" spans="1:10" x14ac:dyDescent="0.35">
      <c r="A43" s="125"/>
      <c r="B43" s="86" t="s">
        <v>61</v>
      </c>
      <c r="C43" s="56"/>
      <c r="D43" s="56"/>
      <c r="E43" s="56"/>
      <c r="F43" s="56"/>
      <c r="G43" s="56"/>
      <c r="H43" s="56"/>
      <c r="I43" s="61"/>
      <c r="J43" s="125"/>
    </row>
    <row r="44" spans="1:10" x14ac:dyDescent="0.35">
      <c r="A44" s="125"/>
      <c r="B44" s="56" t="s">
        <v>0</v>
      </c>
      <c r="C44" s="56">
        <v>480</v>
      </c>
      <c r="D44" s="56">
        <v>141</v>
      </c>
      <c r="E44" s="71">
        <f>C44+D44</f>
        <v>621</v>
      </c>
      <c r="F44" s="56"/>
      <c r="G44" s="85">
        <f>C44/E44</f>
        <v>0.77294685990338163</v>
      </c>
      <c r="H44" s="85">
        <f>D44/E44</f>
        <v>0.22705314009661837</v>
      </c>
      <c r="I44" s="127" t="s">
        <v>266</v>
      </c>
      <c r="J44" s="125"/>
    </row>
    <row r="45" spans="1:10" x14ac:dyDescent="0.35">
      <c r="A45" s="125"/>
      <c r="B45" s="56" t="s">
        <v>1</v>
      </c>
      <c r="C45" s="56">
        <v>494</v>
      </c>
      <c r="D45" s="56">
        <v>146</v>
      </c>
      <c r="E45" s="71">
        <f t="shared" ref="E45:E51" si="12">C45+D45</f>
        <v>640</v>
      </c>
      <c r="F45" s="56"/>
      <c r="G45" s="85">
        <f t="shared" ref="G45:G52" si="13">C45/E45</f>
        <v>0.77187499999999998</v>
      </c>
      <c r="H45" s="85">
        <f t="shared" ref="H45:H52" si="14">D45/E45</f>
        <v>0.22812499999999999</v>
      </c>
      <c r="I45" s="87">
        <f t="shared" ref="I45:I52" si="15">E45/E44-1</f>
        <v>3.0595813204508771E-2</v>
      </c>
      <c r="J45" s="125"/>
    </row>
    <row r="46" spans="1:10" x14ac:dyDescent="0.35">
      <c r="A46" s="125"/>
      <c r="B46" s="56" t="s">
        <v>2</v>
      </c>
      <c r="C46" s="56">
        <v>470</v>
      </c>
      <c r="D46" s="56">
        <v>104</v>
      </c>
      <c r="E46" s="71">
        <f t="shared" si="12"/>
        <v>574</v>
      </c>
      <c r="F46" s="56"/>
      <c r="G46" s="85">
        <f t="shared" si="13"/>
        <v>0.81881533101045301</v>
      </c>
      <c r="H46" s="85">
        <f t="shared" si="14"/>
        <v>0.18118466898954705</v>
      </c>
      <c r="I46" s="87">
        <f t="shared" si="15"/>
        <v>-0.10312500000000002</v>
      </c>
      <c r="J46" s="125"/>
    </row>
    <row r="47" spans="1:10" x14ac:dyDescent="0.35">
      <c r="A47" s="125"/>
      <c r="B47" s="56" t="s">
        <v>3</v>
      </c>
      <c r="C47" s="56">
        <v>503</v>
      </c>
      <c r="D47" s="56">
        <v>163</v>
      </c>
      <c r="E47" s="71">
        <f t="shared" si="12"/>
        <v>666</v>
      </c>
      <c r="F47" s="56"/>
      <c r="G47" s="85">
        <f t="shared" si="13"/>
        <v>0.75525525525525528</v>
      </c>
      <c r="H47" s="85">
        <f t="shared" si="14"/>
        <v>0.24474474474474475</v>
      </c>
      <c r="I47" s="87">
        <f t="shared" si="15"/>
        <v>0.16027874564459932</v>
      </c>
      <c r="J47" s="125"/>
    </row>
    <row r="48" spans="1:10" x14ac:dyDescent="0.35">
      <c r="A48" s="125"/>
      <c r="B48" s="56" t="s">
        <v>4</v>
      </c>
      <c r="C48" s="56">
        <v>707</v>
      </c>
      <c r="D48" s="56">
        <v>234</v>
      </c>
      <c r="E48" s="71">
        <f t="shared" si="12"/>
        <v>941</v>
      </c>
      <c r="F48" s="56"/>
      <c r="G48" s="85">
        <f t="shared" si="13"/>
        <v>0.75132837407013819</v>
      </c>
      <c r="H48" s="85">
        <f t="shared" si="14"/>
        <v>0.24867162592986186</v>
      </c>
      <c r="I48" s="87">
        <f t="shared" si="15"/>
        <v>0.41291291291291299</v>
      </c>
      <c r="J48" s="125"/>
    </row>
    <row r="49" spans="1:10" x14ac:dyDescent="0.35">
      <c r="A49" s="125"/>
      <c r="B49" s="56" t="s">
        <v>5</v>
      </c>
      <c r="C49" s="56">
        <v>800</v>
      </c>
      <c r="D49" s="56">
        <v>209</v>
      </c>
      <c r="E49" s="71">
        <f t="shared" si="12"/>
        <v>1009</v>
      </c>
      <c r="F49" s="56"/>
      <c r="G49" s="85">
        <f t="shared" si="13"/>
        <v>0.79286422200198214</v>
      </c>
      <c r="H49" s="85">
        <f t="shared" si="14"/>
        <v>0.20713577799801783</v>
      </c>
      <c r="I49" s="87">
        <f t="shared" si="15"/>
        <v>7.2263549415515493E-2</v>
      </c>
      <c r="J49" s="125"/>
    </row>
    <row r="50" spans="1:10" x14ac:dyDescent="0.35">
      <c r="A50" s="125"/>
      <c r="B50" s="56" t="s">
        <v>6</v>
      </c>
      <c r="C50" s="56">
        <v>564</v>
      </c>
      <c r="D50" s="56">
        <v>188</v>
      </c>
      <c r="E50" s="71">
        <f t="shared" si="12"/>
        <v>752</v>
      </c>
      <c r="F50" s="56"/>
      <c r="G50" s="85">
        <f t="shared" si="13"/>
        <v>0.75</v>
      </c>
      <c r="H50" s="85">
        <f t="shared" si="14"/>
        <v>0.25</v>
      </c>
      <c r="I50" s="87">
        <f t="shared" si="15"/>
        <v>-0.25470763131813678</v>
      </c>
      <c r="J50" s="125"/>
    </row>
    <row r="51" spans="1:10" x14ac:dyDescent="0.35">
      <c r="A51" s="125"/>
      <c r="B51" s="56" t="s">
        <v>173</v>
      </c>
      <c r="C51" s="56">
        <v>419</v>
      </c>
      <c r="D51" s="56">
        <v>160</v>
      </c>
      <c r="E51" s="71">
        <f t="shared" si="12"/>
        <v>579</v>
      </c>
      <c r="F51" s="56"/>
      <c r="G51" s="85">
        <f t="shared" si="13"/>
        <v>0.72366148531951646</v>
      </c>
      <c r="H51" s="85">
        <f t="shared" si="14"/>
        <v>0.27633851468048359</v>
      </c>
      <c r="I51" s="87">
        <f t="shared" si="15"/>
        <v>-0.23005319148936165</v>
      </c>
      <c r="J51" s="125"/>
    </row>
    <row r="52" spans="1:10" x14ac:dyDescent="0.35">
      <c r="A52" s="125"/>
      <c r="B52" s="56" t="s">
        <v>183</v>
      </c>
      <c r="C52" s="56">
        <v>292</v>
      </c>
      <c r="D52" s="71">
        <f>E52-C52</f>
        <v>68</v>
      </c>
      <c r="E52" s="71">
        <v>360</v>
      </c>
      <c r="F52" s="56"/>
      <c r="G52" s="85">
        <f t="shared" si="13"/>
        <v>0.81111111111111112</v>
      </c>
      <c r="H52" s="85">
        <f t="shared" si="14"/>
        <v>0.18888888888888888</v>
      </c>
      <c r="I52" s="87">
        <f t="shared" si="15"/>
        <v>-0.37823834196891193</v>
      </c>
      <c r="J52" s="125"/>
    </row>
    <row r="53" spans="1:10" x14ac:dyDescent="0.35">
      <c r="A53" s="125"/>
      <c r="B53" s="56" t="s">
        <v>273</v>
      </c>
      <c r="C53" s="56">
        <v>236</v>
      </c>
      <c r="D53" s="71">
        <v>56</v>
      </c>
      <c r="E53" s="71">
        <v>292</v>
      </c>
      <c r="F53" s="56"/>
      <c r="G53" s="85">
        <v>0.80821917808219179</v>
      </c>
      <c r="H53" s="85">
        <v>0.19178082191780821</v>
      </c>
      <c r="I53" s="87">
        <v>-0.18888888888888888</v>
      </c>
      <c r="J53" s="125"/>
    </row>
    <row r="54" spans="1:10" ht="6" customHeight="1" x14ac:dyDescent="0.35">
      <c r="A54" s="125"/>
      <c r="B54" s="56"/>
      <c r="C54" s="56"/>
      <c r="D54" s="56"/>
      <c r="E54" s="71"/>
      <c r="F54" s="56"/>
      <c r="G54" s="85"/>
      <c r="H54" s="85"/>
      <c r="I54" s="87"/>
      <c r="J54" s="125"/>
    </row>
    <row r="55" spans="1:10" x14ac:dyDescent="0.35">
      <c r="A55" s="125"/>
      <c r="B55" s="128" t="s">
        <v>268</v>
      </c>
      <c r="C55" s="128"/>
      <c r="D55" s="128"/>
      <c r="E55" s="56"/>
      <c r="F55" s="56"/>
      <c r="G55" s="56"/>
      <c r="H55" s="56"/>
      <c r="I55" s="61"/>
      <c r="J55" s="125"/>
    </row>
    <row r="56" spans="1:10" x14ac:dyDescent="0.35">
      <c r="A56" s="125"/>
      <c r="B56" s="61" t="s">
        <v>0</v>
      </c>
      <c r="C56" s="67">
        <v>11843</v>
      </c>
      <c r="D56" s="67">
        <v>2353</v>
      </c>
      <c r="E56" s="67">
        <v>14196</v>
      </c>
      <c r="F56" s="61"/>
      <c r="G56" s="87">
        <f>C56/E56</f>
        <v>0.83424908424908428</v>
      </c>
      <c r="H56" s="87">
        <f>D56/E56</f>
        <v>0.16575091575091574</v>
      </c>
      <c r="I56" s="127" t="s">
        <v>266</v>
      </c>
      <c r="J56" s="125"/>
    </row>
    <row r="57" spans="1:10" x14ac:dyDescent="0.35">
      <c r="A57" s="125"/>
      <c r="B57" s="61" t="s">
        <v>1</v>
      </c>
      <c r="C57" s="67">
        <v>10794</v>
      </c>
      <c r="D57" s="67">
        <v>2276</v>
      </c>
      <c r="E57" s="67">
        <v>13070</v>
      </c>
      <c r="F57" s="61"/>
      <c r="G57" s="87">
        <f t="shared" ref="G57:G64" si="16">C57/E57</f>
        <v>0.82586074980872226</v>
      </c>
      <c r="H57" s="87">
        <f t="shared" ref="H57:H64" si="17">D57/E57</f>
        <v>0.17413925019127774</v>
      </c>
      <c r="I57" s="87">
        <v>-7.931811777965625E-2</v>
      </c>
      <c r="J57" s="125"/>
    </row>
    <row r="58" spans="1:10" x14ac:dyDescent="0.35">
      <c r="A58" s="125"/>
      <c r="B58" s="61" t="s">
        <v>2</v>
      </c>
      <c r="C58" s="67">
        <v>11915</v>
      </c>
      <c r="D58" s="67">
        <v>2156</v>
      </c>
      <c r="E58" s="67">
        <v>14071</v>
      </c>
      <c r="F58" s="61"/>
      <c r="G58" s="87">
        <f t="shared" si="16"/>
        <v>0.84677705919977253</v>
      </c>
      <c r="H58" s="87">
        <f t="shared" si="17"/>
        <v>0.15322294080022741</v>
      </c>
      <c r="I58" s="87">
        <v>7.6587605202754316E-2</v>
      </c>
      <c r="J58" s="125"/>
    </row>
    <row r="59" spans="1:10" x14ac:dyDescent="0.35">
      <c r="A59" s="125"/>
      <c r="B59" s="61" t="s">
        <v>3</v>
      </c>
      <c r="C59" s="67">
        <v>12220</v>
      </c>
      <c r="D59" s="67">
        <v>2518</v>
      </c>
      <c r="E59" s="67">
        <v>14738</v>
      </c>
      <c r="F59" s="61"/>
      <c r="G59" s="87">
        <f t="shared" si="16"/>
        <v>0.8291491382819921</v>
      </c>
      <c r="H59" s="87">
        <f t="shared" si="17"/>
        <v>0.17085086171800787</v>
      </c>
      <c r="I59" s="87">
        <v>4.740245895814077E-2</v>
      </c>
      <c r="J59" s="125"/>
    </row>
    <row r="60" spans="1:10" x14ac:dyDescent="0.35">
      <c r="A60" s="125"/>
      <c r="B60" s="61" t="s">
        <v>4</v>
      </c>
      <c r="C60" s="67">
        <v>12846</v>
      </c>
      <c r="D60" s="67">
        <v>2596</v>
      </c>
      <c r="E60" s="67">
        <v>15442</v>
      </c>
      <c r="F60" s="61"/>
      <c r="G60" s="87">
        <f t="shared" si="16"/>
        <v>0.83188706126149459</v>
      </c>
      <c r="H60" s="87">
        <f t="shared" si="17"/>
        <v>0.16811293873850539</v>
      </c>
      <c r="I60" s="87">
        <v>4.7767675396933162E-2</v>
      </c>
      <c r="J60" s="125"/>
    </row>
    <row r="61" spans="1:10" x14ac:dyDescent="0.35">
      <c r="A61" s="125"/>
      <c r="B61" s="61" t="s">
        <v>5</v>
      </c>
      <c r="C61" s="67">
        <v>12072</v>
      </c>
      <c r="D61" s="67">
        <v>2408</v>
      </c>
      <c r="E61" s="67">
        <v>14480</v>
      </c>
      <c r="F61" s="61"/>
      <c r="G61" s="87">
        <f t="shared" si="16"/>
        <v>0.83370165745856351</v>
      </c>
      <c r="H61" s="87">
        <f t="shared" si="17"/>
        <v>0.16629834254143647</v>
      </c>
      <c r="I61" s="87">
        <v>-6.2297629840694202E-2</v>
      </c>
      <c r="J61" s="125"/>
    </row>
    <row r="62" spans="1:10" x14ac:dyDescent="0.35">
      <c r="A62" s="125"/>
      <c r="B62" s="61" t="s">
        <v>6</v>
      </c>
      <c r="C62" s="67">
        <v>11987</v>
      </c>
      <c r="D62" s="67">
        <v>2164</v>
      </c>
      <c r="E62" s="67">
        <v>14151</v>
      </c>
      <c r="F62" s="61"/>
      <c r="G62" s="87">
        <f t="shared" si="16"/>
        <v>0.8470779450215532</v>
      </c>
      <c r="H62" s="87">
        <f t="shared" si="17"/>
        <v>0.15292205497844674</v>
      </c>
      <c r="I62" s="87">
        <f>E62/E61-1</f>
        <v>-2.272099447513809E-2</v>
      </c>
      <c r="J62" s="125"/>
    </row>
    <row r="63" spans="1:10" x14ac:dyDescent="0.35">
      <c r="A63" s="125"/>
      <c r="B63" s="61" t="s">
        <v>173</v>
      </c>
      <c r="C63" s="67">
        <v>10817</v>
      </c>
      <c r="D63" s="67">
        <v>2011</v>
      </c>
      <c r="E63" s="67">
        <v>12828</v>
      </c>
      <c r="F63" s="61"/>
      <c r="G63" s="87">
        <f t="shared" si="16"/>
        <v>0.84323355160586222</v>
      </c>
      <c r="H63" s="87">
        <f t="shared" si="17"/>
        <v>0.15676644839413784</v>
      </c>
      <c r="I63" s="87">
        <f>E63/E62-1</f>
        <v>-9.3491626033495812E-2</v>
      </c>
      <c r="J63" s="125"/>
    </row>
    <row r="64" spans="1:10" x14ac:dyDescent="0.35">
      <c r="A64" s="125"/>
      <c r="B64" s="61" t="s">
        <v>183</v>
      </c>
      <c r="C64" s="67">
        <v>9340</v>
      </c>
      <c r="D64" s="67">
        <f>E64-C64</f>
        <v>1610</v>
      </c>
      <c r="E64" s="67">
        <v>10950</v>
      </c>
      <c r="F64" s="61"/>
      <c r="G64" s="87">
        <f t="shared" si="16"/>
        <v>0.85296803652968034</v>
      </c>
      <c r="H64" s="87">
        <f t="shared" si="17"/>
        <v>0.14703196347031963</v>
      </c>
      <c r="I64" s="87">
        <f>E64/E63-1</f>
        <v>-0.14639850327408799</v>
      </c>
      <c r="J64" s="125"/>
    </row>
    <row r="65" spans="1:10" x14ac:dyDescent="0.35">
      <c r="A65" s="125"/>
      <c r="B65" s="61" t="s">
        <v>273</v>
      </c>
      <c r="C65" s="67">
        <v>9263</v>
      </c>
      <c r="D65" s="67">
        <v>1416</v>
      </c>
      <c r="E65" s="67">
        <v>10679</v>
      </c>
      <c r="F65" s="61"/>
      <c r="G65" s="87">
        <v>0.86740331491712708</v>
      </c>
      <c r="H65" s="87">
        <v>0.13259668508287292</v>
      </c>
      <c r="I65" s="87">
        <v>-2.4748858447488531E-2</v>
      </c>
      <c r="J65" s="125"/>
    </row>
    <row r="66" spans="1:10" ht="6" customHeight="1" x14ac:dyDescent="0.35">
      <c r="A66" s="125"/>
      <c r="B66" s="129"/>
      <c r="C66" s="130"/>
      <c r="D66" s="130"/>
      <c r="E66" s="130"/>
      <c r="F66" s="129"/>
      <c r="G66" s="131"/>
      <c r="H66" s="131"/>
      <c r="I66" s="131"/>
      <c r="J66" s="125"/>
    </row>
    <row r="67" spans="1:10" ht="6" customHeight="1" x14ac:dyDescent="0.35">
      <c r="A67" s="132"/>
      <c r="B67" s="133"/>
      <c r="C67" s="134"/>
      <c r="D67" s="134"/>
      <c r="E67" s="134"/>
      <c r="F67" s="133"/>
      <c r="G67" s="135"/>
      <c r="H67" s="135"/>
      <c r="I67" s="135"/>
      <c r="J67" s="132"/>
    </row>
    <row r="68" spans="1:10" ht="13.5" customHeight="1" x14ac:dyDescent="0.35">
      <c r="A68" s="136" t="str">
        <f>'Table 8'!$A$54</f>
        <v xml:space="preserve">Source:Crown Prosecution Service, Hate Crime Annual Data Tables Year Ending March 2021
</v>
      </c>
      <c r="B68" s="75"/>
      <c r="C68" s="75"/>
      <c r="D68" s="75"/>
      <c r="E68" s="75"/>
      <c r="F68" s="75"/>
      <c r="G68" s="75"/>
      <c r="H68" s="75"/>
      <c r="I68" s="75"/>
      <c r="J68" s="75"/>
    </row>
  </sheetData>
  <mergeCells count="3">
    <mergeCell ref="B2:I2"/>
    <mergeCell ref="C5:E5"/>
    <mergeCell ref="G5:I5"/>
  </mergeCells>
  <hyperlinks>
    <hyperlink ref="A68" r:id="rId1" display="https://www.cps.gov.uk/sites/default/files/documents/publications/Hate-Crime-Annual-Data-Tables-Year-Ending-March-2020.xlsx" xr:uid="{A6BC61CE-4633-4689-A39B-C3A483AA3C7C}"/>
  </hyperlinks>
  <pageMargins left="0.7" right="0.7" top="0.75" bottom="0.75" header="0.3" footer="0.3"/>
  <pageSetup paperSize="9" orientation="portrait" horizontalDpi="1200" verticalDpi="12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764B3-4D6D-4145-B2FD-C61904FFA2DB}">
  <dimension ref="A1:AO54"/>
  <sheetViews>
    <sheetView showGridLines="0" workbookViewId="0">
      <selection activeCell="X7" sqref="X7:X49"/>
    </sheetView>
  </sheetViews>
  <sheetFormatPr defaultRowHeight="15" x14ac:dyDescent="0.35"/>
  <cols>
    <col min="1" max="1" width="1.3984375" customWidth="1"/>
    <col min="2" max="2" width="21.8984375" customWidth="1"/>
    <col min="3" max="3" width="10.09765625" customWidth="1"/>
    <col min="4" max="4" width="10.3984375" customWidth="1"/>
    <col min="5" max="5" width="11" customWidth="1"/>
    <col min="6" max="6" width="1.09765625" customWidth="1"/>
    <col min="7" max="7" width="10.3984375" customWidth="1"/>
    <col min="8" max="8" width="11" customWidth="1"/>
    <col min="9" max="9" width="10.69921875" customWidth="1"/>
    <col min="10" max="10" width="1.09765625" customWidth="1"/>
    <col min="11" max="11" width="10" customWidth="1"/>
    <col min="12" max="12" width="11.09765625" customWidth="1"/>
    <col min="13" max="13" width="10.296875" customWidth="1"/>
    <col min="14" max="14" width="1.09765625" customWidth="1"/>
    <col min="15" max="15" width="9.09765625" customWidth="1"/>
    <col min="16" max="16" width="10.296875" customWidth="1"/>
    <col min="17" max="17" width="9.09765625" customWidth="1"/>
    <col min="18" max="18" width="1.3984375" customWidth="1"/>
    <col min="19" max="19" width="9.09765625" customWidth="1"/>
    <col min="20" max="20" width="9.8984375" customWidth="1"/>
    <col min="21" max="21" width="9.09765625" customWidth="1"/>
    <col min="22" max="22" width="1.3984375" customWidth="1"/>
    <col min="23" max="23" width="10.09765625" customWidth="1"/>
    <col min="24" max="24" width="12" customWidth="1"/>
    <col min="25" max="25" width="11.296875" customWidth="1"/>
    <col min="26" max="26" width="1.3984375" customWidth="1"/>
    <col min="27" max="27" width="6.3984375" customWidth="1"/>
    <col min="28" max="31" width="9.296875" hidden="1" customWidth="1"/>
    <col min="32" max="32" width="10.09765625" customWidth="1"/>
    <col min="33" max="33" width="9.3984375" customWidth="1"/>
    <col min="34" max="34" width="19.09765625" hidden="1" customWidth="1"/>
    <col min="35" max="35" width="10.296875" hidden="1" customWidth="1"/>
    <col min="36" max="36" width="8.09765625" hidden="1" customWidth="1"/>
    <col min="37" max="37" width="13.59765625" customWidth="1"/>
    <col min="38" max="38" width="4.8984375" customWidth="1"/>
    <col min="39" max="39" width="19.09765625" hidden="1" customWidth="1"/>
    <col min="40" max="41" width="1.8984375" hidden="1" customWidth="1"/>
    <col min="42" max="42" width="0" hidden="1" customWidth="1"/>
  </cols>
  <sheetData>
    <row r="1" spans="1:41" ht="6" customHeight="1" x14ac:dyDescent="0.35">
      <c r="A1" s="16"/>
      <c r="B1" s="16"/>
      <c r="C1" s="16"/>
      <c r="D1" s="16"/>
      <c r="E1" s="16"/>
      <c r="F1" s="16"/>
      <c r="G1" s="16"/>
      <c r="H1" s="16"/>
      <c r="I1" s="16"/>
      <c r="J1" s="16"/>
      <c r="K1" s="16"/>
      <c r="L1" s="16"/>
      <c r="M1" s="16"/>
      <c r="N1" s="16"/>
      <c r="O1" s="16"/>
      <c r="P1" s="16"/>
      <c r="Q1" s="16"/>
      <c r="R1" s="16"/>
      <c r="S1" s="16"/>
      <c r="T1" s="16"/>
      <c r="U1" s="16"/>
      <c r="V1" s="16"/>
      <c r="W1" s="16"/>
      <c r="X1" s="16"/>
      <c r="Y1" s="16"/>
      <c r="Z1" s="16"/>
    </row>
    <row r="2" spans="1:41" ht="21" x14ac:dyDescent="0.5">
      <c r="A2" s="33">
        <v>7</v>
      </c>
      <c r="B2" s="34" t="s">
        <v>270</v>
      </c>
      <c r="C2" s="11"/>
      <c r="D2" s="11"/>
      <c r="E2" s="11"/>
      <c r="F2" s="11"/>
      <c r="G2" s="11"/>
      <c r="H2" s="11"/>
      <c r="I2" s="11"/>
      <c r="J2" s="33"/>
      <c r="K2" s="33"/>
      <c r="L2" s="33"/>
      <c r="M2" s="33"/>
      <c r="N2" s="33"/>
      <c r="O2" s="33"/>
      <c r="P2" s="33"/>
      <c r="Q2" s="33"/>
      <c r="R2" s="33"/>
      <c r="S2" s="33"/>
      <c r="T2" s="33"/>
      <c r="U2" s="33"/>
      <c r="V2" s="33"/>
      <c r="W2" s="33"/>
      <c r="X2" s="33"/>
      <c r="Y2" s="33"/>
      <c r="Z2" s="16"/>
    </row>
    <row r="3" spans="1:41" ht="15" customHeight="1" x14ac:dyDescent="0.4">
      <c r="A3" s="33"/>
      <c r="B3" s="137" t="s">
        <v>273</v>
      </c>
      <c r="C3" s="11"/>
      <c r="D3" s="11"/>
      <c r="E3" s="11"/>
      <c r="F3" s="11"/>
      <c r="G3" s="11"/>
      <c r="H3" s="11"/>
      <c r="I3" s="11"/>
      <c r="J3" s="33"/>
      <c r="K3" s="33"/>
      <c r="L3" s="33"/>
      <c r="M3" s="33"/>
      <c r="N3" s="33"/>
      <c r="O3" s="33"/>
      <c r="P3" s="33"/>
      <c r="Q3" s="33"/>
      <c r="R3" s="33"/>
      <c r="S3" s="33"/>
      <c r="T3" s="33"/>
      <c r="U3" s="33"/>
      <c r="V3" s="33"/>
      <c r="W3" s="33"/>
      <c r="X3" s="33"/>
      <c r="Y3" s="33"/>
      <c r="Z3" s="16"/>
      <c r="AM3" t="s">
        <v>283</v>
      </c>
    </row>
    <row r="4" spans="1:41" ht="6" customHeight="1" x14ac:dyDescent="0.4">
      <c r="A4" s="33"/>
      <c r="B4" s="137"/>
      <c r="C4" s="11"/>
      <c r="D4" s="11"/>
      <c r="E4" s="11"/>
      <c r="F4" s="11"/>
      <c r="G4" s="11"/>
      <c r="H4" s="11"/>
      <c r="I4" s="11"/>
      <c r="J4" s="33"/>
      <c r="K4" s="33"/>
      <c r="L4" s="33"/>
      <c r="M4" s="33"/>
      <c r="N4" s="33"/>
      <c r="O4" s="33"/>
      <c r="P4" s="33"/>
      <c r="Q4" s="33"/>
      <c r="R4" s="33"/>
      <c r="S4" s="33"/>
      <c r="T4" s="33"/>
      <c r="U4" s="33"/>
      <c r="V4" s="33"/>
      <c r="W4" s="33"/>
      <c r="X4" s="33"/>
      <c r="Y4" s="33"/>
      <c r="Z4" s="16"/>
    </row>
    <row r="5" spans="1:41" x14ac:dyDescent="0.35">
      <c r="A5" s="56"/>
      <c r="B5" s="56"/>
      <c r="C5" s="156" t="s">
        <v>55</v>
      </c>
      <c r="D5" s="156"/>
      <c r="E5" s="156"/>
      <c r="F5" s="56"/>
      <c r="G5" s="156" t="s">
        <v>57</v>
      </c>
      <c r="H5" s="156"/>
      <c r="I5" s="156"/>
      <c r="J5" s="56"/>
      <c r="K5" s="156" t="s">
        <v>209</v>
      </c>
      <c r="L5" s="156"/>
      <c r="M5" s="156"/>
      <c r="N5" s="56"/>
      <c r="O5" s="156" t="s">
        <v>61</v>
      </c>
      <c r="P5" s="156"/>
      <c r="Q5" s="156"/>
      <c r="R5" s="76"/>
      <c r="S5" s="156" t="s">
        <v>210</v>
      </c>
      <c r="T5" s="156"/>
      <c r="U5" s="156"/>
      <c r="V5" s="76"/>
      <c r="W5" s="163" t="s">
        <v>174</v>
      </c>
      <c r="X5" s="163"/>
      <c r="Y5" s="163"/>
      <c r="Z5" s="56"/>
      <c r="AB5" t="s">
        <v>61</v>
      </c>
      <c r="AH5" t="s">
        <v>57</v>
      </c>
      <c r="AN5" t="s">
        <v>211</v>
      </c>
      <c r="AO5" t="s">
        <v>212</v>
      </c>
    </row>
    <row r="6" spans="1:41" ht="27" x14ac:dyDescent="0.35">
      <c r="A6" s="56"/>
      <c r="B6" s="53"/>
      <c r="C6" s="99" t="s">
        <v>175</v>
      </c>
      <c r="D6" s="99" t="s">
        <v>176</v>
      </c>
      <c r="E6" s="99" t="s">
        <v>177</v>
      </c>
      <c r="F6" s="53"/>
      <c r="G6" s="99" t="s">
        <v>175</v>
      </c>
      <c r="H6" s="99" t="s">
        <v>176</v>
      </c>
      <c r="I6" s="99" t="s">
        <v>177</v>
      </c>
      <c r="J6" s="53"/>
      <c r="K6" s="99" t="s">
        <v>175</v>
      </c>
      <c r="L6" s="99" t="s">
        <v>176</v>
      </c>
      <c r="M6" s="99" t="s">
        <v>177</v>
      </c>
      <c r="N6" s="53"/>
      <c r="O6" s="99" t="s">
        <v>175</v>
      </c>
      <c r="P6" s="99" t="s">
        <v>176</v>
      </c>
      <c r="Q6" s="99" t="s">
        <v>177</v>
      </c>
      <c r="R6" s="99"/>
      <c r="S6" s="99" t="s">
        <v>175</v>
      </c>
      <c r="T6" s="99" t="s">
        <v>176</v>
      </c>
      <c r="U6" s="99" t="s">
        <v>177</v>
      </c>
      <c r="V6" s="99"/>
      <c r="W6" s="103" t="s">
        <v>175</v>
      </c>
      <c r="X6" s="103" t="s">
        <v>176</v>
      </c>
      <c r="Y6" s="103" t="s">
        <v>177</v>
      </c>
      <c r="Z6" s="56"/>
      <c r="AB6" s="56"/>
      <c r="AC6" s="56" t="s">
        <v>211</v>
      </c>
      <c r="AD6" s="56" t="s">
        <v>212</v>
      </c>
      <c r="AI6" t="s">
        <v>211</v>
      </c>
      <c r="AJ6" t="s">
        <v>212</v>
      </c>
      <c r="AM6" t="s">
        <v>178</v>
      </c>
      <c r="AN6">
        <v>4</v>
      </c>
      <c r="AO6">
        <v>3</v>
      </c>
    </row>
    <row r="7" spans="1:41" x14ac:dyDescent="0.35">
      <c r="A7" s="56"/>
      <c r="B7" s="56" t="s">
        <v>178</v>
      </c>
      <c r="C7" s="71">
        <v>230</v>
      </c>
      <c r="D7" s="71">
        <v>251</v>
      </c>
      <c r="E7" s="85">
        <f>C7/D7</f>
        <v>0.91633466135458164</v>
      </c>
      <c r="F7" s="85"/>
      <c r="G7" s="73">
        <f>_xlfn.XLOOKUP(B7,$AH$7:$AH$48,$AJ$7:$AJ$48)</f>
        <v>8</v>
      </c>
      <c r="H7" s="73">
        <f>_xlfn.XLOOKUP(B7,$AH$7:$AH$48,$AI$7:$AI$48)</f>
        <v>10</v>
      </c>
      <c r="I7" s="104">
        <f>IFERROR(G7/H7,"n/a")</f>
        <v>0.8</v>
      </c>
      <c r="J7" s="56"/>
      <c r="K7" s="56">
        <v>50</v>
      </c>
      <c r="L7" s="56">
        <v>55</v>
      </c>
      <c r="M7" s="85">
        <f>K7/L7</f>
        <v>0.90909090909090906</v>
      </c>
      <c r="N7" s="56"/>
      <c r="O7" s="56">
        <f>_xlfn.XLOOKUP(B7,$AB$7:$AB$48,$AD$7:$AD$48)</f>
        <v>7</v>
      </c>
      <c r="P7" s="56">
        <f>_xlfn.XLOOKUP(B7,$AB$7:$AB$48,$AC$7:$AC$48)</f>
        <v>7</v>
      </c>
      <c r="Q7" s="60">
        <f>O7/P7</f>
        <v>1</v>
      </c>
      <c r="R7" s="56"/>
      <c r="S7" s="73">
        <f t="shared" ref="S7:S49" si="0">_xlfn.XLOOKUP(B7,$AM$6:$AM$38,$AO$6:$AO$38,"0")</f>
        <v>3</v>
      </c>
      <c r="T7" s="73">
        <f t="shared" ref="T7:T49" si="1">_xlfn.XLOOKUP(B7,$AM$6:$AM$38, $AN$6:$AN$38,"0")</f>
        <v>4</v>
      </c>
      <c r="U7" s="104">
        <f>IFERROR(S7/T7,"n/a")</f>
        <v>0.75</v>
      </c>
      <c r="V7" s="56"/>
      <c r="W7" s="67">
        <v>298</v>
      </c>
      <c r="X7" s="67">
        <v>327</v>
      </c>
      <c r="Y7" s="87">
        <f>W7/X7</f>
        <v>0.91131498470948014</v>
      </c>
      <c r="Z7" s="56"/>
      <c r="AB7" s="56" t="s">
        <v>178</v>
      </c>
      <c r="AC7" s="56">
        <v>7</v>
      </c>
      <c r="AD7" s="56">
        <v>7</v>
      </c>
      <c r="AE7" s="56"/>
      <c r="AH7" t="s">
        <v>178</v>
      </c>
      <c r="AI7">
        <v>10</v>
      </c>
      <c r="AJ7">
        <v>8</v>
      </c>
      <c r="AM7" t="s">
        <v>10</v>
      </c>
      <c r="AN7">
        <v>1</v>
      </c>
      <c r="AO7">
        <v>1</v>
      </c>
    </row>
    <row r="8" spans="1:41" x14ac:dyDescent="0.35">
      <c r="A8" s="56"/>
      <c r="B8" s="56" t="s">
        <v>9</v>
      </c>
      <c r="C8" s="71">
        <v>45</v>
      </c>
      <c r="D8" s="71">
        <v>56</v>
      </c>
      <c r="E8" s="85">
        <f t="shared" ref="E8:E49" si="2">C8/D8</f>
        <v>0.8035714285714286</v>
      </c>
      <c r="F8" s="85"/>
      <c r="G8" s="73">
        <f t="shared" ref="G8:G49" si="3">_xlfn.XLOOKUP(B8,$AH$7:$AH$48,$AJ$7:$AJ$48)</f>
        <v>2</v>
      </c>
      <c r="H8" s="73">
        <f t="shared" ref="H8:H49" si="4">_xlfn.XLOOKUP(B8,$AH$7:$AH$48,$AI$7:$AI$48)</f>
        <v>3</v>
      </c>
      <c r="I8" s="104">
        <f t="shared" ref="I8:I49" si="5">IFERROR(G8/H8,"n/a")</f>
        <v>0.66666666666666663</v>
      </c>
      <c r="J8" s="56"/>
      <c r="K8" s="56">
        <v>7</v>
      </c>
      <c r="L8" s="56">
        <v>9</v>
      </c>
      <c r="M8" s="85">
        <f t="shared" ref="M8:M49" si="6">K8/L8</f>
        <v>0.77777777777777779</v>
      </c>
      <c r="N8" s="56"/>
      <c r="O8" s="56">
        <v>0</v>
      </c>
      <c r="P8" s="56">
        <v>0</v>
      </c>
      <c r="Q8" s="104" t="s">
        <v>282</v>
      </c>
      <c r="R8" s="56"/>
      <c r="S8" s="73" t="str">
        <f t="shared" si="0"/>
        <v>0</v>
      </c>
      <c r="T8" s="73" t="str">
        <f t="shared" si="1"/>
        <v>0</v>
      </c>
      <c r="U8" s="104" t="str">
        <f t="shared" ref="U8:U49" si="7">IFERROR(S8/T8,"n/a")</f>
        <v>n/a</v>
      </c>
      <c r="V8" s="56"/>
      <c r="W8" s="67">
        <v>54</v>
      </c>
      <c r="X8" s="67">
        <v>68</v>
      </c>
      <c r="Y8" s="87">
        <f t="shared" ref="Y8:Y49" si="8">W8/X8</f>
        <v>0.79411764705882348</v>
      </c>
      <c r="Z8" s="56"/>
      <c r="AB8" s="56" t="s">
        <v>10</v>
      </c>
      <c r="AC8" s="56">
        <v>5</v>
      </c>
      <c r="AD8" s="56">
        <v>4</v>
      </c>
      <c r="AE8" s="56"/>
      <c r="AH8" t="s">
        <v>9</v>
      </c>
      <c r="AI8">
        <v>3</v>
      </c>
      <c r="AJ8">
        <v>2</v>
      </c>
      <c r="AM8" t="s">
        <v>12</v>
      </c>
      <c r="AN8">
        <v>1</v>
      </c>
      <c r="AO8">
        <v>1</v>
      </c>
    </row>
    <row r="9" spans="1:41" x14ac:dyDescent="0.35">
      <c r="A9" s="56"/>
      <c r="B9" s="56" t="s">
        <v>10</v>
      </c>
      <c r="C9" s="71">
        <v>324</v>
      </c>
      <c r="D9" s="71">
        <v>384</v>
      </c>
      <c r="E9" s="85">
        <f t="shared" si="2"/>
        <v>0.84375</v>
      </c>
      <c r="F9" s="85"/>
      <c r="G9" s="73">
        <f t="shared" si="3"/>
        <v>7</v>
      </c>
      <c r="H9" s="73">
        <f t="shared" si="4"/>
        <v>11</v>
      </c>
      <c r="I9" s="104">
        <f t="shared" si="5"/>
        <v>0.63636363636363635</v>
      </c>
      <c r="J9" s="56"/>
      <c r="K9" s="56">
        <v>58</v>
      </c>
      <c r="L9" s="56">
        <v>66</v>
      </c>
      <c r="M9" s="85">
        <f t="shared" si="6"/>
        <v>0.87878787878787878</v>
      </c>
      <c r="N9" s="56"/>
      <c r="O9" s="56">
        <f t="shared" ref="O9:O49" si="9">_xlfn.XLOOKUP(B9,$AB$7:$AB$48,$AD$7:$AD$48)</f>
        <v>4</v>
      </c>
      <c r="P9" s="56">
        <f t="shared" ref="P9:P49" si="10">_xlfn.XLOOKUP(B9,$AB$7:$AB$48,$AC$7:$AC$48)</f>
        <v>5</v>
      </c>
      <c r="Q9" s="85">
        <f t="shared" ref="Q9:Q49" si="11">O9/P9</f>
        <v>0.8</v>
      </c>
      <c r="R9" s="56"/>
      <c r="S9" s="73">
        <f t="shared" si="0"/>
        <v>1</v>
      </c>
      <c r="T9" s="73">
        <f t="shared" si="1"/>
        <v>1</v>
      </c>
      <c r="U9" s="151">
        <f t="shared" si="7"/>
        <v>1</v>
      </c>
      <c r="V9" s="56"/>
      <c r="W9" s="67">
        <v>394</v>
      </c>
      <c r="X9" s="67">
        <v>467</v>
      </c>
      <c r="Y9" s="87">
        <f t="shared" si="8"/>
        <v>0.84368308351177734</v>
      </c>
      <c r="Z9" s="56"/>
      <c r="AB9" s="56" t="s">
        <v>11</v>
      </c>
      <c r="AC9" s="56">
        <v>8</v>
      </c>
      <c r="AD9" s="56">
        <v>6</v>
      </c>
      <c r="AE9" s="56"/>
      <c r="AH9" t="s">
        <v>10</v>
      </c>
      <c r="AI9">
        <v>11</v>
      </c>
      <c r="AJ9">
        <v>7</v>
      </c>
      <c r="AM9" t="s">
        <v>13</v>
      </c>
      <c r="AN9">
        <v>3</v>
      </c>
      <c r="AO9">
        <v>2</v>
      </c>
    </row>
    <row r="10" spans="1:41" x14ac:dyDescent="0.35">
      <c r="A10" s="56"/>
      <c r="B10" s="56" t="s">
        <v>11</v>
      </c>
      <c r="C10" s="71">
        <v>93</v>
      </c>
      <c r="D10" s="71">
        <v>106</v>
      </c>
      <c r="E10" s="85">
        <f t="shared" si="2"/>
        <v>0.87735849056603776</v>
      </c>
      <c r="F10" s="85"/>
      <c r="G10" s="73">
        <f t="shared" si="3"/>
        <v>5</v>
      </c>
      <c r="H10" s="73">
        <f t="shared" si="4"/>
        <v>5</v>
      </c>
      <c r="I10" s="151">
        <f t="shared" si="5"/>
        <v>1</v>
      </c>
      <c r="J10" s="56"/>
      <c r="K10" s="56">
        <v>4</v>
      </c>
      <c r="L10" s="56">
        <v>7</v>
      </c>
      <c r="M10" s="85">
        <f t="shared" si="6"/>
        <v>0.5714285714285714</v>
      </c>
      <c r="N10" s="56"/>
      <c r="O10" s="56">
        <f t="shared" si="9"/>
        <v>6</v>
      </c>
      <c r="P10" s="56">
        <f t="shared" si="10"/>
        <v>8</v>
      </c>
      <c r="Q10" s="85">
        <f t="shared" si="11"/>
        <v>0.75</v>
      </c>
      <c r="R10" s="56"/>
      <c r="S10" s="73" t="str">
        <f t="shared" si="0"/>
        <v>0</v>
      </c>
      <c r="T10" s="73" t="str">
        <f t="shared" si="1"/>
        <v>0</v>
      </c>
      <c r="U10" s="104" t="str">
        <f t="shared" si="7"/>
        <v>n/a</v>
      </c>
      <c r="V10" s="56"/>
      <c r="W10" s="67">
        <v>108</v>
      </c>
      <c r="X10" s="67">
        <v>126</v>
      </c>
      <c r="Y10" s="87">
        <f t="shared" si="8"/>
        <v>0.8571428571428571</v>
      </c>
      <c r="Z10" s="56"/>
      <c r="AB10" s="56" t="s">
        <v>12</v>
      </c>
      <c r="AC10" s="56">
        <v>3</v>
      </c>
      <c r="AD10" s="56">
        <v>2</v>
      </c>
      <c r="AE10" s="56"/>
      <c r="AH10" t="s">
        <v>11</v>
      </c>
      <c r="AI10">
        <v>5</v>
      </c>
      <c r="AJ10">
        <v>5</v>
      </c>
      <c r="AM10" t="s">
        <v>14</v>
      </c>
      <c r="AN10">
        <v>2</v>
      </c>
      <c r="AO10">
        <v>2</v>
      </c>
    </row>
    <row r="11" spans="1:41" x14ac:dyDescent="0.35">
      <c r="A11" s="56"/>
      <c r="B11" s="56" t="s">
        <v>12</v>
      </c>
      <c r="C11" s="71">
        <v>149</v>
      </c>
      <c r="D11" s="71">
        <v>168</v>
      </c>
      <c r="E11" s="85">
        <f t="shared" si="2"/>
        <v>0.88690476190476186</v>
      </c>
      <c r="F11" s="85"/>
      <c r="G11" s="73">
        <f t="shared" si="3"/>
        <v>1</v>
      </c>
      <c r="H11" s="73">
        <f t="shared" si="4"/>
        <v>2</v>
      </c>
      <c r="I11" s="104">
        <f t="shared" si="5"/>
        <v>0.5</v>
      </c>
      <c r="J11" s="56"/>
      <c r="K11" s="56">
        <v>34</v>
      </c>
      <c r="L11" s="56">
        <v>36</v>
      </c>
      <c r="M11" s="85">
        <f t="shared" si="6"/>
        <v>0.94444444444444442</v>
      </c>
      <c r="N11" s="56"/>
      <c r="O11" s="56">
        <f t="shared" si="9"/>
        <v>2</v>
      </c>
      <c r="P11" s="56">
        <f t="shared" si="10"/>
        <v>3</v>
      </c>
      <c r="Q11" s="85">
        <f t="shared" si="11"/>
        <v>0.66666666666666663</v>
      </c>
      <c r="R11" s="56"/>
      <c r="S11" s="73">
        <f t="shared" si="0"/>
        <v>1</v>
      </c>
      <c r="T11" s="73">
        <f t="shared" si="1"/>
        <v>1</v>
      </c>
      <c r="U11" s="151">
        <f t="shared" si="7"/>
        <v>1</v>
      </c>
      <c r="V11" s="56"/>
      <c r="W11" s="67">
        <v>187</v>
      </c>
      <c r="X11" s="67">
        <v>210</v>
      </c>
      <c r="Y11" s="87">
        <f t="shared" si="8"/>
        <v>0.89047619047619042</v>
      </c>
      <c r="Z11" s="56"/>
      <c r="AB11" s="56" t="s">
        <v>13</v>
      </c>
      <c r="AC11" s="56">
        <v>7</v>
      </c>
      <c r="AD11" s="56">
        <v>5</v>
      </c>
      <c r="AE11" s="56"/>
      <c r="AH11" t="s">
        <v>12</v>
      </c>
      <c r="AI11">
        <v>2</v>
      </c>
      <c r="AJ11">
        <v>1</v>
      </c>
      <c r="AM11" t="s">
        <v>15</v>
      </c>
      <c r="AN11">
        <v>1</v>
      </c>
      <c r="AO11">
        <v>1</v>
      </c>
    </row>
    <row r="12" spans="1:41" x14ac:dyDescent="0.35">
      <c r="A12" s="56"/>
      <c r="B12" s="56" t="s">
        <v>13</v>
      </c>
      <c r="C12" s="71">
        <v>82</v>
      </c>
      <c r="D12" s="71">
        <v>100</v>
      </c>
      <c r="E12" s="85">
        <f t="shared" si="2"/>
        <v>0.82</v>
      </c>
      <c r="F12" s="85"/>
      <c r="G12" s="73">
        <f t="shared" si="3"/>
        <v>6</v>
      </c>
      <c r="H12" s="73">
        <f t="shared" si="4"/>
        <v>6</v>
      </c>
      <c r="I12" s="151">
        <f t="shared" si="5"/>
        <v>1</v>
      </c>
      <c r="J12" s="56"/>
      <c r="K12" s="56">
        <v>14</v>
      </c>
      <c r="L12" s="56">
        <v>16</v>
      </c>
      <c r="M12" s="85">
        <f t="shared" si="6"/>
        <v>0.875</v>
      </c>
      <c r="N12" s="56"/>
      <c r="O12" s="56">
        <f t="shared" si="9"/>
        <v>5</v>
      </c>
      <c r="P12" s="56">
        <f t="shared" si="10"/>
        <v>7</v>
      </c>
      <c r="Q12" s="85">
        <f t="shared" si="11"/>
        <v>0.7142857142857143</v>
      </c>
      <c r="R12" s="56"/>
      <c r="S12" s="73">
        <f t="shared" si="0"/>
        <v>2</v>
      </c>
      <c r="T12" s="73">
        <f t="shared" si="1"/>
        <v>3</v>
      </c>
      <c r="U12" s="104">
        <f t="shared" si="7"/>
        <v>0.66666666666666663</v>
      </c>
      <c r="V12" s="56"/>
      <c r="W12" s="67">
        <v>109</v>
      </c>
      <c r="X12" s="67">
        <v>132</v>
      </c>
      <c r="Y12" s="87">
        <f t="shared" si="8"/>
        <v>0.8257575757575758</v>
      </c>
      <c r="Z12" s="56"/>
      <c r="AB12" s="56" t="s">
        <v>14</v>
      </c>
      <c r="AC12" s="56">
        <v>10</v>
      </c>
      <c r="AD12" s="56">
        <v>9</v>
      </c>
      <c r="AE12" s="56"/>
      <c r="AH12" t="s">
        <v>13</v>
      </c>
      <c r="AI12">
        <v>6</v>
      </c>
      <c r="AJ12">
        <v>6</v>
      </c>
      <c r="AM12" t="s">
        <v>54</v>
      </c>
      <c r="AN12">
        <v>1</v>
      </c>
      <c r="AO12">
        <v>1</v>
      </c>
    </row>
    <row r="13" spans="1:41" x14ac:dyDescent="0.35">
      <c r="A13" s="56"/>
      <c r="B13" s="56" t="s">
        <v>14</v>
      </c>
      <c r="C13" s="71">
        <v>53</v>
      </c>
      <c r="D13" s="71">
        <v>61</v>
      </c>
      <c r="E13" s="85">
        <f t="shared" si="2"/>
        <v>0.86885245901639341</v>
      </c>
      <c r="F13" s="85"/>
      <c r="G13" s="73">
        <f t="shared" si="3"/>
        <v>5</v>
      </c>
      <c r="H13" s="73">
        <f t="shared" si="4"/>
        <v>5</v>
      </c>
      <c r="I13" s="151">
        <f t="shared" si="5"/>
        <v>1</v>
      </c>
      <c r="J13" s="56"/>
      <c r="K13" s="56">
        <v>9</v>
      </c>
      <c r="L13" s="56">
        <v>10</v>
      </c>
      <c r="M13" s="85">
        <f t="shared" si="6"/>
        <v>0.9</v>
      </c>
      <c r="N13" s="56"/>
      <c r="O13" s="56">
        <f t="shared" si="9"/>
        <v>9</v>
      </c>
      <c r="P13" s="56">
        <f t="shared" si="10"/>
        <v>10</v>
      </c>
      <c r="Q13" s="85">
        <f t="shared" si="11"/>
        <v>0.9</v>
      </c>
      <c r="R13" s="56"/>
      <c r="S13" s="73">
        <f t="shared" si="0"/>
        <v>2</v>
      </c>
      <c r="T13" s="73">
        <f t="shared" si="1"/>
        <v>2</v>
      </c>
      <c r="U13" s="151">
        <f t="shared" si="7"/>
        <v>1</v>
      </c>
      <c r="V13" s="56"/>
      <c r="W13" s="67">
        <v>78</v>
      </c>
      <c r="X13" s="67">
        <v>88</v>
      </c>
      <c r="Y13" s="87">
        <f t="shared" si="8"/>
        <v>0.88636363636363635</v>
      </c>
      <c r="Z13" s="56"/>
      <c r="AB13" s="56" t="s">
        <v>15</v>
      </c>
      <c r="AC13" s="56">
        <v>7</v>
      </c>
      <c r="AD13" s="56">
        <v>5</v>
      </c>
      <c r="AE13" s="56"/>
      <c r="AH13" t="s">
        <v>14</v>
      </c>
      <c r="AI13">
        <v>5</v>
      </c>
      <c r="AJ13">
        <v>5</v>
      </c>
      <c r="AM13" t="s">
        <v>20</v>
      </c>
      <c r="AN13">
        <v>6</v>
      </c>
      <c r="AO13">
        <v>6</v>
      </c>
    </row>
    <row r="14" spans="1:41" x14ac:dyDescent="0.35">
      <c r="A14" s="56"/>
      <c r="B14" s="56" t="s">
        <v>15</v>
      </c>
      <c r="C14" s="71">
        <v>124</v>
      </c>
      <c r="D14" s="71">
        <v>136</v>
      </c>
      <c r="E14" s="85">
        <f t="shared" si="2"/>
        <v>0.91176470588235292</v>
      </c>
      <c r="F14" s="85"/>
      <c r="G14" s="73">
        <f t="shared" si="3"/>
        <v>9</v>
      </c>
      <c r="H14" s="73">
        <f t="shared" si="4"/>
        <v>9</v>
      </c>
      <c r="I14" s="151">
        <f t="shared" si="5"/>
        <v>1</v>
      </c>
      <c r="J14" s="56"/>
      <c r="K14" s="56">
        <v>39</v>
      </c>
      <c r="L14" s="56">
        <v>41</v>
      </c>
      <c r="M14" s="85">
        <f t="shared" si="6"/>
        <v>0.95121951219512191</v>
      </c>
      <c r="N14" s="56"/>
      <c r="O14" s="56">
        <f t="shared" si="9"/>
        <v>5</v>
      </c>
      <c r="P14" s="56">
        <f t="shared" si="10"/>
        <v>7</v>
      </c>
      <c r="Q14" s="85">
        <f t="shared" si="11"/>
        <v>0.7142857142857143</v>
      </c>
      <c r="R14" s="56"/>
      <c r="S14" s="73">
        <f t="shared" si="0"/>
        <v>1</v>
      </c>
      <c r="T14" s="73">
        <f t="shared" si="1"/>
        <v>1</v>
      </c>
      <c r="U14" s="151">
        <f t="shared" si="7"/>
        <v>1</v>
      </c>
      <c r="V14" s="56"/>
      <c r="W14" s="67">
        <v>178</v>
      </c>
      <c r="X14" s="67">
        <v>194</v>
      </c>
      <c r="Y14" s="87">
        <f t="shared" si="8"/>
        <v>0.91752577319587625</v>
      </c>
      <c r="Z14" s="56"/>
      <c r="AB14" s="56" t="s">
        <v>54</v>
      </c>
      <c r="AC14" s="56">
        <v>5</v>
      </c>
      <c r="AD14" s="56">
        <v>5</v>
      </c>
      <c r="AE14" s="56"/>
      <c r="AH14" t="s">
        <v>15</v>
      </c>
      <c r="AI14">
        <v>9</v>
      </c>
      <c r="AJ14">
        <v>9</v>
      </c>
      <c r="AM14" t="s">
        <v>22</v>
      </c>
      <c r="AN14">
        <v>2</v>
      </c>
      <c r="AO14">
        <v>0</v>
      </c>
    </row>
    <row r="15" spans="1:41" x14ac:dyDescent="0.35">
      <c r="A15" s="56"/>
      <c r="B15" s="56" t="s">
        <v>54</v>
      </c>
      <c r="C15" s="71">
        <v>99</v>
      </c>
      <c r="D15" s="71">
        <v>112</v>
      </c>
      <c r="E15" s="85">
        <f t="shared" si="2"/>
        <v>0.8839285714285714</v>
      </c>
      <c r="F15" s="85"/>
      <c r="G15" s="73">
        <f t="shared" si="3"/>
        <v>6</v>
      </c>
      <c r="H15" s="73">
        <f t="shared" si="4"/>
        <v>6</v>
      </c>
      <c r="I15" s="151">
        <f t="shared" si="5"/>
        <v>1</v>
      </c>
      <c r="J15" s="56"/>
      <c r="K15" s="56">
        <v>22</v>
      </c>
      <c r="L15" s="56">
        <v>24</v>
      </c>
      <c r="M15" s="85">
        <f t="shared" si="6"/>
        <v>0.91666666666666663</v>
      </c>
      <c r="N15" s="56"/>
      <c r="O15" s="56">
        <f t="shared" si="9"/>
        <v>5</v>
      </c>
      <c r="P15" s="56">
        <f t="shared" si="10"/>
        <v>5</v>
      </c>
      <c r="Q15" s="60">
        <f t="shared" si="11"/>
        <v>1</v>
      </c>
      <c r="R15" s="56"/>
      <c r="S15" s="73">
        <f t="shared" si="0"/>
        <v>1</v>
      </c>
      <c r="T15" s="73">
        <f t="shared" si="1"/>
        <v>1</v>
      </c>
      <c r="U15" s="151">
        <f t="shared" si="7"/>
        <v>1</v>
      </c>
      <c r="V15" s="56"/>
      <c r="W15" s="67">
        <v>133</v>
      </c>
      <c r="X15" s="67">
        <v>148</v>
      </c>
      <c r="Y15" s="87">
        <f t="shared" si="8"/>
        <v>0.89864864864864868</v>
      </c>
      <c r="Z15" s="56"/>
      <c r="AB15" s="56" t="s">
        <v>17</v>
      </c>
      <c r="AC15" s="56">
        <v>6</v>
      </c>
      <c r="AD15" s="56">
        <v>3</v>
      </c>
      <c r="AE15" s="56"/>
      <c r="AH15" t="s">
        <v>54</v>
      </c>
      <c r="AI15">
        <v>6</v>
      </c>
      <c r="AJ15">
        <v>6</v>
      </c>
      <c r="AM15" t="s">
        <v>23</v>
      </c>
      <c r="AN15">
        <v>1</v>
      </c>
      <c r="AO15">
        <v>1</v>
      </c>
    </row>
    <row r="16" spans="1:41" x14ac:dyDescent="0.35">
      <c r="A16" s="56"/>
      <c r="B16" s="56" t="s">
        <v>17</v>
      </c>
      <c r="C16" s="71">
        <v>77</v>
      </c>
      <c r="D16" s="71">
        <v>81</v>
      </c>
      <c r="E16" s="85">
        <f t="shared" si="2"/>
        <v>0.95061728395061729</v>
      </c>
      <c r="F16" s="85"/>
      <c r="G16" s="73">
        <f t="shared" si="3"/>
        <v>3</v>
      </c>
      <c r="H16" s="73">
        <f t="shared" si="4"/>
        <v>3</v>
      </c>
      <c r="I16" s="151">
        <f t="shared" si="5"/>
        <v>1</v>
      </c>
      <c r="J16" s="56"/>
      <c r="K16" s="56">
        <v>18</v>
      </c>
      <c r="L16" s="56">
        <v>19</v>
      </c>
      <c r="M16" s="85">
        <f t="shared" si="6"/>
        <v>0.94736842105263153</v>
      </c>
      <c r="N16" s="56"/>
      <c r="O16" s="56">
        <f t="shared" si="9"/>
        <v>3</v>
      </c>
      <c r="P16" s="56">
        <f t="shared" si="10"/>
        <v>6</v>
      </c>
      <c r="Q16" s="85">
        <f t="shared" si="11"/>
        <v>0.5</v>
      </c>
      <c r="R16" s="56"/>
      <c r="S16" s="73" t="str">
        <f t="shared" si="0"/>
        <v>0</v>
      </c>
      <c r="T16" s="73" t="str">
        <f t="shared" si="1"/>
        <v>0</v>
      </c>
      <c r="U16" s="104" t="str">
        <f t="shared" si="7"/>
        <v>n/a</v>
      </c>
      <c r="V16" s="56"/>
      <c r="W16" s="67">
        <v>101</v>
      </c>
      <c r="X16" s="67">
        <v>109</v>
      </c>
      <c r="Y16" s="87">
        <f t="shared" si="8"/>
        <v>0.92660550458715596</v>
      </c>
      <c r="Z16" s="56"/>
      <c r="AB16" s="56" t="s">
        <v>18</v>
      </c>
      <c r="AC16" s="56">
        <v>4</v>
      </c>
      <c r="AD16" s="56">
        <v>3</v>
      </c>
      <c r="AE16" s="56"/>
      <c r="AH16" t="s">
        <v>17</v>
      </c>
      <c r="AI16">
        <v>3</v>
      </c>
      <c r="AJ16">
        <v>3</v>
      </c>
      <c r="AM16" t="s">
        <v>24</v>
      </c>
      <c r="AN16">
        <v>2</v>
      </c>
      <c r="AO16">
        <v>2</v>
      </c>
    </row>
    <row r="17" spans="1:41" x14ac:dyDescent="0.35">
      <c r="A17" s="56"/>
      <c r="B17" s="56" t="s">
        <v>18</v>
      </c>
      <c r="C17" s="71">
        <v>61</v>
      </c>
      <c r="D17" s="71">
        <v>65</v>
      </c>
      <c r="E17" s="85">
        <f t="shared" si="2"/>
        <v>0.93846153846153846</v>
      </c>
      <c r="F17" s="85"/>
      <c r="G17" s="73">
        <f t="shared" si="3"/>
        <v>1</v>
      </c>
      <c r="H17" s="73">
        <f t="shared" si="4"/>
        <v>1</v>
      </c>
      <c r="I17" s="151">
        <f t="shared" si="5"/>
        <v>1</v>
      </c>
      <c r="J17" s="56"/>
      <c r="K17" s="56">
        <v>14</v>
      </c>
      <c r="L17" s="56">
        <v>14</v>
      </c>
      <c r="M17" s="60">
        <f t="shared" si="6"/>
        <v>1</v>
      </c>
      <c r="N17" s="56"/>
      <c r="O17" s="56">
        <f t="shared" si="9"/>
        <v>3</v>
      </c>
      <c r="P17" s="56">
        <f t="shared" si="10"/>
        <v>4</v>
      </c>
      <c r="Q17" s="85">
        <f t="shared" si="11"/>
        <v>0.75</v>
      </c>
      <c r="R17" s="56"/>
      <c r="S17" s="73" t="str">
        <f t="shared" si="0"/>
        <v>0</v>
      </c>
      <c r="T17" s="73" t="str">
        <f t="shared" si="1"/>
        <v>0</v>
      </c>
      <c r="U17" s="104" t="str">
        <f t="shared" si="7"/>
        <v>n/a</v>
      </c>
      <c r="V17" s="56"/>
      <c r="W17" s="67">
        <v>79</v>
      </c>
      <c r="X17" s="67">
        <v>84</v>
      </c>
      <c r="Y17" s="87">
        <f t="shared" si="8"/>
        <v>0.94047619047619047</v>
      </c>
      <c r="Z17" s="56"/>
      <c r="AB17" s="56" t="s">
        <v>19</v>
      </c>
      <c r="AC17" s="56">
        <v>2</v>
      </c>
      <c r="AD17" s="56">
        <v>1</v>
      </c>
      <c r="AE17" s="56"/>
      <c r="AH17" t="s">
        <v>18</v>
      </c>
      <c r="AI17">
        <v>1</v>
      </c>
      <c r="AJ17">
        <v>1</v>
      </c>
      <c r="AM17" t="s">
        <v>26</v>
      </c>
      <c r="AN17">
        <v>3</v>
      </c>
      <c r="AO17">
        <v>0</v>
      </c>
    </row>
    <row r="18" spans="1:41" x14ac:dyDescent="0.35">
      <c r="A18" s="56"/>
      <c r="B18" s="56" t="s">
        <v>19</v>
      </c>
      <c r="C18" s="71">
        <v>43</v>
      </c>
      <c r="D18" s="71">
        <v>48</v>
      </c>
      <c r="E18" s="85">
        <f t="shared" si="2"/>
        <v>0.89583333333333337</v>
      </c>
      <c r="F18" s="85"/>
      <c r="G18" s="73">
        <f t="shared" si="3"/>
        <v>3</v>
      </c>
      <c r="H18" s="73">
        <f t="shared" si="4"/>
        <v>3</v>
      </c>
      <c r="I18" s="151">
        <f t="shared" si="5"/>
        <v>1</v>
      </c>
      <c r="J18" s="56"/>
      <c r="K18" s="56">
        <v>9</v>
      </c>
      <c r="L18" s="56">
        <v>9</v>
      </c>
      <c r="M18" s="60">
        <f t="shared" si="6"/>
        <v>1</v>
      </c>
      <c r="N18" s="56"/>
      <c r="O18" s="56">
        <f t="shared" si="9"/>
        <v>1</v>
      </c>
      <c r="P18" s="56">
        <f t="shared" si="10"/>
        <v>2</v>
      </c>
      <c r="Q18" s="85">
        <f t="shared" si="11"/>
        <v>0.5</v>
      </c>
      <c r="R18" s="56"/>
      <c r="S18" s="73" t="str">
        <f t="shared" si="0"/>
        <v>0</v>
      </c>
      <c r="T18" s="73" t="str">
        <f t="shared" si="1"/>
        <v>0</v>
      </c>
      <c r="U18" s="104" t="str">
        <f t="shared" si="7"/>
        <v>n/a</v>
      </c>
      <c r="V18" s="56"/>
      <c r="W18" s="67">
        <v>56</v>
      </c>
      <c r="X18" s="67">
        <v>62</v>
      </c>
      <c r="Y18" s="87">
        <f t="shared" si="8"/>
        <v>0.90322580645161288</v>
      </c>
      <c r="Z18" s="56"/>
      <c r="AB18" s="56" t="s">
        <v>20</v>
      </c>
      <c r="AC18" s="56">
        <v>9</v>
      </c>
      <c r="AD18" s="56">
        <v>9</v>
      </c>
      <c r="AE18" s="56"/>
      <c r="AH18" t="s">
        <v>19</v>
      </c>
      <c r="AI18">
        <v>3</v>
      </c>
      <c r="AJ18">
        <v>3</v>
      </c>
      <c r="AM18" t="s">
        <v>27</v>
      </c>
      <c r="AN18">
        <v>1</v>
      </c>
      <c r="AO18">
        <v>0</v>
      </c>
    </row>
    <row r="19" spans="1:41" x14ac:dyDescent="0.35">
      <c r="A19" s="56"/>
      <c r="B19" s="56" t="s">
        <v>20</v>
      </c>
      <c r="C19" s="71">
        <v>149</v>
      </c>
      <c r="D19" s="71">
        <v>175</v>
      </c>
      <c r="E19" s="85">
        <f t="shared" si="2"/>
        <v>0.85142857142857142</v>
      </c>
      <c r="F19" s="85"/>
      <c r="G19" s="73">
        <f t="shared" si="3"/>
        <v>4</v>
      </c>
      <c r="H19" s="73">
        <f t="shared" si="4"/>
        <v>4</v>
      </c>
      <c r="I19" s="151">
        <f t="shared" si="5"/>
        <v>1</v>
      </c>
      <c r="J19" s="56"/>
      <c r="K19" s="56">
        <v>28</v>
      </c>
      <c r="L19" s="56">
        <v>33</v>
      </c>
      <c r="M19" s="85">
        <f t="shared" si="6"/>
        <v>0.84848484848484851</v>
      </c>
      <c r="N19" s="56"/>
      <c r="O19" s="56">
        <f t="shared" si="9"/>
        <v>9</v>
      </c>
      <c r="P19" s="56">
        <f t="shared" si="10"/>
        <v>9</v>
      </c>
      <c r="Q19" s="60">
        <f t="shared" si="11"/>
        <v>1</v>
      </c>
      <c r="R19" s="56"/>
      <c r="S19" s="73">
        <f t="shared" si="0"/>
        <v>6</v>
      </c>
      <c r="T19" s="73">
        <f t="shared" si="1"/>
        <v>6</v>
      </c>
      <c r="U19" s="151">
        <f t="shared" si="7"/>
        <v>1</v>
      </c>
      <c r="V19" s="56"/>
      <c r="W19" s="67">
        <v>196</v>
      </c>
      <c r="X19" s="67">
        <v>227</v>
      </c>
      <c r="Y19" s="87">
        <f t="shared" si="8"/>
        <v>0.86343612334801767</v>
      </c>
      <c r="Z19" s="56"/>
      <c r="AB19" s="56" t="s">
        <v>21</v>
      </c>
      <c r="AC19" s="56">
        <v>3</v>
      </c>
      <c r="AD19" s="56">
        <v>2</v>
      </c>
      <c r="AE19" s="56"/>
      <c r="AH19" t="s">
        <v>20</v>
      </c>
      <c r="AI19">
        <v>4</v>
      </c>
      <c r="AJ19">
        <v>4</v>
      </c>
      <c r="AM19" t="s">
        <v>28</v>
      </c>
      <c r="AN19">
        <v>1</v>
      </c>
      <c r="AO19">
        <v>1</v>
      </c>
    </row>
    <row r="20" spans="1:41" x14ac:dyDescent="0.35">
      <c r="A20" s="56"/>
      <c r="B20" s="56" t="s">
        <v>21</v>
      </c>
      <c r="C20" s="71">
        <v>44</v>
      </c>
      <c r="D20" s="71">
        <v>49</v>
      </c>
      <c r="E20" s="85">
        <f t="shared" si="2"/>
        <v>0.89795918367346939</v>
      </c>
      <c r="F20" s="85"/>
      <c r="G20" s="73">
        <f t="shared" si="3"/>
        <v>1</v>
      </c>
      <c r="H20" s="73">
        <f t="shared" si="4"/>
        <v>1</v>
      </c>
      <c r="I20" s="151">
        <f t="shared" si="5"/>
        <v>1</v>
      </c>
      <c r="J20" s="56"/>
      <c r="K20" s="56">
        <v>6</v>
      </c>
      <c r="L20" s="56">
        <v>6</v>
      </c>
      <c r="M20" s="60">
        <f t="shared" si="6"/>
        <v>1</v>
      </c>
      <c r="N20" s="56"/>
      <c r="O20" s="56">
        <f t="shared" si="9"/>
        <v>2</v>
      </c>
      <c r="P20" s="56">
        <f t="shared" si="10"/>
        <v>3</v>
      </c>
      <c r="Q20" s="85">
        <f t="shared" si="11"/>
        <v>0.66666666666666663</v>
      </c>
      <c r="R20" s="56"/>
      <c r="S20" s="73" t="str">
        <f t="shared" si="0"/>
        <v>0</v>
      </c>
      <c r="T20" s="73" t="str">
        <f t="shared" si="1"/>
        <v>0</v>
      </c>
      <c r="U20" s="104" t="str">
        <f t="shared" si="7"/>
        <v>n/a</v>
      </c>
      <c r="V20" s="56"/>
      <c r="W20" s="67">
        <v>53</v>
      </c>
      <c r="X20" s="67">
        <v>59</v>
      </c>
      <c r="Y20" s="87">
        <f t="shared" si="8"/>
        <v>0.89830508474576276</v>
      </c>
      <c r="Z20" s="56"/>
      <c r="AB20" s="56" t="s">
        <v>22</v>
      </c>
      <c r="AC20" s="56">
        <v>18</v>
      </c>
      <c r="AD20" s="56">
        <v>15</v>
      </c>
      <c r="AE20" s="56"/>
      <c r="AH20" t="s">
        <v>21</v>
      </c>
      <c r="AI20">
        <v>1</v>
      </c>
      <c r="AJ20">
        <v>1</v>
      </c>
      <c r="AM20" t="s">
        <v>29</v>
      </c>
      <c r="AN20">
        <v>1</v>
      </c>
      <c r="AO20">
        <v>1</v>
      </c>
    </row>
    <row r="21" spans="1:41" x14ac:dyDescent="0.35">
      <c r="A21" s="56"/>
      <c r="B21" s="56" t="s">
        <v>22</v>
      </c>
      <c r="C21" s="71">
        <v>377</v>
      </c>
      <c r="D21" s="71">
        <v>410</v>
      </c>
      <c r="E21" s="85">
        <f t="shared" si="2"/>
        <v>0.91951219512195126</v>
      </c>
      <c r="F21" s="85"/>
      <c r="G21" s="73">
        <f t="shared" si="3"/>
        <v>15</v>
      </c>
      <c r="H21" s="73">
        <f t="shared" si="4"/>
        <v>19</v>
      </c>
      <c r="I21" s="104">
        <f t="shared" si="5"/>
        <v>0.78947368421052633</v>
      </c>
      <c r="J21" s="56"/>
      <c r="K21" s="56">
        <v>70</v>
      </c>
      <c r="L21" s="56">
        <v>77</v>
      </c>
      <c r="M21" s="85">
        <f t="shared" si="6"/>
        <v>0.90909090909090906</v>
      </c>
      <c r="N21" s="56"/>
      <c r="O21" s="56">
        <f t="shared" si="9"/>
        <v>15</v>
      </c>
      <c r="P21" s="56">
        <f t="shared" si="10"/>
        <v>18</v>
      </c>
      <c r="Q21" s="85">
        <f t="shared" si="11"/>
        <v>0.83333333333333337</v>
      </c>
      <c r="R21" s="56"/>
      <c r="S21" s="73">
        <f t="shared" si="0"/>
        <v>0</v>
      </c>
      <c r="T21" s="73">
        <f t="shared" si="1"/>
        <v>2</v>
      </c>
      <c r="U21" s="104">
        <f t="shared" si="7"/>
        <v>0</v>
      </c>
      <c r="V21" s="56"/>
      <c r="W21" s="67">
        <v>477</v>
      </c>
      <c r="X21" s="67">
        <v>526</v>
      </c>
      <c r="Y21" s="87">
        <f t="shared" si="8"/>
        <v>0.90684410646387836</v>
      </c>
      <c r="Z21" s="56"/>
      <c r="AB21" s="56" t="s">
        <v>23</v>
      </c>
      <c r="AC21" s="56">
        <v>6</v>
      </c>
      <c r="AD21" s="56">
        <v>4</v>
      </c>
      <c r="AE21" s="56"/>
      <c r="AH21" t="s">
        <v>22</v>
      </c>
      <c r="AI21">
        <v>19</v>
      </c>
      <c r="AJ21">
        <v>15</v>
      </c>
      <c r="AM21" t="s">
        <v>30</v>
      </c>
      <c r="AN21">
        <v>3</v>
      </c>
      <c r="AO21">
        <v>3</v>
      </c>
    </row>
    <row r="22" spans="1:41" x14ac:dyDescent="0.35">
      <c r="A22" s="56"/>
      <c r="B22" s="56" t="s">
        <v>23</v>
      </c>
      <c r="C22" s="71">
        <v>72</v>
      </c>
      <c r="D22" s="71">
        <v>78</v>
      </c>
      <c r="E22" s="85">
        <f t="shared" si="2"/>
        <v>0.92307692307692313</v>
      </c>
      <c r="F22" s="85"/>
      <c r="G22" s="73">
        <f t="shared" si="3"/>
        <v>4</v>
      </c>
      <c r="H22" s="73">
        <f t="shared" si="4"/>
        <v>4</v>
      </c>
      <c r="I22" s="151">
        <f t="shared" si="5"/>
        <v>1</v>
      </c>
      <c r="J22" s="56"/>
      <c r="K22" s="56">
        <v>26</v>
      </c>
      <c r="L22" s="56">
        <v>31</v>
      </c>
      <c r="M22" s="85">
        <f t="shared" si="6"/>
        <v>0.83870967741935487</v>
      </c>
      <c r="N22" s="56"/>
      <c r="O22" s="56">
        <f t="shared" si="9"/>
        <v>4</v>
      </c>
      <c r="P22" s="56">
        <f t="shared" si="10"/>
        <v>6</v>
      </c>
      <c r="Q22" s="85">
        <f t="shared" si="11"/>
        <v>0.66666666666666663</v>
      </c>
      <c r="R22" s="56"/>
      <c r="S22" s="73">
        <f t="shared" si="0"/>
        <v>1</v>
      </c>
      <c r="T22" s="73">
        <f t="shared" si="1"/>
        <v>1</v>
      </c>
      <c r="U22" s="151">
        <f t="shared" si="7"/>
        <v>1</v>
      </c>
      <c r="V22" s="56"/>
      <c r="W22" s="67">
        <v>107</v>
      </c>
      <c r="X22" s="67">
        <v>120</v>
      </c>
      <c r="Y22" s="87">
        <f t="shared" si="8"/>
        <v>0.89166666666666672</v>
      </c>
      <c r="Z22" s="56"/>
      <c r="AB22" s="56" t="s">
        <v>24</v>
      </c>
      <c r="AC22" s="56">
        <v>12</v>
      </c>
      <c r="AD22" s="56">
        <v>10</v>
      </c>
      <c r="AE22" s="56"/>
      <c r="AH22" t="s">
        <v>23</v>
      </c>
      <c r="AI22">
        <v>4</v>
      </c>
      <c r="AJ22">
        <v>4</v>
      </c>
      <c r="AM22" t="s">
        <v>213</v>
      </c>
      <c r="AN22">
        <v>6</v>
      </c>
      <c r="AO22">
        <v>4</v>
      </c>
    </row>
    <row r="23" spans="1:41" x14ac:dyDescent="0.35">
      <c r="A23" s="56"/>
      <c r="B23" s="56" t="s">
        <v>24</v>
      </c>
      <c r="C23" s="71">
        <v>174</v>
      </c>
      <c r="D23" s="71">
        <v>198</v>
      </c>
      <c r="E23" s="85">
        <f t="shared" si="2"/>
        <v>0.87878787878787878</v>
      </c>
      <c r="F23" s="85"/>
      <c r="G23" s="73">
        <f t="shared" si="3"/>
        <v>4</v>
      </c>
      <c r="H23" s="73">
        <f t="shared" si="4"/>
        <v>6</v>
      </c>
      <c r="I23" s="104">
        <f t="shared" si="5"/>
        <v>0.66666666666666663</v>
      </c>
      <c r="J23" s="56"/>
      <c r="K23" s="56">
        <v>74</v>
      </c>
      <c r="L23" s="56">
        <v>78</v>
      </c>
      <c r="M23" s="85">
        <f t="shared" si="6"/>
        <v>0.94871794871794868</v>
      </c>
      <c r="N23" s="56"/>
      <c r="O23" s="56">
        <f t="shared" si="9"/>
        <v>10</v>
      </c>
      <c r="P23" s="56">
        <f t="shared" si="10"/>
        <v>12</v>
      </c>
      <c r="Q23" s="85">
        <f t="shared" si="11"/>
        <v>0.83333333333333337</v>
      </c>
      <c r="R23" s="56"/>
      <c r="S23" s="73">
        <f t="shared" si="0"/>
        <v>2</v>
      </c>
      <c r="T23" s="73">
        <f t="shared" si="1"/>
        <v>2</v>
      </c>
      <c r="U23" s="151">
        <f t="shared" si="7"/>
        <v>1</v>
      </c>
      <c r="V23" s="56"/>
      <c r="W23" s="67">
        <v>264</v>
      </c>
      <c r="X23" s="67">
        <v>296</v>
      </c>
      <c r="Y23" s="87">
        <f t="shared" si="8"/>
        <v>0.89189189189189189</v>
      </c>
      <c r="Z23" s="56"/>
      <c r="AB23" s="56" t="s">
        <v>25</v>
      </c>
      <c r="AC23" s="56">
        <v>5</v>
      </c>
      <c r="AD23" s="56">
        <v>5</v>
      </c>
      <c r="AE23" s="56"/>
      <c r="AH23" t="s">
        <v>24</v>
      </c>
      <c r="AI23">
        <v>6</v>
      </c>
      <c r="AJ23">
        <v>4</v>
      </c>
      <c r="AM23" t="s">
        <v>32</v>
      </c>
      <c r="AN23">
        <v>5</v>
      </c>
      <c r="AO23">
        <v>4</v>
      </c>
    </row>
    <row r="24" spans="1:41" x14ac:dyDescent="0.35">
      <c r="A24" s="56"/>
      <c r="B24" s="56" t="s">
        <v>25</v>
      </c>
      <c r="C24" s="71">
        <v>85</v>
      </c>
      <c r="D24" s="71">
        <v>99</v>
      </c>
      <c r="E24" s="85">
        <f t="shared" si="2"/>
        <v>0.85858585858585856</v>
      </c>
      <c r="F24" s="85"/>
      <c r="G24" s="73">
        <f t="shared" si="3"/>
        <v>2</v>
      </c>
      <c r="H24" s="73">
        <f t="shared" si="4"/>
        <v>3</v>
      </c>
      <c r="I24" s="104">
        <f t="shared" si="5"/>
        <v>0.66666666666666663</v>
      </c>
      <c r="J24" s="56"/>
      <c r="K24" s="56">
        <v>22</v>
      </c>
      <c r="L24" s="56">
        <v>24</v>
      </c>
      <c r="M24" s="85">
        <f t="shared" si="6"/>
        <v>0.91666666666666663</v>
      </c>
      <c r="N24" s="56"/>
      <c r="O24" s="56">
        <f t="shared" si="9"/>
        <v>5</v>
      </c>
      <c r="P24" s="56">
        <f t="shared" si="10"/>
        <v>5</v>
      </c>
      <c r="Q24" s="60">
        <f>O24/P24</f>
        <v>1</v>
      </c>
      <c r="R24" s="56"/>
      <c r="S24" s="73" t="str">
        <f t="shared" si="0"/>
        <v>0</v>
      </c>
      <c r="T24" s="73" t="str">
        <f t="shared" si="1"/>
        <v>0</v>
      </c>
      <c r="U24" s="104" t="str">
        <f t="shared" si="7"/>
        <v>n/a</v>
      </c>
      <c r="V24" s="56"/>
      <c r="W24" s="67">
        <v>114</v>
      </c>
      <c r="X24" s="67">
        <v>131</v>
      </c>
      <c r="Y24" s="87">
        <f t="shared" si="8"/>
        <v>0.87022900763358779</v>
      </c>
      <c r="Z24" s="56"/>
      <c r="AB24" s="56" t="s">
        <v>26</v>
      </c>
      <c r="AC24" s="56">
        <v>6</v>
      </c>
      <c r="AD24" s="56">
        <v>6</v>
      </c>
      <c r="AE24" s="56"/>
      <c r="AH24" t="s">
        <v>25</v>
      </c>
      <c r="AI24">
        <v>3</v>
      </c>
      <c r="AJ24">
        <v>2</v>
      </c>
      <c r="AM24" t="s">
        <v>34</v>
      </c>
      <c r="AN24">
        <v>3</v>
      </c>
      <c r="AO24">
        <v>3</v>
      </c>
    </row>
    <row r="25" spans="1:41" x14ac:dyDescent="0.35">
      <c r="A25" s="56"/>
      <c r="B25" s="56" t="s">
        <v>26</v>
      </c>
      <c r="C25" s="71">
        <v>77</v>
      </c>
      <c r="D25" s="71">
        <v>85</v>
      </c>
      <c r="E25" s="85">
        <f t="shared" si="2"/>
        <v>0.90588235294117647</v>
      </c>
      <c r="F25" s="85"/>
      <c r="G25" s="73">
        <f t="shared" si="3"/>
        <v>6</v>
      </c>
      <c r="H25" s="73">
        <f t="shared" si="4"/>
        <v>7</v>
      </c>
      <c r="I25" s="104">
        <f t="shared" si="5"/>
        <v>0.8571428571428571</v>
      </c>
      <c r="J25" s="56"/>
      <c r="K25" s="56">
        <v>9</v>
      </c>
      <c r="L25" s="56">
        <v>10</v>
      </c>
      <c r="M25" s="85">
        <f t="shared" si="6"/>
        <v>0.9</v>
      </c>
      <c r="N25" s="56"/>
      <c r="O25" s="56">
        <f t="shared" si="9"/>
        <v>6</v>
      </c>
      <c r="P25" s="56">
        <f t="shared" si="10"/>
        <v>6</v>
      </c>
      <c r="Q25" s="60">
        <f t="shared" si="11"/>
        <v>1</v>
      </c>
      <c r="R25" s="56"/>
      <c r="S25" s="73">
        <f t="shared" si="0"/>
        <v>0</v>
      </c>
      <c r="T25" s="73">
        <f t="shared" si="1"/>
        <v>3</v>
      </c>
      <c r="U25" s="104">
        <f t="shared" si="7"/>
        <v>0</v>
      </c>
      <c r="V25" s="56"/>
      <c r="W25" s="67">
        <v>98</v>
      </c>
      <c r="X25" s="67">
        <v>111</v>
      </c>
      <c r="Y25" s="87">
        <f t="shared" si="8"/>
        <v>0.88288288288288286</v>
      </c>
      <c r="Z25" s="56"/>
      <c r="AB25" s="56" t="s">
        <v>27</v>
      </c>
      <c r="AC25" s="56">
        <v>10</v>
      </c>
      <c r="AD25" s="56">
        <v>6</v>
      </c>
      <c r="AE25" s="56"/>
      <c r="AH25" t="s">
        <v>26</v>
      </c>
      <c r="AI25">
        <v>7</v>
      </c>
      <c r="AJ25">
        <v>6</v>
      </c>
      <c r="AM25" t="s">
        <v>37</v>
      </c>
      <c r="AN25">
        <v>1</v>
      </c>
      <c r="AO25">
        <v>1</v>
      </c>
    </row>
    <row r="26" spans="1:41" x14ac:dyDescent="0.35">
      <c r="A26" s="56"/>
      <c r="B26" s="56" t="s">
        <v>27</v>
      </c>
      <c r="C26" s="71">
        <v>144</v>
      </c>
      <c r="D26" s="71">
        <v>161</v>
      </c>
      <c r="E26" s="85">
        <f t="shared" si="2"/>
        <v>0.89440993788819878</v>
      </c>
      <c r="F26" s="85"/>
      <c r="G26" s="73">
        <f t="shared" si="3"/>
        <v>3</v>
      </c>
      <c r="H26" s="73">
        <f t="shared" si="4"/>
        <v>3</v>
      </c>
      <c r="I26" s="151">
        <f t="shared" si="5"/>
        <v>1</v>
      </c>
      <c r="J26" s="56"/>
      <c r="K26" s="56">
        <v>55</v>
      </c>
      <c r="L26" s="56">
        <v>59</v>
      </c>
      <c r="M26" s="85">
        <f t="shared" si="6"/>
        <v>0.93220338983050843</v>
      </c>
      <c r="N26" s="56"/>
      <c r="O26" s="56">
        <f t="shared" si="9"/>
        <v>6</v>
      </c>
      <c r="P26" s="56">
        <f t="shared" si="10"/>
        <v>10</v>
      </c>
      <c r="Q26" s="85">
        <f t="shared" si="11"/>
        <v>0.6</v>
      </c>
      <c r="R26" s="56"/>
      <c r="S26" s="73">
        <f t="shared" si="0"/>
        <v>0</v>
      </c>
      <c r="T26" s="73">
        <f t="shared" si="1"/>
        <v>1</v>
      </c>
      <c r="U26" s="104">
        <f t="shared" si="7"/>
        <v>0</v>
      </c>
      <c r="V26" s="56"/>
      <c r="W26" s="67">
        <v>208</v>
      </c>
      <c r="X26" s="67">
        <v>234</v>
      </c>
      <c r="Y26" s="87">
        <f t="shared" si="8"/>
        <v>0.88888888888888884</v>
      </c>
      <c r="Z26" s="56"/>
      <c r="AB26" s="56" t="s">
        <v>28</v>
      </c>
      <c r="AC26" s="56">
        <v>9</v>
      </c>
      <c r="AD26" s="56">
        <v>8</v>
      </c>
      <c r="AE26" s="56"/>
      <c r="AH26" t="s">
        <v>27</v>
      </c>
      <c r="AI26">
        <v>3</v>
      </c>
      <c r="AJ26">
        <v>3</v>
      </c>
      <c r="AM26" t="s">
        <v>38</v>
      </c>
      <c r="AN26">
        <v>2</v>
      </c>
      <c r="AO26">
        <v>2</v>
      </c>
    </row>
    <row r="27" spans="1:41" x14ac:dyDescent="0.35">
      <c r="A27" s="56"/>
      <c r="B27" s="56" t="s">
        <v>28</v>
      </c>
      <c r="C27" s="71">
        <v>169</v>
      </c>
      <c r="D27" s="71">
        <v>189</v>
      </c>
      <c r="E27" s="85">
        <f t="shared" si="2"/>
        <v>0.89417989417989419</v>
      </c>
      <c r="F27" s="85"/>
      <c r="G27" s="73">
        <f t="shared" si="3"/>
        <v>6</v>
      </c>
      <c r="H27" s="73">
        <f t="shared" si="4"/>
        <v>8</v>
      </c>
      <c r="I27" s="104">
        <f t="shared" si="5"/>
        <v>0.75</v>
      </c>
      <c r="J27" s="56"/>
      <c r="K27" s="56">
        <v>29</v>
      </c>
      <c r="L27" s="56">
        <v>33</v>
      </c>
      <c r="M27" s="85">
        <f t="shared" si="6"/>
        <v>0.87878787878787878</v>
      </c>
      <c r="N27" s="56"/>
      <c r="O27" s="56">
        <f t="shared" si="9"/>
        <v>8</v>
      </c>
      <c r="P27" s="56">
        <f t="shared" si="10"/>
        <v>9</v>
      </c>
      <c r="Q27" s="85">
        <f t="shared" si="11"/>
        <v>0.88888888888888884</v>
      </c>
      <c r="R27" s="56"/>
      <c r="S27" s="73">
        <f t="shared" si="0"/>
        <v>1</v>
      </c>
      <c r="T27" s="73">
        <f t="shared" si="1"/>
        <v>1</v>
      </c>
      <c r="U27" s="151">
        <f t="shared" si="7"/>
        <v>1</v>
      </c>
      <c r="V27" s="56"/>
      <c r="W27" s="67">
        <v>213</v>
      </c>
      <c r="X27" s="67">
        <v>240</v>
      </c>
      <c r="Y27" s="87">
        <f t="shared" si="8"/>
        <v>0.88749999999999996</v>
      </c>
      <c r="Z27" s="56"/>
      <c r="AB27" s="56" t="s">
        <v>29</v>
      </c>
      <c r="AC27" s="56">
        <v>3</v>
      </c>
      <c r="AD27" s="56">
        <v>3</v>
      </c>
      <c r="AE27" s="56"/>
      <c r="AH27" t="s">
        <v>28</v>
      </c>
      <c r="AI27">
        <v>8</v>
      </c>
      <c r="AJ27">
        <v>6</v>
      </c>
      <c r="AM27" t="s">
        <v>35</v>
      </c>
      <c r="AN27">
        <v>2</v>
      </c>
      <c r="AO27">
        <v>2</v>
      </c>
    </row>
    <row r="28" spans="1:41" x14ac:dyDescent="0.35">
      <c r="A28" s="56"/>
      <c r="B28" s="56" t="s">
        <v>29</v>
      </c>
      <c r="C28" s="71">
        <v>190</v>
      </c>
      <c r="D28" s="71">
        <v>219</v>
      </c>
      <c r="E28" s="85">
        <f t="shared" si="2"/>
        <v>0.86757990867579904</v>
      </c>
      <c r="F28" s="85"/>
      <c r="G28" s="73">
        <f t="shared" si="3"/>
        <v>10</v>
      </c>
      <c r="H28" s="73">
        <f t="shared" si="4"/>
        <v>14</v>
      </c>
      <c r="I28" s="104">
        <f t="shared" si="5"/>
        <v>0.7142857142857143</v>
      </c>
      <c r="J28" s="56"/>
      <c r="K28" s="56">
        <v>51</v>
      </c>
      <c r="L28" s="56">
        <v>54</v>
      </c>
      <c r="M28" s="85">
        <f t="shared" si="6"/>
        <v>0.94444444444444442</v>
      </c>
      <c r="N28" s="56"/>
      <c r="O28" s="56">
        <f t="shared" si="9"/>
        <v>3</v>
      </c>
      <c r="P28" s="56">
        <f t="shared" si="10"/>
        <v>3</v>
      </c>
      <c r="Q28" s="60">
        <f t="shared" si="11"/>
        <v>1</v>
      </c>
      <c r="R28" s="56"/>
      <c r="S28" s="73">
        <f t="shared" si="0"/>
        <v>1</v>
      </c>
      <c r="T28" s="73">
        <f t="shared" si="1"/>
        <v>1</v>
      </c>
      <c r="U28" s="151">
        <f t="shared" si="7"/>
        <v>1</v>
      </c>
      <c r="V28" s="56"/>
      <c r="W28" s="67">
        <v>255</v>
      </c>
      <c r="X28" s="67">
        <v>291</v>
      </c>
      <c r="Y28" s="87">
        <f t="shared" si="8"/>
        <v>0.87628865979381443</v>
      </c>
      <c r="Z28" s="56"/>
      <c r="AB28" s="56" t="s">
        <v>30</v>
      </c>
      <c r="AC28" s="56">
        <v>3</v>
      </c>
      <c r="AD28" s="56">
        <v>3</v>
      </c>
      <c r="AE28" s="56"/>
      <c r="AH28" t="s">
        <v>29</v>
      </c>
      <c r="AI28">
        <v>14</v>
      </c>
      <c r="AJ28">
        <v>10</v>
      </c>
      <c r="AM28" t="s">
        <v>36</v>
      </c>
      <c r="AN28">
        <v>2</v>
      </c>
      <c r="AO28">
        <v>2</v>
      </c>
    </row>
    <row r="29" spans="1:41" x14ac:dyDescent="0.35">
      <c r="A29" s="56"/>
      <c r="B29" s="56" t="s">
        <v>30</v>
      </c>
      <c r="C29" s="71">
        <v>55</v>
      </c>
      <c r="D29" s="71">
        <v>60</v>
      </c>
      <c r="E29" s="85">
        <f t="shared" si="2"/>
        <v>0.91666666666666663</v>
      </c>
      <c r="F29" s="85"/>
      <c r="G29" s="73">
        <f t="shared" si="3"/>
        <v>1</v>
      </c>
      <c r="H29" s="73">
        <f t="shared" si="4"/>
        <v>1</v>
      </c>
      <c r="I29" s="151">
        <f t="shared" si="5"/>
        <v>1</v>
      </c>
      <c r="J29" s="56"/>
      <c r="K29" s="56">
        <v>11</v>
      </c>
      <c r="L29" s="56">
        <v>14</v>
      </c>
      <c r="M29" s="85">
        <f t="shared" si="6"/>
        <v>0.7857142857142857</v>
      </c>
      <c r="N29" s="56"/>
      <c r="O29" s="56">
        <f t="shared" si="9"/>
        <v>3</v>
      </c>
      <c r="P29" s="56">
        <f t="shared" si="10"/>
        <v>3</v>
      </c>
      <c r="Q29" s="60">
        <f t="shared" si="11"/>
        <v>1</v>
      </c>
      <c r="R29" s="56"/>
      <c r="S29" s="73">
        <f t="shared" si="0"/>
        <v>3</v>
      </c>
      <c r="T29" s="73">
        <f t="shared" si="1"/>
        <v>3</v>
      </c>
      <c r="U29" s="151">
        <f t="shared" si="7"/>
        <v>1</v>
      </c>
      <c r="V29" s="56"/>
      <c r="W29" s="67">
        <v>73</v>
      </c>
      <c r="X29" s="67">
        <v>81</v>
      </c>
      <c r="Y29" s="87">
        <f t="shared" si="8"/>
        <v>0.90123456790123457</v>
      </c>
      <c r="Z29" s="56"/>
      <c r="AB29" s="56" t="s">
        <v>213</v>
      </c>
      <c r="AC29" s="56">
        <v>19</v>
      </c>
      <c r="AD29" s="56">
        <v>12</v>
      </c>
      <c r="AE29" s="56"/>
      <c r="AH29" t="s">
        <v>30</v>
      </c>
      <c r="AI29">
        <v>1</v>
      </c>
      <c r="AJ29">
        <v>1</v>
      </c>
      <c r="AM29" t="s">
        <v>39</v>
      </c>
      <c r="AN29">
        <v>4</v>
      </c>
      <c r="AO29">
        <v>4</v>
      </c>
    </row>
    <row r="30" spans="1:41" x14ac:dyDescent="0.35">
      <c r="A30" s="56"/>
      <c r="B30" s="56" t="s">
        <v>213</v>
      </c>
      <c r="C30" s="71">
        <v>1336</v>
      </c>
      <c r="D30" s="71">
        <v>1629</v>
      </c>
      <c r="E30" s="85">
        <f t="shared" si="2"/>
        <v>0.82013505217925109</v>
      </c>
      <c r="F30" s="85"/>
      <c r="G30" s="73">
        <f t="shared" si="3"/>
        <v>72</v>
      </c>
      <c r="H30" s="73">
        <f t="shared" si="4"/>
        <v>95</v>
      </c>
      <c r="I30" s="104">
        <f t="shared" si="5"/>
        <v>0.75789473684210529</v>
      </c>
      <c r="J30" s="56"/>
      <c r="K30" s="56">
        <v>166</v>
      </c>
      <c r="L30" s="56">
        <v>204</v>
      </c>
      <c r="M30" s="85">
        <f t="shared" si="6"/>
        <v>0.81372549019607843</v>
      </c>
      <c r="N30" s="56"/>
      <c r="O30" s="56">
        <f t="shared" si="9"/>
        <v>12</v>
      </c>
      <c r="P30" s="56">
        <f t="shared" si="10"/>
        <v>19</v>
      </c>
      <c r="Q30" s="85">
        <f t="shared" si="11"/>
        <v>0.63157894736842102</v>
      </c>
      <c r="R30" s="56"/>
      <c r="S30" s="73">
        <f t="shared" si="0"/>
        <v>4</v>
      </c>
      <c r="T30" s="73">
        <f t="shared" si="1"/>
        <v>6</v>
      </c>
      <c r="U30" s="104">
        <f t="shared" si="7"/>
        <v>0.66666666666666663</v>
      </c>
      <c r="V30" s="56"/>
      <c r="W30" s="67">
        <v>1590</v>
      </c>
      <c r="X30" s="67">
        <v>1953</v>
      </c>
      <c r="Y30" s="87">
        <f t="shared" si="8"/>
        <v>0.81413210445468509</v>
      </c>
      <c r="Z30" s="56"/>
      <c r="AB30" s="56" t="s">
        <v>32</v>
      </c>
      <c r="AC30" s="56">
        <v>8</v>
      </c>
      <c r="AD30" s="56">
        <v>7</v>
      </c>
      <c r="AE30" s="56"/>
      <c r="AH30" t="s">
        <v>213</v>
      </c>
      <c r="AI30">
        <v>95</v>
      </c>
      <c r="AJ30">
        <v>72</v>
      </c>
      <c r="AM30" t="s">
        <v>40</v>
      </c>
      <c r="AN30">
        <v>1</v>
      </c>
      <c r="AO30">
        <v>1</v>
      </c>
    </row>
    <row r="31" spans="1:41" x14ac:dyDescent="0.35">
      <c r="A31" s="56"/>
      <c r="B31" s="56" t="s">
        <v>32</v>
      </c>
      <c r="C31" s="71">
        <v>273</v>
      </c>
      <c r="D31" s="71">
        <v>313</v>
      </c>
      <c r="E31" s="85">
        <f t="shared" si="2"/>
        <v>0.87220447284345048</v>
      </c>
      <c r="F31" s="85"/>
      <c r="G31" s="73">
        <f t="shared" si="3"/>
        <v>10</v>
      </c>
      <c r="H31" s="73">
        <f t="shared" si="4"/>
        <v>17</v>
      </c>
      <c r="I31" s="104">
        <f t="shared" si="5"/>
        <v>0.58823529411764708</v>
      </c>
      <c r="J31" s="56"/>
      <c r="K31" s="56">
        <v>162</v>
      </c>
      <c r="L31" s="56">
        <v>169</v>
      </c>
      <c r="M31" s="85">
        <f t="shared" si="6"/>
        <v>0.95857988165680474</v>
      </c>
      <c r="N31" s="56"/>
      <c r="O31" s="56">
        <f t="shared" si="9"/>
        <v>7</v>
      </c>
      <c r="P31" s="56">
        <f t="shared" si="10"/>
        <v>8</v>
      </c>
      <c r="Q31" s="85">
        <f t="shared" si="11"/>
        <v>0.875</v>
      </c>
      <c r="R31" s="56"/>
      <c r="S31" s="73">
        <f t="shared" si="0"/>
        <v>4</v>
      </c>
      <c r="T31" s="73">
        <f t="shared" si="1"/>
        <v>5</v>
      </c>
      <c r="U31" s="104">
        <f t="shared" si="7"/>
        <v>0.8</v>
      </c>
      <c r="V31" s="56"/>
      <c r="W31" s="67">
        <v>456</v>
      </c>
      <c r="X31" s="67">
        <v>512</v>
      </c>
      <c r="Y31" s="87">
        <f t="shared" si="8"/>
        <v>0.890625</v>
      </c>
      <c r="Z31" s="56"/>
      <c r="AB31" s="56" t="s">
        <v>34</v>
      </c>
      <c r="AC31" s="56">
        <v>6</v>
      </c>
      <c r="AD31" s="56">
        <v>5</v>
      </c>
      <c r="AE31" s="56"/>
      <c r="AH31" t="s">
        <v>32</v>
      </c>
      <c r="AI31">
        <v>17</v>
      </c>
      <c r="AJ31">
        <v>10</v>
      </c>
      <c r="AM31" t="s">
        <v>45</v>
      </c>
      <c r="AN31">
        <v>1</v>
      </c>
      <c r="AO31">
        <v>1</v>
      </c>
    </row>
    <row r="32" spans="1:41" x14ac:dyDescent="0.35">
      <c r="A32" s="56"/>
      <c r="B32" s="56" t="s">
        <v>34</v>
      </c>
      <c r="C32" s="71">
        <v>70</v>
      </c>
      <c r="D32" s="71">
        <v>91</v>
      </c>
      <c r="E32" s="85">
        <f t="shared" si="2"/>
        <v>0.76923076923076927</v>
      </c>
      <c r="F32" s="85"/>
      <c r="G32" s="73">
        <f t="shared" si="3"/>
        <v>4</v>
      </c>
      <c r="H32" s="73">
        <f t="shared" si="4"/>
        <v>4</v>
      </c>
      <c r="I32" s="151">
        <f t="shared" si="5"/>
        <v>1</v>
      </c>
      <c r="J32" s="56"/>
      <c r="K32" s="56">
        <v>15</v>
      </c>
      <c r="L32" s="56">
        <v>17</v>
      </c>
      <c r="M32" s="85">
        <f t="shared" si="6"/>
        <v>0.88235294117647056</v>
      </c>
      <c r="N32" s="56"/>
      <c r="O32" s="56">
        <f t="shared" si="9"/>
        <v>5</v>
      </c>
      <c r="P32" s="56">
        <f t="shared" si="10"/>
        <v>6</v>
      </c>
      <c r="Q32" s="85">
        <f t="shared" si="11"/>
        <v>0.83333333333333337</v>
      </c>
      <c r="R32" s="56"/>
      <c r="S32" s="73">
        <f t="shared" si="0"/>
        <v>3</v>
      </c>
      <c r="T32" s="73">
        <f t="shared" si="1"/>
        <v>3</v>
      </c>
      <c r="U32" s="151">
        <f t="shared" si="7"/>
        <v>1</v>
      </c>
      <c r="V32" s="56"/>
      <c r="W32" s="67">
        <v>97</v>
      </c>
      <c r="X32" s="67">
        <v>121</v>
      </c>
      <c r="Y32" s="87">
        <f t="shared" si="8"/>
        <v>0.80165289256198347</v>
      </c>
      <c r="Z32" s="56"/>
      <c r="AB32" s="56" t="s">
        <v>37</v>
      </c>
      <c r="AC32" s="56">
        <v>1</v>
      </c>
      <c r="AD32" s="56">
        <v>1</v>
      </c>
      <c r="AE32" s="56"/>
      <c r="AH32" t="s">
        <v>34</v>
      </c>
      <c r="AI32">
        <v>4</v>
      </c>
      <c r="AJ32">
        <v>4</v>
      </c>
      <c r="AM32" t="s">
        <v>46</v>
      </c>
      <c r="AN32">
        <v>5</v>
      </c>
      <c r="AO32">
        <v>3</v>
      </c>
    </row>
    <row r="33" spans="1:41" x14ac:dyDescent="0.35">
      <c r="A33" s="56"/>
      <c r="B33" s="56" t="s">
        <v>35</v>
      </c>
      <c r="C33" s="71">
        <v>76</v>
      </c>
      <c r="D33" s="71">
        <v>85</v>
      </c>
      <c r="E33" s="85">
        <f t="shared" si="2"/>
        <v>0.89411764705882357</v>
      </c>
      <c r="F33" s="85"/>
      <c r="G33" s="73">
        <f t="shared" si="3"/>
        <v>6</v>
      </c>
      <c r="H33" s="73">
        <f t="shared" si="4"/>
        <v>7</v>
      </c>
      <c r="I33" s="104">
        <f t="shared" si="5"/>
        <v>0.8571428571428571</v>
      </c>
      <c r="J33" s="56"/>
      <c r="K33" s="56">
        <v>15</v>
      </c>
      <c r="L33" s="56">
        <v>16</v>
      </c>
      <c r="M33" s="85">
        <f t="shared" si="6"/>
        <v>0.9375</v>
      </c>
      <c r="N33" s="56"/>
      <c r="O33" s="56">
        <f t="shared" si="9"/>
        <v>5</v>
      </c>
      <c r="P33" s="56">
        <f t="shared" si="10"/>
        <v>5</v>
      </c>
      <c r="Q33" s="60">
        <f t="shared" si="11"/>
        <v>1</v>
      </c>
      <c r="R33" s="56"/>
      <c r="S33" s="73">
        <f t="shared" si="0"/>
        <v>2</v>
      </c>
      <c r="T33" s="73">
        <f t="shared" si="1"/>
        <v>2</v>
      </c>
      <c r="U33" s="151">
        <f t="shared" si="7"/>
        <v>1</v>
      </c>
      <c r="V33" s="56"/>
      <c r="W33" s="67">
        <v>94</v>
      </c>
      <c r="X33" s="67">
        <v>104</v>
      </c>
      <c r="Y33" s="87">
        <f t="shared" si="8"/>
        <v>0.90384615384615385</v>
      </c>
      <c r="Z33" s="56"/>
      <c r="AB33" s="56" t="s">
        <v>38</v>
      </c>
      <c r="AC33" s="56">
        <v>30</v>
      </c>
      <c r="AD33" s="56">
        <v>19</v>
      </c>
      <c r="AE33" s="56"/>
      <c r="AH33" t="s">
        <v>37</v>
      </c>
      <c r="AI33">
        <v>1</v>
      </c>
      <c r="AJ33">
        <v>1</v>
      </c>
      <c r="AM33" t="s">
        <v>48</v>
      </c>
      <c r="AN33">
        <v>2</v>
      </c>
      <c r="AO33">
        <v>1</v>
      </c>
    </row>
    <row r="34" spans="1:41" x14ac:dyDescent="0.35">
      <c r="A34" s="56"/>
      <c r="B34" s="56" t="s">
        <v>36</v>
      </c>
      <c r="C34" s="71">
        <v>138</v>
      </c>
      <c r="D34" s="71">
        <v>163</v>
      </c>
      <c r="E34" s="85">
        <f t="shared" si="2"/>
        <v>0.84662576687116564</v>
      </c>
      <c r="F34" s="85"/>
      <c r="G34" s="73">
        <v>0</v>
      </c>
      <c r="H34" s="73">
        <v>0</v>
      </c>
      <c r="I34" s="104" t="str">
        <f t="shared" si="5"/>
        <v>n/a</v>
      </c>
      <c r="J34" s="56"/>
      <c r="K34" s="56">
        <v>26</v>
      </c>
      <c r="L34" s="56">
        <v>32</v>
      </c>
      <c r="M34" s="85">
        <f t="shared" si="6"/>
        <v>0.8125</v>
      </c>
      <c r="N34" s="56"/>
      <c r="O34" s="56">
        <f t="shared" si="9"/>
        <v>3</v>
      </c>
      <c r="P34" s="56">
        <f t="shared" si="10"/>
        <v>5</v>
      </c>
      <c r="Q34" s="85">
        <f t="shared" si="11"/>
        <v>0.6</v>
      </c>
      <c r="R34" s="56"/>
      <c r="S34" s="73">
        <f t="shared" si="0"/>
        <v>2</v>
      </c>
      <c r="T34" s="73">
        <f t="shared" si="1"/>
        <v>2</v>
      </c>
      <c r="U34" s="151">
        <f t="shared" si="7"/>
        <v>1</v>
      </c>
      <c r="V34" s="56"/>
      <c r="W34" s="67">
        <v>189</v>
      </c>
      <c r="X34" s="67">
        <v>231</v>
      </c>
      <c r="Y34" s="87">
        <f t="shared" si="8"/>
        <v>0.81818181818181823</v>
      </c>
      <c r="Z34" s="56"/>
      <c r="AB34" s="56" t="s">
        <v>35</v>
      </c>
      <c r="AC34" s="56">
        <v>5</v>
      </c>
      <c r="AD34" s="56">
        <v>5</v>
      </c>
      <c r="AE34" s="56"/>
      <c r="AH34" t="s">
        <v>38</v>
      </c>
      <c r="AI34">
        <v>4</v>
      </c>
      <c r="AJ34">
        <v>4</v>
      </c>
      <c r="AM34" t="s">
        <v>7</v>
      </c>
      <c r="AN34">
        <v>5</v>
      </c>
      <c r="AO34">
        <v>4</v>
      </c>
    </row>
    <row r="35" spans="1:41" x14ac:dyDescent="0.35">
      <c r="A35" s="56"/>
      <c r="B35" s="56" t="s">
        <v>37</v>
      </c>
      <c r="C35" s="71">
        <v>101</v>
      </c>
      <c r="D35" s="71">
        <v>115</v>
      </c>
      <c r="E35" s="85">
        <f t="shared" si="2"/>
        <v>0.87826086956521743</v>
      </c>
      <c r="F35" s="85"/>
      <c r="G35" s="73">
        <f t="shared" si="3"/>
        <v>1</v>
      </c>
      <c r="H35" s="73">
        <f t="shared" si="4"/>
        <v>1</v>
      </c>
      <c r="I35" s="151">
        <f t="shared" si="5"/>
        <v>1</v>
      </c>
      <c r="J35" s="56"/>
      <c r="K35" s="56">
        <v>29</v>
      </c>
      <c r="L35" s="56">
        <v>38</v>
      </c>
      <c r="M35" s="85">
        <f t="shared" si="6"/>
        <v>0.76315789473684215</v>
      </c>
      <c r="N35" s="56"/>
      <c r="O35" s="56">
        <f t="shared" si="9"/>
        <v>1</v>
      </c>
      <c r="P35" s="56">
        <f t="shared" si="10"/>
        <v>1</v>
      </c>
      <c r="Q35" s="60">
        <f t="shared" si="11"/>
        <v>1</v>
      </c>
      <c r="R35" s="56"/>
      <c r="S35" s="73">
        <f t="shared" si="0"/>
        <v>1</v>
      </c>
      <c r="T35" s="73">
        <f t="shared" si="1"/>
        <v>1</v>
      </c>
      <c r="U35" s="151">
        <f t="shared" si="7"/>
        <v>1</v>
      </c>
      <c r="V35" s="56"/>
      <c r="W35" s="67">
        <v>143</v>
      </c>
      <c r="X35" s="67">
        <v>167</v>
      </c>
      <c r="Y35" s="87">
        <f t="shared" si="8"/>
        <v>0.85628742514970058</v>
      </c>
      <c r="Z35" s="56"/>
      <c r="AB35" s="56" t="s">
        <v>36</v>
      </c>
      <c r="AC35" s="56">
        <v>5</v>
      </c>
      <c r="AD35" s="56">
        <v>3</v>
      </c>
      <c r="AE35" s="56"/>
      <c r="AH35" t="s">
        <v>35</v>
      </c>
      <c r="AI35">
        <v>7</v>
      </c>
      <c r="AJ35">
        <v>6</v>
      </c>
      <c r="AM35" t="s">
        <v>49</v>
      </c>
      <c r="AN35">
        <v>5</v>
      </c>
      <c r="AO35">
        <v>4</v>
      </c>
    </row>
    <row r="36" spans="1:41" x14ac:dyDescent="0.35">
      <c r="A36" s="56"/>
      <c r="B36" s="56" t="s">
        <v>38</v>
      </c>
      <c r="C36" s="71">
        <v>48</v>
      </c>
      <c r="D36" s="71">
        <v>54</v>
      </c>
      <c r="E36" s="85">
        <f t="shared" si="2"/>
        <v>0.88888888888888884</v>
      </c>
      <c r="F36" s="85"/>
      <c r="G36" s="73">
        <f t="shared" si="3"/>
        <v>4</v>
      </c>
      <c r="H36" s="73">
        <f t="shared" si="4"/>
        <v>4</v>
      </c>
      <c r="I36" s="151">
        <f t="shared" si="5"/>
        <v>1</v>
      </c>
      <c r="J36" s="56"/>
      <c r="K36" s="56">
        <v>10</v>
      </c>
      <c r="L36" s="56">
        <v>12</v>
      </c>
      <c r="M36" s="85">
        <f t="shared" si="6"/>
        <v>0.83333333333333337</v>
      </c>
      <c r="N36" s="56"/>
      <c r="O36" s="56">
        <f t="shared" si="9"/>
        <v>19</v>
      </c>
      <c r="P36" s="56">
        <f t="shared" si="10"/>
        <v>30</v>
      </c>
      <c r="Q36" s="85">
        <f t="shared" si="11"/>
        <v>0.6333333333333333</v>
      </c>
      <c r="R36" s="56"/>
      <c r="S36" s="73">
        <f t="shared" si="0"/>
        <v>2</v>
      </c>
      <c r="T36" s="73">
        <f t="shared" si="1"/>
        <v>2</v>
      </c>
      <c r="U36" s="151">
        <f t="shared" si="7"/>
        <v>1</v>
      </c>
      <c r="V36" s="56"/>
      <c r="W36" s="67">
        <v>63</v>
      </c>
      <c r="X36" s="67">
        <v>73</v>
      </c>
      <c r="Y36" s="87">
        <f t="shared" si="8"/>
        <v>0.86301369863013699</v>
      </c>
      <c r="Z36" s="56"/>
      <c r="AB36" s="56" t="s">
        <v>39</v>
      </c>
      <c r="AC36" s="56">
        <v>5</v>
      </c>
      <c r="AD36" s="56">
        <v>4</v>
      </c>
      <c r="AE36" s="56"/>
      <c r="AH36" t="s">
        <v>39</v>
      </c>
      <c r="AI36">
        <v>7</v>
      </c>
      <c r="AJ36">
        <v>7</v>
      </c>
      <c r="AM36" t="s">
        <v>50</v>
      </c>
      <c r="AN36">
        <v>2</v>
      </c>
      <c r="AO36">
        <v>2</v>
      </c>
    </row>
    <row r="37" spans="1:41" x14ac:dyDescent="0.35">
      <c r="A37" s="56"/>
      <c r="B37" s="56" t="s">
        <v>39</v>
      </c>
      <c r="C37" s="71">
        <v>145</v>
      </c>
      <c r="D37" s="71">
        <v>171</v>
      </c>
      <c r="E37" s="85">
        <f t="shared" si="2"/>
        <v>0.84795321637426901</v>
      </c>
      <c r="F37" s="85"/>
      <c r="G37" s="73">
        <f t="shared" si="3"/>
        <v>7</v>
      </c>
      <c r="H37" s="73">
        <f t="shared" si="4"/>
        <v>7</v>
      </c>
      <c r="I37" s="151">
        <f t="shared" si="5"/>
        <v>1</v>
      </c>
      <c r="J37" s="56"/>
      <c r="K37" s="56">
        <v>32</v>
      </c>
      <c r="L37" s="56">
        <v>38</v>
      </c>
      <c r="M37" s="85">
        <f t="shared" si="6"/>
        <v>0.84210526315789469</v>
      </c>
      <c r="N37" s="56"/>
      <c r="O37" s="56">
        <f t="shared" si="9"/>
        <v>4</v>
      </c>
      <c r="P37" s="56">
        <f t="shared" si="10"/>
        <v>5</v>
      </c>
      <c r="Q37" s="85">
        <f t="shared" si="11"/>
        <v>0.8</v>
      </c>
      <c r="R37" s="56"/>
      <c r="S37" s="73">
        <f t="shared" si="0"/>
        <v>4</v>
      </c>
      <c r="T37" s="73">
        <f t="shared" si="1"/>
        <v>4</v>
      </c>
      <c r="U37" s="151">
        <f t="shared" si="7"/>
        <v>1</v>
      </c>
      <c r="V37" s="56"/>
      <c r="W37" s="67">
        <v>192</v>
      </c>
      <c r="X37" s="67">
        <v>225</v>
      </c>
      <c r="Y37" s="87">
        <f t="shared" si="8"/>
        <v>0.85333333333333339</v>
      </c>
      <c r="Z37" s="56"/>
      <c r="AB37" s="56" t="s">
        <v>40</v>
      </c>
      <c r="AC37" s="56">
        <v>5</v>
      </c>
      <c r="AD37" s="56">
        <v>5</v>
      </c>
      <c r="AE37" s="56"/>
      <c r="AH37" t="s">
        <v>40</v>
      </c>
      <c r="AI37">
        <v>10</v>
      </c>
      <c r="AJ37">
        <v>10</v>
      </c>
      <c r="AM37" t="s">
        <v>49</v>
      </c>
      <c r="AN37">
        <v>5</v>
      </c>
      <c r="AO37">
        <v>3</v>
      </c>
    </row>
    <row r="38" spans="1:41" x14ac:dyDescent="0.35">
      <c r="A38" s="56"/>
      <c r="B38" s="56" t="s">
        <v>40</v>
      </c>
      <c r="C38" s="71">
        <v>209</v>
      </c>
      <c r="D38" s="71">
        <v>250</v>
      </c>
      <c r="E38" s="85">
        <f t="shared" si="2"/>
        <v>0.83599999999999997</v>
      </c>
      <c r="F38" s="85"/>
      <c r="G38" s="73">
        <f t="shared" si="3"/>
        <v>10</v>
      </c>
      <c r="H38" s="73">
        <f t="shared" si="4"/>
        <v>10</v>
      </c>
      <c r="I38" s="151">
        <f t="shared" si="5"/>
        <v>1</v>
      </c>
      <c r="J38" s="56"/>
      <c r="K38" s="56">
        <v>63</v>
      </c>
      <c r="L38" s="56">
        <v>75</v>
      </c>
      <c r="M38" s="85">
        <f t="shared" si="6"/>
        <v>0.84</v>
      </c>
      <c r="N38" s="56"/>
      <c r="O38" s="56">
        <f t="shared" si="9"/>
        <v>5</v>
      </c>
      <c r="P38" s="56">
        <f t="shared" si="10"/>
        <v>5</v>
      </c>
      <c r="Q38" s="60">
        <f t="shared" si="11"/>
        <v>1</v>
      </c>
      <c r="R38" s="56"/>
      <c r="S38" s="73">
        <f t="shared" si="0"/>
        <v>1</v>
      </c>
      <c r="T38" s="73">
        <f t="shared" si="1"/>
        <v>1</v>
      </c>
      <c r="U38" s="151">
        <f t="shared" si="7"/>
        <v>1</v>
      </c>
      <c r="V38" s="56"/>
      <c r="W38" s="67">
        <v>288</v>
      </c>
      <c r="X38" s="67">
        <v>341</v>
      </c>
      <c r="Y38" s="87">
        <f t="shared" si="8"/>
        <v>0.84457478005865105</v>
      </c>
      <c r="Z38" s="56"/>
      <c r="AB38" s="56" t="s">
        <v>41</v>
      </c>
      <c r="AC38" s="56">
        <v>1</v>
      </c>
      <c r="AD38" s="56">
        <v>1</v>
      </c>
      <c r="AE38" s="56"/>
      <c r="AH38" t="s">
        <v>41</v>
      </c>
      <c r="AI38">
        <v>2</v>
      </c>
      <c r="AJ38">
        <v>1</v>
      </c>
      <c r="AM38" t="s">
        <v>50</v>
      </c>
      <c r="AN38">
        <v>3</v>
      </c>
      <c r="AO38">
        <v>3</v>
      </c>
    </row>
    <row r="39" spans="1:41" x14ac:dyDescent="0.35">
      <c r="A39" s="56"/>
      <c r="B39" s="56" t="s">
        <v>41</v>
      </c>
      <c r="C39" s="71">
        <v>109</v>
      </c>
      <c r="D39" s="71">
        <v>129</v>
      </c>
      <c r="E39" s="85">
        <f t="shared" si="2"/>
        <v>0.84496124031007747</v>
      </c>
      <c r="F39" s="85"/>
      <c r="G39" s="73">
        <f t="shared" si="3"/>
        <v>1</v>
      </c>
      <c r="H39" s="73">
        <f t="shared" si="4"/>
        <v>2</v>
      </c>
      <c r="I39" s="104">
        <f t="shared" si="5"/>
        <v>0.5</v>
      </c>
      <c r="J39" s="56"/>
      <c r="K39" s="56">
        <v>29</v>
      </c>
      <c r="L39" s="56">
        <v>31</v>
      </c>
      <c r="M39" s="85">
        <f t="shared" si="6"/>
        <v>0.93548387096774188</v>
      </c>
      <c r="N39" s="56"/>
      <c r="O39" s="56">
        <f t="shared" si="9"/>
        <v>1</v>
      </c>
      <c r="P39" s="56">
        <f t="shared" si="10"/>
        <v>1</v>
      </c>
      <c r="Q39" s="60">
        <f t="shared" si="11"/>
        <v>1</v>
      </c>
      <c r="R39" s="56"/>
      <c r="S39" s="73" t="str">
        <f t="shared" si="0"/>
        <v>0</v>
      </c>
      <c r="T39" s="73" t="str">
        <f t="shared" si="1"/>
        <v>0</v>
      </c>
      <c r="U39" s="104" t="str">
        <f t="shared" si="7"/>
        <v>n/a</v>
      </c>
      <c r="V39" s="56"/>
      <c r="W39" s="67">
        <v>140</v>
      </c>
      <c r="X39" s="67">
        <v>163</v>
      </c>
      <c r="Y39" s="87">
        <f t="shared" si="8"/>
        <v>0.85889570552147243</v>
      </c>
      <c r="Z39" s="56"/>
      <c r="AB39" s="56" t="s">
        <v>42</v>
      </c>
      <c r="AC39" s="56">
        <v>3</v>
      </c>
      <c r="AD39" s="56">
        <v>3</v>
      </c>
      <c r="AE39" s="56"/>
      <c r="AH39" t="s">
        <v>42</v>
      </c>
      <c r="AI39">
        <v>6</v>
      </c>
      <c r="AJ39">
        <v>6</v>
      </c>
    </row>
    <row r="40" spans="1:41" x14ac:dyDescent="0.35">
      <c r="A40" s="56"/>
      <c r="B40" s="56" t="s">
        <v>42</v>
      </c>
      <c r="C40" s="71">
        <v>81</v>
      </c>
      <c r="D40" s="71">
        <v>90</v>
      </c>
      <c r="E40" s="85">
        <f t="shared" si="2"/>
        <v>0.9</v>
      </c>
      <c r="F40" s="85"/>
      <c r="G40" s="73">
        <f t="shared" si="3"/>
        <v>6</v>
      </c>
      <c r="H40" s="73">
        <f t="shared" si="4"/>
        <v>6</v>
      </c>
      <c r="I40" s="151">
        <f t="shared" si="5"/>
        <v>1</v>
      </c>
      <c r="J40" s="56"/>
      <c r="K40" s="56">
        <v>14</v>
      </c>
      <c r="L40" s="56">
        <v>14</v>
      </c>
      <c r="M40" s="60">
        <f t="shared" si="6"/>
        <v>1</v>
      </c>
      <c r="N40" s="56"/>
      <c r="O40" s="56">
        <f t="shared" si="9"/>
        <v>3</v>
      </c>
      <c r="P40" s="56">
        <f t="shared" si="10"/>
        <v>3</v>
      </c>
      <c r="Q40" s="60">
        <f t="shared" si="11"/>
        <v>1</v>
      </c>
      <c r="R40" s="56"/>
      <c r="S40" s="73" t="str">
        <f t="shared" si="0"/>
        <v>0</v>
      </c>
      <c r="T40" s="73" t="str">
        <f t="shared" si="1"/>
        <v>0</v>
      </c>
      <c r="U40" s="104" t="str">
        <f t="shared" si="7"/>
        <v>n/a</v>
      </c>
      <c r="V40" s="56"/>
      <c r="W40" s="67">
        <v>104</v>
      </c>
      <c r="X40" s="67">
        <v>113</v>
      </c>
      <c r="Y40" s="87">
        <f t="shared" si="8"/>
        <v>0.92035398230088494</v>
      </c>
      <c r="Z40" s="56"/>
      <c r="AB40" s="56" t="s">
        <v>43</v>
      </c>
      <c r="AC40" s="56">
        <v>4</v>
      </c>
      <c r="AD40" s="56">
        <v>3</v>
      </c>
      <c r="AE40" s="56"/>
      <c r="AH40" t="s">
        <v>43</v>
      </c>
      <c r="AI40">
        <v>2</v>
      </c>
      <c r="AJ40">
        <v>1</v>
      </c>
    </row>
    <row r="41" spans="1:41" x14ac:dyDescent="0.35">
      <c r="A41" s="56"/>
      <c r="B41" s="56" t="s">
        <v>43</v>
      </c>
      <c r="C41" s="71">
        <v>62</v>
      </c>
      <c r="D41" s="71">
        <v>75</v>
      </c>
      <c r="E41" s="85">
        <f t="shared" si="2"/>
        <v>0.82666666666666666</v>
      </c>
      <c r="F41" s="85"/>
      <c r="G41" s="73">
        <f t="shared" si="3"/>
        <v>1</v>
      </c>
      <c r="H41" s="73">
        <f t="shared" si="4"/>
        <v>2</v>
      </c>
      <c r="I41" s="104">
        <f t="shared" si="5"/>
        <v>0.5</v>
      </c>
      <c r="J41" s="56"/>
      <c r="K41" s="56">
        <v>12</v>
      </c>
      <c r="L41" s="56">
        <v>16</v>
      </c>
      <c r="M41" s="85">
        <f t="shared" si="6"/>
        <v>0.75</v>
      </c>
      <c r="N41" s="56"/>
      <c r="O41" s="56">
        <f t="shared" si="9"/>
        <v>3</v>
      </c>
      <c r="P41" s="56">
        <f t="shared" si="10"/>
        <v>4</v>
      </c>
      <c r="Q41" s="85">
        <f t="shared" si="11"/>
        <v>0.75</v>
      </c>
      <c r="R41" s="56"/>
      <c r="S41" s="73" t="str">
        <f t="shared" si="0"/>
        <v>0</v>
      </c>
      <c r="T41" s="73" t="str">
        <f t="shared" si="1"/>
        <v>0</v>
      </c>
      <c r="U41" s="104" t="str">
        <f t="shared" si="7"/>
        <v>n/a</v>
      </c>
      <c r="V41" s="56"/>
      <c r="W41" s="67">
        <v>78</v>
      </c>
      <c r="X41" s="67">
        <v>97</v>
      </c>
      <c r="Y41" s="87">
        <f t="shared" si="8"/>
        <v>0.80412371134020622</v>
      </c>
      <c r="Z41" s="56"/>
      <c r="AB41" s="56" t="s">
        <v>44</v>
      </c>
      <c r="AC41" s="56">
        <v>2</v>
      </c>
      <c r="AD41" s="56">
        <v>2</v>
      </c>
      <c r="AE41" s="56"/>
      <c r="AH41" t="s">
        <v>44</v>
      </c>
      <c r="AI41">
        <v>4</v>
      </c>
      <c r="AJ41">
        <v>2</v>
      </c>
    </row>
    <row r="42" spans="1:41" x14ac:dyDescent="0.35">
      <c r="A42" s="56"/>
      <c r="B42" s="56" t="s">
        <v>44</v>
      </c>
      <c r="C42" s="71">
        <v>76</v>
      </c>
      <c r="D42" s="71">
        <v>82</v>
      </c>
      <c r="E42" s="85">
        <f t="shared" si="2"/>
        <v>0.92682926829268297</v>
      </c>
      <c r="F42" s="85"/>
      <c r="G42" s="73">
        <f t="shared" si="3"/>
        <v>2</v>
      </c>
      <c r="H42" s="73">
        <f t="shared" si="4"/>
        <v>4</v>
      </c>
      <c r="I42" s="104">
        <f t="shared" si="5"/>
        <v>0.5</v>
      </c>
      <c r="J42" s="56"/>
      <c r="K42" s="56">
        <v>21</v>
      </c>
      <c r="L42" s="56">
        <v>25</v>
      </c>
      <c r="M42" s="85">
        <f t="shared" si="6"/>
        <v>0.84</v>
      </c>
      <c r="N42" s="56"/>
      <c r="O42" s="56">
        <f t="shared" si="9"/>
        <v>2</v>
      </c>
      <c r="P42" s="56">
        <f t="shared" si="10"/>
        <v>2</v>
      </c>
      <c r="Q42" s="60">
        <f t="shared" si="11"/>
        <v>1</v>
      </c>
      <c r="R42" s="56"/>
      <c r="S42" s="73" t="str">
        <f t="shared" si="0"/>
        <v>0</v>
      </c>
      <c r="T42" s="73" t="str">
        <f t="shared" si="1"/>
        <v>0</v>
      </c>
      <c r="U42" s="104" t="str">
        <f t="shared" si="7"/>
        <v>n/a</v>
      </c>
      <c r="V42" s="56"/>
      <c r="W42" s="67">
        <v>101</v>
      </c>
      <c r="X42" s="67">
        <v>113</v>
      </c>
      <c r="Y42" s="87">
        <f t="shared" si="8"/>
        <v>0.89380530973451322</v>
      </c>
      <c r="Z42" s="56"/>
      <c r="AB42" s="56" t="s">
        <v>45</v>
      </c>
      <c r="AC42" s="56">
        <v>2</v>
      </c>
      <c r="AD42" s="56">
        <v>2</v>
      </c>
      <c r="AE42" s="56"/>
      <c r="AH42" t="s">
        <v>45</v>
      </c>
      <c r="AI42">
        <v>11</v>
      </c>
      <c r="AJ42">
        <v>10</v>
      </c>
    </row>
    <row r="43" spans="1:41" x14ac:dyDescent="0.35">
      <c r="A43" s="56"/>
      <c r="B43" s="56" t="s">
        <v>45</v>
      </c>
      <c r="C43" s="71">
        <v>135</v>
      </c>
      <c r="D43" s="71">
        <v>151</v>
      </c>
      <c r="E43" s="85">
        <f t="shared" si="2"/>
        <v>0.89403973509933776</v>
      </c>
      <c r="F43" s="85"/>
      <c r="G43" s="73">
        <f t="shared" si="3"/>
        <v>10</v>
      </c>
      <c r="H43" s="73">
        <f t="shared" si="4"/>
        <v>11</v>
      </c>
      <c r="I43" s="104">
        <f t="shared" si="5"/>
        <v>0.90909090909090906</v>
      </c>
      <c r="J43" s="56"/>
      <c r="K43" s="56">
        <v>62</v>
      </c>
      <c r="L43" s="56">
        <v>65</v>
      </c>
      <c r="M43" s="85">
        <f t="shared" si="6"/>
        <v>0.9538461538461539</v>
      </c>
      <c r="N43" s="56"/>
      <c r="O43" s="56">
        <f t="shared" si="9"/>
        <v>2</v>
      </c>
      <c r="P43" s="56">
        <f t="shared" si="10"/>
        <v>2</v>
      </c>
      <c r="Q43" s="60">
        <f t="shared" si="11"/>
        <v>1</v>
      </c>
      <c r="R43" s="56"/>
      <c r="S43" s="73">
        <f t="shared" si="0"/>
        <v>1</v>
      </c>
      <c r="T43" s="73">
        <f t="shared" si="1"/>
        <v>1</v>
      </c>
      <c r="U43" s="151">
        <f t="shared" si="7"/>
        <v>1</v>
      </c>
      <c r="V43" s="56"/>
      <c r="W43" s="67">
        <v>210</v>
      </c>
      <c r="X43" s="67">
        <v>230</v>
      </c>
      <c r="Y43" s="87">
        <f t="shared" si="8"/>
        <v>0.91304347826086951</v>
      </c>
      <c r="Z43" s="56"/>
      <c r="AB43" s="56" t="s">
        <v>46</v>
      </c>
      <c r="AC43" s="56">
        <v>5</v>
      </c>
      <c r="AD43" s="56">
        <v>4</v>
      </c>
      <c r="AE43" s="56"/>
      <c r="AH43" t="s">
        <v>46</v>
      </c>
      <c r="AI43">
        <v>9</v>
      </c>
      <c r="AJ43">
        <v>8</v>
      </c>
    </row>
    <row r="44" spans="1:41" x14ac:dyDescent="0.35">
      <c r="A44" s="56"/>
      <c r="B44" s="56" t="s">
        <v>46</v>
      </c>
      <c r="C44" s="71">
        <v>264</v>
      </c>
      <c r="D44" s="71">
        <v>297</v>
      </c>
      <c r="E44" s="85">
        <f t="shared" si="2"/>
        <v>0.88888888888888884</v>
      </c>
      <c r="F44" s="85"/>
      <c r="G44" s="73">
        <f t="shared" si="3"/>
        <v>8</v>
      </c>
      <c r="H44" s="73">
        <f t="shared" si="4"/>
        <v>9</v>
      </c>
      <c r="I44" s="104">
        <f t="shared" si="5"/>
        <v>0.88888888888888884</v>
      </c>
      <c r="J44" s="56"/>
      <c r="K44" s="56">
        <v>64</v>
      </c>
      <c r="L44" s="56">
        <v>71</v>
      </c>
      <c r="M44" s="85">
        <f t="shared" si="6"/>
        <v>0.90140845070422537</v>
      </c>
      <c r="N44" s="56"/>
      <c r="O44" s="56">
        <f t="shared" si="9"/>
        <v>4</v>
      </c>
      <c r="P44" s="56">
        <f t="shared" si="10"/>
        <v>5</v>
      </c>
      <c r="Q44" s="85">
        <f t="shared" si="11"/>
        <v>0.8</v>
      </c>
      <c r="R44" s="56"/>
      <c r="S44" s="73">
        <f t="shared" si="0"/>
        <v>3</v>
      </c>
      <c r="T44" s="73">
        <f t="shared" si="1"/>
        <v>5</v>
      </c>
      <c r="U44" s="104">
        <f t="shared" si="7"/>
        <v>0.6</v>
      </c>
      <c r="V44" s="56"/>
      <c r="W44" s="67">
        <v>343</v>
      </c>
      <c r="X44" s="67">
        <v>387</v>
      </c>
      <c r="Y44" s="87">
        <f t="shared" si="8"/>
        <v>0.8863049095607235</v>
      </c>
      <c r="Z44" s="56"/>
      <c r="AB44" s="56" t="s">
        <v>47</v>
      </c>
      <c r="AC44" s="56">
        <v>2</v>
      </c>
      <c r="AD44" s="56">
        <v>2</v>
      </c>
      <c r="AE44" s="56"/>
      <c r="AH44" t="s">
        <v>47</v>
      </c>
      <c r="AI44">
        <v>3</v>
      </c>
      <c r="AJ44">
        <v>3</v>
      </c>
    </row>
    <row r="45" spans="1:41" x14ac:dyDescent="0.35">
      <c r="A45" s="56"/>
      <c r="B45" s="56" t="s">
        <v>47</v>
      </c>
      <c r="C45" s="71">
        <v>55</v>
      </c>
      <c r="D45" s="71">
        <v>61</v>
      </c>
      <c r="E45" s="85">
        <f t="shared" si="2"/>
        <v>0.90163934426229508</v>
      </c>
      <c r="F45" s="85"/>
      <c r="G45" s="73">
        <f t="shared" si="3"/>
        <v>3</v>
      </c>
      <c r="H45" s="73">
        <f t="shared" si="4"/>
        <v>3</v>
      </c>
      <c r="I45" s="151">
        <f t="shared" si="5"/>
        <v>1</v>
      </c>
      <c r="J45" s="56"/>
      <c r="K45" s="56">
        <v>13</v>
      </c>
      <c r="L45" s="56">
        <v>13</v>
      </c>
      <c r="M45" s="60">
        <f t="shared" si="6"/>
        <v>1</v>
      </c>
      <c r="N45" s="56"/>
      <c r="O45" s="56">
        <f t="shared" si="9"/>
        <v>2</v>
      </c>
      <c r="P45" s="56">
        <f t="shared" si="10"/>
        <v>2</v>
      </c>
      <c r="Q45" s="60">
        <f t="shared" si="11"/>
        <v>1</v>
      </c>
      <c r="R45" s="56"/>
      <c r="S45" s="73" t="str">
        <f t="shared" si="0"/>
        <v>0</v>
      </c>
      <c r="T45" s="73" t="str">
        <f t="shared" si="1"/>
        <v>0</v>
      </c>
      <c r="U45" s="104" t="str">
        <f t="shared" si="7"/>
        <v>n/a</v>
      </c>
      <c r="V45" s="56"/>
      <c r="W45" s="67">
        <v>73</v>
      </c>
      <c r="X45" s="67">
        <v>79</v>
      </c>
      <c r="Y45" s="87">
        <f t="shared" si="8"/>
        <v>0.92405063291139244</v>
      </c>
      <c r="Z45" s="56"/>
      <c r="AB45" s="56" t="s">
        <v>48</v>
      </c>
      <c r="AC45" s="56">
        <v>7</v>
      </c>
      <c r="AD45" s="56">
        <v>7</v>
      </c>
      <c r="AE45" s="56"/>
      <c r="AH45" t="s">
        <v>48</v>
      </c>
      <c r="AI45">
        <v>4</v>
      </c>
      <c r="AJ45">
        <v>3</v>
      </c>
    </row>
    <row r="46" spans="1:41" x14ac:dyDescent="0.35">
      <c r="A46" s="56"/>
      <c r="B46" s="56" t="s">
        <v>48</v>
      </c>
      <c r="C46" s="71">
        <v>92</v>
      </c>
      <c r="D46" s="71">
        <v>104</v>
      </c>
      <c r="E46" s="85">
        <f t="shared" si="2"/>
        <v>0.88461538461538458</v>
      </c>
      <c r="F46" s="85"/>
      <c r="G46" s="73">
        <f t="shared" si="3"/>
        <v>3</v>
      </c>
      <c r="H46" s="73">
        <f t="shared" si="4"/>
        <v>4</v>
      </c>
      <c r="I46" s="104">
        <f t="shared" si="5"/>
        <v>0.75</v>
      </c>
      <c r="J46" s="56"/>
      <c r="K46" s="56">
        <v>18</v>
      </c>
      <c r="L46" s="56">
        <v>25</v>
      </c>
      <c r="M46" s="85">
        <f t="shared" si="6"/>
        <v>0.72</v>
      </c>
      <c r="N46" s="56"/>
      <c r="O46" s="56">
        <f t="shared" si="9"/>
        <v>7</v>
      </c>
      <c r="P46" s="56">
        <f t="shared" si="10"/>
        <v>7</v>
      </c>
      <c r="Q46" s="60">
        <f t="shared" si="11"/>
        <v>1</v>
      </c>
      <c r="R46" s="56"/>
      <c r="S46" s="73">
        <f t="shared" si="0"/>
        <v>1</v>
      </c>
      <c r="T46" s="73">
        <f t="shared" si="1"/>
        <v>2</v>
      </c>
      <c r="U46" s="104">
        <f t="shared" si="7"/>
        <v>0.5</v>
      </c>
      <c r="V46" s="56"/>
      <c r="W46" s="67">
        <v>121</v>
      </c>
      <c r="X46" s="67">
        <v>142</v>
      </c>
      <c r="Y46" s="87">
        <f t="shared" si="8"/>
        <v>0.852112676056338</v>
      </c>
      <c r="Z46" s="56"/>
      <c r="AB46" s="56" t="s">
        <v>7</v>
      </c>
      <c r="AC46" s="56">
        <v>20</v>
      </c>
      <c r="AD46" s="56">
        <v>17</v>
      </c>
      <c r="AE46" s="56"/>
      <c r="AH46" t="s">
        <v>7</v>
      </c>
      <c r="AI46">
        <v>30</v>
      </c>
      <c r="AJ46">
        <v>24</v>
      </c>
    </row>
    <row r="47" spans="1:41" x14ac:dyDescent="0.35">
      <c r="A47" s="56"/>
      <c r="B47" s="56" t="s">
        <v>7</v>
      </c>
      <c r="C47" s="71">
        <v>474</v>
      </c>
      <c r="D47" s="71">
        <v>538</v>
      </c>
      <c r="E47" s="85">
        <f t="shared" si="2"/>
        <v>0.8810408921933085</v>
      </c>
      <c r="F47" s="85"/>
      <c r="G47" s="73">
        <f t="shared" si="3"/>
        <v>24</v>
      </c>
      <c r="H47" s="73">
        <f t="shared" si="4"/>
        <v>30</v>
      </c>
      <c r="I47" s="104">
        <f t="shared" si="5"/>
        <v>0.8</v>
      </c>
      <c r="J47" s="56"/>
      <c r="K47" s="56">
        <v>68</v>
      </c>
      <c r="L47" s="56">
        <v>75</v>
      </c>
      <c r="M47" s="85">
        <f t="shared" si="6"/>
        <v>0.90666666666666662</v>
      </c>
      <c r="N47" s="56"/>
      <c r="O47" s="56">
        <f t="shared" si="9"/>
        <v>17</v>
      </c>
      <c r="P47" s="56">
        <f t="shared" si="10"/>
        <v>20</v>
      </c>
      <c r="Q47" s="85">
        <f t="shared" si="11"/>
        <v>0.85</v>
      </c>
      <c r="R47" s="56"/>
      <c r="S47" s="73">
        <f t="shared" si="0"/>
        <v>4</v>
      </c>
      <c r="T47" s="73">
        <f t="shared" si="1"/>
        <v>5</v>
      </c>
      <c r="U47" s="104">
        <f t="shared" si="7"/>
        <v>0.8</v>
      </c>
      <c r="V47" s="56"/>
      <c r="W47" s="67">
        <v>587</v>
      </c>
      <c r="X47" s="67">
        <v>668</v>
      </c>
      <c r="Y47" s="87">
        <f t="shared" si="8"/>
        <v>0.87874251497005984</v>
      </c>
      <c r="Z47" s="56"/>
      <c r="AB47" s="56" t="s">
        <v>49</v>
      </c>
      <c r="AC47" s="56">
        <v>10</v>
      </c>
      <c r="AD47" s="56">
        <v>9</v>
      </c>
      <c r="AE47" s="56"/>
      <c r="AH47" t="s">
        <v>49</v>
      </c>
      <c r="AI47">
        <v>11</v>
      </c>
      <c r="AJ47">
        <v>9</v>
      </c>
    </row>
    <row r="48" spans="1:41" x14ac:dyDescent="0.35">
      <c r="A48" s="56"/>
      <c r="B48" s="56" t="s">
        <v>49</v>
      </c>
      <c r="C48" s="71">
        <v>385</v>
      </c>
      <c r="D48" s="71">
        <v>437</v>
      </c>
      <c r="E48" s="85">
        <f t="shared" si="2"/>
        <v>0.8810068649885584</v>
      </c>
      <c r="F48" s="85"/>
      <c r="G48" s="73">
        <f t="shared" si="3"/>
        <v>9</v>
      </c>
      <c r="H48" s="73">
        <f t="shared" si="4"/>
        <v>11</v>
      </c>
      <c r="I48" s="104">
        <f t="shared" si="5"/>
        <v>0.81818181818181823</v>
      </c>
      <c r="J48" s="56"/>
      <c r="K48" s="56">
        <v>57</v>
      </c>
      <c r="L48" s="56">
        <v>62</v>
      </c>
      <c r="M48" s="85">
        <f t="shared" si="6"/>
        <v>0.91935483870967738</v>
      </c>
      <c r="N48" s="56"/>
      <c r="O48" s="56">
        <f t="shared" si="9"/>
        <v>9</v>
      </c>
      <c r="P48" s="56">
        <f t="shared" si="10"/>
        <v>10</v>
      </c>
      <c r="Q48" s="85">
        <f t="shared" si="11"/>
        <v>0.9</v>
      </c>
      <c r="R48" s="56"/>
      <c r="S48" s="73">
        <f t="shared" si="0"/>
        <v>4</v>
      </c>
      <c r="T48" s="73">
        <f t="shared" si="1"/>
        <v>5</v>
      </c>
      <c r="U48" s="104">
        <f t="shared" si="7"/>
        <v>0.8</v>
      </c>
      <c r="V48" s="56"/>
      <c r="W48" s="67">
        <v>464</v>
      </c>
      <c r="X48" s="67">
        <v>525</v>
      </c>
      <c r="Y48" s="87">
        <f t="shared" si="8"/>
        <v>0.88380952380952382</v>
      </c>
      <c r="Z48" s="56"/>
      <c r="AB48" s="56" t="s">
        <v>50</v>
      </c>
      <c r="AC48" s="56">
        <v>4</v>
      </c>
      <c r="AD48" s="56">
        <v>4</v>
      </c>
      <c r="AE48" s="56"/>
      <c r="AH48" t="s">
        <v>50</v>
      </c>
      <c r="AI48">
        <v>1</v>
      </c>
      <c r="AJ48">
        <v>1</v>
      </c>
    </row>
    <row r="49" spans="1:31" x14ac:dyDescent="0.35">
      <c r="A49" s="56"/>
      <c r="B49" s="56" t="s">
        <v>50</v>
      </c>
      <c r="C49" s="71">
        <v>69</v>
      </c>
      <c r="D49" s="71">
        <v>74</v>
      </c>
      <c r="E49" s="85">
        <f t="shared" si="2"/>
        <v>0.93243243243243246</v>
      </c>
      <c r="F49" s="85"/>
      <c r="G49" s="73">
        <f t="shared" si="3"/>
        <v>1</v>
      </c>
      <c r="H49" s="73">
        <f t="shared" si="4"/>
        <v>1</v>
      </c>
      <c r="I49" s="151">
        <f t="shared" si="5"/>
        <v>1</v>
      </c>
      <c r="J49" s="56"/>
      <c r="K49" s="56">
        <v>20</v>
      </c>
      <c r="L49" s="56">
        <v>21</v>
      </c>
      <c r="M49" s="85">
        <f t="shared" si="6"/>
        <v>0.95238095238095233</v>
      </c>
      <c r="N49" s="56"/>
      <c r="O49" s="56">
        <f t="shared" si="9"/>
        <v>4</v>
      </c>
      <c r="P49" s="56">
        <f t="shared" si="10"/>
        <v>4</v>
      </c>
      <c r="Q49" s="60">
        <f t="shared" si="11"/>
        <v>1</v>
      </c>
      <c r="R49" s="56"/>
      <c r="S49" s="73">
        <f t="shared" si="0"/>
        <v>2</v>
      </c>
      <c r="T49" s="73">
        <f t="shared" si="1"/>
        <v>2</v>
      </c>
      <c r="U49" s="151">
        <f t="shared" si="7"/>
        <v>1</v>
      </c>
      <c r="V49" s="56"/>
      <c r="W49" s="67">
        <v>96</v>
      </c>
      <c r="X49" s="67">
        <v>102</v>
      </c>
      <c r="Y49" s="87">
        <f t="shared" si="8"/>
        <v>0.94117647058823528</v>
      </c>
      <c r="Z49" s="56"/>
      <c r="AE49" s="56"/>
    </row>
    <row r="50" spans="1:31" ht="6" customHeight="1" x14ac:dyDescent="0.35">
      <c r="A50" s="56"/>
      <c r="B50" s="56"/>
      <c r="C50" s="71"/>
      <c r="D50" s="71"/>
      <c r="E50" s="85"/>
      <c r="F50" s="85"/>
      <c r="G50" s="56"/>
      <c r="H50" s="56"/>
      <c r="I50" s="85"/>
      <c r="J50" s="56"/>
      <c r="K50" s="56"/>
      <c r="L50" s="56"/>
      <c r="M50" s="85"/>
      <c r="N50" s="56"/>
      <c r="O50" s="56"/>
      <c r="P50" s="56"/>
      <c r="Q50" s="56"/>
      <c r="R50" s="56"/>
      <c r="S50" s="56"/>
      <c r="T50" s="56"/>
      <c r="U50" s="56"/>
      <c r="V50" s="56"/>
      <c r="W50" s="71"/>
      <c r="X50" s="71"/>
      <c r="Y50" s="85"/>
      <c r="Z50" s="56"/>
    </row>
    <row r="51" spans="1:31" x14ac:dyDescent="0.35">
      <c r="A51" s="31" t="s">
        <v>129</v>
      </c>
      <c r="B51" s="29"/>
      <c r="C51" s="29"/>
      <c r="D51" s="29"/>
      <c r="E51" s="29"/>
      <c r="F51" s="29"/>
      <c r="G51" s="29"/>
    </row>
    <row r="52" spans="1:31" x14ac:dyDescent="0.35">
      <c r="A52" s="29" t="s">
        <v>284</v>
      </c>
      <c r="B52" s="29"/>
      <c r="C52" s="29"/>
      <c r="D52" s="29"/>
      <c r="E52" s="29"/>
      <c r="F52" s="29"/>
      <c r="G52" s="29"/>
    </row>
    <row r="53" spans="1:31" ht="5.25" customHeight="1" x14ac:dyDescent="0.35"/>
    <row r="54" spans="1:31" ht="27" customHeight="1" x14ac:dyDescent="0.35">
      <c r="A54" s="164" t="s">
        <v>296</v>
      </c>
      <c r="B54" s="165"/>
      <c r="C54" s="165"/>
      <c r="D54" s="165"/>
      <c r="E54" s="165"/>
      <c r="F54" s="165"/>
      <c r="G54" s="165"/>
      <c r="H54" s="165"/>
      <c r="I54" s="165"/>
      <c r="J54" s="165"/>
      <c r="K54" s="165"/>
      <c r="L54" s="165"/>
      <c r="M54" s="165"/>
      <c r="N54" s="165"/>
      <c r="O54" s="165"/>
      <c r="P54" s="165"/>
      <c r="Q54" s="165"/>
      <c r="R54" s="165"/>
      <c r="S54" s="165"/>
      <c r="T54" s="165"/>
      <c r="U54" s="165"/>
      <c r="V54" s="165"/>
      <c r="W54" s="165"/>
      <c r="X54" s="165"/>
      <c r="Y54" s="165"/>
      <c r="Z54" s="165"/>
    </row>
  </sheetData>
  <mergeCells count="7">
    <mergeCell ref="C5:E5"/>
    <mergeCell ref="G5:I5"/>
    <mergeCell ref="K5:M5"/>
    <mergeCell ref="W5:Y5"/>
    <mergeCell ref="A54:Z54"/>
    <mergeCell ref="O5:Q5"/>
    <mergeCell ref="S5:U5"/>
  </mergeCells>
  <hyperlinks>
    <hyperlink ref="A54:Z54" r:id="rId1" display="https://www.cps.gov.uk/sites/default/files/documents/publications/Hate-Crime-Annual-Data-Tables-Year-Ending-March-2021.xlsx" xr:uid="{21DCEA32-EA8D-4739-8EAA-B0E3ED423CBA}"/>
  </hyperlinks>
  <pageMargins left="0.7" right="0.7" top="0.75" bottom="0.75" header="0.3" footer="0.3"/>
  <pageSetup paperSize="9" orientation="portrait" horizontalDpi="1200" verticalDpi="12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B319B-8E04-401D-8B54-CFCA14983DC0}">
  <dimension ref="A1:T43"/>
  <sheetViews>
    <sheetView showGridLines="0" workbookViewId="0">
      <selection activeCell="G47" sqref="G47"/>
    </sheetView>
  </sheetViews>
  <sheetFormatPr defaultRowHeight="15" x14ac:dyDescent="0.35"/>
  <cols>
    <col min="1" max="1" width="1.3984375" customWidth="1"/>
    <col min="2" max="2" width="20.8984375" bestFit="1" customWidth="1"/>
    <col min="5" max="5" width="1.3984375" customWidth="1"/>
    <col min="8" max="8" width="1.3984375" customWidth="1"/>
    <col min="11" max="11" width="1.3984375" customWidth="1"/>
    <col min="14" max="14" width="1.3984375" customWidth="1"/>
    <col min="17" max="17" width="1.3984375" customWidth="1"/>
    <col min="20" max="20" width="1.3984375" customWidth="1"/>
  </cols>
  <sheetData>
    <row r="1" spans="1:20" ht="6" customHeight="1" x14ac:dyDescent="0.35">
      <c r="A1" s="16"/>
      <c r="B1" s="16"/>
      <c r="C1" s="16"/>
      <c r="D1" s="16"/>
      <c r="E1" s="16"/>
      <c r="F1" s="16"/>
      <c r="G1" s="16"/>
      <c r="H1" s="16"/>
      <c r="I1" s="16"/>
      <c r="J1" s="16"/>
      <c r="K1" s="16"/>
      <c r="L1" s="16"/>
      <c r="M1" s="16"/>
      <c r="N1" s="16"/>
      <c r="O1" s="16"/>
      <c r="P1" s="16"/>
      <c r="Q1" s="16"/>
      <c r="R1" s="16"/>
      <c r="S1" s="16"/>
      <c r="T1" s="16"/>
    </row>
    <row r="2" spans="1:20" ht="19.5" customHeight="1" x14ac:dyDescent="0.4">
      <c r="A2" s="16"/>
      <c r="B2" s="49" t="s">
        <v>285</v>
      </c>
      <c r="C2" s="16"/>
      <c r="D2" s="16"/>
      <c r="E2" s="16"/>
      <c r="F2" s="16"/>
      <c r="G2" s="16"/>
      <c r="H2" s="16"/>
      <c r="I2" s="16"/>
      <c r="J2" s="16"/>
      <c r="K2" s="16"/>
      <c r="L2" s="16"/>
      <c r="M2" s="16"/>
      <c r="N2" s="16"/>
      <c r="O2" s="16"/>
      <c r="P2" s="16"/>
      <c r="Q2" s="16"/>
      <c r="R2" s="16"/>
      <c r="S2" s="16"/>
      <c r="T2" s="16"/>
    </row>
    <row r="3" spans="1:20" ht="15" customHeight="1" x14ac:dyDescent="0.35">
      <c r="A3" s="16"/>
      <c r="B3" s="118" t="s">
        <v>228</v>
      </c>
      <c r="C3" s="16"/>
      <c r="D3" s="16"/>
      <c r="E3" s="16"/>
      <c r="F3" s="16"/>
      <c r="G3" s="16"/>
      <c r="H3" s="16"/>
      <c r="I3" s="16"/>
      <c r="J3" s="16"/>
      <c r="K3" s="16"/>
      <c r="L3" s="16"/>
      <c r="M3" s="16"/>
      <c r="N3" s="16"/>
      <c r="O3" s="16"/>
      <c r="P3" s="16"/>
      <c r="Q3" s="16"/>
      <c r="R3" s="16"/>
      <c r="S3" s="16"/>
      <c r="T3" s="16"/>
    </row>
    <row r="4" spans="1:20" ht="6" customHeight="1" x14ac:dyDescent="0.35">
      <c r="A4" s="16"/>
      <c r="B4" s="16"/>
      <c r="C4" s="16"/>
      <c r="D4" s="16"/>
      <c r="E4" s="16"/>
      <c r="F4" s="16"/>
      <c r="G4" s="16"/>
      <c r="H4" s="16"/>
      <c r="I4" s="16"/>
      <c r="J4" s="16"/>
      <c r="K4" s="16"/>
      <c r="L4" s="16"/>
      <c r="M4" s="16"/>
      <c r="N4" s="16"/>
      <c r="O4" s="16"/>
      <c r="P4" s="16"/>
      <c r="Q4" s="16"/>
      <c r="R4" s="16"/>
      <c r="S4" s="16"/>
      <c r="T4" s="16"/>
    </row>
    <row r="5" spans="1:20" x14ac:dyDescent="0.35">
      <c r="A5" s="50"/>
      <c r="B5" s="56"/>
      <c r="C5" s="156" t="s">
        <v>3</v>
      </c>
      <c r="D5" s="156"/>
      <c r="E5" s="56"/>
      <c r="F5" s="156" t="s">
        <v>4</v>
      </c>
      <c r="G5" s="156"/>
      <c r="H5" s="56"/>
      <c r="I5" s="156" t="s">
        <v>5</v>
      </c>
      <c r="J5" s="156"/>
      <c r="K5" s="56"/>
      <c r="L5" s="156" t="s">
        <v>6</v>
      </c>
      <c r="M5" s="156"/>
      <c r="N5" s="76"/>
      <c r="O5" s="156" t="s">
        <v>173</v>
      </c>
      <c r="P5" s="156"/>
      <c r="Q5" s="76"/>
      <c r="R5" s="156" t="s">
        <v>183</v>
      </c>
      <c r="S5" s="156"/>
      <c r="T5" s="50"/>
    </row>
    <row r="6" spans="1:20" ht="48.75" customHeight="1" x14ac:dyDescent="0.35">
      <c r="A6" s="50"/>
      <c r="B6" s="53" t="s">
        <v>226</v>
      </c>
      <c r="C6" s="53" t="s">
        <v>227</v>
      </c>
      <c r="D6" s="117" t="s">
        <v>116</v>
      </c>
      <c r="E6" s="117"/>
      <c r="F6" s="53" t="s">
        <v>227</v>
      </c>
      <c r="G6" s="117" t="s">
        <v>116</v>
      </c>
      <c r="H6" s="117"/>
      <c r="I6" s="53" t="s">
        <v>227</v>
      </c>
      <c r="J6" s="117" t="s">
        <v>116</v>
      </c>
      <c r="K6" s="117"/>
      <c r="L6" s="53" t="s">
        <v>227</v>
      </c>
      <c r="M6" s="117" t="s">
        <v>116</v>
      </c>
      <c r="N6" s="138"/>
      <c r="O6" s="53" t="s">
        <v>227</v>
      </c>
      <c r="P6" s="139" t="s">
        <v>116</v>
      </c>
      <c r="Q6" s="138"/>
      <c r="R6" s="139" t="s">
        <v>227</v>
      </c>
      <c r="S6" s="139" t="s">
        <v>116</v>
      </c>
      <c r="T6" s="50"/>
    </row>
    <row r="7" spans="1:20" ht="15.75" customHeight="1" x14ac:dyDescent="0.35">
      <c r="A7" s="50"/>
      <c r="B7" s="56" t="s">
        <v>229</v>
      </c>
      <c r="C7" s="71">
        <v>315</v>
      </c>
      <c r="D7" s="74">
        <v>13.76</v>
      </c>
      <c r="E7" s="56"/>
      <c r="F7" s="71">
        <v>302</v>
      </c>
      <c r="G7" s="74">
        <v>13.11</v>
      </c>
      <c r="H7" s="56"/>
      <c r="I7" s="71">
        <v>259</v>
      </c>
      <c r="J7" s="74">
        <v>11.27</v>
      </c>
      <c r="K7" s="56"/>
      <c r="L7" s="71">
        <v>258</v>
      </c>
      <c r="M7" s="74">
        <v>11.28</v>
      </c>
      <c r="N7" s="74"/>
      <c r="O7" s="74">
        <v>241</v>
      </c>
      <c r="P7" s="74">
        <v>11</v>
      </c>
      <c r="Q7" s="74"/>
      <c r="R7" s="74">
        <v>277</v>
      </c>
      <c r="S7" s="74">
        <v>12</v>
      </c>
      <c r="T7" s="50"/>
    </row>
    <row r="8" spans="1:20" x14ac:dyDescent="0.35">
      <c r="A8" s="50"/>
      <c r="B8" s="56" t="s">
        <v>230</v>
      </c>
      <c r="C8" s="71">
        <v>82</v>
      </c>
      <c r="D8" s="74">
        <v>3.15</v>
      </c>
      <c r="E8" s="56"/>
      <c r="F8" s="71">
        <v>55</v>
      </c>
      <c r="G8" s="74">
        <v>2.1</v>
      </c>
      <c r="H8" s="56"/>
      <c r="I8" s="71">
        <v>83</v>
      </c>
      <c r="J8" s="74">
        <v>3.17</v>
      </c>
      <c r="K8" s="56"/>
      <c r="L8" s="71">
        <v>108</v>
      </c>
      <c r="M8" s="74">
        <v>4.13</v>
      </c>
      <c r="N8" s="74"/>
      <c r="O8" s="74">
        <v>107</v>
      </c>
      <c r="P8" s="74">
        <v>4</v>
      </c>
      <c r="Q8" s="74"/>
      <c r="R8" s="74">
        <v>117</v>
      </c>
      <c r="S8" s="74">
        <v>4</v>
      </c>
      <c r="T8" s="50"/>
    </row>
    <row r="9" spans="1:20" x14ac:dyDescent="0.35">
      <c r="A9" s="50"/>
      <c r="B9" s="56" t="s">
        <v>231</v>
      </c>
      <c r="C9" s="71">
        <v>73</v>
      </c>
      <c r="D9" s="74">
        <v>6.25</v>
      </c>
      <c r="E9" s="56"/>
      <c r="F9" s="71">
        <v>71</v>
      </c>
      <c r="G9" s="74">
        <v>6.07</v>
      </c>
      <c r="H9" s="56"/>
      <c r="I9" s="71">
        <v>56</v>
      </c>
      <c r="J9" s="74">
        <v>4.8099999999999996</v>
      </c>
      <c r="K9" s="56"/>
      <c r="L9" s="71">
        <v>88</v>
      </c>
      <c r="M9" s="74">
        <v>7.57</v>
      </c>
      <c r="N9" s="74"/>
      <c r="O9" s="74">
        <v>79</v>
      </c>
      <c r="P9" s="74">
        <v>7</v>
      </c>
      <c r="Q9" s="74"/>
      <c r="R9" s="74">
        <v>77</v>
      </c>
      <c r="S9" s="74">
        <v>7</v>
      </c>
      <c r="T9" s="50"/>
    </row>
    <row r="10" spans="1:20" x14ac:dyDescent="0.35">
      <c r="A10" s="50"/>
      <c r="B10" s="56" t="s">
        <v>232</v>
      </c>
      <c r="C10" s="71">
        <v>49</v>
      </c>
      <c r="D10" s="74">
        <v>5.59</v>
      </c>
      <c r="E10" s="56"/>
      <c r="F10" s="71">
        <v>37</v>
      </c>
      <c r="G10" s="74">
        <v>4.26</v>
      </c>
      <c r="H10" s="56"/>
      <c r="I10" s="71">
        <v>55</v>
      </c>
      <c r="J10" s="74">
        <v>6.31</v>
      </c>
      <c r="K10" s="56"/>
      <c r="L10" s="71">
        <v>50</v>
      </c>
      <c r="M10" s="74">
        <v>5.76</v>
      </c>
      <c r="N10" s="74"/>
      <c r="O10" s="74">
        <v>36</v>
      </c>
      <c r="P10" s="74">
        <v>4</v>
      </c>
      <c r="Q10" s="74"/>
      <c r="R10" s="74">
        <v>34</v>
      </c>
      <c r="S10" s="74">
        <v>4</v>
      </c>
      <c r="T10" s="50"/>
    </row>
    <row r="11" spans="1:20" x14ac:dyDescent="0.35">
      <c r="A11" s="50"/>
      <c r="B11" s="56" t="s">
        <v>233</v>
      </c>
      <c r="C11" s="71">
        <v>1422</v>
      </c>
      <c r="D11" s="74">
        <v>28.87</v>
      </c>
      <c r="E11" s="56"/>
      <c r="F11" s="71">
        <v>1320</v>
      </c>
      <c r="G11" s="74">
        <v>26.46</v>
      </c>
      <c r="H11" s="56"/>
      <c r="I11" s="71">
        <v>1324</v>
      </c>
      <c r="J11" s="74">
        <v>26.11</v>
      </c>
      <c r="K11" s="56"/>
      <c r="L11" s="71">
        <v>1343</v>
      </c>
      <c r="M11" s="74">
        <v>26.17</v>
      </c>
      <c r="N11" s="74"/>
      <c r="O11" s="74">
        <v>1247</v>
      </c>
      <c r="P11" s="74">
        <v>24</v>
      </c>
      <c r="Q11" s="74"/>
      <c r="R11" s="74">
        <v>1209</v>
      </c>
      <c r="S11" s="74">
        <v>23</v>
      </c>
      <c r="T11" s="50"/>
    </row>
    <row r="12" spans="1:20" x14ac:dyDescent="0.35">
      <c r="A12" s="50"/>
      <c r="B12" s="56" t="s">
        <v>234</v>
      </c>
      <c r="C12" s="71">
        <v>63</v>
      </c>
      <c r="D12" s="74">
        <v>12.31</v>
      </c>
      <c r="E12" s="56"/>
      <c r="F12" s="71">
        <v>82</v>
      </c>
      <c r="G12" s="74">
        <v>15.97</v>
      </c>
      <c r="H12" s="56"/>
      <c r="I12" s="71">
        <v>73</v>
      </c>
      <c r="J12" s="74">
        <v>14.22</v>
      </c>
      <c r="K12" s="56"/>
      <c r="L12" s="71">
        <v>62</v>
      </c>
      <c r="M12" s="74">
        <v>12.05</v>
      </c>
      <c r="N12" s="74"/>
      <c r="O12" s="74">
        <v>66</v>
      </c>
      <c r="P12" s="74">
        <v>13</v>
      </c>
      <c r="Q12" s="74"/>
      <c r="R12" s="74">
        <v>85</v>
      </c>
      <c r="S12" s="74">
        <v>16</v>
      </c>
      <c r="T12" s="50"/>
    </row>
    <row r="13" spans="1:20" x14ac:dyDescent="0.35">
      <c r="A13" s="50"/>
      <c r="B13" s="56" t="s">
        <v>235</v>
      </c>
      <c r="C13" s="71">
        <v>121</v>
      </c>
      <c r="D13" s="74">
        <v>8.07</v>
      </c>
      <c r="E13" s="56"/>
      <c r="F13" s="71">
        <v>97</v>
      </c>
      <c r="G13" s="74">
        <v>6.48</v>
      </c>
      <c r="H13" s="56"/>
      <c r="I13" s="71">
        <v>69</v>
      </c>
      <c r="J13" s="74">
        <v>4.6100000000000003</v>
      </c>
      <c r="K13" s="56"/>
      <c r="L13" s="71">
        <v>98</v>
      </c>
      <c r="M13" s="74">
        <v>6.57</v>
      </c>
      <c r="N13" s="74"/>
      <c r="O13" s="74">
        <v>112</v>
      </c>
      <c r="P13" s="74">
        <v>8</v>
      </c>
      <c r="Q13" s="74"/>
      <c r="R13" s="74">
        <v>96</v>
      </c>
      <c r="S13" s="74">
        <v>6</v>
      </c>
      <c r="T13" s="50"/>
    </row>
    <row r="14" spans="1:20" x14ac:dyDescent="0.35">
      <c r="A14" s="50"/>
      <c r="B14" s="56" t="s">
        <v>236</v>
      </c>
      <c r="C14" s="71">
        <v>171</v>
      </c>
      <c r="D14" s="74">
        <v>11.54</v>
      </c>
      <c r="E14" s="56"/>
      <c r="F14" s="71">
        <v>192</v>
      </c>
      <c r="G14" s="74">
        <v>12.95</v>
      </c>
      <c r="H14" s="56"/>
      <c r="I14" s="71">
        <v>142</v>
      </c>
      <c r="J14" s="74">
        <v>9.58</v>
      </c>
      <c r="K14" s="56"/>
      <c r="L14" s="71">
        <v>169</v>
      </c>
      <c r="M14" s="74">
        <v>11.36</v>
      </c>
      <c r="N14" s="74"/>
      <c r="O14" s="74">
        <v>190</v>
      </c>
      <c r="P14" s="74">
        <v>13</v>
      </c>
      <c r="Q14" s="74"/>
      <c r="R14" s="74">
        <v>280</v>
      </c>
      <c r="S14" s="74">
        <v>19</v>
      </c>
      <c r="T14" s="50"/>
    </row>
    <row r="15" spans="1:20" x14ac:dyDescent="0.35">
      <c r="A15" s="50"/>
      <c r="B15" s="56" t="s">
        <v>237</v>
      </c>
      <c r="C15" s="71">
        <v>110</v>
      </c>
      <c r="D15" s="74">
        <v>9.01</v>
      </c>
      <c r="E15" s="56"/>
      <c r="F15" s="71">
        <v>98</v>
      </c>
      <c r="G15" s="74">
        <v>8.0299999999999994</v>
      </c>
      <c r="H15" s="56"/>
      <c r="I15" s="71">
        <v>84</v>
      </c>
      <c r="J15" s="74">
        <v>6.87</v>
      </c>
      <c r="K15" s="56"/>
      <c r="L15" s="71">
        <v>106</v>
      </c>
      <c r="M15" s="74">
        <v>8.69</v>
      </c>
      <c r="N15" s="74"/>
      <c r="O15" s="74">
        <v>104</v>
      </c>
      <c r="P15" s="74">
        <v>9</v>
      </c>
      <c r="Q15" s="74"/>
      <c r="R15" s="74">
        <v>110</v>
      </c>
      <c r="S15" s="74">
        <v>9</v>
      </c>
      <c r="T15" s="50"/>
    </row>
    <row r="16" spans="1:20" x14ac:dyDescent="0.35">
      <c r="A16" s="50"/>
      <c r="B16" s="56" t="s">
        <v>238</v>
      </c>
      <c r="C16" s="71">
        <v>63</v>
      </c>
      <c r="D16" s="74">
        <v>5.9</v>
      </c>
      <c r="E16" s="56"/>
      <c r="F16" s="71">
        <v>61</v>
      </c>
      <c r="G16" s="74">
        <v>5.7</v>
      </c>
      <c r="H16" s="56"/>
      <c r="I16" s="71">
        <v>67</v>
      </c>
      <c r="J16" s="74">
        <v>6.23</v>
      </c>
      <c r="K16" s="56"/>
      <c r="L16" s="71">
        <v>65</v>
      </c>
      <c r="M16" s="74">
        <v>6.01</v>
      </c>
      <c r="N16" s="74"/>
      <c r="O16" s="74">
        <v>61</v>
      </c>
      <c r="P16" s="74">
        <v>6</v>
      </c>
      <c r="Q16" s="74"/>
      <c r="R16" s="74">
        <v>63</v>
      </c>
      <c r="S16" s="74">
        <v>6</v>
      </c>
      <c r="T16" s="50"/>
    </row>
    <row r="17" spans="1:20" x14ac:dyDescent="0.35">
      <c r="A17" s="50"/>
      <c r="B17" s="56" t="s">
        <v>239</v>
      </c>
      <c r="C17" s="71">
        <v>73</v>
      </c>
      <c r="D17" s="74">
        <v>7.15</v>
      </c>
      <c r="E17" s="56"/>
      <c r="F17" s="71">
        <v>48</v>
      </c>
      <c r="G17" s="74">
        <v>4.66</v>
      </c>
      <c r="H17" s="56"/>
      <c r="I17" s="71">
        <v>61</v>
      </c>
      <c r="J17" s="74">
        <v>5.86</v>
      </c>
      <c r="K17" s="56"/>
      <c r="L17" s="71">
        <v>78</v>
      </c>
      <c r="M17" s="74">
        <v>7.44</v>
      </c>
      <c r="N17" s="74"/>
      <c r="O17" s="74">
        <v>65</v>
      </c>
      <c r="P17" s="74">
        <v>6</v>
      </c>
      <c r="Q17" s="74"/>
      <c r="R17" s="74">
        <v>95</v>
      </c>
      <c r="S17" s="74">
        <v>9</v>
      </c>
      <c r="T17" s="50"/>
    </row>
    <row r="18" spans="1:20" x14ac:dyDescent="0.35">
      <c r="A18" s="50"/>
      <c r="B18" s="56" t="s">
        <v>240</v>
      </c>
      <c r="C18" s="71">
        <v>79</v>
      </c>
      <c r="D18" s="74">
        <v>8.5500000000000007</v>
      </c>
      <c r="E18" s="56"/>
      <c r="F18" s="71">
        <v>51</v>
      </c>
      <c r="G18" s="74">
        <v>5.49</v>
      </c>
      <c r="H18" s="56"/>
      <c r="I18" s="71">
        <v>88</v>
      </c>
      <c r="J18" s="74">
        <v>9.3800000000000008</v>
      </c>
      <c r="K18" s="56"/>
      <c r="L18" s="71">
        <v>62</v>
      </c>
      <c r="M18" s="74">
        <v>6.54</v>
      </c>
      <c r="N18" s="74"/>
      <c r="O18" s="74">
        <v>41</v>
      </c>
      <c r="P18" s="74">
        <v>4</v>
      </c>
      <c r="Q18" s="74"/>
      <c r="R18" s="74">
        <v>47</v>
      </c>
      <c r="S18" s="74">
        <v>5</v>
      </c>
      <c r="T18" s="50"/>
    </row>
    <row r="19" spans="1:20" x14ac:dyDescent="0.35">
      <c r="A19" s="50"/>
      <c r="B19" s="56" t="s">
        <v>241</v>
      </c>
      <c r="C19" s="71">
        <v>5</v>
      </c>
      <c r="D19" s="74">
        <v>1.83</v>
      </c>
      <c r="E19" s="56"/>
      <c r="F19" s="71">
        <v>8</v>
      </c>
      <c r="G19" s="74">
        <v>2.96</v>
      </c>
      <c r="H19" s="56"/>
      <c r="I19" s="71">
        <v>7</v>
      </c>
      <c r="J19" s="74">
        <v>2.6</v>
      </c>
      <c r="K19" s="56"/>
      <c r="L19" s="57">
        <v>4</v>
      </c>
      <c r="M19" s="72">
        <v>1</v>
      </c>
      <c r="N19" s="72"/>
      <c r="O19" s="72">
        <v>4</v>
      </c>
      <c r="P19" s="72">
        <v>1</v>
      </c>
      <c r="Q19" s="72"/>
      <c r="R19" s="72">
        <v>14</v>
      </c>
      <c r="S19" s="72">
        <v>5</v>
      </c>
      <c r="T19" s="50"/>
    </row>
    <row r="20" spans="1:20" x14ac:dyDescent="0.35">
      <c r="A20" s="50"/>
      <c r="B20" s="56" t="s">
        <v>242</v>
      </c>
      <c r="C20" s="71">
        <v>219</v>
      </c>
      <c r="D20" s="74">
        <v>13.89</v>
      </c>
      <c r="E20" s="56"/>
      <c r="F20" s="71">
        <v>198</v>
      </c>
      <c r="G20" s="74">
        <v>12.5</v>
      </c>
      <c r="H20" s="56"/>
      <c r="I20" s="71">
        <v>199</v>
      </c>
      <c r="J20" s="74">
        <v>12.49</v>
      </c>
      <c r="K20" s="56"/>
      <c r="L20" s="71">
        <v>203</v>
      </c>
      <c r="M20" s="74">
        <v>12.68</v>
      </c>
      <c r="N20" s="74"/>
      <c r="O20" s="74">
        <v>258</v>
      </c>
      <c r="P20" s="74">
        <v>16</v>
      </c>
      <c r="Q20" s="74"/>
      <c r="R20" s="74">
        <v>271</v>
      </c>
      <c r="S20" s="74">
        <v>17</v>
      </c>
      <c r="T20" s="50"/>
    </row>
    <row r="21" spans="1:20" x14ac:dyDescent="0.35">
      <c r="A21" s="50"/>
      <c r="B21" s="56" t="s">
        <v>243</v>
      </c>
      <c r="C21" s="71">
        <v>392</v>
      </c>
      <c r="D21" s="74">
        <v>10.67</v>
      </c>
      <c r="E21" s="56"/>
      <c r="F21" s="71">
        <v>436</v>
      </c>
      <c r="G21" s="74">
        <v>11.85</v>
      </c>
      <c r="H21" s="56"/>
      <c r="I21" s="71">
        <v>379</v>
      </c>
      <c r="J21" s="74">
        <v>10.23</v>
      </c>
      <c r="K21" s="56"/>
      <c r="L21" s="71">
        <v>398</v>
      </c>
      <c r="M21" s="74">
        <v>10.72</v>
      </c>
      <c r="N21" s="74"/>
      <c r="O21" s="74">
        <v>381</v>
      </c>
      <c r="P21" s="74">
        <v>10</v>
      </c>
      <c r="Q21" s="74"/>
      <c r="R21" s="74">
        <v>363</v>
      </c>
      <c r="S21" s="74">
        <v>10</v>
      </c>
      <c r="T21" s="50"/>
    </row>
    <row r="22" spans="1:20" x14ac:dyDescent="0.35">
      <c r="A22" s="50"/>
      <c r="B22" s="56" t="s">
        <v>244</v>
      </c>
      <c r="C22" s="71">
        <v>1857</v>
      </c>
      <c r="D22" s="74">
        <v>30.97</v>
      </c>
      <c r="E22" s="56"/>
      <c r="F22" s="71">
        <v>1747</v>
      </c>
      <c r="G22" s="74">
        <v>28.81</v>
      </c>
      <c r="H22" s="56"/>
      <c r="I22" s="71">
        <v>1865</v>
      </c>
      <c r="J22" s="74">
        <v>30.32</v>
      </c>
      <c r="K22" s="56"/>
      <c r="L22" s="71">
        <v>1867</v>
      </c>
      <c r="M22" s="74">
        <v>30.06</v>
      </c>
      <c r="N22" s="74"/>
      <c r="O22" s="74">
        <v>1576</v>
      </c>
      <c r="P22" s="74">
        <v>25</v>
      </c>
      <c r="Q22" s="74"/>
      <c r="R22" s="74">
        <v>1574</v>
      </c>
      <c r="S22" s="74">
        <v>25</v>
      </c>
      <c r="T22" s="50"/>
    </row>
    <row r="23" spans="1:20" x14ac:dyDescent="0.35">
      <c r="A23" s="50"/>
      <c r="B23" s="56" t="s">
        <v>245</v>
      </c>
      <c r="C23" s="71">
        <v>134</v>
      </c>
      <c r="D23" s="74">
        <v>5.75</v>
      </c>
      <c r="E23" s="56"/>
      <c r="F23" s="71">
        <v>128</v>
      </c>
      <c r="G23" s="74">
        <v>5.47</v>
      </c>
      <c r="H23" s="56"/>
      <c r="I23" s="71">
        <v>76</v>
      </c>
      <c r="J23" s="74">
        <v>3.24</v>
      </c>
      <c r="K23" s="56"/>
      <c r="L23" s="71">
        <v>105</v>
      </c>
      <c r="M23" s="74">
        <v>4.46</v>
      </c>
      <c r="N23" s="74"/>
      <c r="O23" s="74">
        <v>123</v>
      </c>
      <c r="P23" s="74">
        <v>5</v>
      </c>
      <c r="Q23" s="74"/>
      <c r="R23" s="74">
        <v>75</v>
      </c>
      <c r="S23" s="74">
        <v>3</v>
      </c>
      <c r="T23" s="50"/>
    </row>
    <row r="24" spans="1:20" x14ac:dyDescent="0.35">
      <c r="A24" s="50"/>
      <c r="B24" s="56" t="s">
        <v>246</v>
      </c>
      <c r="C24" s="71">
        <v>64</v>
      </c>
      <c r="D24" s="74">
        <v>8.01</v>
      </c>
      <c r="E24" s="56"/>
      <c r="F24" s="71">
        <v>67</v>
      </c>
      <c r="G24" s="74">
        <v>8.43</v>
      </c>
      <c r="H24" s="56"/>
      <c r="I24" s="71">
        <v>79</v>
      </c>
      <c r="J24" s="74">
        <v>9.98</v>
      </c>
      <c r="K24" s="56"/>
      <c r="L24" s="71">
        <v>69</v>
      </c>
      <c r="M24" s="74">
        <v>8.76</v>
      </c>
      <c r="N24" s="74"/>
      <c r="O24" s="74">
        <v>58</v>
      </c>
      <c r="P24" s="74">
        <v>7</v>
      </c>
      <c r="Q24" s="74"/>
      <c r="R24" s="74">
        <v>79</v>
      </c>
      <c r="S24" s="74">
        <v>10</v>
      </c>
      <c r="T24" s="50"/>
    </row>
    <row r="25" spans="1:20" x14ac:dyDescent="0.35">
      <c r="A25" s="50"/>
      <c r="B25" s="56" t="s">
        <v>247</v>
      </c>
      <c r="C25" s="71">
        <v>93</v>
      </c>
      <c r="D25" s="74">
        <v>10.79</v>
      </c>
      <c r="E25" s="56"/>
      <c r="F25" s="71">
        <v>86</v>
      </c>
      <c r="G25" s="74">
        <v>9.84</v>
      </c>
      <c r="H25" s="56"/>
      <c r="I25" s="71">
        <v>96</v>
      </c>
      <c r="J25" s="74">
        <v>10.83</v>
      </c>
      <c r="K25" s="56"/>
      <c r="L25" s="71">
        <v>79</v>
      </c>
      <c r="M25" s="74">
        <v>8.77</v>
      </c>
      <c r="N25" s="74"/>
      <c r="O25" s="74">
        <v>96</v>
      </c>
      <c r="P25" s="74">
        <v>11</v>
      </c>
      <c r="Q25" s="74"/>
      <c r="R25" s="74">
        <v>86</v>
      </c>
      <c r="S25" s="74">
        <v>9</v>
      </c>
      <c r="T25" s="50"/>
    </row>
    <row r="26" spans="1:20" x14ac:dyDescent="0.35">
      <c r="A26" s="50"/>
      <c r="B26" s="56" t="s">
        <v>248</v>
      </c>
      <c r="C26" s="71">
        <v>31</v>
      </c>
      <c r="D26" s="74">
        <v>3.27</v>
      </c>
      <c r="E26" s="56"/>
      <c r="F26" s="71">
        <v>25</v>
      </c>
      <c r="G26" s="74">
        <v>2.62</v>
      </c>
      <c r="H26" s="56"/>
      <c r="I26" s="71">
        <v>41</v>
      </c>
      <c r="J26" s="74">
        <v>4.2699999999999996</v>
      </c>
      <c r="K26" s="56"/>
      <c r="L26" s="71">
        <v>50</v>
      </c>
      <c r="M26" s="74">
        <v>5.22</v>
      </c>
      <c r="N26" s="74"/>
      <c r="O26" s="74">
        <v>59</v>
      </c>
      <c r="P26" s="74">
        <v>6</v>
      </c>
      <c r="Q26" s="74"/>
      <c r="R26" s="74">
        <v>64</v>
      </c>
      <c r="S26" s="74">
        <v>7</v>
      </c>
      <c r="T26" s="50"/>
    </row>
    <row r="27" spans="1:20" x14ac:dyDescent="0.35">
      <c r="A27" s="50"/>
      <c r="B27" s="56" t="s">
        <v>249</v>
      </c>
      <c r="C27" s="71">
        <v>140</v>
      </c>
      <c r="D27" s="74">
        <v>10.26</v>
      </c>
      <c r="E27" s="56"/>
      <c r="F27" s="71">
        <v>139</v>
      </c>
      <c r="G27" s="74">
        <v>10.210000000000001</v>
      </c>
      <c r="H27" s="56"/>
      <c r="I27" s="71">
        <v>115</v>
      </c>
      <c r="J27" s="74">
        <v>8.4600000000000009</v>
      </c>
      <c r="K27" s="56"/>
      <c r="L27" s="71">
        <v>109</v>
      </c>
      <c r="M27" s="74">
        <v>8.0299999999999994</v>
      </c>
      <c r="N27" s="74"/>
      <c r="O27" s="74">
        <v>141</v>
      </c>
      <c r="P27" s="74">
        <v>10</v>
      </c>
      <c r="Q27" s="74"/>
      <c r="R27" s="74">
        <v>135</v>
      </c>
      <c r="S27" s="74">
        <v>10</v>
      </c>
      <c r="T27" s="50"/>
    </row>
    <row r="28" spans="1:20" x14ac:dyDescent="0.35">
      <c r="A28" s="50"/>
      <c r="B28" s="56" t="s">
        <v>250</v>
      </c>
      <c r="C28" s="71">
        <v>306</v>
      </c>
      <c r="D28" s="74">
        <v>9.0500000000000007</v>
      </c>
      <c r="E28" s="56"/>
      <c r="F28" s="71">
        <v>333</v>
      </c>
      <c r="G28" s="74">
        <v>9.84</v>
      </c>
      <c r="H28" s="56"/>
      <c r="I28" s="71">
        <v>281</v>
      </c>
      <c r="J28" s="74">
        <v>8.2799999999999994</v>
      </c>
      <c r="K28" s="56"/>
      <c r="L28" s="71">
        <v>293</v>
      </c>
      <c r="M28" s="74">
        <v>8.6199999999999992</v>
      </c>
      <c r="N28" s="74"/>
      <c r="O28" s="74">
        <v>280</v>
      </c>
      <c r="P28" s="74">
        <v>8</v>
      </c>
      <c r="Q28" s="74"/>
      <c r="R28" s="74">
        <v>310</v>
      </c>
      <c r="S28" s="74">
        <v>9</v>
      </c>
      <c r="T28" s="50"/>
    </row>
    <row r="29" spans="1:20" x14ac:dyDescent="0.35">
      <c r="A29" s="50"/>
      <c r="B29" s="56" t="s">
        <v>251</v>
      </c>
      <c r="C29" s="71">
        <v>5</v>
      </c>
      <c r="D29" s="74">
        <v>2.3199999999999998</v>
      </c>
      <c r="E29" s="56"/>
      <c r="F29" s="71">
        <v>9</v>
      </c>
      <c r="G29" s="74">
        <v>4.1500000000000004</v>
      </c>
      <c r="H29" s="56"/>
      <c r="I29" s="57">
        <v>4</v>
      </c>
      <c r="J29" s="72">
        <v>2</v>
      </c>
      <c r="K29" s="73"/>
      <c r="L29" s="57">
        <v>4</v>
      </c>
      <c r="M29" s="72" t="s">
        <v>198</v>
      </c>
      <c r="N29" s="72"/>
      <c r="O29" s="72">
        <v>2</v>
      </c>
      <c r="P29" s="72">
        <v>1</v>
      </c>
      <c r="Q29" s="72"/>
      <c r="R29" s="72">
        <v>2</v>
      </c>
      <c r="S29" s="72">
        <v>1</v>
      </c>
      <c r="T29" s="50"/>
    </row>
    <row r="30" spans="1:20" x14ac:dyDescent="0.35">
      <c r="A30" s="50"/>
      <c r="B30" s="56" t="s">
        <v>252</v>
      </c>
      <c r="C30" s="71">
        <v>101</v>
      </c>
      <c r="D30" s="74">
        <v>6.78</v>
      </c>
      <c r="E30" s="56"/>
      <c r="F30" s="71">
        <v>92</v>
      </c>
      <c r="G30" s="74">
        <v>6.14</v>
      </c>
      <c r="H30" s="56"/>
      <c r="I30" s="71">
        <v>78</v>
      </c>
      <c r="J30" s="74">
        <v>5.18</v>
      </c>
      <c r="K30" s="56"/>
      <c r="L30" s="71">
        <v>72</v>
      </c>
      <c r="M30" s="74">
        <v>4.7699999999999996</v>
      </c>
      <c r="N30" s="74"/>
      <c r="O30" s="74">
        <v>69</v>
      </c>
      <c r="P30" s="74">
        <v>5</v>
      </c>
      <c r="Q30" s="74"/>
      <c r="R30" s="74">
        <v>85</v>
      </c>
      <c r="S30" s="74">
        <v>6</v>
      </c>
      <c r="T30" s="50"/>
    </row>
    <row r="31" spans="1:20" x14ac:dyDescent="0.35">
      <c r="A31" s="50"/>
      <c r="B31" s="56" t="s">
        <v>253</v>
      </c>
      <c r="C31" s="71">
        <v>192</v>
      </c>
      <c r="D31" s="74">
        <v>11.02</v>
      </c>
      <c r="E31" s="56"/>
      <c r="F31" s="71">
        <v>233</v>
      </c>
      <c r="G31" s="74">
        <v>13.35</v>
      </c>
      <c r="H31" s="56"/>
      <c r="I31" s="71">
        <v>187</v>
      </c>
      <c r="J31" s="74">
        <v>10.63</v>
      </c>
      <c r="K31" s="56"/>
      <c r="L31" s="71">
        <v>178</v>
      </c>
      <c r="M31" s="74">
        <v>10.07</v>
      </c>
      <c r="N31" s="74"/>
      <c r="O31" s="74">
        <v>159</v>
      </c>
      <c r="P31" s="74">
        <v>9</v>
      </c>
      <c r="Q31" s="74"/>
      <c r="R31" s="74">
        <v>152</v>
      </c>
      <c r="S31" s="74">
        <v>8</v>
      </c>
      <c r="T31" s="50"/>
    </row>
    <row r="32" spans="1:20" x14ac:dyDescent="0.35">
      <c r="A32" s="50"/>
      <c r="B32" s="56" t="s">
        <v>254</v>
      </c>
      <c r="C32" s="71">
        <v>65</v>
      </c>
      <c r="D32" s="74">
        <v>5.7</v>
      </c>
      <c r="E32" s="56"/>
      <c r="F32" s="71">
        <v>77</v>
      </c>
      <c r="G32" s="74">
        <v>6.75</v>
      </c>
      <c r="H32" s="56"/>
      <c r="I32" s="71">
        <v>56</v>
      </c>
      <c r="J32" s="74">
        <v>4.8899999999999997</v>
      </c>
      <c r="K32" s="56"/>
      <c r="L32" s="71">
        <v>40</v>
      </c>
      <c r="M32" s="74">
        <v>3.48</v>
      </c>
      <c r="N32" s="74"/>
      <c r="O32" s="74">
        <v>61</v>
      </c>
      <c r="P32" s="74">
        <v>5</v>
      </c>
      <c r="Q32" s="74"/>
      <c r="R32" s="74">
        <v>80</v>
      </c>
      <c r="S32" s="74">
        <v>7</v>
      </c>
      <c r="T32" s="50"/>
    </row>
    <row r="33" spans="1:20" x14ac:dyDescent="0.35">
      <c r="A33" s="50"/>
      <c r="B33" s="56" t="s">
        <v>255</v>
      </c>
      <c r="C33" s="71">
        <v>10</v>
      </c>
      <c r="D33" s="74">
        <v>4.3099999999999996</v>
      </c>
      <c r="E33" s="56"/>
      <c r="F33" s="71">
        <v>8</v>
      </c>
      <c r="G33" s="74">
        <v>3.45</v>
      </c>
      <c r="H33" s="56"/>
      <c r="I33" s="57">
        <v>4</v>
      </c>
      <c r="J33" s="72">
        <v>2</v>
      </c>
      <c r="K33" s="73"/>
      <c r="L33" s="57">
        <v>1</v>
      </c>
      <c r="M33" s="72" t="s">
        <v>198</v>
      </c>
      <c r="N33" s="72"/>
      <c r="O33" s="72">
        <v>8</v>
      </c>
      <c r="P33" s="72">
        <v>3</v>
      </c>
      <c r="Q33" s="72"/>
      <c r="R33" s="72">
        <v>1</v>
      </c>
      <c r="S33" s="72">
        <v>0</v>
      </c>
      <c r="T33" s="50"/>
    </row>
    <row r="34" spans="1:20" x14ac:dyDescent="0.35">
      <c r="A34" s="50"/>
      <c r="B34" s="56" t="s">
        <v>256</v>
      </c>
      <c r="C34" s="71">
        <v>82</v>
      </c>
      <c r="D34" s="74">
        <v>7.29</v>
      </c>
      <c r="E34" s="56"/>
      <c r="F34" s="71">
        <v>89</v>
      </c>
      <c r="G34" s="74">
        <v>7.92</v>
      </c>
      <c r="H34" s="56"/>
      <c r="I34" s="71">
        <v>68</v>
      </c>
      <c r="J34" s="74">
        <v>6.05</v>
      </c>
      <c r="K34" s="56"/>
      <c r="L34" s="71">
        <v>84</v>
      </c>
      <c r="M34" s="74">
        <v>7.45</v>
      </c>
      <c r="N34" s="74"/>
      <c r="O34" s="74">
        <v>101</v>
      </c>
      <c r="P34" s="74">
        <v>9</v>
      </c>
      <c r="Q34" s="74"/>
      <c r="R34" s="74">
        <v>71</v>
      </c>
      <c r="S34" s="74">
        <v>6</v>
      </c>
      <c r="T34" s="50"/>
    </row>
    <row r="35" spans="1:20" x14ac:dyDescent="0.35">
      <c r="A35" s="50"/>
      <c r="B35" s="56" t="s">
        <v>257</v>
      </c>
      <c r="C35" s="71">
        <v>264</v>
      </c>
      <c r="D35" s="74">
        <v>8.3699999999999992</v>
      </c>
      <c r="E35" s="56"/>
      <c r="F35" s="71">
        <v>263</v>
      </c>
      <c r="G35" s="74">
        <v>8.32</v>
      </c>
      <c r="H35" s="56"/>
      <c r="I35" s="71">
        <v>242</v>
      </c>
      <c r="J35" s="74">
        <v>7.63</v>
      </c>
      <c r="K35" s="56"/>
      <c r="L35" s="71">
        <v>269</v>
      </c>
      <c r="M35" s="74">
        <v>8.4499999999999993</v>
      </c>
      <c r="N35" s="74"/>
      <c r="O35" s="74">
        <v>237</v>
      </c>
      <c r="P35" s="74">
        <v>7</v>
      </c>
      <c r="Q35" s="74"/>
      <c r="R35" s="74">
        <v>254</v>
      </c>
      <c r="S35" s="74">
        <v>8</v>
      </c>
      <c r="T35" s="50"/>
    </row>
    <row r="36" spans="1:20" x14ac:dyDescent="0.35">
      <c r="A36" s="50"/>
      <c r="B36" s="56" t="s">
        <v>258</v>
      </c>
      <c r="C36" s="71">
        <v>116</v>
      </c>
      <c r="D36" s="74">
        <v>12.67</v>
      </c>
      <c r="E36" s="56"/>
      <c r="F36" s="71">
        <v>140</v>
      </c>
      <c r="G36" s="74">
        <v>15.08</v>
      </c>
      <c r="H36" s="56"/>
      <c r="I36" s="71">
        <v>125</v>
      </c>
      <c r="J36" s="74">
        <v>13.33</v>
      </c>
      <c r="K36" s="56"/>
      <c r="L36" s="71">
        <v>118</v>
      </c>
      <c r="M36" s="74">
        <v>12.55</v>
      </c>
      <c r="N36" s="74"/>
      <c r="O36" s="74">
        <v>94</v>
      </c>
      <c r="P36" s="74">
        <v>10</v>
      </c>
      <c r="Q36" s="74"/>
      <c r="R36" s="74">
        <v>111</v>
      </c>
      <c r="S36" s="74">
        <v>12</v>
      </c>
      <c r="T36" s="50"/>
    </row>
    <row r="37" spans="1:20" x14ac:dyDescent="0.35">
      <c r="A37" s="50"/>
      <c r="B37" s="56" t="s">
        <v>259</v>
      </c>
      <c r="C37" s="71">
        <v>73</v>
      </c>
      <c r="D37" s="74">
        <v>8.14</v>
      </c>
      <c r="E37" s="56"/>
      <c r="F37" s="71">
        <v>100</v>
      </c>
      <c r="G37" s="74">
        <v>11.16</v>
      </c>
      <c r="H37" s="56"/>
      <c r="I37" s="71">
        <v>81</v>
      </c>
      <c r="J37" s="74">
        <v>9.01</v>
      </c>
      <c r="K37" s="56"/>
      <c r="L37" s="71">
        <v>58</v>
      </c>
      <c r="M37" s="74">
        <v>6.47</v>
      </c>
      <c r="N37" s="74"/>
      <c r="O37" s="74">
        <v>64</v>
      </c>
      <c r="P37" s="74">
        <v>7</v>
      </c>
      <c r="Q37" s="74"/>
      <c r="R37" s="74">
        <v>58</v>
      </c>
      <c r="S37" s="74">
        <v>7</v>
      </c>
      <c r="T37" s="50"/>
    </row>
    <row r="38" spans="1:20" x14ac:dyDescent="0.35">
      <c r="A38" s="50"/>
      <c r="B38" s="56" t="s">
        <v>260</v>
      </c>
      <c r="C38" s="71">
        <v>259</v>
      </c>
      <c r="D38" s="74">
        <v>14.62</v>
      </c>
      <c r="E38" s="56"/>
      <c r="F38" s="71">
        <v>194</v>
      </c>
      <c r="G38" s="74">
        <v>10.87</v>
      </c>
      <c r="H38" s="56"/>
      <c r="I38" s="71">
        <v>233</v>
      </c>
      <c r="J38" s="74">
        <v>12.94</v>
      </c>
      <c r="K38" s="56"/>
      <c r="L38" s="71">
        <v>248</v>
      </c>
      <c r="M38" s="74">
        <v>13.68</v>
      </c>
      <c r="N38" s="74"/>
      <c r="O38" s="74">
        <v>207</v>
      </c>
      <c r="P38" s="74">
        <v>11</v>
      </c>
      <c r="Q38" s="74"/>
      <c r="R38" s="74">
        <v>173</v>
      </c>
      <c r="S38" s="74">
        <v>9</v>
      </c>
      <c r="T38" s="50"/>
    </row>
    <row r="39" spans="1:20" ht="6" customHeight="1" x14ac:dyDescent="0.35">
      <c r="A39" s="50"/>
      <c r="B39" s="56"/>
      <c r="C39" s="71"/>
      <c r="D39" s="56"/>
      <c r="E39" s="56"/>
      <c r="F39" s="56"/>
      <c r="G39" s="56"/>
      <c r="H39" s="56"/>
      <c r="I39" s="56"/>
      <c r="J39" s="74"/>
      <c r="K39" s="56"/>
      <c r="L39" s="56"/>
      <c r="M39" s="56"/>
      <c r="N39" s="56"/>
      <c r="O39" s="56"/>
      <c r="P39" s="56"/>
      <c r="Q39" s="56"/>
      <c r="R39" s="56"/>
      <c r="S39" s="56"/>
      <c r="T39" s="50"/>
    </row>
    <row r="40" spans="1:20" x14ac:dyDescent="0.35">
      <c r="A40" s="50"/>
      <c r="B40" s="61" t="s">
        <v>228</v>
      </c>
      <c r="C40" s="67">
        <v>7029</v>
      </c>
      <c r="D40" s="70">
        <v>13.14</v>
      </c>
      <c r="E40" s="61"/>
      <c r="F40" s="67">
        <v>6786</v>
      </c>
      <c r="G40" s="67">
        <v>12.63</v>
      </c>
      <c r="H40" s="67"/>
      <c r="I40" s="67">
        <v>6577</v>
      </c>
      <c r="J40" s="67">
        <v>12.17</v>
      </c>
      <c r="K40" s="67"/>
      <c r="L40" s="67">
        <v>6736</v>
      </c>
      <c r="M40" s="67">
        <v>12.42</v>
      </c>
      <c r="N40" s="67"/>
      <c r="O40" s="67">
        <v>6327</v>
      </c>
      <c r="P40" s="67">
        <v>12</v>
      </c>
      <c r="Q40" s="67"/>
      <c r="R40" s="67">
        <v>6448</v>
      </c>
      <c r="S40" s="67">
        <v>12</v>
      </c>
      <c r="T40" s="50"/>
    </row>
    <row r="41" spans="1:20" ht="6" customHeight="1" x14ac:dyDescent="0.35">
      <c r="A41" s="50"/>
      <c r="B41" s="50"/>
      <c r="C41" s="50"/>
      <c r="D41" s="50"/>
      <c r="E41" s="50"/>
      <c r="F41" s="50"/>
      <c r="G41" s="50"/>
      <c r="H41" s="50"/>
      <c r="I41" s="50"/>
      <c r="J41" s="50"/>
      <c r="K41" s="50"/>
      <c r="L41" s="50"/>
      <c r="M41" s="50"/>
      <c r="N41" s="50"/>
      <c r="O41" s="50"/>
      <c r="P41" s="50"/>
      <c r="Q41" s="50"/>
      <c r="R41" s="50"/>
      <c r="S41" s="50"/>
      <c r="T41" s="50"/>
    </row>
    <row r="42" spans="1:20" ht="6" customHeight="1" x14ac:dyDescent="0.35"/>
    <row r="43" spans="1:20" ht="13.5" customHeight="1" x14ac:dyDescent="0.35">
      <c r="A43" s="64" t="s">
        <v>286</v>
      </c>
      <c r="B43" s="119"/>
      <c r="C43" s="119"/>
      <c r="D43" s="119"/>
      <c r="E43" s="119"/>
      <c r="F43" s="119"/>
      <c r="G43" s="119"/>
      <c r="H43" s="119"/>
      <c r="I43" s="119"/>
      <c r="J43" s="119"/>
      <c r="K43" s="119"/>
      <c r="L43" s="119"/>
    </row>
  </sheetData>
  <mergeCells count="6">
    <mergeCell ref="R5:S5"/>
    <mergeCell ref="C5:D5"/>
    <mergeCell ref="F5:G5"/>
    <mergeCell ref="I5:J5"/>
    <mergeCell ref="L5:M5"/>
    <mergeCell ref="O5:P5"/>
  </mergeCells>
  <hyperlinks>
    <hyperlink ref="A43:L43" r:id="rId1" display="Source: The Scottish Government, Hate crime: availability of information recorded by the police in Scotland, Table 1" xr:uid="{B6027B6C-CB6F-4A59-9CFB-D24A50824F6E}"/>
    <hyperlink ref="A43" r:id="rId2" xr:uid="{C40C61A4-8135-492B-BD01-D9AD89110AF8}"/>
  </hyperlinks>
  <pageMargins left="0.7" right="0.7" top="0.75" bottom="0.75" header="0.3" footer="0.3"/>
  <pageSetup paperSize="9" orientation="portrait" horizontalDpi="360" verticalDpi="360"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93A96-19A1-4C9F-8AAE-F563D9B9B13E}">
  <dimension ref="A1:J39"/>
  <sheetViews>
    <sheetView showGridLines="0" workbookViewId="0">
      <selection activeCell="I43" sqref="I43"/>
    </sheetView>
  </sheetViews>
  <sheetFormatPr defaultRowHeight="15" x14ac:dyDescent="0.35"/>
  <cols>
    <col min="1" max="1" width="1.3984375" customWidth="1"/>
    <col min="7" max="7" width="12.296875" customWidth="1"/>
    <col min="8" max="8" width="11.59765625" customWidth="1"/>
    <col min="10" max="10" width="1.3984375" customWidth="1"/>
  </cols>
  <sheetData>
    <row r="1" spans="1:10" ht="6" customHeight="1" x14ac:dyDescent="0.35">
      <c r="A1" s="16"/>
      <c r="B1" s="16"/>
      <c r="C1" s="16"/>
      <c r="D1" s="16"/>
      <c r="E1" s="16"/>
      <c r="F1" s="16"/>
      <c r="G1" s="16"/>
      <c r="H1" s="16"/>
      <c r="I1" s="16"/>
      <c r="J1" s="16"/>
    </row>
    <row r="2" spans="1:10" ht="18.600000000000001" x14ac:dyDescent="0.4">
      <c r="A2" s="16"/>
      <c r="B2" s="159" t="s">
        <v>271</v>
      </c>
      <c r="C2" s="159"/>
      <c r="D2" s="159"/>
      <c r="E2" s="159"/>
      <c r="F2" s="159"/>
      <c r="G2" s="159"/>
      <c r="H2" s="159"/>
      <c r="I2" s="159"/>
      <c r="J2" s="16"/>
    </row>
    <row r="3" spans="1:10" ht="15" customHeight="1" x14ac:dyDescent="0.35">
      <c r="A3" s="16"/>
      <c r="B3" s="137" t="s">
        <v>277</v>
      </c>
      <c r="C3" s="16"/>
      <c r="D3" s="16"/>
      <c r="E3" s="16"/>
      <c r="F3" s="16"/>
      <c r="G3" s="16"/>
      <c r="H3" s="16"/>
      <c r="I3" s="16"/>
      <c r="J3" s="16"/>
    </row>
    <row r="4" spans="1:10" ht="6" customHeight="1" x14ac:dyDescent="0.35">
      <c r="A4" s="16"/>
      <c r="B4" s="16"/>
      <c r="C4" s="16"/>
      <c r="D4" s="16"/>
      <c r="E4" s="16"/>
      <c r="F4" s="16"/>
      <c r="G4" s="16"/>
      <c r="H4" s="16"/>
      <c r="I4" s="16"/>
      <c r="J4" s="16"/>
    </row>
    <row r="5" spans="1:10" ht="27" x14ac:dyDescent="0.35">
      <c r="A5" s="56"/>
      <c r="B5" s="53"/>
      <c r="C5" s="120" t="s">
        <v>223</v>
      </c>
      <c r="D5" s="120" t="s">
        <v>224</v>
      </c>
      <c r="E5" s="120" t="s">
        <v>225</v>
      </c>
      <c r="F5" s="120" t="s">
        <v>61</v>
      </c>
      <c r="G5" s="120" t="s">
        <v>209</v>
      </c>
      <c r="H5" s="121" t="s">
        <v>210</v>
      </c>
      <c r="I5" s="140" t="s">
        <v>140</v>
      </c>
      <c r="J5" s="50"/>
    </row>
    <row r="6" spans="1:10" x14ac:dyDescent="0.35">
      <c r="A6" s="56"/>
      <c r="B6" s="86" t="s">
        <v>220</v>
      </c>
      <c r="C6" s="122"/>
      <c r="D6" s="122"/>
      <c r="E6" s="109"/>
      <c r="F6" s="122"/>
      <c r="G6" s="123"/>
      <c r="H6" s="109"/>
      <c r="I6" s="141"/>
      <c r="J6" s="50"/>
    </row>
    <row r="7" spans="1:10" x14ac:dyDescent="0.35">
      <c r="A7" s="56"/>
      <c r="B7" s="105" t="s">
        <v>221</v>
      </c>
      <c r="C7" s="106">
        <v>842</v>
      </c>
      <c r="D7" s="107">
        <v>1437</v>
      </c>
      <c r="E7" s="107">
        <v>21</v>
      </c>
      <c r="F7" s="108">
        <v>38</v>
      </c>
      <c r="G7" s="106">
        <v>211</v>
      </c>
      <c r="H7" s="108">
        <v>22</v>
      </c>
      <c r="I7" s="142">
        <f t="shared" ref="I7:I16" si="0">SUM(C7:H7)</f>
        <v>2571</v>
      </c>
      <c r="J7" s="50"/>
    </row>
    <row r="8" spans="1:10" x14ac:dyDescent="0.35">
      <c r="A8" s="56"/>
      <c r="B8" s="105" t="s">
        <v>0</v>
      </c>
      <c r="C8" s="106">
        <v>694</v>
      </c>
      <c r="D8" s="107">
        <v>1344</v>
      </c>
      <c r="E8" s="107">
        <v>8</v>
      </c>
      <c r="F8" s="108">
        <v>33</v>
      </c>
      <c r="G8" s="106">
        <v>201</v>
      </c>
      <c r="H8" s="108">
        <v>4</v>
      </c>
      <c r="I8" s="142">
        <f t="shared" si="0"/>
        <v>2284</v>
      </c>
      <c r="J8" s="50"/>
    </row>
    <row r="9" spans="1:10" x14ac:dyDescent="0.35">
      <c r="A9" s="56"/>
      <c r="B9" s="105" t="s">
        <v>1</v>
      </c>
      <c r="C9" s="106">
        <v>748</v>
      </c>
      <c r="D9" s="107">
        <v>1372</v>
      </c>
      <c r="E9" s="107">
        <v>22</v>
      </c>
      <c r="F9" s="108">
        <v>74</v>
      </c>
      <c r="G9" s="106">
        <v>246</v>
      </c>
      <c r="H9" s="108">
        <v>15</v>
      </c>
      <c r="I9" s="142">
        <f t="shared" si="0"/>
        <v>2477</v>
      </c>
      <c r="J9" s="50"/>
    </row>
    <row r="10" spans="1:10" x14ac:dyDescent="0.35">
      <c r="A10" s="56"/>
      <c r="B10" s="105" t="s">
        <v>2</v>
      </c>
      <c r="C10" s="106">
        <v>976</v>
      </c>
      <c r="D10" s="107">
        <v>1284</v>
      </c>
      <c r="E10" s="107">
        <v>24</v>
      </c>
      <c r="F10" s="108">
        <v>107</v>
      </c>
      <c r="G10" s="106">
        <v>280</v>
      </c>
      <c r="H10" s="108">
        <v>23</v>
      </c>
      <c r="I10" s="142">
        <f t="shared" si="0"/>
        <v>2694</v>
      </c>
      <c r="J10" s="50"/>
    </row>
    <row r="11" spans="1:10" x14ac:dyDescent="0.35">
      <c r="A11" s="56"/>
      <c r="B11" s="105" t="s">
        <v>3</v>
      </c>
      <c r="C11" s="107">
        <v>1336</v>
      </c>
      <c r="D11" s="107">
        <v>1517</v>
      </c>
      <c r="E11" s="107">
        <v>53</v>
      </c>
      <c r="F11" s="108">
        <v>138</v>
      </c>
      <c r="G11" s="106">
        <v>334</v>
      </c>
      <c r="H11" s="108">
        <v>21</v>
      </c>
      <c r="I11" s="142">
        <f t="shared" si="0"/>
        <v>3399</v>
      </c>
      <c r="J11" s="50"/>
    </row>
    <row r="12" spans="1:10" x14ac:dyDescent="0.35">
      <c r="A12" s="56"/>
      <c r="B12" s="105" t="s">
        <v>4</v>
      </c>
      <c r="C12" s="107">
        <v>1215</v>
      </c>
      <c r="D12" s="107">
        <v>1352</v>
      </c>
      <c r="E12" s="107">
        <v>39</v>
      </c>
      <c r="F12" s="108">
        <v>134</v>
      </c>
      <c r="G12" s="106">
        <v>343</v>
      </c>
      <c r="H12" s="108">
        <v>19</v>
      </c>
      <c r="I12" s="142">
        <f t="shared" si="0"/>
        <v>3102</v>
      </c>
      <c r="J12" s="50"/>
    </row>
    <row r="13" spans="1:10" x14ac:dyDescent="0.35">
      <c r="A13" s="56"/>
      <c r="B13" s="105" t="s">
        <v>5</v>
      </c>
      <c r="C13" s="107">
        <v>1044</v>
      </c>
      <c r="D13" s="107">
        <v>995</v>
      </c>
      <c r="E13" s="107">
        <v>65</v>
      </c>
      <c r="F13" s="108">
        <v>112</v>
      </c>
      <c r="G13" s="106">
        <v>279</v>
      </c>
      <c r="H13" s="108">
        <v>20</v>
      </c>
      <c r="I13" s="142">
        <f t="shared" si="0"/>
        <v>2515</v>
      </c>
      <c r="J13" s="50"/>
    </row>
    <row r="14" spans="1:10" x14ac:dyDescent="0.35">
      <c r="A14" s="56"/>
      <c r="B14" s="105" t="s">
        <v>6</v>
      </c>
      <c r="C14" s="107">
        <v>1025</v>
      </c>
      <c r="D14" s="107">
        <v>879</v>
      </c>
      <c r="E14" s="107">
        <v>90</v>
      </c>
      <c r="F14" s="108">
        <v>101</v>
      </c>
      <c r="G14" s="106">
        <v>267</v>
      </c>
      <c r="H14" s="108">
        <v>38</v>
      </c>
      <c r="I14" s="142">
        <f t="shared" si="0"/>
        <v>2400</v>
      </c>
      <c r="J14" s="50"/>
    </row>
    <row r="15" spans="1:10" x14ac:dyDescent="0.35">
      <c r="A15" s="56"/>
      <c r="B15" s="105" t="s">
        <v>173</v>
      </c>
      <c r="C15" s="107">
        <v>1124</v>
      </c>
      <c r="D15" s="107">
        <v>865</v>
      </c>
      <c r="E15" s="107">
        <v>56</v>
      </c>
      <c r="F15" s="108">
        <v>100</v>
      </c>
      <c r="G15" s="106">
        <v>281</v>
      </c>
      <c r="H15" s="108">
        <v>33</v>
      </c>
      <c r="I15" s="142">
        <f t="shared" si="0"/>
        <v>2459</v>
      </c>
      <c r="J15" s="50"/>
    </row>
    <row r="16" spans="1:10" x14ac:dyDescent="0.35">
      <c r="A16" s="56"/>
      <c r="B16" s="105" t="s">
        <v>183</v>
      </c>
      <c r="C16" s="107">
        <v>936</v>
      </c>
      <c r="D16" s="107">
        <v>888</v>
      </c>
      <c r="E16" s="107">
        <v>41</v>
      </c>
      <c r="F16" s="108">
        <v>99</v>
      </c>
      <c r="G16" s="106">
        <v>272</v>
      </c>
      <c r="H16" s="108">
        <v>64</v>
      </c>
      <c r="I16" s="142">
        <f t="shared" si="0"/>
        <v>2300</v>
      </c>
      <c r="J16" s="50"/>
    </row>
    <row r="17" spans="1:10" x14ac:dyDescent="0.35">
      <c r="A17" s="56"/>
      <c r="B17" s="105" t="s">
        <v>273</v>
      </c>
      <c r="C17" s="107">
        <v>993</v>
      </c>
      <c r="D17" s="107">
        <v>934</v>
      </c>
      <c r="E17" s="107">
        <v>39</v>
      </c>
      <c r="F17" s="108">
        <v>90</v>
      </c>
      <c r="G17" s="106">
        <v>366</v>
      </c>
      <c r="H17" s="108">
        <v>71</v>
      </c>
      <c r="I17" s="142">
        <v>2493</v>
      </c>
      <c r="J17" s="50"/>
    </row>
    <row r="18" spans="1:10" ht="6" customHeight="1" x14ac:dyDescent="0.35">
      <c r="A18" s="56"/>
      <c r="B18" s="109"/>
      <c r="C18" s="107"/>
      <c r="D18" s="107"/>
      <c r="E18" s="107"/>
      <c r="F18" s="108"/>
      <c r="G18" s="106"/>
      <c r="H18" s="108"/>
      <c r="I18" s="108"/>
      <c r="J18" s="50"/>
    </row>
    <row r="19" spans="1:10" ht="40.200000000000003" x14ac:dyDescent="0.35">
      <c r="A19" s="56"/>
      <c r="B19" s="110" t="s">
        <v>275</v>
      </c>
      <c r="C19" s="143">
        <f t="shared" ref="C19:I19" si="1">C17/C16-1</f>
        <v>6.0897435897435903E-2</v>
      </c>
      <c r="D19" s="143">
        <f t="shared" si="1"/>
        <v>5.1801801801801828E-2</v>
      </c>
      <c r="E19" s="143">
        <f t="shared" si="1"/>
        <v>-4.8780487804878092E-2</v>
      </c>
      <c r="F19" s="143">
        <f t="shared" si="1"/>
        <v>-9.0909090909090939E-2</v>
      </c>
      <c r="G19" s="143">
        <f t="shared" si="1"/>
        <v>0.34558823529411775</v>
      </c>
      <c r="H19" s="143">
        <f t="shared" si="1"/>
        <v>0.109375</v>
      </c>
      <c r="I19" s="143">
        <f t="shared" si="1"/>
        <v>8.3913043478260896E-2</v>
      </c>
      <c r="J19" s="50"/>
    </row>
    <row r="20" spans="1:10" ht="6" customHeight="1" x14ac:dyDescent="0.35">
      <c r="A20" s="56"/>
      <c r="B20" s="105"/>
      <c r="C20" s="124"/>
      <c r="D20" s="124"/>
      <c r="E20" s="124"/>
      <c r="F20" s="124"/>
      <c r="G20" s="124"/>
      <c r="H20" s="124"/>
      <c r="I20" s="124"/>
      <c r="J20" s="50"/>
    </row>
    <row r="21" spans="1:10" ht="40.200000000000003" x14ac:dyDescent="0.35">
      <c r="A21" s="56"/>
      <c r="B21" s="112" t="s">
        <v>276</v>
      </c>
      <c r="C21" s="144">
        <f t="shared" ref="C21:I21" si="2">C17/C7-1</f>
        <v>0.17933491686460812</v>
      </c>
      <c r="D21" s="143">
        <f t="shared" si="2"/>
        <v>-0.35003479471120391</v>
      </c>
      <c r="E21" s="144">
        <f t="shared" si="2"/>
        <v>0.85714285714285721</v>
      </c>
      <c r="F21" s="144">
        <f t="shared" si="2"/>
        <v>1.3684210526315788</v>
      </c>
      <c r="G21" s="144">
        <f t="shared" si="2"/>
        <v>0.73459715639810419</v>
      </c>
      <c r="H21" s="144">
        <f t="shared" si="2"/>
        <v>2.2272727272727271</v>
      </c>
      <c r="I21" s="143">
        <f t="shared" si="2"/>
        <v>-3.0338389731621951E-2</v>
      </c>
      <c r="J21" s="50"/>
    </row>
    <row r="22" spans="1:10" x14ac:dyDescent="0.35">
      <c r="A22" s="56"/>
      <c r="B22" s="86" t="s">
        <v>222</v>
      </c>
      <c r="C22" s="56"/>
      <c r="D22" s="56"/>
      <c r="E22" s="56"/>
      <c r="F22" s="56"/>
      <c r="G22" s="56"/>
      <c r="H22" s="56"/>
      <c r="I22" s="56"/>
      <c r="J22" s="50"/>
    </row>
    <row r="23" spans="1:10" x14ac:dyDescent="0.35">
      <c r="A23" s="56"/>
      <c r="B23" s="105" t="s">
        <v>221</v>
      </c>
      <c r="C23" s="106">
        <v>531</v>
      </c>
      <c r="D23" s="113">
        <v>995</v>
      </c>
      <c r="E23" s="71">
        <v>17</v>
      </c>
      <c r="F23" s="71">
        <v>29</v>
      </c>
      <c r="G23" s="106">
        <v>137</v>
      </c>
      <c r="H23" s="71">
        <v>8</v>
      </c>
      <c r="I23" s="67">
        <f t="shared" ref="I23:I32" si="3">SUM(C23:H23)</f>
        <v>1717</v>
      </c>
      <c r="J23" s="50"/>
    </row>
    <row r="24" spans="1:10" x14ac:dyDescent="0.35">
      <c r="A24" s="56"/>
      <c r="B24" s="105" t="s">
        <v>0</v>
      </c>
      <c r="C24" s="106">
        <v>458</v>
      </c>
      <c r="D24" s="113">
        <v>885</v>
      </c>
      <c r="E24" s="71">
        <v>6</v>
      </c>
      <c r="F24" s="71">
        <v>15</v>
      </c>
      <c r="G24" s="106">
        <v>121</v>
      </c>
      <c r="H24" s="71">
        <v>3</v>
      </c>
      <c r="I24" s="67">
        <f t="shared" si="3"/>
        <v>1488</v>
      </c>
      <c r="J24" s="50"/>
    </row>
    <row r="25" spans="1:10" x14ac:dyDescent="0.35">
      <c r="A25" s="56"/>
      <c r="B25" s="105" t="s">
        <v>1</v>
      </c>
      <c r="C25" s="106">
        <v>470</v>
      </c>
      <c r="D25" s="114">
        <v>888</v>
      </c>
      <c r="E25" s="71">
        <v>14</v>
      </c>
      <c r="F25" s="71">
        <v>35</v>
      </c>
      <c r="G25" s="106">
        <v>149</v>
      </c>
      <c r="H25" s="71">
        <v>6</v>
      </c>
      <c r="I25" s="67">
        <f t="shared" si="3"/>
        <v>1562</v>
      </c>
      <c r="J25" s="50"/>
    </row>
    <row r="26" spans="1:10" x14ac:dyDescent="0.35">
      <c r="A26" s="56"/>
      <c r="B26" s="105" t="s">
        <v>2</v>
      </c>
      <c r="C26" s="106">
        <v>688</v>
      </c>
      <c r="D26" s="114">
        <v>961</v>
      </c>
      <c r="E26" s="71">
        <v>13</v>
      </c>
      <c r="F26" s="71">
        <v>66</v>
      </c>
      <c r="G26" s="106">
        <v>179</v>
      </c>
      <c r="H26" s="71">
        <v>8</v>
      </c>
      <c r="I26" s="67">
        <f t="shared" si="3"/>
        <v>1915</v>
      </c>
      <c r="J26" s="50"/>
    </row>
    <row r="27" spans="1:10" x14ac:dyDescent="0.35">
      <c r="A27" s="56"/>
      <c r="B27" s="105" t="s">
        <v>3</v>
      </c>
      <c r="C27" s="106">
        <v>916</v>
      </c>
      <c r="D27" s="114">
        <v>1043</v>
      </c>
      <c r="E27" s="71">
        <v>27</v>
      </c>
      <c r="F27" s="71">
        <v>74</v>
      </c>
      <c r="G27" s="106">
        <v>209</v>
      </c>
      <c r="H27" s="71">
        <v>8</v>
      </c>
      <c r="I27" s="67">
        <f t="shared" si="3"/>
        <v>2277</v>
      </c>
      <c r="J27" s="50"/>
    </row>
    <row r="28" spans="1:10" x14ac:dyDescent="0.35">
      <c r="A28" s="56"/>
      <c r="B28" s="105" t="s">
        <v>4</v>
      </c>
      <c r="C28" s="106">
        <v>851</v>
      </c>
      <c r="D28" s="114">
        <v>1001</v>
      </c>
      <c r="E28" s="71">
        <v>19</v>
      </c>
      <c r="F28" s="71">
        <v>74</v>
      </c>
      <c r="G28" s="106">
        <v>210</v>
      </c>
      <c r="H28" s="71">
        <v>12</v>
      </c>
      <c r="I28" s="67">
        <f t="shared" si="3"/>
        <v>2167</v>
      </c>
      <c r="J28" s="50"/>
    </row>
    <row r="29" spans="1:10" x14ac:dyDescent="0.35">
      <c r="A29" s="56"/>
      <c r="B29" s="105" t="s">
        <v>5</v>
      </c>
      <c r="C29" s="106">
        <v>654</v>
      </c>
      <c r="D29" s="114">
        <v>694</v>
      </c>
      <c r="E29" s="71">
        <v>34</v>
      </c>
      <c r="F29" s="71">
        <v>60</v>
      </c>
      <c r="G29" s="106">
        <v>162</v>
      </c>
      <c r="H29" s="71">
        <v>12</v>
      </c>
      <c r="I29" s="67">
        <f t="shared" si="3"/>
        <v>1616</v>
      </c>
      <c r="J29" s="50"/>
    </row>
    <row r="30" spans="1:10" x14ac:dyDescent="0.35">
      <c r="A30" s="56"/>
      <c r="B30" s="105" t="s">
        <v>6</v>
      </c>
      <c r="C30" s="106">
        <v>609</v>
      </c>
      <c r="D30" s="114">
        <v>576</v>
      </c>
      <c r="E30" s="71">
        <v>40</v>
      </c>
      <c r="F30" s="71">
        <v>48</v>
      </c>
      <c r="G30" s="106">
        <v>163</v>
      </c>
      <c r="H30" s="71">
        <v>17</v>
      </c>
      <c r="I30" s="67">
        <f t="shared" si="3"/>
        <v>1453</v>
      </c>
      <c r="J30" s="50"/>
    </row>
    <row r="31" spans="1:10" x14ac:dyDescent="0.35">
      <c r="A31" s="56"/>
      <c r="B31" s="105" t="s">
        <v>173</v>
      </c>
      <c r="C31" s="106">
        <v>699</v>
      </c>
      <c r="D31" s="114">
        <v>622</v>
      </c>
      <c r="E31" s="71">
        <v>23</v>
      </c>
      <c r="F31" s="71">
        <v>53</v>
      </c>
      <c r="G31" s="106">
        <v>201</v>
      </c>
      <c r="H31" s="71">
        <v>12</v>
      </c>
      <c r="I31" s="67">
        <f t="shared" si="3"/>
        <v>1610</v>
      </c>
      <c r="J31" s="50"/>
    </row>
    <row r="32" spans="1:10" x14ac:dyDescent="0.35">
      <c r="A32" s="56"/>
      <c r="B32" s="105" t="s">
        <v>183</v>
      </c>
      <c r="C32" s="106">
        <v>626</v>
      </c>
      <c r="D32" s="114">
        <v>640</v>
      </c>
      <c r="E32" s="71">
        <v>15</v>
      </c>
      <c r="F32" s="71">
        <v>72</v>
      </c>
      <c r="G32" s="106">
        <v>195</v>
      </c>
      <c r="H32" s="71">
        <v>34</v>
      </c>
      <c r="I32" s="67">
        <f t="shared" si="3"/>
        <v>1582</v>
      </c>
      <c r="J32" s="50"/>
    </row>
    <row r="33" spans="1:10" x14ac:dyDescent="0.35">
      <c r="A33" s="56"/>
      <c r="B33" s="105" t="s">
        <v>273</v>
      </c>
      <c r="C33" s="106">
        <v>719</v>
      </c>
      <c r="D33" s="114">
        <v>674</v>
      </c>
      <c r="E33" s="71">
        <v>26</v>
      </c>
      <c r="F33" s="71">
        <v>58</v>
      </c>
      <c r="G33" s="106">
        <v>246</v>
      </c>
      <c r="H33" s="71">
        <v>34</v>
      </c>
      <c r="I33" s="67">
        <v>1757</v>
      </c>
      <c r="J33" s="50"/>
    </row>
    <row r="34" spans="1:10" ht="6" customHeight="1" x14ac:dyDescent="0.35">
      <c r="A34" s="56"/>
      <c r="B34" s="105"/>
      <c r="C34" s="106"/>
      <c r="D34" s="114"/>
      <c r="E34" s="71"/>
      <c r="F34" s="71"/>
      <c r="G34" s="106"/>
      <c r="H34" s="71"/>
      <c r="I34" s="71"/>
      <c r="J34" s="50"/>
    </row>
    <row r="35" spans="1:10" ht="40.200000000000003" x14ac:dyDescent="0.35">
      <c r="A35" s="56"/>
      <c r="B35" s="110" t="s">
        <v>275</v>
      </c>
      <c r="C35" s="145">
        <f t="shared" ref="C35:I35" si="4">C33/C32-1</f>
        <v>0.14856230031948892</v>
      </c>
      <c r="D35" s="145">
        <f t="shared" si="4"/>
        <v>5.3125000000000089E-2</v>
      </c>
      <c r="E35" s="145">
        <f t="shared" si="4"/>
        <v>0.73333333333333339</v>
      </c>
      <c r="F35" s="145">
        <f t="shared" si="4"/>
        <v>-0.19444444444444442</v>
      </c>
      <c r="G35" s="145">
        <f t="shared" si="4"/>
        <v>0.2615384615384615</v>
      </c>
      <c r="H35" s="145">
        <f t="shared" si="4"/>
        <v>0</v>
      </c>
      <c r="I35" s="145">
        <f t="shared" si="4"/>
        <v>0.11061946902654873</v>
      </c>
      <c r="J35" s="50"/>
    </row>
    <row r="36" spans="1:10" ht="6" customHeight="1" x14ac:dyDescent="0.35">
      <c r="A36" s="56"/>
      <c r="B36" s="111"/>
      <c r="C36" s="115"/>
      <c r="D36" s="115"/>
      <c r="E36" s="115"/>
      <c r="F36" s="115"/>
      <c r="G36" s="115"/>
      <c r="H36" s="115"/>
      <c r="I36" s="116"/>
      <c r="J36" s="50"/>
    </row>
    <row r="37" spans="1:10" ht="40.200000000000003" x14ac:dyDescent="0.35">
      <c r="A37" s="56"/>
      <c r="B37" s="110" t="s">
        <v>276</v>
      </c>
      <c r="C37" s="146">
        <f t="shared" ref="C37:I37" si="5">C33/C23-1</f>
        <v>0.35404896421845566</v>
      </c>
      <c r="D37" s="146">
        <f t="shared" si="5"/>
        <v>-0.32261306532663314</v>
      </c>
      <c r="E37" s="146">
        <f t="shared" si="5"/>
        <v>0.52941176470588225</v>
      </c>
      <c r="F37" s="146">
        <f t="shared" si="5"/>
        <v>1</v>
      </c>
      <c r="G37" s="146">
        <f t="shared" si="5"/>
        <v>0.79562043795620441</v>
      </c>
      <c r="H37" s="146">
        <f t="shared" si="5"/>
        <v>3.25</v>
      </c>
      <c r="I37" s="146">
        <f t="shared" si="5"/>
        <v>2.3296447291788036E-2</v>
      </c>
      <c r="J37" s="50"/>
    </row>
    <row r="38" spans="1:10" ht="6" customHeight="1" x14ac:dyDescent="0.35">
      <c r="A38" s="50"/>
      <c r="B38" s="56"/>
      <c r="C38" s="56"/>
      <c r="D38" s="56"/>
      <c r="E38" s="56"/>
      <c r="F38" s="56"/>
      <c r="G38" s="56"/>
      <c r="H38" s="56"/>
      <c r="I38" s="56"/>
      <c r="J38" s="50"/>
    </row>
    <row r="39" spans="1:10" ht="13.5" customHeight="1" x14ac:dyDescent="0.35">
      <c r="A39" s="164" t="s">
        <v>303</v>
      </c>
      <c r="B39" s="164"/>
      <c r="C39" s="164"/>
      <c r="D39" s="164"/>
      <c r="E39" s="164"/>
      <c r="F39" s="164"/>
      <c r="G39" s="164"/>
      <c r="H39" s="164"/>
      <c r="I39" s="164"/>
      <c r="J39" s="164"/>
    </row>
  </sheetData>
  <mergeCells count="2">
    <mergeCell ref="B2:I2"/>
    <mergeCell ref="A39:J39"/>
  </mergeCells>
  <hyperlinks>
    <hyperlink ref="A39:J39" r:id="rId1" display="Source: Police Service of Northern Ireland, Hate Motivation Statistics, Accessed 10 September 2020" xr:uid="{B227FC1A-6909-4AFF-A2ED-F8B33A9B7995}"/>
  </hyperlinks>
  <pageMargins left="0.7" right="0.7" top="0.75" bottom="0.75" header="0.3" footer="0.3"/>
  <pageSetup paperSize="9"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16EB5FC7D0CFB4B859FCC6C93EFF82F" ma:contentTypeVersion="12" ma:contentTypeDescription="Create a new document." ma:contentTypeScope="" ma:versionID="4d3819e13c483537f59178f62cd26aa9">
  <xsd:schema xmlns:xsd="http://www.w3.org/2001/XMLSchema" xmlns:xs="http://www.w3.org/2001/XMLSchema" xmlns:p="http://schemas.microsoft.com/office/2006/metadata/properties" xmlns:ns3="82ccd615-6f1a-4bf3-bc59-e430298c7372" xmlns:ns4="38c213d5-66ed-49da-86b1-50afd15ab056" targetNamespace="http://schemas.microsoft.com/office/2006/metadata/properties" ma:root="true" ma:fieldsID="c7d3f890bcda1cb5599402cdd2ab93f1" ns3:_="" ns4:_="">
    <xsd:import namespace="82ccd615-6f1a-4bf3-bc59-e430298c7372"/>
    <xsd:import namespace="38c213d5-66ed-49da-86b1-50afd15ab05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ccd615-6f1a-4bf3-bc59-e430298c73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8c213d5-66ed-49da-86b1-50afd15ab05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C874F2-9E30-4781-9841-4EA4AB8237BE}">
  <ds:schemaRefs>
    <ds:schemaRef ds:uri="82ccd615-6f1a-4bf3-bc59-e430298c7372"/>
    <ds:schemaRef ds:uri="http://purl.org/dc/dcmitype/"/>
    <ds:schemaRef ds:uri="http://schemas.microsoft.com/office/infopath/2007/PartnerControls"/>
    <ds:schemaRef ds:uri="http://schemas.microsoft.com/office/2006/documentManagement/types"/>
    <ds:schemaRef ds:uri="http://schemas.microsoft.com/office/2006/metadata/properties"/>
    <ds:schemaRef ds:uri="38c213d5-66ed-49da-86b1-50afd15ab056"/>
    <ds:schemaRef ds:uri="http://purl.org/dc/elements/1.1/"/>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47C9CE9F-0834-44FD-8930-30CED9C4B6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ccd615-6f1a-4bf3-bc59-e430298c7372"/>
    <ds:schemaRef ds:uri="38c213d5-66ed-49da-86b1-50afd15ab0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D393A73-0D0F-4A35-8146-E9B8A0634292}">
  <ds:schemaRefs>
    <ds:schemaRef ds:uri="http://schemas.microsoft.com/PowerBIAddIn"/>
  </ds:schemaRefs>
</ds:datastoreItem>
</file>

<file path=customXml/itemProps4.xml><?xml version="1.0" encoding="utf-8"?>
<ds:datastoreItem xmlns:ds="http://schemas.openxmlformats.org/officeDocument/2006/customXml" ds:itemID="{84A19D28-FB36-40E0-8856-5FA1CD942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Table 1</vt:lpstr>
      <vt:lpstr>Sheet1</vt:lpstr>
      <vt:lpstr>Table 2</vt:lpstr>
      <vt:lpstr>Table A1</vt:lpstr>
      <vt:lpstr>Table A2</vt:lpstr>
      <vt:lpstr>Table A3</vt:lpstr>
      <vt:lpstr>Table A4</vt:lpstr>
      <vt:lpstr>Table A5</vt:lpstr>
      <vt:lpstr>Table A6</vt:lpstr>
      <vt:lpstr>Table A7</vt:lpstr>
      <vt:lpstr>Table A8</vt:lpstr>
      <vt:lpstr>Table 3</vt:lpstr>
      <vt:lpstr>Table 4 </vt:lpstr>
      <vt:lpstr>Table B2</vt:lpstr>
      <vt:lpstr>Table 5</vt:lpstr>
      <vt:lpstr>Table 6</vt:lpstr>
      <vt:lpstr> Table 7</vt:lpstr>
      <vt:lpstr>Table 8</vt:lpstr>
      <vt:lpstr>Table 9</vt:lpstr>
      <vt:lpstr>Table 10</vt:lpstr>
      <vt:lpstr>HateCrime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Yago Zayed</dc:creator>
  <cp:lastModifiedBy>ZAYED, Yago</cp:lastModifiedBy>
  <dcterms:created xsi:type="dcterms:W3CDTF">2018-11-17T15:24:09Z</dcterms:created>
  <dcterms:modified xsi:type="dcterms:W3CDTF">2021-12-01T13:36:15Z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0x010100116EB5FC7D0CFB4B859FCC6C93EFF82F</vt:lpwstr>
  </property>
  <property fmtid="{D5CDD505-2E9C-101B-9397-08002B2CF9AE}" pid="3" name="MSIP_Label_a8f77787-5df4-43b6-a2a8-8d8b678a318b_Enabled">
    <vt:lpwstr>True</vt:lpwstr>
  </property>
  <property fmtid="{D5CDD505-2E9C-101B-9397-08002B2CF9AE}" pid="4" name="MSIP_Label_a8f77787-5df4-43b6-a2a8-8d8b678a318b_SiteId">
    <vt:lpwstr>1ce6dd9e-b337-4088-be5e-8dbbec04b34a</vt:lpwstr>
  </property>
  <property fmtid="{D5CDD505-2E9C-101B-9397-08002B2CF9AE}" pid="5" name="MSIP_Label_a8f77787-5df4-43b6-a2a8-8d8b678a318b_Owner">
    <vt:lpwstr>ZAYEDY@parliament.uk</vt:lpwstr>
  </property>
  <property fmtid="{D5CDD505-2E9C-101B-9397-08002B2CF9AE}" pid="6" name="MSIP_Label_a8f77787-5df4-43b6-a2a8-8d8b678a318b_SetDate">
    <vt:lpwstr>2019-10-27T21:14:26.0660322Z</vt:lpwstr>
  </property>
  <property fmtid="{D5CDD505-2E9C-101B-9397-08002B2CF9AE}" pid="7" name="MSIP_Label_a8f77787-5df4-43b6-a2a8-8d8b678a318b_Name">
    <vt:lpwstr>Unrestricted</vt:lpwstr>
  </property>
  <property fmtid="{D5CDD505-2E9C-101B-9397-08002B2CF9AE}" pid="8" name="MSIP_Label_a8f77787-5df4-43b6-a2a8-8d8b678a318b_Application">
    <vt:lpwstr>Microsoft Azure Information Protection</vt:lpwstr>
  </property>
  <property fmtid="{D5CDD505-2E9C-101B-9397-08002B2CF9AE}" pid="9" name="MSIP_Label_a8f77787-5df4-43b6-a2a8-8d8b678a318b_ActionId">
    <vt:lpwstr>bd129bdd-6938-432f-b9ec-46f705f98330</vt:lpwstr>
  </property>
  <property fmtid="{D5CDD505-2E9C-101B-9397-08002B2CF9AE}" pid="10" name="MSIP_Label_a8f77787-5df4-43b6-a2a8-8d8b678a318b_Extended_MSFT_Method">
    <vt:lpwstr>Automatic</vt:lpwstr>
  </property>
  <property fmtid="{D5CDD505-2E9C-101B-9397-08002B2CF9AE}" pid="11" name="Sensitivity">
    <vt:lpwstr>Unrestricted</vt:lpwstr>
  </property>
</Properties>
</file>